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omments2.xml" ContentType="application/vnd.openxmlformats-officedocument.spreadsheetml.comments+xml"/>
  <Override PartName="/xl/tables/table5.xml" ContentType="application/vnd.openxmlformats-officedocument.spreadsheetml.table+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drawings/drawing5.xml" ContentType="application/vnd.openxmlformats-officedocument.drawing+xml"/>
  <Override PartName="/xl/ctrlProps/ctrlProp1.xml" ContentType="application/vnd.ms-excel.controlproperties+xml"/>
  <Override PartName="/xl/comments6.xml" ContentType="application/vnd.openxmlformats-officedocument.spreadsheetml.comments+xml"/>
  <Override PartName="/xl/drawings/drawing6.xml" ContentType="application/vnd.openxmlformats-officedocument.drawing+xml"/>
  <Override PartName="/xl/ctrlProps/ctrlProp2.xml" ContentType="application/vnd.ms-excel.controlproperties+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comments7.xml" ContentType="application/vnd.openxmlformats-officedocument.spreadsheetml.comments+xml"/>
  <Override PartName="/xl/comments8.xml" ContentType="application/vnd.openxmlformats-officedocument.spreadsheetml.comments+xml"/>
  <Override PartName="/xl/tables/table14.xml" ContentType="application/vnd.openxmlformats-officedocument.spreadsheetml.table+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drawings/drawing7.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omments19.xml" ContentType="application/vnd.openxmlformats-officedocument.spreadsheetml.comments+xml"/>
  <Override PartName="/xl/tables/table15.xml" ContentType="application/vnd.openxmlformats-officedocument.spreadsheetml.table+xml"/>
  <Override PartName="/xl/comments20.xml" ContentType="application/vnd.openxmlformats-officedocument.spreadsheetml.comments+xml"/>
  <Override PartName="/xl/comments21.xml" ContentType="application/vnd.openxmlformats-officedocument.spreadsheetml.comments+xml"/>
  <Override PartName="/xl/comments22.xml" ContentType="application/vnd.openxmlformats-officedocument.spreadsheetml.comments+xml"/>
  <Override PartName="/xl/comments2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mc:AlternateContent xmlns:mc="http://schemas.openxmlformats.org/markup-compatibility/2006">
    <mc:Choice Requires="x15">
      <x15ac:absPath xmlns:x15ac="http://schemas.microsoft.com/office/spreadsheetml/2010/11/ac" url="https://cahcd.sharepoint.com/sites/DSFAHub/Programs/5. MFSN (AB 434)/1 PDI/Round 4 (Jan 2026) - MHP Gap NOFA/Design/Application/"/>
    </mc:Choice>
  </mc:AlternateContent>
  <xr:revisionPtr revIDLastSave="17543" documentId="8_{9E004622-8CD5-48F9-9707-6AAF8ADEE921}" xr6:coauthVersionLast="47" xr6:coauthVersionMax="47" xr10:uidLastSave="{A86FCFC1-40AC-40B3-93AB-245CC7E9EE8A}"/>
  <bookViews>
    <workbookView xWindow="-57720" yWindow="-120" windowWidth="29040" windowHeight="15720" tabRatio="596" firstSheet="3" activeTab="3" xr2:uid="{00000000-000D-0000-FFFF-FFFF00000000}"/>
  </bookViews>
  <sheets>
    <sheet name="Dropdowns" sheetId="2" state="hidden" r:id="rId1"/>
    <sheet name="Lists" sheetId="3" state="hidden" r:id="rId2"/>
    <sheet name="Visibility" sheetId="4" state="hidden" r:id="rId3"/>
    <sheet name="Cover Page" sheetId="5" r:id="rId4"/>
    <sheet name="Instructions" sheetId="6" r:id="rId5"/>
    <sheet name="Application Certifications" sheetId="46" r:id="rId6"/>
    <sheet name="Project Overview" sheetId="7" r:id="rId7"/>
    <sheet name="Contact List" sheetId="9" r:id="rId8"/>
    <sheet name="Development Sources" sheetId="13" r:id="rId9"/>
    <sheet name="Development Budget" sheetId="15" r:id="rId10"/>
    <sheet name="Sponsor History" sheetId="10" state="hidden" r:id="rId11"/>
    <sheet name="Max Loan and Grant Amounts" sheetId="12" state="hidden" r:id="rId12"/>
    <sheet name="Gap Eligibility" sheetId="44" r:id="rId13"/>
    <sheet name="Unit Mix" sheetId="11" r:id="rId14"/>
    <sheet name="Operating Budget" sheetId="14" r:id="rId15"/>
    <sheet name="Supportive Services Costs" sheetId="17" state="hidden" r:id="rId16"/>
    <sheet name="HCD Reserves Calculator" sheetId="18" state="hidden" r:id="rId17"/>
    <sheet name="Cash Flow" sheetId="19" r:id="rId18"/>
    <sheet name="VHHP Threshold Requirements" sheetId="20" state="hidden" r:id="rId19"/>
    <sheet name="VHHP Program Requirements" sheetId="21" state="hidden" r:id="rId20"/>
    <sheet name="VHHP Resident Services Coord" sheetId="22" state="hidden" r:id="rId21"/>
    <sheet name="VHHP - Supportive Services Plan" sheetId="23" state="hidden" r:id="rId22"/>
    <sheet name="SHMHP or TOD Requirements" sheetId="24" state="hidden" r:id="rId23"/>
    <sheet name="MHP Threshold Requirements" sheetId="25" state="hidden" r:id="rId24"/>
    <sheet name="MHP - Supportive Services Plan" sheetId="26" state="hidden" r:id="rId25"/>
    <sheet name="At High Risk Req" sheetId="27" state="hidden" r:id="rId26"/>
    <sheet name="SH &amp; SNP Exp" sheetId="28" state="hidden" r:id="rId27"/>
    <sheet name="Supportive Services Verif" sheetId="29" state="hidden" r:id="rId28"/>
    <sheet name="FWHG Threshold Requirements" sheetId="30" state="hidden" r:id="rId29"/>
    <sheet name="IIG Threshold Requirements" sheetId="31" state="hidden" r:id="rId30"/>
    <sheet name="Developer Fee" sheetId="33" state="hidden" r:id="rId31"/>
    <sheet name="High-Cost Verification" sheetId="32" r:id="rId32"/>
    <sheet name="Scoring" sheetId="34" r:id="rId33"/>
    <sheet name="Local Enviro Verification" sheetId="35" state="hidden" r:id="rId34"/>
    <sheet name="Entity Org Docs" sheetId="37" state="hidden" r:id="rId35"/>
    <sheet name="Sponsor Certification" sheetId="36" r:id="rId36"/>
    <sheet name="Document Checklist-Full List" sheetId="39" r:id="rId37"/>
    <sheet name="Application Support" sheetId="40" r:id="rId38"/>
  </sheets>
  <functionGroups builtInGroupCount="19"/>
  <externalReferences>
    <externalReference r:id="rId39"/>
    <externalReference r:id="rId40"/>
    <externalReference r:id="rId41"/>
    <externalReference r:id="rId42"/>
    <externalReference r:id="rId43"/>
    <externalReference r:id="rId44"/>
    <externalReference r:id="rId45"/>
  </externalReferences>
  <definedNames>
    <definedName name="_xleta.AVERAGEIFS" hidden="1" xlm="1">#NAME?</definedName>
    <definedName name="_xleta.CHAR" hidden="1" xlm="1">#NAME?</definedName>
    <definedName name="_xleta.IF" hidden="1" xlm="1">#NAME?</definedName>
    <definedName name="_xleta.MAX" hidden="1" xlm="1">#NAME?</definedName>
    <definedName name="_xleta.MIN" hidden="1" xlm="1">#NAME?</definedName>
    <definedName name="_xleta.N" hidden="1" xlm="1">#NAME?</definedName>
    <definedName name="_xleta.NOT" hidden="1" xlm="1">#NAME?</definedName>
    <definedName name="_xleta.OR" hidden="1" xlm="1">#NAME?</definedName>
    <definedName name="_xleta.T" hidden="1" xlm="1">#NAME?</definedName>
    <definedName name="_xlpm.amt" hidden="1" xlm="1">#NAME?</definedName>
    <definedName name="_xlpm.Dnum" hidden="1" xlm="1">#NAME?</definedName>
    <definedName name="_xlpm.height" hidden="1" xlm="1">#NAME?</definedName>
    <definedName name="_xlpm.Rnum" hidden="1" xlm="1">#NAME?</definedName>
    <definedName name="ActiveRow">1</definedName>
    <definedName name="AppDueDate" localSheetId="5">[1]Scoring!$AK$2</definedName>
    <definedName name="AppDueDate" localSheetId="12">[2]Scoring!$AK$2</definedName>
    <definedName name="AppDueDate">Scoring!$AK$2</definedName>
    <definedName name="Bedrooms">#REF!</definedName>
    <definedName name="BIPOC" localSheetId="5">'[1]Developer Fee'!$AL$41</definedName>
    <definedName name="BIPOC" localSheetId="12">'[2]Developer Fee'!$AL$41</definedName>
    <definedName name="BIPOC">'Developer Fee'!$AL$41</definedName>
    <definedName name="CapilizedValue">'Unit Mix'!$CX$6</definedName>
    <definedName name="CBDSetAside" localSheetId="5">'[1]Project Overview'!#REF!</definedName>
    <definedName name="CBDSetAside" localSheetId="12">'[2]Project Overview'!#REF!</definedName>
    <definedName name="CBDSetAside">'Project Overview'!#REF!</definedName>
    <definedName name="COSRno" localSheetId="5">[1]Dropdowns!$A$85</definedName>
    <definedName name="COSRno" localSheetId="12">[2]Dropdowns!$A$85</definedName>
    <definedName name="COSRno">Dropdowns!$A$85</definedName>
    <definedName name="COSRUnits" localSheetId="5">'[1]Updated Cash Flow'!$E$94</definedName>
    <definedName name="COSRUnits" localSheetId="12">'[2]Cash Flow'!$E$94</definedName>
    <definedName name="COSRUnits">'Cash Flow'!$E$94</definedName>
    <definedName name="COSRyes" localSheetId="5">[1]Dropdowns!$A$87:$A$88</definedName>
    <definedName name="COSRyes" localSheetId="12">[2]Dropdowns!$A$87:$A$88</definedName>
    <definedName name="COSRyes">Dropdowns!$A$87:$A$88</definedName>
    <definedName name="County" localSheetId="5">#REF!</definedName>
    <definedName name="County" localSheetId="12">'[2]Project Overview'!$F$181</definedName>
    <definedName name="County">'Project Overview'!$F$181</definedName>
    <definedName name="CountyNumber">'Unit Mix'!$CF$1</definedName>
    <definedName name="dd_col_num" localSheetId="5">MATCH([0]!unit,dd_unit_type,0)</definedName>
    <definedName name="DistrictN">#REF!</definedName>
    <definedName name="EDBoost" localSheetId="5">'[1]Project Overview'!#REF!</definedName>
    <definedName name="EDBoost" localSheetId="12">'[2]Project Overview'!#REF!</definedName>
    <definedName name="EDBoost">'Project Overview'!#REF!</definedName>
    <definedName name="EDFundingTarget" localSheetId="5">'[1]Project Overview'!$H$119</definedName>
    <definedName name="EDFundingTarget" localSheetId="12">'[2]Project Overview'!$H$119</definedName>
    <definedName name="EDFundingTarget">'Project Overview'!$H$119</definedName>
    <definedName name="ExternalData_3" localSheetId="1" hidden="1">Lists!#REF!</definedName>
    <definedName name="FedTiebreakerWeights">Dropdowns!$T$7:$T$25</definedName>
    <definedName name="Funding" localSheetId="5" hidden="1">{"Sources and Uses - Construction",#N/A,FALSE,"Construction S &amp; U"}</definedName>
    <definedName name="Funding" localSheetId="17" hidden="1">{"Sources and Uses - Construction",#N/A,FALSE,"Construction S &amp; U"}</definedName>
    <definedName name="Funding" localSheetId="9" hidden="1">{"Sources and Uses - Construction",#N/A,FALSE,"Construction S &amp; U"}</definedName>
    <definedName name="Funding" localSheetId="8" hidden="1">{"Sources and Uses - Construction",#N/A,FALSE,"Construction S &amp; U"}</definedName>
    <definedName name="Funding" localSheetId="34" hidden="1">{"Sources and Uses - Construction",#N/A,FALSE,"Construction S &amp; U"}</definedName>
    <definedName name="Funding" localSheetId="12" hidden="1">{"Sources and Uses - Construction",#N/A,FALSE,"Construction S &amp; U"}</definedName>
    <definedName name="Funding" localSheetId="16" hidden="1">{"Sources and Uses - Construction",#N/A,FALSE,"Construction S &amp; U"}</definedName>
    <definedName name="Funding" localSheetId="31" hidden="1">{"Sources and Uses - Construction",#N/A,FALSE,"Construction S &amp; U"}</definedName>
    <definedName name="Funding" localSheetId="33" hidden="1">{"Sources and Uses - Construction",#N/A,FALSE,"Construction S &amp; U"}</definedName>
    <definedName name="Funding" localSheetId="14" hidden="1">{"Sources and Uses - Construction",#N/A,FALSE,"Construction S &amp; U"}</definedName>
    <definedName name="Funding" localSheetId="6" hidden="1">{"Sources and Uses - Construction",#N/A,FALSE,"Construction S &amp; U"}</definedName>
    <definedName name="Funding" localSheetId="32" hidden="1">{"Sources and Uses - Construction",#N/A,FALSE,"Construction S &amp; U"}</definedName>
    <definedName name="Funding" localSheetId="15" hidden="1">{"Sources and Uses - Construction",#N/A,FALSE,"Construction S &amp; U"}</definedName>
    <definedName name="Funding" localSheetId="20" hidden="1">{"Sources and Uses - Construction",#N/A,FALSE,"Construction S &amp; U"}</definedName>
    <definedName name="Funding" hidden="1">{"Sources and Uses - Construction",#N/A,FALSE,"Construction S &amp; U"}</definedName>
    <definedName name="FundingX" localSheetId="5" hidden="1">{"Sources and Uses - Construction",#N/A,FALSE,"Construction S &amp; U"}</definedName>
    <definedName name="FundingX" localSheetId="17" hidden="1">{"Sources and Uses - Construction",#N/A,FALSE,"Construction S &amp; U"}</definedName>
    <definedName name="FundingX" localSheetId="9" hidden="1">{"Sources and Uses - Construction",#N/A,FALSE,"Construction S &amp; U"}</definedName>
    <definedName name="FundingX" localSheetId="8" hidden="1">{"Sources and Uses - Construction",#N/A,FALSE,"Construction S &amp; U"}</definedName>
    <definedName name="FundingX" localSheetId="34" hidden="1">{"Sources and Uses - Construction",#N/A,FALSE,"Construction S &amp; U"}</definedName>
    <definedName name="FundingX" localSheetId="12" hidden="1">{"Sources and Uses - Construction",#N/A,FALSE,"Construction S &amp; U"}</definedName>
    <definedName name="FundingX" localSheetId="16" hidden="1">{"Sources and Uses - Construction",#N/A,FALSE,"Construction S &amp; U"}</definedName>
    <definedName name="FundingX" localSheetId="31" hidden="1">{"Sources and Uses - Construction",#N/A,FALSE,"Construction S &amp; U"}</definedName>
    <definedName name="FundingX" localSheetId="33" hidden="1">{"Sources and Uses - Construction",#N/A,FALSE,"Construction S &amp; U"}</definedName>
    <definedName name="FundingX" localSheetId="14" hidden="1">{"Sources and Uses - Construction",#N/A,FALSE,"Construction S &amp; U"}</definedName>
    <definedName name="FundingX" localSheetId="6" hidden="1">{"Sources and Uses - Construction",#N/A,FALSE,"Construction S &amp; U"}</definedName>
    <definedName name="FundingX" localSheetId="15" hidden="1">{"Sources and Uses - Construction",#N/A,FALSE,"Construction S &amp; U"}</definedName>
    <definedName name="FundingX" localSheetId="20" hidden="1">{"Sources and Uses - Construction",#N/A,FALSE,"Construction S &amp; U"}</definedName>
    <definedName name="FundingX" hidden="1">{"Sources and Uses - Construction",#N/A,FALSE,"Construction S &amp; U"}</definedName>
    <definedName name="George3" localSheetId="5" hidden="1">{"Project Summary",#N/A,FALSE,"Project Summary";"Rent Summary",#N/A,FALSE,"Rent Summary";"Operating Budget Detail",#N/A,FALSE,"Operations";"Operating Budget Summary",#N/A,FALSE,"Operations";"Sources and Uses",#N/A,FALSE,"Sources &amp; Uses";"Cash Flow",#N/A,FALSE,"Cash Flow"}</definedName>
    <definedName name="George3" localSheetId="17" hidden="1">{"Project Summary",#N/A,FALSE,"Project Summary";"Rent Summary",#N/A,FALSE,"Rent Summary";"Operating Budget Detail",#N/A,FALSE,"Operations";"Operating Budget Summary",#N/A,FALSE,"Operations";"Sources and Uses",#N/A,FALSE,"Sources &amp; Uses";"Cash Flow",#N/A,FALSE,"Cash Flow"}</definedName>
    <definedName name="George3" localSheetId="9" hidden="1">{"Project Summary",#N/A,FALSE,"Project Summary";"Rent Summary",#N/A,FALSE,"Rent Summary";"Operating Budget Detail",#N/A,FALSE,"Operations";"Operating Budget Summary",#N/A,FALSE,"Operations";"Sources and Uses",#N/A,FALSE,"Sources &amp; Uses";"Cash Flow",#N/A,FALSE,"Cash Flow"}</definedName>
    <definedName name="George3" localSheetId="8" hidden="1">{"Project Summary",#N/A,FALSE,"Project Summary";"Rent Summary",#N/A,FALSE,"Rent Summary";"Operating Budget Detail",#N/A,FALSE,"Operations";"Operating Budget Summary",#N/A,FALSE,"Operations";"Sources and Uses",#N/A,FALSE,"Sources &amp; Uses";"Cash Flow",#N/A,FALSE,"Cash Flow"}</definedName>
    <definedName name="George3" localSheetId="34" hidden="1">{"Project Summary",#N/A,FALSE,"Project Summary";"Rent Summary",#N/A,FALSE,"Rent Summary";"Operating Budget Detail",#N/A,FALSE,"Operations";"Operating Budget Summary",#N/A,FALSE,"Operations";"Sources and Uses",#N/A,FALSE,"Sources &amp; Uses";"Cash Flow",#N/A,FALSE,"Cash Flow"}</definedName>
    <definedName name="George3" localSheetId="12" hidden="1">{"Project Summary",#N/A,FALSE,"Project Summary";"Rent Summary",#N/A,FALSE,"Rent Summary";"Operating Budget Detail",#N/A,FALSE,"Operations";"Operating Budget Summary",#N/A,FALSE,"Operations";"Sources and Uses",#N/A,FALSE,"Sources &amp; Uses";"Cash Flow",#N/A,FALSE,"Cash Flow"}</definedName>
    <definedName name="George3" localSheetId="16" hidden="1">{"Project Summary",#N/A,FALSE,"Project Summary";"Rent Summary",#N/A,FALSE,"Rent Summary";"Operating Budget Detail",#N/A,FALSE,"Operations";"Operating Budget Summary",#N/A,FALSE,"Operations";"Sources and Uses",#N/A,FALSE,"Sources &amp; Uses";"Cash Flow",#N/A,FALSE,"Cash Flow"}</definedName>
    <definedName name="George3" localSheetId="31" hidden="1">{"Project Summary",#N/A,FALSE,"Project Summary";"Rent Summary",#N/A,FALSE,"Rent Summary";"Operating Budget Detail",#N/A,FALSE,"Operations";"Operating Budget Summary",#N/A,FALSE,"Operations";"Sources and Uses",#N/A,FALSE,"Sources &amp; Uses";"Cash Flow",#N/A,FALSE,"Cash Flow"}</definedName>
    <definedName name="George3" localSheetId="33" hidden="1">{"Project Summary",#N/A,FALSE,"Project Summary";"Rent Summary",#N/A,FALSE,"Rent Summary";"Operating Budget Detail",#N/A,FALSE,"Operations";"Operating Budget Summary",#N/A,FALSE,"Operations";"Sources and Uses",#N/A,FALSE,"Sources &amp; Uses";"Cash Flow",#N/A,FALSE,"Cash Flow"}</definedName>
    <definedName name="George3" localSheetId="14" hidden="1">{"Project Summary",#N/A,FALSE,"Project Summary";"Rent Summary",#N/A,FALSE,"Rent Summary";"Operating Budget Detail",#N/A,FALSE,"Operations";"Operating Budget Summary",#N/A,FALSE,"Operations";"Sources and Uses",#N/A,FALSE,"Sources &amp; Uses";"Cash Flow",#N/A,FALSE,"Cash Flow"}</definedName>
    <definedName name="George3" localSheetId="6" hidden="1">{"Project Summary",#N/A,FALSE,"Project Summary";"Rent Summary",#N/A,FALSE,"Rent Summary";"Operating Budget Detail",#N/A,FALSE,"Operations";"Operating Budget Summary",#N/A,FALSE,"Operations";"Sources and Uses",#N/A,FALSE,"Sources &amp; Uses";"Cash Flow",#N/A,FALSE,"Cash Flow"}</definedName>
    <definedName name="George3" localSheetId="15" hidden="1">{"Project Summary",#N/A,FALSE,"Project Summary";"Rent Summary",#N/A,FALSE,"Rent Summary";"Operating Budget Detail",#N/A,FALSE,"Operations";"Operating Budget Summary",#N/A,FALSE,"Operations";"Sources and Uses",#N/A,FALSE,"Sources &amp; Uses";"Cash Flow",#N/A,FALSE,"Cash Flow"}</definedName>
    <definedName name="George3" localSheetId="20" hidden="1">{"Project Summary",#N/A,FALSE,"Project Summary";"Rent Summary",#N/A,FALSE,"Rent Summary";"Operating Budget Detail",#N/A,FALSE,"Operations";"Operating Budget Summary",#N/A,FALSE,"Operations";"Sources and Uses",#N/A,FALSE,"Sources &amp; Uses";"Cash Flow",#N/A,FALSE,"Cash Flow"}</definedName>
    <definedName name="George3" hidden="1">{"Project Summary",#N/A,FALSE,"Project Summary";"Rent Summary",#N/A,FALSE,"Rent Summary";"Operating Budget Detail",#N/A,FALSE,"Operations";"Operating Budget Summary",#N/A,FALSE,"Operations";"Sources and Uses",#N/A,FALSE,"Sources &amp; Uses";"Cash Flow",#N/A,FALSE,"Cash Flow"}</definedName>
    <definedName name="George4" localSheetId="5" hidden="1">{"Cash Flow",#N/A,FALSE,"Cash Flow"}</definedName>
    <definedName name="George4" localSheetId="17" hidden="1">{"Cash Flow",#N/A,FALSE,"Cash Flow"}</definedName>
    <definedName name="George4" localSheetId="9" hidden="1">{"Cash Flow",#N/A,FALSE,"Cash Flow"}</definedName>
    <definedName name="George4" localSheetId="8" hidden="1">{"Cash Flow",#N/A,FALSE,"Cash Flow"}</definedName>
    <definedName name="George4" localSheetId="34" hidden="1">{"Cash Flow",#N/A,FALSE,"Cash Flow"}</definedName>
    <definedName name="George4" localSheetId="12" hidden="1">{"Cash Flow",#N/A,FALSE,"Cash Flow"}</definedName>
    <definedName name="George4" localSheetId="16" hidden="1">{"Cash Flow",#N/A,FALSE,"Cash Flow"}</definedName>
    <definedName name="George4" localSheetId="31" hidden="1">{"Cash Flow",#N/A,FALSE,"Cash Flow"}</definedName>
    <definedName name="George4" localSheetId="33" hidden="1">{"Cash Flow",#N/A,FALSE,"Cash Flow"}</definedName>
    <definedName name="George4" localSheetId="14" hidden="1">{"Cash Flow",#N/A,FALSE,"Cash Flow"}</definedName>
    <definedName name="George4" localSheetId="6" hidden="1">{"Cash Flow",#N/A,FALSE,"Cash Flow"}</definedName>
    <definedName name="George4" localSheetId="15" hidden="1">{"Cash Flow",#N/A,FALSE,"Cash Flow"}</definedName>
    <definedName name="George4" localSheetId="20" hidden="1">{"Cash Flow",#N/A,FALSE,"Cash Flow"}</definedName>
    <definedName name="George4" hidden="1">{"Cash Flow",#N/A,FALSE,"Cash Flow"}</definedName>
    <definedName name="hfgjhfgh" localSheetId="5" hidden="1">{"Operating Budget Detail",#N/A,FALSE,"Operations"}</definedName>
    <definedName name="hfgjhfgh" localSheetId="17" hidden="1">{"Operating Budget Detail",#N/A,FALSE,"Operations"}</definedName>
    <definedName name="hfgjhfgh" localSheetId="9" hidden="1">{"Operating Budget Detail",#N/A,FALSE,"Operations"}</definedName>
    <definedName name="hfgjhfgh" localSheetId="8" hidden="1">{"Operating Budget Detail",#N/A,FALSE,"Operations"}</definedName>
    <definedName name="hfgjhfgh" localSheetId="34" hidden="1">{"Operating Budget Detail",#N/A,FALSE,"Operations"}</definedName>
    <definedName name="hfgjhfgh" localSheetId="12" hidden="1">{"Operating Budget Detail",#N/A,FALSE,"Operations"}</definedName>
    <definedName name="hfgjhfgh" localSheetId="16" hidden="1">{"Operating Budget Detail",#N/A,FALSE,"Operations"}</definedName>
    <definedName name="hfgjhfgh" localSheetId="31" hidden="1">{"Operating Budget Detail",#N/A,FALSE,"Operations"}</definedName>
    <definedName name="hfgjhfgh" localSheetId="14" hidden="1">{"Operating Budget Detail",#N/A,FALSE,"Operations"}</definedName>
    <definedName name="hfgjhfgh" localSheetId="15" hidden="1">{"Operating Budget Detail",#N/A,FALSE,"Operations"}</definedName>
    <definedName name="hfgjhfgh" hidden="1">{"Operating Budget Detail",#N/A,FALSE,"Operations"}</definedName>
    <definedName name="HRArea">'Project Overview'!$AL$229</definedName>
    <definedName name="HRCategory" localSheetId="5">'[1]Project Overview'!$AE$230</definedName>
    <definedName name="HRCategory" localSheetId="12">'[2]Project Overview'!$AE$230</definedName>
    <definedName name="HRCategory">'Project Overview'!$AE$230</definedName>
    <definedName name="HudFmrs" localSheetId="12">[3]Application!$CJ$160:$CN$217</definedName>
    <definedName name="HudFmrs">[4]Application!$CJ$160:$CN$217</definedName>
    <definedName name="IncomeLimits">#REF!</definedName>
    <definedName name="InfoPrintBoth" localSheetId="1">#REF!,#REF!</definedName>
    <definedName name="Interest_Rate_Type" localSheetId="5" hidden="1">#REF!</definedName>
    <definedName name="Interest_Rate_Type" hidden="1">#REF!</definedName>
    <definedName name="IsAtHighRisk" localSheetId="5">'[1]Project Overview'!$AO$43</definedName>
    <definedName name="IsAtHighRisk" localSheetId="12">'[2]Project Overview'!$AO$43</definedName>
    <definedName name="IsAtHighRisk">'Project Overview'!$AO$43</definedName>
    <definedName name="IsCIP" localSheetId="5">'[1]Project Overview'!$AO$30</definedName>
    <definedName name="IsCIP" localSheetId="12">'[2]Project Overview'!$AO$30</definedName>
    <definedName name="IsCIP">'Project Overview'!$AO$30</definedName>
    <definedName name="IsFarmworker" localSheetId="5">'[1]Project Overview'!$AO$40</definedName>
    <definedName name="IsFarmworker" localSheetId="12">'[2]Project Overview'!$AO$40</definedName>
    <definedName name="IsFarmworker">'Project Overview'!$AO$40</definedName>
    <definedName name="IsIig" localSheetId="5">'[1]Project Overview'!$AO$6</definedName>
    <definedName name="IsIig" localSheetId="12">'[2]Project Overview'!$AO$6</definedName>
    <definedName name="IsIig">'Project Overview'!$AO$6</definedName>
    <definedName name="IsLargeFamily" localSheetId="5">'[1]Project Overview'!$AO$47</definedName>
    <definedName name="IsLargeFamily" localSheetId="12">'[2]Project Overview'!$AO$47</definedName>
    <definedName name="IsLargeFamily">'Project Overview'!$AO$47</definedName>
    <definedName name="IsLF">'Project Overview'!$AO$43</definedName>
    <definedName name="IsMhp" localSheetId="5">'[1]Project Overview'!$AO$14</definedName>
    <definedName name="IsMhp" localSheetId="12">'[2]Project Overview'!$AO$14</definedName>
    <definedName name="IsMhp">'Project Overview'!$AO$14</definedName>
    <definedName name="IsNcNonTargetP" localSheetId="5">'[1]Project Overview'!$AO$58</definedName>
    <definedName name="IsNcNonTargetP" localSheetId="12">'[2]Project Overview'!$AO$58</definedName>
    <definedName name="IsNcNonTargetP">'Project Overview'!$AO$58</definedName>
    <definedName name="IsPrograms" localSheetId="5">[1]Visibility!$L$3:$Q$3</definedName>
    <definedName name="IsPrograms" localSheetId="12">[2]Visibility!$L$3:$Q$3</definedName>
    <definedName name="IsPrograms">Visibility!$L$3:$Q$3</definedName>
    <definedName name="IsSenior" localSheetId="5">'[1]Project Overview'!$AO$50</definedName>
    <definedName name="IsSenior" localSheetId="12">'[2]Project Overview'!$AO$50</definedName>
    <definedName name="IsSenior">'Project Overview'!$AO$50</definedName>
    <definedName name="IsSerna" localSheetId="5">'[1]Project Overview'!$AO$3</definedName>
    <definedName name="IsSerna" localSheetId="12">'[2]Project Overview'!$AO$3</definedName>
    <definedName name="IsSerna">'Project Overview'!$AO$3</definedName>
    <definedName name="IsSH" localSheetId="5">'[1]Project Overview'!$AO$60</definedName>
    <definedName name="IsSH" localSheetId="12">'[2]Project Overview'!$AO$60</definedName>
    <definedName name="IsSH">'Project Overview'!$AO$60</definedName>
    <definedName name="IsShmhp" localSheetId="5">'[1]Project Overview'!$AO$17</definedName>
    <definedName name="IsShmhp" localSheetId="12">'[2]Project Overview'!$AO$17</definedName>
    <definedName name="IsShmhp">'Project Overview'!$AO$17</definedName>
    <definedName name="IsSpecialNeeds" localSheetId="5">'[1]Project Overview'!$AO$53</definedName>
    <definedName name="IsSpecialNeeds" localSheetId="12">'[2]Project Overview'!$AO$53</definedName>
    <definedName name="IsSpecialNeeds">'Project Overview'!$AO$53</definedName>
    <definedName name="IsTH" localSheetId="5">'[1]Project Overview'!$AO$63</definedName>
    <definedName name="IsTH" localSheetId="12">'[2]Project Overview'!$AO$63</definedName>
    <definedName name="IsTH">'Project Overview'!$AO$63</definedName>
    <definedName name="IsTod" localSheetId="5">'[1]Project Overview'!$AO$15</definedName>
    <definedName name="IsTod" localSheetId="12">'[2]Project Overview'!$AO$15</definedName>
    <definedName name="IsTod">'Project Overview'!$AO$15</definedName>
    <definedName name="IsVhhp" localSheetId="5">'[1]Project Overview'!$AO$16</definedName>
    <definedName name="IsVhhp" localSheetId="12">'[2]Project Overview'!$AO$16</definedName>
    <definedName name="IsVhhp">'Project Overview'!$AO$16</definedName>
    <definedName name="LargeFamily" localSheetId="5">'[1]Max Loan and Grant Amounts'!$B$9</definedName>
    <definedName name="LargeFamily" localSheetId="12">'[2]Max Loan and Grant Amounts'!$B$9</definedName>
    <definedName name="LargeFamily">'Max Loan and Grant Amounts'!$B$9</definedName>
    <definedName name="ListCounties" localSheetId="1">Lists!$M$2:$M$59</definedName>
    <definedName name="ListEligibleSponsorTypes" localSheetId="5">#REF!</definedName>
    <definedName name="ListEligibleSponsorTypes" localSheetId="12">[2]Dropdowns!$A$1:$A$11</definedName>
    <definedName name="ListEligibleSponsorTypes">Dropdowns!$A$1:$A$11</definedName>
    <definedName name="ListObligationTypes" localSheetId="1">Lists!$F$2:$F$7</definedName>
    <definedName name="ListofSources">[3]Application!$AZ$525:$AZ$550</definedName>
    <definedName name="ListOpportunityAreas" localSheetId="1">Lists!$L$2:$L$6</definedName>
    <definedName name="ListSellers" localSheetId="1">_xlfn.ANCHORARRAY(Lists!#REF!)</definedName>
    <definedName name="ListSiteControlMethods" localSheetId="1">Lists!$B$2:$B$10</definedName>
    <definedName name="ListSourceTypes" localSheetId="1">Lists!$G$2:$G$23</definedName>
    <definedName name="LOE" localSheetId="5">'[1]Document Checklist-Full List'!$AJ$8:$AM$216</definedName>
    <definedName name="LOE" localSheetId="12">'[2]Document Checklist-Full List'!$AJ$8:$AM$216</definedName>
    <definedName name="LOE">'Document Checklist-Full List'!$AJ$8:$AM$216</definedName>
    <definedName name="ManagerUnit">#REF!</definedName>
    <definedName name="ManagerUnits" localSheetId="5">'[1]High-Cost Verification'!$I$14</definedName>
    <definedName name="ManagerUnits" localSheetId="12">'[2]High-Cost Verification'!$I$14</definedName>
    <definedName name="ManagerUnits">'High-Cost Verification'!$I$14</definedName>
    <definedName name="MediCalSetAside" localSheetId="5">'[1]Updated Unit Mix'!$AH$7</definedName>
    <definedName name="MediCalSetAside" localSheetId="12">'[2]Unit Mix'!$AH$7</definedName>
    <definedName name="MediCalSetAside">'Unit Mix'!$AH$7</definedName>
    <definedName name="MHPCOSR" localSheetId="5">'[1]Project Overview'!$M$124</definedName>
    <definedName name="MHPCOSR" localSheetId="12">'[2]Project Overview'!$M$124</definedName>
    <definedName name="MHPCOSR">'Project Overview'!$M$124</definedName>
    <definedName name="MHPCOSRYes" localSheetId="5">'[1]Project Overview'!$AL$126</definedName>
    <definedName name="MHPCOSRYes" localSheetId="12">'[2]Project Overview'!$AL$126</definedName>
    <definedName name="MHPCOSRYes">'Project Overview'!$AL$126</definedName>
    <definedName name="OnsiteSpace" localSheetId="5">'[1]Project Overview'!$AL$148</definedName>
    <definedName name="OnsiteSpace" localSheetId="12">'[2]Project Overview'!$AL$148</definedName>
    <definedName name="OnsiteSpace">'Project Overview'!$AL$148</definedName>
    <definedName name="OperatingRow" localSheetId="14">141</definedName>
    <definedName name="OperatingRow">1</definedName>
    <definedName name="OrganizationType">#REF!</definedName>
    <definedName name="OtherHCDfunds" localSheetId="5">'[1]Project Overview'!$AL$191</definedName>
    <definedName name="OtherHCDfunds" localSheetId="12">'[2]Project Overview'!$AL$191</definedName>
    <definedName name="OtherHCDfunds">'Project Overview'!$AL$191</definedName>
    <definedName name="PRINT">#REF!</definedName>
    <definedName name="_xlnm.Print_Area" localSheetId="5">'Application Certifications'!$A$1:$AN$47</definedName>
    <definedName name="_xlnm.Print_Area" localSheetId="37">'Application Support'!$B$2:$AM$21</definedName>
    <definedName name="_xlnm.Print_Area" localSheetId="25">'At High Risk Req'!$B$2:$AM$26</definedName>
    <definedName name="_xlnm.Print_Area" localSheetId="17">'Cash Flow'!$B$2:$BS$88</definedName>
    <definedName name="_xlnm.Print_Area" localSheetId="7">'Contact List'!$B$2:$U$28</definedName>
    <definedName name="_xlnm.Print_Area" localSheetId="3">'Cover Page'!$B$1:$AM$35</definedName>
    <definedName name="_xlnm.Print_Area" localSheetId="9">'Development Budget'!$C$2:$AD$118</definedName>
    <definedName name="_xlnm.Print_Area" localSheetId="8">'Development Sources'!$B$1:$Z$78</definedName>
    <definedName name="_xlnm.Print_Area" localSheetId="36">'Document Checklist-Full List'!$B$2:$AM$220</definedName>
    <definedName name="_xlnm.Print_Area" localSheetId="34">'Entity Org Docs'!$B$2:$AM$19</definedName>
    <definedName name="_xlnm.Print_Area" localSheetId="12">'Gap Eligibility'!$A$1:$E$42</definedName>
    <definedName name="_xlnm.Print_Area" localSheetId="16">'HCD Reserves Calculator'!$B$2:$AM$63</definedName>
    <definedName name="_xlnm.Print_Area" localSheetId="31">'High-Cost Verification'!$B$3:$AL$60</definedName>
    <definedName name="_xlnm.Print_Area" localSheetId="4">Instructions!$B$2:$AM$18</definedName>
    <definedName name="_xlnm.Print_Area" localSheetId="33">'Local Enviro Verification'!$B$2:$AM$30</definedName>
    <definedName name="_xlnm.Print_Area" localSheetId="24">'MHP - Supportive Services Plan'!$B$2:$AR$368</definedName>
    <definedName name="_xlnm.Print_Area" localSheetId="14">'Operating Budget'!$B$2:$G$159</definedName>
    <definedName name="_xlnm.Print_Area" localSheetId="6">'Project Overview'!$B$16:$AM$532</definedName>
    <definedName name="_xlnm.Print_Area" localSheetId="32">Scoring!$B$2:$AM$321</definedName>
    <definedName name="_xlnm.Print_Area" localSheetId="26">'SH &amp; SNP Exp'!$B$2:$AM$35</definedName>
    <definedName name="_xlnm.Print_Area" localSheetId="35">'Sponsor Certification'!$B$2:$AM$44</definedName>
    <definedName name="_xlnm.Print_Area" localSheetId="15">'Supportive Services Costs'!$B$4:$AM$15</definedName>
    <definedName name="_xlnm.Print_Area" localSheetId="27">'Supportive Services Verif'!$B$2:$AM$27</definedName>
    <definedName name="_xlnm.Print_Area" localSheetId="21">'VHHP - Supportive Services Plan'!$B$2:$AC$465</definedName>
    <definedName name="_xlnm.Print_Titles" localSheetId="9">'Development Budget'!$4:$4</definedName>
    <definedName name="_xlnm.Print_Titles" localSheetId="8">'Development Sources'!$1:$2</definedName>
    <definedName name="_xlnm.Print_Titles" localSheetId="36">'Document Checklist-Full List'!$2:$2</definedName>
    <definedName name="_xlnm.Print_Titles" localSheetId="20">'VHHP Resident Services Coord'!$2:$3</definedName>
    <definedName name="PRINT3">#REF!</definedName>
    <definedName name="Priority_Selected" localSheetId="12">'Gap Eligibility'!$B$43</definedName>
    <definedName name="Priority_Selected">#REF!</definedName>
    <definedName name="projectdevtype">'Development Budget'!$F$4</definedName>
    <definedName name="ProjectName" localSheetId="5">#REF!</definedName>
    <definedName name="ProjectName" localSheetId="12">'[2]Project Overview'!$F$180</definedName>
    <definedName name="ProjectName">'Project Overview'!$F$180</definedName>
    <definedName name="ProRata" localSheetId="5">'[1]Updated Cash Flow'!$J$94</definedName>
    <definedName name="ProRata" localSheetId="12">'[2]Cash Flow'!$J$94</definedName>
    <definedName name="ProRata">'Cash Flow'!$J$94</definedName>
    <definedName name="Repayment_Terms_Type" localSheetId="5" hidden="1">#REF!</definedName>
    <definedName name="Repayment_Terms_Type" hidden="1">#REF!</definedName>
    <definedName name="Required_Payment" localSheetId="5" hidden="1">#REF!</definedName>
    <definedName name="Required_Payment" hidden="1">#REF!</definedName>
    <definedName name="RestrictionChoices" localSheetId="12">[2]Dropdowns!$P$7:$P$25</definedName>
    <definedName name="RestrictionChoices">Dropdowns!$P$7:$P$25</definedName>
    <definedName name="Sample" localSheetId="5" hidden="1">{"Operating Budget Detail",#N/A,FALSE,"Operations"}</definedName>
    <definedName name="Sample" localSheetId="17" hidden="1">{"Operating Budget Detail",#N/A,FALSE,"Operations"}</definedName>
    <definedName name="Sample" localSheetId="9" hidden="1">{"Operating Budget Detail",#N/A,FALSE,"Operations"}</definedName>
    <definedName name="Sample" localSheetId="8" hidden="1">{"Operating Budget Detail",#N/A,FALSE,"Operations"}</definedName>
    <definedName name="Sample" localSheetId="34" hidden="1">{"Operating Budget Detail",#N/A,FALSE,"Operations"}</definedName>
    <definedName name="Sample" localSheetId="12" hidden="1">{"Operating Budget Detail",#N/A,FALSE,"Operations"}</definedName>
    <definedName name="Sample" localSheetId="16" hidden="1">{"Operating Budget Detail",#N/A,FALSE,"Operations"}</definedName>
    <definedName name="Sample" localSheetId="31" hidden="1">{"Operating Budget Detail",#N/A,FALSE,"Operations"}</definedName>
    <definedName name="Sample" localSheetId="33" hidden="1">{"Operating Budget Detail",#N/A,FALSE,"Operations"}</definedName>
    <definedName name="Sample" localSheetId="14" hidden="1">{"Operating Budget Detail",#N/A,FALSE,"Operations"}</definedName>
    <definedName name="Sample" localSheetId="6" hidden="1">{"Operating Budget Detail",#N/A,FALSE,"Operations"}</definedName>
    <definedName name="Sample" localSheetId="32" hidden="1">{"Operating Budget Detail",#N/A,FALSE,"Operations"}</definedName>
    <definedName name="Sample" localSheetId="15" hidden="1">{"Operating Budget Detail",#N/A,FALSE,"Operations"}</definedName>
    <definedName name="Sample" localSheetId="20" hidden="1">{"Operating Budget Detail",#N/A,FALSE,"Operations"}</definedName>
    <definedName name="Sample" hidden="1">{"Operating Budget Detail",#N/A,FALSE,"Operations"}</definedName>
    <definedName name="SampleX" localSheetId="5" hidden="1">{"Operating Budget Detail",#N/A,FALSE,"Operations"}</definedName>
    <definedName name="SampleX" localSheetId="17" hidden="1">{"Operating Budget Detail",#N/A,FALSE,"Operations"}</definedName>
    <definedName name="SampleX" localSheetId="9" hidden="1">{"Operating Budget Detail",#N/A,FALSE,"Operations"}</definedName>
    <definedName name="SampleX" localSheetId="8" hidden="1">{"Operating Budget Detail",#N/A,FALSE,"Operations"}</definedName>
    <definedName name="SampleX" localSheetId="34" hidden="1">{"Operating Budget Detail",#N/A,FALSE,"Operations"}</definedName>
    <definedName name="SampleX" localSheetId="12" hidden="1">{"Operating Budget Detail",#N/A,FALSE,"Operations"}</definedName>
    <definedName name="SampleX" localSheetId="16" hidden="1">{"Operating Budget Detail",#N/A,FALSE,"Operations"}</definedName>
    <definedName name="SampleX" localSheetId="31" hidden="1">{"Operating Budget Detail",#N/A,FALSE,"Operations"}</definedName>
    <definedName name="SampleX" localSheetId="33" hidden="1">{"Operating Budget Detail",#N/A,FALSE,"Operations"}</definedName>
    <definedName name="SampleX" localSheetId="14" hidden="1">{"Operating Budget Detail",#N/A,FALSE,"Operations"}</definedName>
    <definedName name="SampleX" localSheetId="6" hidden="1">{"Operating Budget Detail",#N/A,FALSE,"Operations"}</definedName>
    <definedName name="SampleX" localSheetId="15" hidden="1">{"Operating Budget Detail",#N/A,FALSE,"Operations"}</definedName>
    <definedName name="SampleX" localSheetId="20" hidden="1">{"Operating Budget Detail",#N/A,FALSE,"Operations"}</definedName>
    <definedName name="SampleX" hidden="1">{"Operating Budget Detail",#N/A,FALSE,"Operations"}</definedName>
    <definedName name="SD_1x1_18x1_1_S_0" localSheetId="5" hidden="1">#REF!</definedName>
    <definedName name="SD_1x1_18x1_1_S_0" localSheetId="17" hidden="1">#REF!</definedName>
    <definedName name="SD_1x1_18x1_1_S_0" localSheetId="9" hidden="1">#REF!</definedName>
    <definedName name="SD_1x1_18x1_1_S_0" localSheetId="8" hidden="1">#REF!</definedName>
    <definedName name="SD_1x1_18x1_1_S_0" localSheetId="16" hidden="1">#REF!</definedName>
    <definedName name="SD_1x1_18x1_1_S_0" localSheetId="31" hidden="1">#REF!</definedName>
    <definedName name="SD_1x1_18x1_1_S_0" localSheetId="14" hidden="1">#REF!</definedName>
    <definedName name="SD_1x1_18x1_1_S_0" localSheetId="15" hidden="1">#REF!</definedName>
    <definedName name="SD_1x1_18x1_1_S_0" hidden="1">#REF!</definedName>
    <definedName name="SD_1x1_18x1_11_S_0" localSheetId="5" hidden="1">#REF!</definedName>
    <definedName name="SD_1x1_18x1_11_S_0" localSheetId="17" hidden="1">#REF!</definedName>
    <definedName name="SD_1x1_18x1_11_S_0" localSheetId="9" hidden="1">#REF!</definedName>
    <definedName name="SD_1x1_18x1_11_S_0" localSheetId="8" hidden="1">#REF!</definedName>
    <definedName name="SD_1x1_18x1_11_S_0" localSheetId="16" hidden="1">#REF!</definedName>
    <definedName name="SD_1x1_18x1_11_S_0" localSheetId="31" hidden="1">#REF!</definedName>
    <definedName name="SD_1x1_18x1_11_S_0" localSheetId="14" hidden="1">#REF!</definedName>
    <definedName name="SD_1x1_18x1_11_S_0" localSheetId="15" hidden="1">#REF!</definedName>
    <definedName name="SD_1x1_18x1_11_S_0" hidden="1">#REF!</definedName>
    <definedName name="SD_1x1_18x1_12_S_0" localSheetId="5" hidden="1">#REF!</definedName>
    <definedName name="SD_1x1_18x1_12_S_0" localSheetId="17" hidden="1">#REF!</definedName>
    <definedName name="SD_1x1_18x1_12_S_0" localSheetId="9" hidden="1">#REF!</definedName>
    <definedName name="SD_1x1_18x1_12_S_0" localSheetId="8" hidden="1">#REF!</definedName>
    <definedName name="SD_1x1_18x1_12_S_0" localSheetId="16" hidden="1">#REF!</definedName>
    <definedName name="SD_1x1_18x1_12_S_0" localSheetId="31" hidden="1">#REF!</definedName>
    <definedName name="SD_1x1_18x1_12_S_0" localSheetId="14" hidden="1">#REF!</definedName>
    <definedName name="SD_1x1_18x1_12_S_0" localSheetId="15" hidden="1">#REF!</definedName>
    <definedName name="SD_1x1_18x1_12_S_0" hidden="1">#REF!</definedName>
    <definedName name="SD_1x1_18x1_3_S_0" localSheetId="5" hidden="1">#REF!</definedName>
    <definedName name="SD_1x1_18x1_3_S_0" localSheetId="17" hidden="1">#REF!</definedName>
    <definedName name="SD_1x1_18x1_3_S_0" localSheetId="9" hidden="1">#REF!</definedName>
    <definedName name="SD_1x1_18x1_3_S_0" localSheetId="8" hidden="1">#REF!</definedName>
    <definedName name="SD_1x1_18x1_3_S_0" localSheetId="16" hidden="1">#REF!</definedName>
    <definedName name="SD_1x1_18x1_3_S_0" localSheetId="31" hidden="1">#REF!</definedName>
    <definedName name="SD_1x1_18x1_3_S_0" localSheetId="14" hidden="1">#REF!</definedName>
    <definedName name="SD_1x1_18x1_3_S_0" localSheetId="15" hidden="1">#REF!</definedName>
    <definedName name="SD_1x1_18x1_3_S_0" hidden="1">#REF!</definedName>
    <definedName name="SD_1x1_18x1_5_S_0" localSheetId="5" hidden="1">#REF!</definedName>
    <definedName name="SD_1x1_18x1_5_S_0" localSheetId="17" hidden="1">#REF!</definedName>
    <definedName name="SD_1x1_18x1_5_S_0" localSheetId="9" hidden="1">#REF!</definedName>
    <definedName name="SD_1x1_18x1_5_S_0" localSheetId="8" hidden="1">#REF!</definedName>
    <definedName name="SD_1x1_18x1_5_S_0" localSheetId="16" hidden="1">#REF!</definedName>
    <definedName name="SD_1x1_18x1_5_S_0" localSheetId="31" hidden="1">#REF!</definedName>
    <definedName name="SD_1x1_18x1_5_S_0" localSheetId="14" hidden="1">#REF!</definedName>
    <definedName name="SD_1x1_18x1_5_S_0" localSheetId="15" hidden="1">#REF!</definedName>
    <definedName name="SD_1x1_18x1_5_S_0" hidden="1">#REF!</definedName>
    <definedName name="SD_1x1_18x1_6_S_152" localSheetId="5" hidden="1">#REF!</definedName>
    <definedName name="SD_1x1_18x1_6_S_152" localSheetId="17" hidden="1">#REF!</definedName>
    <definedName name="SD_1x1_18x1_6_S_152" localSheetId="9" hidden="1">#REF!</definedName>
    <definedName name="SD_1x1_18x1_6_S_152" localSheetId="8" hidden="1">#REF!</definedName>
    <definedName name="SD_1x1_18x1_6_S_152" localSheetId="16" hidden="1">#REF!</definedName>
    <definedName name="SD_1x1_18x1_6_S_152" localSheetId="31" hidden="1">#REF!</definedName>
    <definedName name="SD_1x1_18x1_6_S_152" localSheetId="14" hidden="1">#REF!</definedName>
    <definedName name="SD_1x1_18x1_6_S_152" localSheetId="15" hidden="1">#REF!</definedName>
    <definedName name="SD_1x1_18x1_6_S_152" hidden="1">#REF!</definedName>
    <definedName name="SD_1x1_18x1_7_S_0" localSheetId="5" hidden="1">#REF!</definedName>
    <definedName name="SD_1x1_18x1_7_S_0" localSheetId="17" hidden="1">#REF!</definedName>
    <definedName name="SD_1x1_18x1_7_S_0" localSheetId="9" hidden="1">#REF!</definedName>
    <definedName name="SD_1x1_18x1_7_S_0" localSheetId="8" hidden="1">#REF!</definedName>
    <definedName name="SD_1x1_18x1_7_S_0" localSheetId="16" hidden="1">#REF!</definedName>
    <definedName name="SD_1x1_18x1_7_S_0" localSheetId="31" hidden="1">#REF!</definedName>
    <definedName name="SD_1x1_18x1_7_S_0" localSheetId="14" hidden="1">#REF!</definedName>
    <definedName name="SD_1x1_18x1_7_S_0" localSheetId="15" hidden="1">#REF!</definedName>
    <definedName name="SD_1x1_18x1_7_S_0" hidden="1">#REF!</definedName>
    <definedName name="SD_1x1_18x1_9_S_0" localSheetId="5" hidden="1">#REF!</definedName>
    <definedName name="SD_1x1_18x1_9_S_0" localSheetId="17" hidden="1">#REF!</definedName>
    <definedName name="SD_1x1_18x1_9_S_0" localSheetId="9" hidden="1">#REF!</definedName>
    <definedName name="SD_1x1_18x1_9_S_0" localSheetId="8" hidden="1">#REF!</definedName>
    <definedName name="SD_1x1_18x1_9_S_0" localSheetId="16" hidden="1">#REF!</definedName>
    <definedName name="SD_1x1_18x1_9_S_0" localSheetId="31" hidden="1">#REF!</definedName>
    <definedName name="SD_1x1_18x1_9_S_0" localSheetId="14" hidden="1">#REF!</definedName>
    <definedName name="SD_1x1_18x1_9_S_0" localSheetId="15" hidden="1">#REF!</definedName>
    <definedName name="SD_1x1_18x1_9_S_0" hidden="1">#REF!</definedName>
    <definedName name="SD_1x1_20x1_1_S_0" localSheetId="5" hidden="1">#REF!</definedName>
    <definedName name="SD_1x1_20x1_1_S_0" localSheetId="17" hidden="1">#REF!</definedName>
    <definedName name="SD_1x1_20x1_1_S_0" localSheetId="9" hidden="1">#REF!</definedName>
    <definedName name="SD_1x1_20x1_1_S_0" localSheetId="8" hidden="1">#REF!</definedName>
    <definedName name="SD_1x1_20x1_1_S_0" localSheetId="16" hidden="1">#REF!</definedName>
    <definedName name="SD_1x1_20x1_1_S_0" localSheetId="31" hidden="1">#REF!</definedName>
    <definedName name="SD_1x1_20x1_1_S_0" localSheetId="14" hidden="1">#REF!</definedName>
    <definedName name="SD_1x1_20x1_1_S_0" localSheetId="15" hidden="1">#REF!</definedName>
    <definedName name="SD_1x1_20x1_1_S_0" hidden="1">#REF!</definedName>
    <definedName name="SD_1x1_20x1_11_S_0" localSheetId="5" hidden="1">#REF!</definedName>
    <definedName name="SD_1x1_20x1_11_S_0" localSheetId="17" hidden="1">#REF!</definedName>
    <definedName name="SD_1x1_20x1_11_S_0" localSheetId="9" hidden="1">#REF!</definedName>
    <definedName name="SD_1x1_20x1_11_S_0" localSheetId="8" hidden="1">#REF!</definedName>
    <definedName name="SD_1x1_20x1_11_S_0" localSheetId="16" hidden="1">#REF!</definedName>
    <definedName name="SD_1x1_20x1_11_S_0" localSheetId="31" hidden="1">#REF!</definedName>
    <definedName name="SD_1x1_20x1_11_S_0" localSheetId="14" hidden="1">#REF!</definedName>
    <definedName name="SD_1x1_20x1_11_S_0" localSheetId="15" hidden="1">#REF!</definedName>
    <definedName name="SD_1x1_20x1_11_S_0" hidden="1">#REF!</definedName>
    <definedName name="SD_1x1_20x1_12_S_0" localSheetId="5" hidden="1">#REF!</definedName>
    <definedName name="SD_1x1_20x1_12_S_0" localSheetId="17" hidden="1">#REF!</definedName>
    <definedName name="SD_1x1_20x1_12_S_0" localSheetId="9" hidden="1">#REF!</definedName>
    <definedName name="SD_1x1_20x1_12_S_0" localSheetId="8" hidden="1">#REF!</definedName>
    <definedName name="SD_1x1_20x1_12_S_0" localSheetId="16" hidden="1">#REF!</definedName>
    <definedName name="SD_1x1_20x1_12_S_0" localSheetId="31" hidden="1">#REF!</definedName>
    <definedName name="SD_1x1_20x1_12_S_0" localSheetId="14" hidden="1">#REF!</definedName>
    <definedName name="SD_1x1_20x1_12_S_0" localSheetId="15" hidden="1">#REF!</definedName>
    <definedName name="SD_1x1_20x1_12_S_0" hidden="1">#REF!</definedName>
    <definedName name="SD_1x1_20x1_3_S_0" localSheetId="5" hidden="1">#REF!</definedName>
    <definedName name="SD_1x1_20x1_3_S_0" localSheetId="17" hidden="1">#REF!</definedName>
    <definedName name="SD_1x1_20x1_3_S_0" localSheetId="9" hidden="1">#REF!</definedName>
    <definedName name="SD_1x1_20x1_3_S_0" localSheetId="8" hidden="1">#REF!</definedName>
    <definedName name="SD_1x1_20x1_3_S_0" localSheetId="16" hidden="1">#REF!</definedName>
    <definedName name="SD_1x1_20x1_3_S_0" localSheetId="31" hidden="1">#REF!</definedName>
    <definedName name="SD_1x1_20x1_3_S_0" localSheetId="14" hidden="1">#REF!</definedName>
    <definedName name="SD_1x1_20x1_3_S_0" localSheetId="15" hidden="1">#REF!</definedName>
    <definedName name="SD_1x1_20x1_3_S_0" hidden="1">#REF!</definedName>
    <definedName name="SD_1x1_20x1_5_S_0" localSheetId="5" hidden="1">#REF!</definedName>
    <definedName name="SD_1x1_20x1_5_S_0" localSheetId="17" hidden="1">#REF!</definedName>
    <definedName name="SD_1x1_20x1_5_S_0" localSheetId="9" hidden="1">#REF!</definedName>
    <definedName name="SD_1x1_20x1_5_S_0" localSheetId="8" hidden="1">#REF!</definedName>
    <definedName name="SD_1x1_20x1_5_S_0" localSheetId="16" hidden="1">#REF!</definedName>
    <definedName name="SD_1x1_20x1_5_S_0" localSheetId="31" hidden="1">#REF!</definedName>
    <definedName name="SD_1x1_20x1_5_S_0" localSheetId="14" hidden="1">#REF!</definedName>
    <definedName name="SD_1x1_20x1_5_S_0" localSheetId="15" hidden="1">#REF!</definedName>
    <definedName name="SD_1x1_20x1_5_S_0" hidden="1">#REF!</definedName>
    <definedName name="SD_1x1_20x1_6_S_152" localSheetId="5" hidden="1">#REF!</definedName>
    <definedName name="SD_1x1_20x1_6_S_152" localSheetId="17" hidden="1">#REF!</definedName>
    <definedName name="SD_1x1_20x1_6_S_152" localSheetId="9" hidden="1">#REF!</definedName>
    <definedName name="SD_1x1_20x1_6_S_152" localSheetId="8" hidden="1">#REF!</definedName>
    <definedName name="SD_1x1_20x1_6_S_152" localSheetId="16" hidden="1">#REF!</definedName>
    <definedName name="SD_1x1_20x1_6_S_152" localSheetId="31" hidden="1">#REF!</definedName>
    <definedName name="SD_1x1_20x1_6_S_152" localSheetId="14" hidden="1">#REF!</definedName>
    <definedName name="SD_1x1_20x1_6_S_152" localSheetId="15" hidden="1">#REF!</definedName>
    <definedName name="SD_1x1_20x1_6_S_152" hidden="1">#REF!</definedName>
    <definedName name="SD_1x1_20x1_7_S_0" localSheetId="5" hidden="1">#REF!</definedName>
    <definedName name="SD_1x1_20x1_7_S_0" localSheetId="17" hidden="1">#REF!</definedName>
    <definedName name="SD_1x1_20x1_7_S_0" localSheetId="9" hidden="1">#REF!</definedName>
    <definedName name="SD_1x1_20x1_7_S_0" localSheetId="8" hidden="1">#REF!</definedName>
    <definedName name="SD_1x1_20x1_7_S_0" localSheetId="16" hidden="1">#REF!</definedName>
    <definedName name="SD_1x1_20x1_7_S_0" localSheetId="31" hidden="1">#REF!</definedName>
    <definedName name="SD_1x1_20x1_7_S_0" localSheetId="14" hidden="1">#REF!</definedName>
    <definedName name="SD_1x1_20x1_7_S_0" localSheetId="15" hidden="1">#REF!</definedName>
    <definedName name="SD_1x1_20x1_7_S_0" hidden="1">#REF!</definedName>
    <definedName name="SD_1x1_20x1_9_S_0" localSheetId="5" hidden="1">#REF!</definedName>
    <definedName name="SD_1x1_20x1_9_S_0" localSheetId="17" hidden="1">#REF!</definedName>
    <definedName name="SD_1x1_20x1_9_S_0" localSheetId="9" hidden="1">#REF!</definedName>
    <definedName name="SD_1x1_20x1_9_S_0" localSheetId="8" hidden="1">#REF!</definedName>
    <definedName name="SD_1x1_20x1_9_S_0" localSheetId="16" hidden="1">#REF!</definedName>
    <definedName name="SD_1x1_20x1_9_S_0" localSheetId="31" hidden="1">#REF!</definedName>
    <definedName name="SD_1x1_20x1_9_S_0" localSheetId="14" hidden="1">#REF!</definedName>
    <definedName name="SD_1x1_20x1_9_S_0" localSheetId="15" hidden="1">#REF!</definedName>
    <definedName name="SD_1x1_20x1_9_S_0" hidden="1">#REF!</definedName>
    <definedName name="SD_1x1_22x1_1_S_0" localSheetId="5" hidden="1">#REF!</definedName>
    <definedName name="SD_1x1_22x1_1_S_0" localSheetId="17" hidden="1">#REF!</definedName>
    <definedName name="SD_1x1_22x1_1_S_0" localSheetId="9" hidden="1">#REF!</definedName>
    <definedName name="SD_1x1_22x1_1_S_0" localSheetId="8" hidden="1">#REF!</definedName>
    <definedName name="SD_1x1_22x1_1_S_0" localSheetId="16" hidden="1">#REF!</definedName>
    <definedName name="SD_1x1_22x1_1_S_0" localSheetId="31" hidden="1">#REF!</definedName>
    <definedName name="SD_1x1_22x1_1_S_0" localSheetId="14" hidden="1">#REF!</definedName>
    <definedName name="SD_1x1_22x1_1_S_0" localSheetId="15" hidden="1">#REF!</definedName>
    <definedName name="SD_1x1_22x1_1_S_0" hidden="1">#REF!</definedName>
    <definedName name="SD_1x1_22x1_11_S_0" localSheetId="5" hidden="1">#REF!</definedName>
    <definedName name="SD_1x1_22x1_11_S_0" localSheetId="17" hidden="1">#REF!</definedName>
    <definedName name="SD_1x1_22x1_11_S_0" localSheetId="9" hidden="1">#REF!</definedName>
    <definedName name="SD_1x1_22x1_11_S_0" localSheetId="8" hidden="1">#REF!</definedName>
    <definedName name="SD_1x1_22x1_11_S_0" localSheetId="16" hidden="1">#REF!</definedName>
    <definedName name="SD_1x1_22x1_11_S_0" localSheetId="31" hidden="1">#REF!</definedName>
    <definedName name="SD_1x1_22x1_11_S_0" localSheetId="14" hidden="1">#REF!</definedName>
    <definedName name="SD_1x1_22x1_11_S_0" localSheetId="15" hidden="1">#REF!</definedName>
    <definedName name="SD_1x1_22x1_11_S_0" hidden="1">#REF!</definedName>
    <definedName name="SD_1x1_22x1_12_S_0" localSheetId="5" hidden="1">#REF!</definedName>
    <definedName name="SD_1x1_22x1_12_S_0" localSheetId="17" hidden="1">#REF!</definedName>
    <definedName name="SD_1x1_22x1_12_S_0" localSheetId="9" hidden="1">#REF!</definedName>
    <definedName name="SD_1x1_22x1_12_S_0" localSheetId="8" hidden="1">#REF!</definedName>
    <definedName name="SD_1x1_22x1_12_S_0" localSheetId="16" hidden="1">#REF!</definedName>
    <definedName name="SD_1x1_22x1_12_S_0" localSheetId="31" hidden="1">#REF!</definedName>
    <definedName name="SD_1x1_22x1_12_S_0" localSheetId="14" hidden="1">#REF!</definedName>
    <definedName name="SD_1x1_22x1_12_S_0" localSheetId="15" hidden="1">#REF!</definedName>
    <definedName name="SD_1x1_22x1_12_S_0" hidden="1">#REF!</definedName>
    <definedName name="SD_1x1_22x1_3_S_0" localSheetId="5" hidden="1">#REF!</definedName>
    <definedName name="SD_1x1_22x1_3_S_0" localSheetId="17" hidden="1">#REF!</definedName>
    <definedName name="SD_1x1_22x1_3_S_0" localSheetId="9" hidden="1">#REF!</definedName>
    <definedName name="SD_1x1_22x1_3_S_0" localSheetId="8" hidden="1">#REF!</definedName>
    <definedName name="SD_1x1_22x1_3_S_0" localSheetId="16" hidden="1">#REF!</definedName>
    <definedName name="SD_1x1_22x1_3_S_0" localSheetId="31" hidden="1">#REF!</definedName>
    <definedName name="SD_1x1_22x1_3_S_0" localSheetId="14" hidden="1">#REF!</definedName>
    <definedName name="SD_1x1_22x1_3_S_0" localSheetId="15" hidden="1">#REF!</definedName>
    <definedName name="SD_1x1_22x1_3_S_0" hidden="1">#REF!</definedName>
    <definedName name="SD_1x1_22x1_5_S_0" localSheetId="5" hidden="1">#REF!</definedName>
    <definedName name="SD_1x1_22x1_5_S_0" localSheetId="17" hidden="1">#REF!</definedName>
    <definedName name="SD_1x1_22x1_5_S_0" localSheetId="9" hidden="1">#REF!</definedName>
    <definedName name="SD_1x1_22x1_5_S_0" localSheetId="8" hidden="1">#REF!</definedName>
    <definedName name="SD_1x1_22x1_5_S_0" localSheetId="16" hidden="1">#REF!</definedName>
    <definedName name="SD_1x1_22x1_5_S_0" localSheetId="31" hidden="1">#REF!</definedName>
    <definedName name="SD_1x1_22x1_5_S_0" localSheetId="14" hidden="1">#REF!</definedName>
    <definedName name="SD_1x1_22x1_5_S_0" localSheetId="15" hidden="1">#REF!</definedName>
    <definedName name="SD_1x1_22x1_5_S_0" hidden="1">#REF!</definedName>
    <definedName name="SD_1x1_22x1_6_S_152" localSheetId="5" hidden="1">#REF!</definedName>
    <definedName name="SD_1x1_22x1_6_S_152" localSheetId="17" hidden="1">#REF!</definedName>
    <definedName name="SD_1x1_22x1_6_S_152" localSheetId="9" hidden="1">#REF!</definedName>
    <definedName name="SD_1x1_22x1_6_S_152" localSheetId="8" hidden="1">#REF!</definedName>
    <definedName name="SD_1x1_22x1_6_S_152" localSheetId="16" hidden="1">#REF!</definedName>
    <definedName name="SD_1x1_22x1_6_S_152" localSheetId="31" hidden="1">#REF!</definedName>
    <definedName name="SD_1x1_22x1_6_S_152" localSheetId="14" hidden="1">#REF!</definedName>
    <definedName name="SD_1x1_22x1_6_S_152" localSheetId="15" hidden="1">#REF!</definedName>
    <definedName name="SD_1x1_22x1_6_S_152" hidden="1">#REF!</definedName>
    <definedName name="SD_1x1_22x1_7_S_0" localSheetId="5" hidden="1">#REF!</definedName>
    <definedName name="SD_1x1_22x1_7_S_0" localSheetId="17" hidden="1">#REF!</definedName>
    <definedName name="SD_1x1_22x1_7_S_0" localSheetId="9" hidden="1">#REF!</definedName>
    <definedName name="SD_1x1_22x1_7_S_0" localSheetId="8" hidden="1">#REF!</definedName>
    <definedName name="SD_1x1_22x1_7_S_0" localSheetId="16" hidden="1">#REF!</definedName>
    <definedName name="SD_1x1_22x1_7_S_0" localSheetId="31" hidden="1">#REF!</definedName>
    <definedName name="SD_1x1_22x1_7_S_0" localSheetId="14" hidden="1">#REF!</definedName>
    <definedName name="SD_1x1_22x1_7_S_0" localSheetId="15" hidden="1">#REF!</definedName>
    <definedName name="SD_1x1_22x1_7_S_0" hidden="1">#REF!</definedName>
    <definedName name="SD_1x1_22x1_9_S_0" localSheetId="5" hidden="1">#REF!</definedName>
    <definedName name="SD_1x1_22x1_9_S_0" localSheetId="17" hidden="1">#REF!</definedName>
    <definedName name="SD_1x1_22x1_9_S_0" localSheetId="9" hidden="1">#REF!</definedName>
    <definedName name="SD_1x1_22x1_9_S_0" localSheetId="8" hidden="1">#REF!</definedName>
    <definedName name="SD_1x1_22x1_9_S_0" localSheetId="16" hidden="1">#REF!</definedName>
    <definedName name="SD_1x1_22x1_9_S_0" localSheetId="31" hidden="1">#REF!</definedName>
    <definedName name="SD_1x1_22x1_9_S_0" localSheetId="14" hidden="1">#REF!</definedName>
    <definedName name="SD_1x1_22x1_9_S_0" localSheetId="15" hidden="1">#REF!</definedName>
    <definedName name="SD_1x1_22x1_9_S_0" hidden="1">#REF!</definedName>
    <definedName name="SD_1x1_23x1_1_S_0" localSheetId="5" hidden="1">#REF!</definedName>
    <definedName name="SD_1x1_23x1_1_S_0" localSheetId="17" hidden="1">#REF!</definedName>
    <definedName name="SD_1x1_23x1_1_S_0" localSheetId="9" hidden="1">#REF!</definedName>
    <definedName name="SD_1x1_23x1_1_S_0" localSheetId="8" hidden="1">#REF!</definedName>
    <definedName name="SD_1x1_23x1_1_S_0" localSheetId="16" hidden="1">#REF!</definedName>
    <definedName name="SD_1x1_23x1_1_S_0" localSheetId="31" hidden="1">#REF!</definedName>
    <definedName name="SD_1x1_23x1_1_S_0" localSheetId="14" hidden="1">#REF!</definedName>
    <definedName name="SD_1x1_23x1_1_S_0" localSheetId="15" hidden="1">#REF!</definedName>
    <definedName name="SD_1x1_23x1_1_S_0" hidden="1">#REF!</definedName>
    <definedName name="SD_1x1_23x1_11_S_0" localSheetId="5" hidden="1">#REF!</definedName>
    <definedName name="SD_1x1_23x1_11_S_0" localSheetId="17" hidden="1">#REF!</definedName>
    <definedName name="SD_1x1_23x1_11_S_0" localSheetId="9" hidden="1">#REF!</definedName>
    <definedName name="SD_1x1_23x1_11_S_0" localSheetId="8" hidden="1">#REF!</definedName>
    <definedName name="SD_1x1_23x1_11_S_0" localSheetId="16" hidden="1">#REF!</definedName>
    <definedName name="SD_1x1_23x1_11_S_0" localSheetId="31" hidden="1">#REF!</definedName>
    <definedName name="SD_1x1_23x1_11_S_0" localSheetId="14" hidden="1">#REF!</definedName>
    <definedName name="SD_1x1_23x1_11_S_0" localSheetId="15" hidden="1">#REF!</definedName>
    <definedName name="SD_1x1_23x1_11_S_0" hidden="1">#REF!</definedName>
    <definedName name="SD_1x1_23x1_3_S_0" localSheetId="5" hidden="1">#REF!</definedName>
    <definedName name="SD_1x1_23x1_3_S_0" localSheetId="17" hidden="1">#REF!</definedName>
    <definedName name="SD_1x1_23x1_3_S_0" localSheetId="9" hidden="1">#REF!</definedName>
    <definedName name="SD_1x1_23x1_3_S_0" localSheetId="8" hidden="1">#REF!</definedName>
    <definedName name="SD_1x1_23x1_3_S_0" localSheetId="16" hidden="1">#REF!</definedName>
    <definedName name="SD_1x1_23x1_3_S_0" localSheetId="31" hidden="1">#REF!</definedName>
    <definedName name="SD_1x1_23x1_3_S_0" localSheetId="14" hidden="1">#REF!</definedName>
    <definedName name="SD_1x1_23x1_3_S_0" localSheetId="15" hidden="1">#REF!</definedName>
    <definedName name="SD_1x1_23x1_3_S_0" hidden="1">#REF!</definedName>
    <definedName name="SD_1x1_23x1_5_S_0" localSheetId="5" hidden="1">#REF!</definedName>
    <definedName name="SD_1x1_23x1_5_S_0" localSheetId="17" hidden="1">#REF!</definedName>
    <definedName name="SD_1x1_23x1_5_S_0" localSheetId="9" hidden="1">#REF!</definedName>
    <definedName name="SD_1x1_23x1_5_S_0" localSheetId="8" hidden="1">#REF!</definedName>
    <definedName name="SD_1x1_23x1_5_S_0" localSheetId="16" hidden="1">#REF!</definedName>
    <definedName name="SD_1x1_23x1_5_S_0" localSheetId="31" hidden="1">#REF!</definedName>
    <definedName name="SD_1x1_23x1_5_S_0" localSheetId="14" hidden="1">#REF!</definedName>
    <definedName name="SD_1x1_23x1_5_S_0" localSheetId="15" hidden="1">#REF!</definedName>
    <definedName name="SD_1x1_23x1_5_S_0" hidden="1">#REF!</definedName>
    <definedName name="SD_1x1_23x1_6_S_152" localSheetId="5" hidden="1">#REF!</definedName>
    <definedName name="SD_1x1_23x1_6_S_152" localSheetId="17" hidden="1">#REF!</definedName>
    <definedName name="SD_1x1_23x1_6_S_152" localSheetId="9" hidden="1">#REF!</definedName>
    <definedName name="SD_1x1_23x1_6_S_152" localSheetId="8" hidden="1">#REF!</definedName>
    <definedName name="SD_1x1_23x1_6_S_152" localSheetId="16" hidden="1">#REF!</definedName>
    <definedName name="SD_1x1_23x1_6_S_152" localSheetId="31" hidden="1">#REF!</definedName>
    <definedName name="SD_1x1_23x1_6_S_152" localSheetId="14" hidden="1">#REF!</definedName>
    <definedName name="SD_1x1_23x1_6_S_152" localSheetId="15" hidden="1">#REF!</definedName>
    <definedName name="SD_1x1_23x1_6_S_152" hidden="1">#REF!</definedName>
    <definedName name="SD_1x1_23x1_7_S_0" localSheetId="5" hidden="1">#REF!</definedName>
    <definedName name="SD_1x1_23x1_7_S_0" localSheetId="17" hidden="1">#REF!</definedName>
    <definedName name="SD_1x1_23x1_7_S_0" localSheetId="9" hidden="1">#REF!</definedName>
    <definedName name="SD_1x1_23x1_7_S_0" localSheetId="8" hidden="1">#REF!</definedName>
    <definedName name="SD_1x1_23x1_7_S_0" localSheetId="16" hidden="1">#REF!</definedName>
    <definedName name="SD_1x1_23x1_7_S_0" localSheetId="31" hidden="1">#REF!</definedName>
    <definedName name="SD_1x1_23x1_7_S_0" localSheetId="14" hidden="1">#REF!</definedName>
    <definedName name="SD_1x1_23x1_7_S_0" localSheetId="15" hidden="1">#REF!</definedName>
    <definedName name="SD_1x1_23x1_7_S_0" hidden="1">#REF!</definedName>
    <definedName name="SD_1x1_23x1_9_S_0" localSheetId="5" hidden="1">#REF!</definedName>
    <definedName name="SD_1x1_23x1_9_S_0" localSheetId="17" hidden="1">#REF!</definedName>
    <definedName name="SD_1x1_23x1_9_S_0" localSheetId="9" hidden="1">#REF!</definedName>
    <definedName name="SD_1x1_23x1_9_S_0" localSheetId="8" hidden="1">#REF!</definedName>
    <definedName name="SD_1x1_23x1_9_S_0" localSheetId="16" hidden="1">#REF!</definedName>
    <definedName name="SD_1x1_23x1_9_S_0" localSheetId="31" hidden="1">#REF!</definedName>
    <definedName name="SD_1x1_23x1_9_S_0" localSheetId="14" hidden="1">#REF!</definedName>
    <definedName name="SD_1x1_23x1_9_S_0" localSheetId="15" hidden="1">#REF!</definedName>
    <definedName name="SD_1x1_23x1_9_S_0" hidden="1">#REF!</definedName>
    <definedName name="SD_1x1_23x2_1_S_0" localSheetId="5" hidden="1">#REF!</definedName>
    <definedName name="SD_1x1_23x2_1_S_0" localSheetId="17" hidden="1">#REF!</definedName>
    <definedName name="SD_1x1_23x2_1_S_0" localSheetId="9" hidden="1">#REF!</definedName>
    <definedName name="SD_1x1_23x2_1_S_0" localSheetId="8" hidden="1">#REF!</definedName>
    <definedName name="SD_1x1_23x2_1_S_0" localSheetId="16" hidden="1">#REF!</definedName>
    <definedName name="SD_1x1_23x2_1_S_0" localSheetId="31" hidden="1">#REF!</definedName>
    <definedName name="SD_1x1_23x2_1_S_0" localSheetId="14" hidden="1">#REF!</definedName>
    <definedName name="SD_1x1_23x2_1_S_0" localSheetId="15" hidden="1">#REF!</definedName>
    <definedName name="SD_1x1_23x2_1_S_0" hidden="1">#REF!</definedName>
    <definedName name="SD_1x1_23x2_11_S_0" localSheetId="5" hidden="1">#REF!</definedName>
    <definedName name="SD_1x1_23x2_11_S_0" localSheetId="17" hidden="1">#REF!</definedName>
    <definedName name="SD_1x1_23x2_11_S_0" localSheetId="9" hidden="1">#REF!</definedName>
    <definedName name="SD_1x1_23x2_11_S_0" localSheetId="8" hidden="1">#REF!</definedName>
    <definedName name="SD_1x1_23x2_11_S_0" localSheetId="16" hidden="1">#REF!</definedName>
    <definedName name="SD_1x1_23x2_11_S_0" localSheetId="31" hidden="1">#REF!</definedName>
    <definedName name="SD_1x1_23x2_11_S_0" localSheetId="14" hidden="1">#REF!</definedName>
    <definedName name="SD_1x1_23x2_11_S_0" localSheetId="15" hidden="1">#REF!</definedName>
    <definedName name="SD_1x1_23x2_11_S_0" hidden="1">#REF!</definedName>
    <definedName name="SD_1x1_23x2_12_S_0" localSheetId="5" hidden="1">#REF!</definedName>
    <definedName name="SD_1x1_23x2_12_S_0" localSheetId="17" hidden="1">#REF!</definedName>
    <definedName name="SD_1x1_23x2_12_S_0" localSheetId="9" hidden="1">#REF!</definedName>
    <definedName name="SD_1x1_23x2_12_S_0" localSheetId="8" hidden="1">#REF!</definedName>
    <definedName name="SD_1x1_23x2_12_S_0" localSheetId="16" hidden="1">#REF!</definedName>
    <definedName name="SD_1x1_23x2_12_S_0" localSheetId="31" hidden="1">#REF!</definedName>
    <definedName name="SD_1x1_23x2_12_S_0" localSheetId="14" hidden="1">#REF!</definedName>
    <definedName name="SD_1x1_23x2_12_S_0" localSheetId="15" hidden="1">#REF!</definedName>
    <definedName name="SD_1x1_23x2_12_S_0" hidden="1">#REF!</definedName>
    <definedName name="SD_1x1_23x2_3_S_0" localSheetId="5" hidden="1">#REF!</definedName>
    <definedName name="SD_1x1_23x2_3_S_0" localSheetId="17" hidden="1">#REF!</definedName>
    <definedName name="SD_1x1_23x2_3_S_0" localSheetId="9" hidden="1">#REF!</definedName>
    <definedName name="SD_1x1_23x2_3_S_0" localSheetId="8" hidden="1">#REF!</definedName>
    <definedName name="SD_1x1_23x2_3_S_0" localSheetId="16" hidden="1">#REF!</definedName>
    <definedName name="SD_1x1_23x2_3_S_0" localSheetId="31" hidden="1">#REF!</definedName>
    <definedName name="SD_1x1_23x2_3_S_0" localSheetId="14" hidden="1">#REF!</definedName>
    <definedName name="SD_1x1_23x2_3_S_0" localSheetId="15" hidden="1">#REF!</definedName>
    <definedName name="SD_1x1_23x2_3_S_0" hidden="1">#REF!</definedName>
    <definedName name="SD_1x1_23x2_5_S_0" localSheetId="5" hidden="1">#REF!</definedName>
    <definedName name="SD_1x1_23x2_5_S_0" localSheetId="17" hidden="1">#REF!</definedName>
    <definedName name="SD_1x1_23x2_5_S_0" localSheetId="9" hidden="1">#REF!</definedName>
    <definedName name="SD_1x1_23x2_5_S_0" localSheetId="8" hidden="1">#REF!</definedName>
    <definedName name="SD_1x1_23x2_5_S_0" localSheetId="16" hidden="1">#REF!</definedName>
    <definedName name="SD_1x1_23x2_5_S_0" localSheetId="31" hidden="1">#REF!</definedName>
    <definedName name="SD_1x1_23x2_5_S_0" localSheetId="14" hidden="1">#REF!</definedName>
    <definedName name="SD_1x1_23x2_5_S_0" localSheetId="15" hidden="1">#REF!</definedName>
    <definedName name="SD_1x1_23x2_5_S_0" hidden="1">#REF!</definedName>
    <definedName name="SD_1x1_23x2_6_S_152" localSheetId="5" hidden="1">#REF!</definedName>
    <definedName name="SD_1x1_23x2_6_S_152" localSheetId="17" hidden="1">#REF!</definedName>
    <definedName name="SD_1x1_23x2_6_S_152" localSheetId="9" hidden="1">#REF!</definedName>
    <definedName name="SD_1x1_23x2_6_S_152" localSheetId="8" hidden="1">#REF!</definedName>
    <definedName name="SD_1x1_23x2_6_S_152" localSheetId="16" hidden="1">#REF!</definedName>
    <definedName name="SD_1x1_23x2_6_S_152" localSheetId="31" hidden="1">#REF!</definedName>
    <definedName name="SD_1x1_23x2_6_S_152" localSheetId="14" hidden="1">#REF!</definedName>
    <definedName name="SD_1x1_23x2_6_S_152" localSheetId="15" hidden="1">#REF!</definedName>
    <definedName name="SD_1x1_23x2_6_S_152" hidden="1">#REF!</definedName>
    <definedName name="SD_1x1_23x2_7_S_0" localSheetId="5" hidden="1">#REF!</definedName>
    <definedName name="SD_1x1_23x2_7_S_0" localSheetId="17" hidden="1">#REF!</definedName>
    <definedName name="SD_1x1_23x2_7_S_0" localSheetId="9" hidden="1">#REF!</definedName>
    <definedName name="SD_1x1_23x2_7_S_0" localSheetId="8" hidden="1">#REF!</definedName>
    <definedName name="SD_1x1_23x2_7_S_0" localSheetId="16" hidden="1">#REF!</definedName>
    <definedName name="SD_1x1_23x2_7_S_0" localSheetId="31" hidden="1">#REF!</definedName>
    <definedName name="SD_1x1_23x2_7_S_0" localSheetId="14" hidden="1">#REF!</definedName>
    <definedName name="SD_1x1_23x2_7_S_0" localSheetId="15" hidden="1">#REF!</definedName>
    <definedName name="SD_1x1_23x2_7_S_0" hidden="1">#REF!</definedName>
    <definedName name="SD_1x1_23x2_9_S_0" localSheetId="5" hidden="1">#REF!</definedName>
    <definedName name="SD_1x1_23x2_9_S_0" localSheetId="17" hidden="1">#REF!</definedName>
    <definedName name="SD_1x1_23x2_9_S_0" localSheetId="9" hidden="1">#REF!</definedName>
    <definedName name="SD_1x1_23x2_9_S_0" localSheetId="8" hidden="1">#REF!</definedName>
    <definedName name="SD_1x1_23x2_9_S_0" localSheetId="16" hidden="1">#REF!</definedName>
    <definedName name="SD_1x1_23x2_9_S_0" localSheetId="31" hidden="1">#REF!</definedName>
    <definedName name="SD_1x1_23x2_9_S_0" localSheetId="14" hidden="1">#REF!</definedName>
    <definedName name="SD_1x1_23x2_9_S_0" localSheetId="15" hidden="1">#REF!</definedName>
    <definedName name="SD_1x1_23x2_9_S_0" hidden="1">#REF!</definedName>
    <definedName name="SD_1x1_23x3_1_S_0" localSheetId="5" hidden="1">#REF!</definedName>
    <definedName name="SD_1x1_23x3_1_S_0" localSheetId="17" hidden="1">#REF!</definedName>
    <definedName name="SD_1x1_23x3_1_S_0" localSheetId="9" hidden="1">#REF!</definedName>
    <definedName name="SD_1x1_23x3_1_S_0" localSheetId="8" hidden="1">#REF!</definedName>
    <definedName name="SD_1x1_23x3_1_S_0" localSheetId="16" hidden="1">#REF!</definedName>
    <definedName name="SD_1x1_23x3_1_S_0" localSheetId="31" hidden="1">#REF!</definedName>
    <definedName name="SD_1x1_23x3_1_S_0" localSheetId="14" hidden="1">#REF!</definedName>
    <definedName name="SD_1x1_23x3_1_S_0" localSheetId="15" hidden="1">#REF!</definedName>
    <definedName name="SD_1x1_23x3_1_S_0" hidden="1">#REF!</definedName>
    <definedName name="SD_1x1_23x3_11_S_0" localSheetId="5" hidden="1">#REF!</definedName>
    <definedName name="SD_1x1_23x3_11_S_0" localSheetId="17" hidden="1">#REF!</definedName>
    <definedName name="SD_1x1_23x3_11_S_0" localSheetId="9" hidden="1">#REF!</definedName>
    <definedName name="SD_1x1_23x3_11_S_0" localSheetId="8" hidden="1">#REF!</definedName>
    <definedName name="SD_1x1_23x3_11_S_0" localSheetId="16" hidden="1">#REF!</definedName>
    <definedName name="SD_1x1_23x3_11_S_0" localSheetId="31" hidden="1">#REF!</definedName>
    <definedName name="SD_1x1_23x3_11_S_0" localSheetId="14" hidden="1">#REF!</definedName>
    <definedName name="SD_1x1_23x3_11_S_0" localSheetId="15" hidden="1">#REF!</definedName>
    <definedName name="SD_1x1_23x3_11_S_0" hidden="1">#REF!</definedName>
    <definedName name="SD_1x1_23x3_12_S_0" localSheetId="5" hidden="1">#REF!</definedName>
    <definedName name="SD_1x1_23x3_12_S_0" localSheetId="17" hidden="1">#REF!</definedName>
    <definedName name="SD_1x1_23x3_12_S_0" localSheetId="9" hidden="1">#REF!</definedName>
    <definedName name="SD_1x1_23x3_12_S_0" localSheetId="8" hidden="1">#REF!</definedName>
    <definedName name="SD_1x1_23x3_12_S_0" localSheetId="16" hidden="1">#REF!</definedName>
    <definedName name="SD_1x1_23x3_12_S_0" localSheetId="31" hidden="1">#REF!</definedName>
    <definedName name="SD_1x1_23x3_12_S_0" localSheetId="14" hidden="1">#REF!</definedName>
    <definedName name="SD_1x1_23x3_12_S_0" localSheetId="15" hidden="1">#REF!</definedName>
    <definedName name="SD_1x1_23x3_12_S_0" hidden="1">#REF!</definedName>
    <definedName name="SD_1x1_23x3_3_S_0" localSheetId="5" hidden="1">#REF!</definedName>
    <definedName name="SD_1x1_23x3_3_S_0" localSheetId="17" hidden="1">#REF!</definedName>
    <definedName name="SD_1x1_23x3_3_S_0" localSheetId="9" hidden="1">#REF!</definedName>
    <definedName name="SD_1x1_23x3_3_S_0" localSheetId="8" hidden="1">#REF!</definedName>
    <definedName name="SD_1x1_23x3_3_S_0" localSheetId="16" hidden="1">#REF!</definedName>
    <definedName name="SD_1x1_23x3_3_S_0" localSheetId="31" hidden="1">#REF!</definedName>
    <definedName name="SD_1x1_23x3_3_S_0" localSheetId="14" hidden="1">#REF!</definedName>
    <definedName name="SD_1x1_23x3_3_S_0" localSheetId="15" hidden="1">#REF!</definedName>
    <definedName name="SD_1x1_23x3_3_S_0" hidden="1">#REF!</definedName>
    <definedName name="SD_1x1_23x3_5_S_0" localSheetId="5" hidden="1">#REF!</definedName>
    <definedName name="SD_1x1_23x3_5_S_0" localSheetId="17" hidden="1">#REF!</definedName>
    <definedName name="SD_1x1_23x3_5_S_0" localSheetId="9" hidden="1">#REF!</definedName>
    <definedName name="SD_1x1_23x3_5_S_0" localSheetId="8" hidden="1">#REF!</definedName>
    <definedName name="SD_1x1_23x3_5_S_0" localSheetId="16" hidden="1">#REF!</definedName>
    <definedName name="SD_1x1_23x3_5_S_0" localSheetId="31" hidden="1">#REF!</definedName>
    <definedName name="SD_1x1_23x3_5_S_0" localSheetId="14" hidden="1">#REF!</definedName>
    <definedName name="SD_1x1_23x3_5_S_0" localSheetId="15" hidden="1">#REF!</definedName>
    <definedName name="SD_1x1_23x3_5_S_0" hidden="1">#REF!</definedName>
    <definedName name="SD_1x1_23x3_6_S_152" localSheetId="5" hidden="1">#REF!</definedName>
    <definedName name="SD_1x1_23x3_6_S_152" localSheetId="17" hidden="1">#REF!</definedName>
    <definedName name="SD_1x1_23x3_6_S_152" localSheetId="9" hidden="1">#REF!</definedName>
    <definedName name="SD_1x1_23x3_6_S_152" localSheetId="8" hidden="1">#REF!</definedName>
    <definedName name="SD_1x1_23x3_6_S_152" localSheetId="16" hidden="1">#REF!</definedName>
    <definedName name="SD_1x1_23x3_6_S_152" localSheetId="31" hidden="1">#REF!</definedName>
    <definedName name="SD_1x1_23x3_6_S_152" localSheetId="14" hidden="1">#REF!</definedName>
    <definedName name="SD_1x1_23x3_6_S_152" localSheetId="15" hidden="1">#REF!</definedName>
    <definedName name="SD_1x1_23x3_6_S_152" hidden="1">#REF!</definedName>
    <definedName name="SD_1x1_23x3_7_S_0" localSheetId="5" hidden="1">#REF!</definedName>
    <definedName name="SD_1x1_23x3_7_S_0" localSheetId="17" hidden="1">#REF!</definedName>
    <definedName name="SD_1x1_23x3_7_S_0" localSheetId="9" hidden="1">#REF!</definedName>
    <definedName name="SD_1x1_23x3_7_S_0" localSheetId="8" hidden="1">#REF!</definedName>
    <definedName name="SD_1x1_23x3_7_S_0" localSheetId="16" hidden="1">#REF!</definedName>
    <definedName name="SD_1x1_23x3_7_S_0" localSheetId="31" hidden="1">#REF!</definedName>
    <definedName name="SD_1x1_23x3_7_S_0" localSheetId="14" hidden="1">#REF!</definedName>
    <definedName name="SD_1x1_23x3_7_S_0" localSheetId="15" hidden="1">#REF!</definedName>
    <definedName name="SD_1x1_23x3_7_S_0" hidden="1">#REF!</definedName>
    <definedName name="SD_1x1_23x3_9_S_0" localSheetId="5" hidden="1">#REF!</definedName>
    <definedName name="SD_1x1_23x3_9_S_0" localSheetId="17" hidden="1">#REF!</definedName>
    <definedName name="SD_1x1_23x3_9_S_0" localSheetId="9" hidden="1">#REF!</definedName>
    <definedName name="SD_1x1_23x3_9_S_0" localSheetId="8" hidden="1">#REF!</definedName>
    <definedName name="SD_1x1_23x3_9_S_0" localSheetId="16" hidden="1">#REF!</definedName>
    <definedName name="SD_1x1_23x3_9_S_0" localSheetId="31" hidden="1">#REF!</definedName>
    <definedName name="SD_1x1_23x3_9_S_0" localSheetId="14" hidden="1">#REF!</definedName>
    <definedName name="SD_1x1_23x3_9_S_0" localSheetId="15" hidden="1">#REF!</definedName>
    <definedName name="SD_1x1_23x3_9_S_0" hidden="1">#REF!</definedName>
    <definedName name="SD_1x1_28_S_0" localSheetId="5" hidden="1">#REF!</definedName>
    <definedName name="SD_1x1_28_S_0" hidden="1">#REF!</definedName>
    <definedName name="SD_1x1_29x1_1_S_0" localSheetId="5" hidden="1">#REF!</definedName>
    <definedName name="SD_1x1_29x1_1_S_0" localSheetId="17" hidden="1">#REF!</definedName>
    <definedName name="SD_1x1_29x1_1_S_0" localSheetId="9" hidden="1">#REF!</definedName>
    <definedName name="SD_1x1_29x1_1_S_0" localSheetId="8" hidden="1">#REF!</definedName>
    <definedName name="SD_1x1_29x1_1_S_0" localSheetId="16" hidden="1">#REF!</definedName>
    <definedName name="SD_1x1_29x1_1_S_0" localSheetId="31" hidden="1">#REF!</definedName>
    <definedName name="SD_1x1_29x1_1_S_0" localSheetId="14" hidden="1">#REF!</definedName>
    <definedName name="SD_1x1_29x1_1_S_0" localSheetId="15" hidden="1">#REF!</definedName>
    <definedName name="SD_1x1_29x1_1_S_0" hidden="1">#REF!</definedName>
    <definedName name="SD_1x1_29x1_11_S_0" localSheetId="5" hidden="1">#REF!</definedName>
    <definedName name="SD_1x1_29x1_11_S_0" localSheetId="17" hidden="1">#REF!</definedName>
    <definedName name="SD_1x1_29x1_11_S_0" localSheetId="9" hidden="1">#REF!</definedName>
    <definedName name="SD_1x1_29x1_11_S_0" localSheetId="8" hidden="1">#REF!</definedName>
    <definedName name="SD_1x1_29x1_11_S_0" localSheetId="16" hidden="1">#REF!</definedName>
    <definedName name="SD_1x1_29x1_11_S_0" localSheetId="31" hidden="1">#REF!</definedName>
    <definedName name="SD_1x1_29x1_11_S_0" localSheetId="14" hidden="1">#REF!</definedName>
    <definedName name="SD_1x1_29x1_11_S_0" localSheetId="15" hidden="1">#REF!</definedName>
    <definedName name="SD_1x1_29x1_11_S_0" hidden="1">#REF!</definedName>
    <definedName name="SD_1x1_29x1_12_S_0" localSheetId="5" hidden="1">#REF!</definedName>
    <definedName name="SD_1x1_29x1_12_S_0" localSheetId="17" hidden="1">#REF!</definedName>
    <definedName name="SD_1x1_29x1_12_S_0" localSheetId="9" hidden="1">#REF!</definedName>
    <definedName name="SD_1x1_29x1_12_S_0" localSheetId="8" hidden="1">#REF!</definedName>
    <definedName name="SD_1x1_29x1_12_S_0" localSheetId="16" hidden="1">#REF!</definedName>
    <definedName name="SD_1x1_29x1_12_S_0" localSheetId="31" hidden="1">#REF!</definedName>
    <definedName name="SD_1x1_29x1_12_S_0" localSheetId="14" hidden="1">#REF!</definedName>
    <definedName name="SD_1x1_29x1_12_S_0" localSheetId="15" hidden="1">#REF!</definedName>
    <definedName name="SD_1x1_29x1_12_S_0" hidden="1">#REF!</definedName>
    <definedName name="SD_1x1_29x1_3_S_0" localSheetId="5" hidden="1">#REF!</definedName>
    <definedName name="SD_1x1_29x1_3_S_0" localSheetId="17" hidden="1">#REF!</definedName>
    <definedName name="SD_1x1_29x1_3_S_0" localSheetId="9" hidden="1">#REF!</definedName>
    <definedName name="SD_1x1_29x1_3_S_0" localSheetId="8" hidden="1">#REF!</definedName>
    <definedName name="SD_1x1_29x1_3_S_0" localSheetId="16" hidden="1">#REF!</definedName>
    <definedName name="SD_1x1_29x1_3_S_0" localSheetId="31" hidden="1">#REF!</definedName>
    <definedName name="SD_1x1_29x1_3_S_0" localSheetId="14" hidden="1">#REF!</definedName>
    <definedName name="SD_1x1_29x1_3_S_0" localSheetId="15" hidden="1">#REF!</definedName>
    <definedName name="SD_1x1_29x1_3_S_0" hidden="1">#REF!</definedName>
    <definedName name="SD_1x1_29x1_5_S_0" localSheetId="5" hidden="1">#REF!</definedName>
    <definedName name="SD_1x1_29x1_5_S_0" localSheetId="17" hidden="1">#REF!</definedName>
    <definedName name="SD_1x1_29x1_5_S_0" localSheetId="9" hidden="1">#REF!</definedName>
    <definedName name="SD_1x1_29x1_5_S_0" localSheetId="8" hidden="1">#REF!</definedName>
    <definedName name="SD_1x1_29x1_5_S_0" localSheetId="16" hidden="1">#REF!</definedName>
    <definedName name="SD_1x1_29x1_5_S_0" localSheetId="31" hidden="1">#REF!</definedName>
    <definedName name="SD_1x1_29x1_5_S_0" localSheetId="14" hidden="1">#REF!</definedName>
    <definedName name="SD_1x1_29x1_5_S_0" localSheetId="15" hidden="1">#REF!</definedName>
    <definedName name="SD_1x1_29x1_5_S_0" hidden="1">#REF!</definedName>
    <definedName name="SD_1x1_29x1_6_S_152" localSheetId="5" hidden="1">#REF!</definedName>
    <definedName name="SD_1x1_29x1_6_S_152" localSheetId="17" hidden="1">#REF!</definedName>
    <definedName name="SD_1x1_29x1_6_S_152" localSheetId="9" hidden="1">#REF!</definedName>
    <definedName name="SD_1x1_29x1_6_S_152" localSheetId="8" hidden="1">#REF!</definedName>
    <definedName name="SD_1x1_29x1_6_S_152" localSheetId="16" hidden="1">#REF!</definedName>
    <definedName name="SD_1x1_29x1_6_S_152" localSheetId="31" hidden="1">#REF!</definedName>
    <definedName name="SD_1x1_29x1_6_S_152" localSheetId="14" hidden="1">#REF!</definedName>
    <definedName name="SD_1x1_29x1_6_S_152" localSheetId="15" hidden="1">#REF!</definedName>
    <definedName name="SD_1x1_29x1_6_S_152" hidden="1">#REF!</definedName>
    <definedName name="SD_1x1_29x1_7_S_0" localSheetId="5" hidden="1">#REF!</definedName>
    <definedName name="SD_1x1_29x1_7_S_0" localSheetId="17" hidden="1">#REF!</definedName>
    <definedName name="SD_1x1_29x1_7_S_0" localSheetId="9" hidden="1">#REF!</definedName>
    <definedName name="SD_1x1_29x1_7_S_0" localSheetId="8" hidden="1">#REF!</definedName>
    <definedName name="SD_1x1_29x1_7_S_0" localSheetId="16" hidden="1">#REF!</definedName>
    <definedName name="SD_1x1_29x1_7_S_0" localSheetId="31" hidden="1">#REF!</definedName>
    <definedName name="SD_1x1_29x1_7_S_0" localSheetId="14" hidden="1">#REF!</definedName>
    <definedName name="SD_1x1_29x1_7_S_0" localSheetId="15" hidden="1">#REF!</definedName>
    <definedName name="SD_1x1_29x1_7_S_0" hidden="1">#REF!</definedName>
    <definedName name="SD_1x1_29x1_9_S_0" localSheetId="5" hidden="1">#REF!</definedName>
    <definedName name="SD_1x1_29x1_9_S_0" localSheetId="17" hidden="1">#REF!</definedName>
    <definedName name="SD_1x1_29x1_9_S_0" localSheetId="9" hidden="1">#REF!</definedName>
    <definedName name="SD_1x1_29x1_9_S_0" localSheetId="8" hidden="1">#REF!</definedName>
    <definedName name="SD_1x1_29x1_9_S_0" localSheetId="16" hidden="1">#REF!</definedName>
    <definedName name="SD_1x1_29x1_9_S_0" localSheetId="31" hidden="1">#REF!</definedName>
    <definedName name="SD_1x1_29x1_9_S_0" localSheetId="14" hidden="1">#REF!</definedName>
    <definedName name="SD_1x1_29x1_9_S_0" localSheetId="15" hidden="1">#REF!</definedName>
    <definedName name="SD_1x1_29x1_9_S_0" hidden="1">#REF!</definedName>
    <definedName name="SD_1x1_3_S_0" localSheetId="5" hidden="1">#REF!</definedName>
    <definedName name="SD_1x1_3_S_0" hidden="1">#REF!</definedName>
    <definedName name="SD_1x1_34_S_0" localSheetId="5" hidden="1">#REF!</definedName>
    <definedName name="SD_1x1_34_S_0" localSheetId="17" hidden="1">#REF!</definedName>
    <definedName name="SD_1x1_34_S_0" localSheetId="9" hidden="1">#REF!</definedName>
    <definedName name="SD_1x1_34_S_0" localSheetId="8" hidden="1">#REF!</definedName>
    <definedName name="SD_1x1_34_S_0" localSheetId="16" hidden="1">#REF!</definedName>
    <definedName name="SD_1x1_34_S_0" localSheetId="31" hidden="1">#REF!</definedName>
    <definedName name="SD_1x1_34_S_0" localSheetId="14" hidden="1">#REF!</definedName>
    <definedName name="SD_1x1_34_S_0" localSheetId="15" hidden="1">#REF!</definedName>
    <definedName name="SD_1x1_34_S_0" hidden="1">#REF!</definedName>
    <definedName name="SD_1x1_46x1_1_S_0" localSheetId="5" hidden="1">#REF!</definedName>
    <definedName name="SD_1x1_46x1_1_S_0" localSheetId="17" hidden="1">#REF!</definedName>
    <definedName name="SD_1x1_46x1_1_S_0" localSheetId="9" hidden="1">#REF!</definedName>
    <definedName name="SD_1x1_46x1_1_S_0" localSheetId="8" hidden="1">#REF!</definedName>
    <definedName name="SD_1x1_46x1_1_S_0" localSheetId="16" hidden="1">#REF!</definedName>
    <definedName name="SD_1x1_46x1_1_S_0" localSheetId="31" hidden="1">#REF!</definedName>
    <definedName name="SD_1x1_46x1_1_S_0" localSheetId="14" hidden="1">#REF!</definedName>
    <definedName name="SD_1x1_46x1_1_S_0" localSheetId="15" hidden="1">#REF!</definedName>
    <definedName name="SD_1x1_46x1_1_S_0" hidden="1">#REF!</definedName>
    <definedName name="SD_1x1_46x1_11_S_0" localSheetId="5" hidden="1">#REF!</definedName>
    <definedName name="SD_1x1_46x1_11_S_0" localSheetId="17" hidden="1">#REF!</definedName>
    <definedName name="SD_1x1_46x1_11_S_0" localSheetId="9" hidden="1">#REF!</definedName>
    <definedName name="SD_1x1_46x1_11_S_0" localSheetId="8" hidden="1">#REF!</definedName>
    <definedName name="SD_1x1_46x1_11_S_0" localSheetId="16" hidden="1">#REF!</definedName>
    <definedName name="SD_1x1_46x1_11_S_0" localSheetId="31" hidden="1">#REF!</definedName>
    <definedName name="SD_1x1_46x1_11_S_0" localSheetId="14" hidden="1">#REF!</definedName>
    <definedName name="SD_1x1_46x1_11_S_0" localSheetId="15" hidden="1">#REF!</definedName>
    <definedName name="SD_1x1_46x1_11_S_0" hidden="1">#REF!</definedName>
    <definedName name="SD_1x1_46x1_12_S_0" localSheetId="5" hidden="1">#REF!</definedName>
    <definedName name="SD_1x1_46x1_12_S_0" localSheetId="17" hidden="1">#REF!</definedName>
    <definedName name="SD_1x1_46x1_12_S_0" localSheetId="9" hidden="1">#REF!</definedName>
    <definedName name="SD_1x1_46x1_12_S_0" localSheetId="8" hidden="1">#REF!</definedName>
    <definedName name="SD_1x1_46x1_12_S_0" localSheetId="16" hidden="1">#REF!</definedName>
    <definedName name="SD_1x1_46x1_12_S_0" localSheetId="31" hidden="1">#REF!</definedName>
    <definedName name="SD_1x1_46x1_12_S_0" localSheetId="14" hidden="1">#REF!</definedName>
    <definedName name="SD_1x1_46x1_12_S_0" localSheetId="15" hidden="1">#REF!</definedName>
    <definedName name="SD_1x1_46x1_12_S_0" hidden="1">#REF!</definedName>
    <definedName name="SD_1x1_46x1_3_S_0" localSheetId="5" hidden="1">#REF!</definedName>
    <definedName name="SD_1x1_46x1_3_S_0" localSheetId="17" hidden="1">#REF!</definedName>
    <definedName name="SD_1x1_46x1_3_S_0" localSheetId="9" hidden="1">#REF!</definedName>
    <definedName name="SD_1x1_46x1_3_S_0" localSheetId="8" hidden="1">#REF!</definedName>
    <definedName name="SD_1x1_46x1_3_S_0" localSheetId="16" hidden="1">#REF!</definedName>
    <definedName name="SD_1x1_46x1_3_S_0" localSheetId="31" hidden="1">#REF!</definedName>
    <definedName name="SD_1x1_46x1_3_S_0" localSheetId="14" hidden="1">#REF!</definedName>
    <definedName name="SD_1x1_46x1_3_S_0" localSheetId="15" hidden="1">#REF!</definedName>
    <definedName name="SD_1x1_46x1_3_S_0" hidden="1">#REF!</definedName>
    <definedName name="SD_1x1_46x1_5_S_0" localSheetId="5" hidden="1">#REF!</definedName>
    <definedName name="SD_1x1_46x1_5_S_0" localSheetId="17" hidden="1">#REF!</definedName>
    <definedName name="SD_1x1_46x1_5_S_0" localSheetId="9" hidden="1">#REF!</definedName>
    <definedName name="SD_1x1_46x1_5_S_0" localSheetId="8" hidden="1">#REF!</definedName>
    <definedName name="SD_1x1_46x1_5_S_0" localSheetId="16" hidden="1">#REF!</definedName>
    <definedName name="SD_1x1_46x1_5_S_0" localSheetId="31" hidden="1">#REF!</definedName>
    <definedName name="SD_1x1_46x1_5_S_0" localSheetId="14" hidden="1">#REF!</definedName>
    <definedName name="SD_1x1_46x1_5_S_0" localSheetId="15" hidden="1">#REF!</definedName>
    <definedName name="SD_1x1_46x1_5_S_0" hidden="1">#REF!</definedName>
    <definedName name="SD_1x1_46x1_6_S_152" localSheetId="5" hidden="1">#REF!</definedName>
    <definedName name="SD_1x1_46x1_6_S_152" localSheetId="17" hidden="1">#REF!</definedName>
    <definedName name="SD_1x1_46x1_6_S_152" localSheetId="9" hidden="1">#REF!</definedName>
    <definedName name="SD_1x1_46x1_6_S_152" localSheetId="8" hidden="1">#REF!</definedName>
    <definedName name="SD_1x1_46x1_6_S_152" localSheetId="16" hidden="1">#REF!</definedName>
    <definedName name="SD_1x1_46x1_6_S_152" localSheetId="31" hidden="1">#REF!</definedName>
    <definedName name="SD_1x1_46x1_6_S_152" localSheetId="14" hidden="1">#REF!</definedName>
    <definedName name="SD_1x1_46x1_6_S_152" localSheetId="15" hidden="1">#REF!</definedName>
    <definedName name="SD_1x1_46x1_6_S_152" hidden="1">#REF!</definedName>
    <definedName name="SD_1x1_46x1_7_S_0" localSheetId="5" hidden="1">#REF!</definedName>
    <definedName name="SD_1x1_46x1_7_S_0" localSheetId="17" hidden="1">#REF!</definedName>
    <definedName name="SD_1x1_46x1_7_S_0" localSheetId="9" hidden="1">#REF!</definedName>
    <definedName name="SD_1x1_46x1_7_S_0" localSheetId="8" hidden="1">#REF!</definedName>
    <definedName name="SD_1x1_46x1_7_S_0" localSheetId="16" hidden="1">#REF!</definedName>
    <definedName name="SD_1x1_46x1_7_S_0" localSheetId="31" hidden="1">#REF!</definedName>
    <definedName name="SD_1x1_46x1_7_S_0" localSheetId="14" hidden="1">#REF!</definedName>
    <definedName name="SD_1x1_46x1_7_S_0" localSheetId="15" hidden="1">#REF!</definedName>
    <definedName name="SD_1x1_46x1_7_S_0" hidden="1">#REF!</definedName>
    <definedName name="SD_1x1_46x1_9_S_0" localSheetId="5" hidden="1">#REF!</definedName>
    <definedName name="SD_1x1_46x1_9_S_0" localSheetId="17" hidden="1">#REF!</definedName>
    <definedName name="SD_1x1_46x1_9_S_0" localSheetId="9" hidden="1">#REF!</definedName>
    <definedName name="SD_1x1_46x1_9_S_0" localSheetId="8" hidden="1">#REF!</definedName>
    <definedName name="SD_1x1_46x1_9_S_0" localSheetId="16" hidden="1">#REF!</definedName>
    <definedName name="SD_1x1_46x1_9_S_0" localSheetId="31" hidden="1">#REF!</definedName>
    <definedName name="SD_1x1_46x1_9_S_0" localSheetId="14" hidden="1">#REF!</definedName>
    <definedName name="SD_1x1_46x1_9_S_0" localSheetId="15" hidden="1">#REF!</definedName>
    <definedName name="SD_1x1_46x1_9_S_0" hidden="1">#REF!</definedName>
    <definedName name="SD_1x1_63x1_1_S_0" localSheetId="5" hidden="1">#REF!</definedName>
    <definedName name="SD_1x1_63x1_1_S_0" localSheetId="17" hidden="1">#REF!</definedName>
    <definedName name="SD_1x1_63x1_1_S_0" localSheetId="9" hidden="1">#REF!</definedName>
    <definedName name="SD_1x1_63x1_1_S_0" localSheetId="8" hidden="1">#REF!</definedName>
    <definedName name="SD_1x1_63x1_1_S_0" localSheetId="16" hidden="1">#REF!</definedName>
    <definedName name="SD_1x1_63x1_1_S_0" localSheetId="31" hidden="1">#REF!</definedName>
    <definedName name="SD_1x1_63x1_1_S_0" localSheetId="14" hidden="1">#REF!</definedName>
    <definedName name="SD_1x1_63x1_1_S_0" localSheetId="15" hidden="1">#REF!</definedName>
    <definedName name="SD_1x1_63x1_1_S_0" hidden="1">#REF!</definedName>
    <definedName name="SD_1x1_63x1_11_S_0" localSheetId="5" hidden="1">#REF!</definedName>
    <definedName name="SD_1x1_63x1_11_S_0" localSheetId="17" hidden="1">#REF!</definedName>
    <definedName name="SD_1x1_63x1_11_S_0" localSheetId="9" hidden="1">#REF!</definedName>
    <definedName name="SD_1x1_63x1_11_S_0" localSheetId="8" hidden="1">#REF!</definedName>
    <definedName name="SD_1x1_63x1_11_S_0" localSheetId="16" hidden="1">#REF!</definedName>
    <definedName name="SD_1x1_63x1_11_S_0" localSheetId="31" hidden="1">#REF!</definedName>
    <definedName name="SD_1x1_63x1_11_S_0" localSheetId="14" hidden="1">#REF!</definedName>
    <definedName name="SD_1x1_63x1_11_S_0" localSheetId="15" hidden="1">#REF!</definedName>
    <definedName name="SD_1x1_63x1_11_S_0" hidden="1">#REF!</definedName>
    <definedName name="SD_1x1_63x1_12_S_0" localSheetId="5" hidden="1">#REF!</definedName>
    <definedName name="SD_1x1_63x1_12_S_0" localSheetId="17" hidden="1">#REF!</definedName>
    <definedName name="SD_1x1_63x1_12_S_0" localSheetId="9" hidden="1">#REF!</definedName>
    <definedName name="SD_1x1_63x1_12_S_0" localSheetId="8" hidden="1">#REF!</definedName>
    <definedName name="SD_1x1_63x1_12_S_0" localSheetId="16" hidden="1">#REF!</definedName>
    <definedName name="SD_1x1_63x1_12_S_0" localSheetId="31" hidden="1">#REF!</definedName>
    <definedName name="SD_1x1_63x1_12_S_0" localSheetId="14" hidden="1">#REF!</definedName>
    <definedName name="SD_1x1_63x1_12_S_0" localSheetId="15" hidden="1">#REF!</definedName>
    <definedName name="SD_1x1_63x1_12_S_0" hidden="1">#REF!</definedName>
    <definedName name="SD_1x1_63x1_3_S_0" localSheetId="5" hidden="1">#REF!</definedName>
    <definedName name="SD_1x1_63x1_3_S_0" localSheetId="17" hidden="1">#REF!</definedName>
    <definedName name="SD_1x1_63x1_3_S_0" localSheetId="9" hidden="1">#REF!</definedName>
    <definedName name="SD_1x1_63x1_3_S_0" localSheetId="8" hidden="1">#REF!</definedName>
    <definedName name="SD_1x1_63x1_3_S_0" localSheetId="16" hidden="1">#REF!</definedName>
    <definedName name="SD_1x1_63x1_3_S_0" localSheetId="31" hidden="1">#REF!</definedName>
    <definedName name="SD_1x1_63x1_3_S_0" localSheetId="14" hidden="1">#REF!</definedName>
    <definedName name="SD_1x1_63x1_3_S_0" localSheetId="15" hidden="1">#REF!</definedName>
    <definedName name="SD_1x1_63x1_3_S_0" hidden="1">#REF!</definedName>
    <definedName name="SD_1x1_63x1_5_S_0" localSheetId="5" hidden="1">#REF!</definedName>
    <definedName name="SD_1x1_63x1_5_S_0" localSheetId="17" hidden="1">#REF!</definedName>
    <definedName name="SD_1x1_63x1_5_S_0" localSheetId="9" hidden="1">#REF!</definedName>
    <definedName name="SD_1x1_63x1_5_S_0" localSheetId="8" hidden="1">#REF!</definedName>
    <definedName name="SD_1x1_63x1_5_S_0" localSheetId="16" hidden="1">#REF!</definedName>
    <definedName name="SD_1x1_63x1_5_S_0" localSheetId="31" hidden="1">#REF!</definedName>
    <definedName name="SD_1x1_63x1_5_S_0" localSheetId="14" hidden="1">#REF!</definedName>
    <definedName name="SD_1x1_63x1_5_S_0" localSheetId="15" hidden="1">#REF!</definedName>
    <definedName name="SD_1x1_63x1_5_S_0" hidden="1">#REF!</definedName>
    <definedName name="SD_1x1_63x1_6_S_152" localSheetId="5" hidden="1">#REF!</definedName>
    <definedName name="SD_1x1_63x1_6_S_152" localSheetId="17" hidden="1">#REF!</definedName>
    <definedName name="SD_1x1_63x1_6_S_152" localSheetId="9" hidden="1">#REF!</definedName>
    <definedName name="SD_1x1_63x1_6_S_152" localSheetId="8" hidden="1">#REF!</definedName>
    <definedName name="SD_1x1_63x1_6_S_152" localSheetId="16" hidden="1">#REF!</definedName>
    <definedName name="SD_1x1_63x1_6_S_152" localSheetId="31" hidden="1">#REF!</definedName>
    <definedName name="SD_1x1_63x1_6_S_152" localSheetId="14" hidden="1">#REF!</definedName>
    <definedName name="SD_1x1_63x1_6_S_152" localSheetId="15" hidden="1">#REF!</definedName>
    <definedName name="SD_1x1_63x1_6_S_152" hidden="1">#REF!</definedName>
    <definedName name="SD_1x1_63x1_7_S_0" localSheetId="5" hidden="1">#REF!</definedName>
    <definedName name="SD_1x1_63x1_7_S_0" localSheetId="17" hidden="1">#REF!</definedName>
    <definedName name="SD_1x1_63x1_7_S_0" localSheetId="9" hidden="1">#REF!</definedName>
    <definedName name="SD_1x1_63x1_7_S_0" localSheetId="8" hidden="1">#REF!</definedName>
    <definedName name="SD_1x1_63x1_7_S_0" localSheetId="16" hidden="1">#REF!</definedName>
    <definedName name="SD_1x1_63x1_7_S_0" localSheetId="31" hidden="1">#REF!</definedName>
    <definedName name="SD_1x1_63x1_7_S_0" localSheetId="14" hidden="1">#REF!</definedName>
    <definedName name="SD_1x1_63x1_7_S_0" localSheetId="15" hidden="1">#REF!</definedName>
    <definedName name="SD_1x1_63x1_7_S_0" hidden="1">#REF!</definedName>
    <definedName name="SD_1x1_63x1_9_S_0" localSheetId="5" hidden="1">#REF!</definedName>
    <definedName name="SD_1x1_63x1_9_S_0" localSheetId="17" hidden="1">#REF!</definedName>
    <definedName name="SD_1x1_63x1_9_S_0" localSheetId="9" hidden="1">#REF!</definedName>
    <definedName name="SD_1x1_63x1_9_S_0" localSheetId="8" hidden="1">#REF!</definedName>
    <definedName name="SD_1x1_63x1_9_S_0" localSheetId="16" hidden="1">#REF!</definedName>
    <definedName name="SD_1x1_63x1_9_S_0" localSheetId="31" hidden="1">#REF!</definedName>
    <definedName name="SD_1x1_63x1_9_S_0" localSheetId="14" hidden="1">#REF!</definedName>
    <definedName name="SD_1x1_63x1_9_S_0" localSheetId="15" hidden="1">#REF!</definedName>
    <definedName name="SD_1x1_63x1_9_S_0" hidden="1">#REF!</definedName>
    <definedName name="SD_1x1_64x1_1_S_0" localSheetId="5" hidden="1">#REF!</definedName>
    <definedName name="SD_1x1_64x1_1_S_0" localSheetId="17" hidden="1">#REF!</definedName>
    <definedName name="SD_1x1_64x1_1_S_0" localSheetId="9" hidden="1">#REF!</definedName>
    <definedName name="SD_1x1_64x1_1_S_0" localSheetId="8" hidden="1">#REF!</definedName>
    <definedName name="SD_1x1_64x1_1_S_0" localSheetId="16" hidden="1">#REF!</definedName>
    <definedName name="SD_1x1_64x1_1_S_0" localSheetId="31" hidden="1">#REF!</definedName>
    <definedName name="SD_1x1_64x1_1_S_0" localSheetId="14" hidden="1">#REF!</definedName>
    <definedName name="SD_1x1_64x1_1_S_0" localSheetId="15" hidden="1">#REF!</definedName>
    <definedName name="SD_1x1_64x1_1_S_0" hidden="1">#REF!</definedName>
    <definedName name="SD_1x1_64x1_11_S_0" localSheetId="5" hidden="1">#REF!</definedName>
    <definedName name="SD_1x1_64x1_11_S_0" localSheetId="17" hidden="1">#REF!</definedName>
    <definedName name="SD_1x1_64x1_11_S_0" localSheetId="9" hidden="1">#REF!</definedName>
    <definedName name="SD_1x1_64x1_11_S_0" localSheetId="8" hidden="1">#REF!</definedName>
    <definedName name="SD_1x1_64x1_11_S_0" localSheetId="16" hidden="1">#REF!</definedName>
    <definedName name="SD_1x1_64x1_11_S_0" localSheetId="31" hidden="1">#REF!</definedName>
    <definedName name="SD_1x1_64x1_11_S_0" localSheetId="14" hidden="1">#REF!</definedName>
    <definedName name="SD_1x1_64x1_11_S_0" localSheetId="15" hidden="1">#REF!</definedName>
    <definedName name="SD_1x1_64x1_11_S_0" hidden="1">#REF!</definedName>
    <definedName name="SD_1x1_64x1_12_S_0" localSheetId="5" hidden="1">#REF!</definedName>
    <definedName name="SD_1x1_64x1_12_S_0" localSheetId="17" hidden="1">#REF!</definedName>
    <definedName name="SD_1x1_64x1_12_S_0" localSheetId="9" hidden="1">#REF!</definedName>
    <definedName name="SD_1x1_64x1_12_S_0" localSheetId="8" hidden="1">#REF!</definedName>
    <definedName name="SD_1x1_64x1_12_S_0" localSheetId="16" hidden="1">#REF!</definedName>
    <definedName name="SD_1x1_64x1_12_S_0" localSheetId="31" hidden="1">#REF!</definedName>
    <definedName name="SD_1x1_64x1_12_S_0" localSheetId="14" hidden="1">#REF!</definedName>
    <definedName name="SD_1x1_64x1_12_S_0" localSheetId="15" hidden="1">#REF!</definedName>
    <definedName name="SD_1x1_64x1_12_S_0" hidden="1">#REF!</definedName>
    <definedName name="SD_1x1_64x1_3_S_0" localSheetId="5" hidden="1">#REF!</definedName>
    <definedName name="SD_1x1_64x1_3_S_0" localSheetId="17" hidden="1">#REF!</definedName>
    <definedName name="SD_1x1_64x1_3_S_0" localSheetId="9" hidden="1">#REF!</definedName>
    <definedName name="SD_1x1_64x1_3_S_0" localSheetId="8" hidden="1">#REF!</definedName>
    <definedName name="SD_1x1_64x1_3_S_0" localSheetId="16" hidden="1">#REF!</definedName>
    <definedName name="SD_1x1_64x1_3_S_0" localSheetId="31" hidden="1">#REF!</definedName>
    <definedName name="SD_1x1_64x1_3_S_0" localSheetId="14" hidden="1">#REF!</definedName>
    <definedName name="SD_1x1_64x1_3_S_0" localSheetId="15" hidden="1">#REF!</definedName>
    <definedName name="SD_1x1_64x1_3_S_0" hidden="1">#REF!</definedName>
    <definedName name="SD_1x1_64x1_5_S_0" localSheetId="5" hidden="1">#REF!</definedName>
    <definedName name="SD_1x1_64x1_5_S_0" localSheetId="17" hidden="1">#REF!</definedName>
    <definedName name="SD_1x1_64x1_5_S_0" localSheetId="9" hidden="1">#REF!</definedName>
    <definedName name="SD_1x1_64x1_5_S_0" localSheetId="8" hidden="1">#REF!</definedName>
    <definedName name="SD_1x1_64x1_5_S_0" localSheetId="16" hidden="1">#REF!</definedName>
    <definedName name="SD_1x1_64x1_5_S_0" localSheetId="31" hidden="1">#REF!</definedName>
    <definedName name="SD_1x1_64x1_5_S_0" localSheetId="14" hidden="1">#REF!</definedName>
    <definedName name="SD_1x1_64x1_5_S_0" localSheetId="15" hidden="1">#REF!</definedName>
    <definedName name="SD_1x1_64x1_5_S_0" hidden="1">#REF!</definedName>
    <definedName name="SD_1x1_64x1_6_S_152" localSheetId="5" hidden="1">#REF!</definedName>
    <definedName name="SD_1x1_64x1_6_S_152" localSheetId="17" hidden="1">#REF!</definedName>
    <definedName name="SD_1x1_64x1_6_S_152" localSheetId="9" hidden="1">#REF!</definedName>
    <definedName name="SD_1x1_64x1_6_S_152" localSheetId="8" hidden="1">#REF!</definedName>
    <definedName name="SD_1x1_64x1_6_S_152" localSheetId="16" hidden="1">#REF!</definedName>
    <definedName name="SD_1x1_64x1_6_S_152" localSheetId="31" hidden="1">#REF!</definedName>
    <definedName name="SD_1x1_64x1_6_S_152" localSheetId="14" hidden="1">#REF!</definedName>
    <definedName name="SD_1x1_64x1_6_S_152" localSheetId="15" hidden="1">#REF!</definedName>
    <definedName name="SD_1x1_64x1_6_S_152" hidden="1">#REF!</definedName>
    <definedName name="SD_1x1_64x1_7_S_0" localSheetId="5" hidden="1">#REF!</definedName>
    <definedName name="SD_1x1_64x1_7_S_0" localSheetId="17" hidden="1">#REF!</definedName>
    <definedName name="SD_1x1_64x1_7_S_0" localSheetId="9" hidden="1">#REF!</definedName>
    <definedName name="SD_1x1_64x1_7_S_0" localSheetId="8" hidden="1">#REF!</definedName>
    <definedName name="SD_1x1_64x1_7_S_0" localSheetId="16" hidden="1">#REF!</definedName>
    <definedName name="SD_1x1_64x1_7_S_0" localSheetId="31" hidden="1">#REF!</definedName>
    <definedName name="SD_1x1_64x1_7_S_0" localSheetId="14" hidden="1">#REF!</definedName>
    <definedName name="SD_1x1_64x1_7_S_0" localSheetId="15" hidden="1">#REF!</definedName>
    <definedName name="SD_1x1_64x1_7_S_0" hidden="1">#REF!</definedName>
    <definedName name="SD_1x1_64x1_9_S_0" localSheetId="5" hidden="1">#REF!</definedName>
    <definedName name="SD_1x1_64x1_9_S_0" localSheetId="17" hidden="1">#REF!</definedName>
    <definedName name="SD_1x1_64x1_9_S_0" localSheetId="9" hidden="1">#REF!</definedName>
    <definedName name="SD_1x1_64x1_9_S_0" localSheetId="8" hidden="1">#REF!</definedName>
    <definedName name="SD_1x1_64x1_9_S_0" localSheetId="16" hidden="1">#REF!</definedName>
    <definedName name="SD_1x1_64x1_9_S_0" localSheetId="31" hidden="1">#REF!</definedName>
    <definedName name="SD_1x1_64x1_9_S_0" localSheetId="14" hidden="1">#REF!</definedName>
    <definedName name="SD_1x1_64x1_9_S_0" localSheetId="15" hidden="1">#REF!</definedName>
    <definedName name="SD_1x1_64x1_9_S_0" hidden="1">#REF!</definedName>
    <definedName name="SD_1x1_79x1_1_S_0" localSheetId="5" hidden="1">#REF!</definedName>
    <definedName name="SD_1x1_79x1_1_S_0" localSheetId="17" hidden="1">#REF!</definedName>
    <definedName name="SD_1x1_79x1_1_S_0" localSheetId="9" hidden="1">#REF!</definedName>
    <definedName name="SD_1x1_79x1_1_S_0" localSheetId="8" hidden="1">#REF!</definedName>
    <definedName name="SD_1x1_79x1_1_S_0" localSheetId="16" hidden="1">#REF!</definedName>
    <definedName name="SD_1x1_79x1_1_S_0" localSheetId="31" hidden="1">#REF!</definedName>
    <definedName name="SD_1x1_79x1_1_S_0" localSheetId="14" hidden="1">#REF!</definedName>
    <definedName name="SD_1x1_79x1_1_S_0" localSheetId="15" hidden="1">#REF!</definedName>
    <definedName name="SD_1x1_79x1_1_S_0" hidden="1">#REF!</definedName>
    <definedName name="SD_1x1_79x1_11_S_0" localSheetId="5" hidden="1">#REF!</definedName>
    <definedName name="SD_1x1_79x1_11_S_0" localSheetId="17" hidden="1">#REF!</definedName>
    <definedName name="SD_1x1_79x1_11_S_0" localSheetId="9" hidden="1">#REF!</definedName>
    <definedName name="SD_1x1_79x1_11_S_0" localSheetId="8" hidden="1">#REF!</definedName>
    <definedName name="SD_1x1_79x1_11_S_0" localSheetId="16" hidden="1">#REF!</definedName>
    <definedName name="SD_1x1_79x1_11_S_0" localSheetId="31" hidden="1">#REF!</definedName>
    <definedName name="SD_1x1_79x1_11_S_0" localSheetId="14" hidden="1">#REF!</definedName>
    <definedName name="SD_1x1_79x1_11_S_0" localSheetId="15" hidden="1">#REF!</definedName>
    <definedName name="SD_1x1_79x1_11_S_0" hidden="1">#REF!</definedName>
    <definedName name="SD_1x1_79x1_12_S_0" localSheetId="5" hidden="1">#REF!</definedName>
    <definedName name="SD_1x1_79x1_12_S_0" localSheetId="17" hidden="1">#REF!</definedName>
    <definedName name="SD_1x1_79x1_12_S_0" localSheetId="9" hidden="1">#REF!</definedName>
    <definedName name="SD_1x1_79x1_12_S_0" localSheetId="8" hidden="1">#REF!</definedName>
    <definedName name="SD_1x1_79x1_12_S_0" localSheetId="16" hidden="1">#REF!</definedName>
    <definedName name="SD_1x1_79x1_12_S_0" localSheetId="31" hidden="1">#REF!</definedName>
    <definedName name="SD_1x1_79x1_12_S_0" localSheetId="14" hidden="1">#REF!</definedName>
    <definedName name="SD_1x1_79x1_12_S_0" localSheetId="15" hidden="1">#REF!</definedName>
    <definedName name="SD_1x1_79x1_12_S_0" hidden="1">#REF!</definedName>
    <definedName name="SD_1x1_79x1_3_S_0" localSheetId="5" hidden="1">#REF!</definedName>
    <definedName name="SD_1x1_79x1_3_S_0" localSheetId="17" hidden="1">#REF!</definedName>
    <definedName name="SD_1x1_79x1_3_S_0" localSheetId="9" hidden="1">#REF!</definedName>
    <definedName name="SD_1x1_79x1_3_S_0" localSheetId="8" hidden="1">#REF!</definedName>
    <definedName name="SD_1x1_79x1_3_S_0" localSheetId="16" hidden="1">#REF!</definedName>
    <definedName name="SD_1x1_79x1_3_S_0" localSheetId="31" hidden="1">#REF!</definedName>
    <definedName name="SD_1x1_79x1_3_S_0" localSheetId="14" hidden="1">#REF!</definedName>
    <definedName name="SD_1x1_79x1_3_S_0" localSheetId="15" hidden="1">#REF!</definedName>
    <definedName name="SD_1x1_79x1_3_S_0" hidden="1">#REF!</definedName>
    <definedName name="SD_1x1_79x1_5_S_0" localSheetId="5" hidden="1">#REF!</definedName>
    <definedName name="SD_1x1_79x1_5_S_0" localSheetId="17" hidden="1">#REF!</definedName>
    <definedName name="SD_1x1_79x1_5_S_0" localSheetId="9" hidden="1">#REF!</definedName>
    <definedName name="SD_1x1_79x1_5_S_0" localSheetId="8" hidden="1">#REF!</definedName>
    <definedName name="SD_1x1_79x1_5_S_0" localSheetId="16" hidden="1">#REF!</definedName>
    <definedName name="SD_1x1_79x1_5_S_0" localSheetId="31" hidden="1">#REF!</definedName>
    <definedName name="SD_1x1_79x1_5_S_0" localSheetId="14" hidden="1">#REF!</definedName>
    <definedName name="SD_1x1_79x1_5_S_0" localSheetId="15" hidden="1">#REF!</definedName>
    <definedName name="SD_1x1_79x1_5_S_0" hidden="1">#REF!</definedName>
    <definedName name="SD_1x1_79x1_6_S_152" localSheetId="5" hidden="1">#REF!</definedName>
    <definedName name="SD_1x1_79x1_6_S_152" localSheetId="17" hidden="1">#REF!</definedName>
    <definedName name="SD_1x1_79x1_6_S_152" localSheetId="9" hidden="1">#REF!</definedName>
    <definedName name="SD_1x1_79x1_6_S_152" localSheetId="8" hidden="1">#REF!</definedName>
    <definedName name="SD_1x1_79x1_6_S_152" localSheetId="16" hidden="1">#REF!</definedName>
    <definedName name="SD_1x1_79x1_6_S_152" localSheetId="31" hidden="1">#REF!</definedName>
    <definedName name="SD_1x1_79x1_6_S_152" localSheetId="14" hidden="1">#REF!</definedName>
    <definedName name="SD_1x1_79x1_6_S_152" localSheetId="15" hidden="1">#REF!</definedName>
    <definedName name="SD_1x1_79x1_6_S_152" hidden="1">#REF!</definedName>
    <definedName name="SD_1x1_79x1_7_S_0" localSheetId="5" hidden="1">#REF!</definedName>
    <definedName name="SD_1x1_79x1_7_S_0" localSheetId="17" hidden="1">#REF!</definedName>
    <definedName name="SD_1x1_79x1_7_S_0" localSheetId="9" hidden="1">#REF!</definedName>
    <definedName name="SD_1x1_79x1_7_S_0" localSheetId="8" hidden="1">#REF!</definedName>
    <definedName name="SD_1x1_79x1_7_S_0" localSheetId="16" hidden="1">#REF!</definedName>
    <definedName name="SD_1x1_79x1_7_S_0" localSheetId="31" hidden="1">#REF!</definedName>
    <definedName name="SD_1x1_79x1_7_S_0" localSheetId="14" hidden="1">#REF!</definedName>
    <definedName name="SD_1x1_79x1_7_S_0" localSheetId="15" hidden="1">#REF!</definedName>
    <definedName name="SD_1x1_79x1_7_S_0" hidden="1">#REF!</definedName>
    <definedName name="SD_1x1_79x1_9_S_0" localSheetId="5" hidden="1">#REF!</definedName>
    <definedName name="SD_1x1_79x1_9_S_0" localSheetId="17" hidden="1">#REF!</definedName>
    <definedName name="SD_1x1_79x1_9_S_0" localSheetId="9" hidden="1">#REF!</definedName>
    <definedName name="SD_1x1_79x1_9_S_0" localSheetId="8" hidden="1">#REF!</definedName>
    <definedName name="SD_1x1_79x1_9_S_0" localSheetId="16" hidden="1">#REF!</definedName>
    <definedName name="SD_1x1_79x1_9_S_0" localSheetId="31" hidden="1">#REF!</definedName>
    <definedName name="SD_1x1_79x1_9_S_0" localSheetId="14" hidden="1">#REF!</definedName>
    <definedName name="SD_1x1_79x1_9_S_0" localSheetId="15" hidden="1">#REF!</definedName>
    <definedName name="SD_1x1_79x1_9_S_0" hidden="1">#REF!</definedName>
    <definedName name="SD_1x1_83x1_1_S_0" localSheetId="5" hidden="1">#REF!</definedName>
    <definedName name="SD_1x1_83x1_1_S_0" localSheetId="17" hidden="1">#REF!</definedName>
    <definedName name="SD_1x1_83x1_1_S_0" localSheetId="9" hidden="1">#REF!</definedName>
    <definedName name="SD_1x1_83x1_1_S_0" localSheetId="8" hidden="1">#REF!</definedName>
    <definedName name="SD_1x1_83x1_1_S_0" localSheetId="16" hidden="1">#REF!</definedName>
    <definedName name="SD_1x1_83x1_1_S_0" localSheetId="31" hidden="1">#REF!</definedName>
    <definedName name="SD_1x1_83x1_1_S_0" localSheetId="14" hidden="1">#REF!</definedName>
    <definedName name="SD_1x1_83x1_1_S_0" localSheetId="15" hidden="1">#REF!</definedName>
    <definedName name="SD_1x1_83x1_1_S_0" hidden="1">#REF!</definedName>
    <definedName name="SD_1x1_83x1_11_S_0" localSheetId="5" hidden="1">#REF!</definedName>
    <definedName name="SD_1x1_83x1_11_S_0" localSheetId="17" hidden="1">#REF!</definedName>
    <definedName name="SD_1x1_83x1_11_S_0" localSheetId="9" hidden="1">#REF!</definedName>
    <definedName name="SD_1x1_83x1_11_S_0" localSheetId="8" hidden="1">#REF!</definedName>
    <definedName name="SD_1x1_83x1_11_S_0" localSheetId="16" hidden="1">#REF!</definedName>
    <definedName name="SD_1x1_83x1_11_S_0" localSheetId="31" hidden="1">#REF!</definedName>
    <definedName name="SD_1x1_83x1_11_S_0" localSheetId="14" hidden="1">#REF!</definedName>
    <definedName name="SD_1x1_83x1_11_S_0" localSheetId="15" hidden="1">#REF!</definedName>
    <definedName name="SD_1x1_83x1_11_S_0" hidden="1">#REF!</definedName>
    <definedName name="SD_1x1_83x1_12_S_0" localSheetId="5" hidden="1">#REF!</definedName>
    <definedName name="SD_1x1_83x1_12_S_0" localSheetId="17" hidden="1">#REF!</definedName>
    <definedName name="SD_1x1_83x1_12_S_0" localSheetId="9" hidden="1">#REF!</definedName>
    <definedName name="SD_1x1_83x1_12_S_0" localSheetId="8" hidden="1">#REF!</definedName>
    <definedName name="SD_1x1_83x1_12_S_0" localSheetId="16" hidden="1">#REF!</definedName>
    <definedName name="SD_1x1_83x1_12_S_0" localSheetId="31" hidden="1">#REF!</definedName>
    <definedName name="SD_1x1_83x1_12_S_0" localSheetId="14" hidden="1">#REF!</definedName>
    <definedName name="SD_1x1_83x1_12_S_0" localSheetId="15" hidden="1">#REF!</definedName>
    <definedName name="SD_1x1_83x1_12_S_0" hidden="1">#REF!</definedName>
    <definedName name="SD_1x1_83x1_3_S_0" localSheetId="5" hidden="1">#REF!</definedName>
    <definedName name="SD_1x1_83x1_3_S_0" localSheetId="17" hidden="1">#REF!</definedName>
    <definedName name="SD_1x1_83x1_3_S_0" localSheetId="9" hidden="1">#REF!</definedName>
    <definedName name="SD_1x1_83x1_3_S_0" localSheetId="8" hidden="1">#REF!</definedName>
    <definedName name="SD_1x1_83x1_3_S_0" localSheetId="16" hidden="1">#REF!</definedName>
    <definedName name="SD_1x1_83x1_3_S_0" localSheetId="31" hidden="1">#REF!</definedName>
    <definedName name="SD_1x1_83x1_3_S_0" localSheetId="14" hidden="1">#REF!</definedName>
    <definedName name="SD_1x1_83x1_3_S_0" localSheetId="15" hidden="1">#REF!</definedName>
    <definedName name="SD_1x1_83x1_3_S_0" hidden="1">#REF!</definedName>
    <definedName name="SD_1x1_83x1_5_S_0" localSheetId="5" hidden="1">#REF!</definedName>
    <definedName name="SD_1x1_83x1_5_S_0" localSheetId="17" hidden="1">#REF!</definedName>
    <definedName name="SD_1x1_83x1_5_S_0" localSheetId="9" hidden="1">#REF!</definedName>
    <definedName name="SD_1x1_83x1_5_S_0" localSheetId="8" hidden="1">#REF!</definedName>
    <definedName name="SD_1x1_83x1_5_S_0" localSheetId="16" hidden="1">#REF!</definedName>
    <definedName name="SD_1x1_83x1_5_S_0" localSheetId="31" hidden="1">#REF!</definedName>
    <definedName name="SD_1x1_83x1_5_S_0" localSheetId="14" hidden="1">#REF!</definedName>
    <definedName name="SD_1x1_83x1_5_S_0" localSheetId="15" hidden="1">#REF!</definedName>
    <definedName name="SD_1x1_83x1_5_S_0" hidden="1">#REF!</definedName>
    <definedName name="SD_1x1_83x1_6_S_152" localSheetId="5" hidden="1">#REF!</definedName>
    <definedName name="SD_1x1_83x1_6_S_152" localSheetId="17" hidden="1">#REF!</definedName>
    <definedName name="SD_1x1_83x1_6_S_152" localSheetId="9" hidden="1">#REF!</definedName>
    <definedName name="SD_1x1_83x1_6_S_152" localSheetId="8" hidden="1">#REF!</definedName>
    <definedName name="SD_1x1_83x1_6_S_152" localSheetId="16" hidden="1">#REF!</definedName>
    <definedName name="SD_1x1_83x1_6_S_152" localSheetId="31" hidden="1">#REF!</definedName>
    <definedName name="SD_1x1_83x1_6_S_152" localSheetId="14" hidden="1">#REF!</definedName>
    <definedName name="SD_1x1_83x1_6_S_152" localSheetId="15" hidden="1">#REF!</definedName>
    <definedName name="SD_1x1_83x1_6_S_152" hidden="1">#REF!</definedName>
    <definedName name="SD_1x1_83x1_7_S_0" localSheetId="5" hidden="1">#REF!</definedName>
    <definedName name="SD_1x1_83x1_7_S_0" localSheetId="17" hidden="1">#REF!</definedName>
    <definedName name="SD_1x1_83x1_7_S_0" localSheetId="9" hidden="1">#REF!</definedName>
    <definedName name="SD_1x1_83x1_7_S_0" localSheetId="8" hidden="1">#REF!</definedName>
    <definedName name="SD_1x1_83x1_7_S_0" localSheetId="16" hidden="1">#REF!</definedName>
    <definedName name="SD_1x1_83x1_7_S_0" localSheetId="31" hidden="1">#REF!</definedName>
    <definedName name="SD_1x1_83x1_7_S_0" localSheetId="14" hidden="1">#REF!</definedName>
    <definedName name="SD_1x1_83x1_7_S_0" localSheetId="15" hidden="1">#REF!</definedName>
    <definedName name="SD_1x1_83x1_7_S_0" hidden="1">#REF!</definedName>
    <definedName name="SD_1x1_83x1_9_S_0" localSheetId="5" hidden="1">#REF!</definedName>
    <definedName name="SD_1x1_83x1_9_S_0" localSheetId="17" hidden="1">#REF!</definedName>
    <definedName name="SD_1x1_83x1_9_S_0" localSheetId="9" hidden="1">#REF!</definedName>
    <definedName name="SD_1x1_83x1_9_S_0" localSheetId="8" hidden="1">#REF!</definedName>
    <definedName name="SD_1x1_83x1_9_S_0" localSheetId="16" hidden="1">#REF!</definedName>
    <definedName name="SD_1x1_83x1_9_S_0" localSheetId="31" hidden="1">#REF!</definedName>
    <definedName name="SD_1x1_83x1_9_S_0" localSheetId="14" hidden="1">#REF!</definedName>
    <definedName name="SD_1x1_83x1_9_S_0" localSheetId="15" hidden="1">#REF!</definedName>
    <definedName name="SD_1x1_83x1_9_S_0" hidden="1">#REF!</definedName>
    <definedName name="SD_1x1_84x1_1_S_0" localSheetId="5" hidden="1">#REF!</definedName>
    <definedName name="SD_1x1_84x1_1_S_0" localSheetId="17" hidden="1">#REF!</definedName>
    <definedName name="SD_1x1_84x1_1_S_0" localSheetId="9" hidden="1">#REF!</definedName>
    <definedName name="SD_1x1_84x1_1_S_0" localSheetId="8" hidden="1">#REF!</definedName>
    <definedName name="SD_1x1_84x1_1_S_0" localSheetId="16" hidden="1">#REF!</definedName>
    <definedName name="SD_1x1_84x1_1_S_0" localSheetId="31" hidden="1">#REF!</definedName>
    <definedName name="SD_1x1_84x1_1_S_0" localSheetId="14" hidden="1">#REF!</definedName>
    <definedName name="SD_1x1_84x1_1_S_0" localSheetId="15" hidden="1">#REF!</definedName>
    <definedName name="SD_1x1_84x1_1_S_0" hidden="1">#REF!</definedName>
    <definedName name="SD_1x1_84x1_11_S_0" localSheetId="5" hidden="1">#REF!</definedName>
    <definedName name="SD_1x1_84x1_11_S_0" localSheetId="17" hidden="1">#REF!</definedName>
    <definedName name="SD_1x1_84x1_11_S_0" localSheetId="9" hidden="1">#REF!</definedName>
    <definedName name="SD_1x1_84x1_11_S_0" localSheetId="8" hidden="1">#REF!</definedName>
    <definedName name="SD_1x1_84x1_11_S_0" localSheetId="16" hidden="1">#REF!</definedName>
    <definedName name="SD_1x1_84x1_11_S_0" localSheetId="31" hidden="1">#REF!</definedName>
    <definedName name="SD_1x1_84x1_11_S_0" localSheetId="14" hidden="1">#REF!</definedName>
    <definedName name="SD_1x1_84x1_11_S_0" localSheetId="15" hidden="1">#REF!</definedName>
    <definedName name="SD_1x1_84x1_11_S_0" hidden="1">#REF!</definedName>
    <definedName name="SD_1x1_84x1_12_S_0" localSheetId="5" hidden="1">#REF!</definedName>
    <definedName name="SD_1x1_84x1_12_S_0" localSheetId="17" hidden="1">#REF!</definedName>
    <definedName name="SD_1x1_84x1_12_S_0" localSheetId="9" hidden="1">#REF!</definedName>
    <definedName name="SD_1x1_84x1_12_S_0" localSheetId="8" hidden="1">#REF!</definedName>
    <definedName name="SD_1x1_84x1_12_S_0" localSheetId="16" hidden="1">#REF!</definedName>
    <definedName name="SD_1x1_84x1_12_S_0" localSheetId="31" hidden="1">#REF!</definedName>
    <definedName name="SD_1x1_84x1_12_S_0" localSheetId="14" hidden="1">#REF!</definedName>
    <definedName name="SD_1x1_84x1_12_S_0" localSheetId="15" hidden="1">#REF!</definedName>
    <definedName name="SD_1x1_84x1_12_S_0" hidden="1">#REF!</definedName>
    <definedName name="SD_1x1_84x1_3_S_0" localSheetId="5" hidden="1">#REF!</definedName>
    <definedName name="SD_1x1_84x1_3_S_0" localSheetId="17" hidden="1">#REF!</definedName>
    <definedName name="SD_1x1_84x1_3_S_0" localSheetId="9" hidden="1">#REF!</definedName>
    <definedName name="SD_1x1_84x1_3_S_0" localSheetId="8" hidden="1">#REF!</definedName>
    <definedName name="SD_1x1_84x1_3_S_0" localSheetId="16" hidden="1">#REF!</definedName>
    <definedName name="SD_1x1_84x1_3_S_0" localSheetId="31" hidden="1">#REF!</definedName>
    <definedName name="SD_1x1_84x1_3_S_0" localSheetId="14" hidden="1">#REF!</definedName>
    <definedName name="SD_1x1_84x1_3_S_0" localSheetId="15" hidden="1">#REF!</definedName>
    <definedName name="SD_1x1_84x1_3_S_0" hidden="1">#REF!</definedName>
    <definedName name="SD_1x1_84x1_5_S_0" localSheetId="5" hidden="1">#REF!</definedName>
    <definedName name="SD_1x1_84x1_5_S_0" localSheetId="17" hidden="1">#REF!</definedName>
    <definedName name="SD_1x1_84x1_5_S_0" localSheetId="9" hidden="1">#REF!</definedName>
    <definedName name="SD_1x1_84x1_5_S_0" localSheetId="8" hidden="1">#REF!</definedName>
    <definedName name="SD_1x1_84x1_5_S_0" localSheetId="16" hidden="1">#REF!</definedName>
    <definedName name="SD_1x1_84x1_5_S_0" localSheetId="31" hidden="1">#REF!</definedName>
    <definedName name="SD_1x1_84x1_5_S_0" localSheetId="14" hidden="1">#REF!</definedName>
    <definedName name="SD_1x1_84x1_5_S_0" localSheetId="15" hidden="1">#REF!</definedName>
    <definedName name="SD_1x1_84x1_5_S_0" hidden="1">#REF!</definedName>
    <definedName name="SD_1x1_84x1_6_S_152" localSheetId="5" hidden="1">#REF!</definedName>
    <definedName name="SD_1x1_84x1_6_S_152" localSheetId="17" hidden="1">#REF!</definedName>
    <definedName name="SD_1x1_84x1_6_S_152" localSheetId="9" hidden="1">#REF!</definedName>
    <definedName name="SD_1x1_84x1_6_S_152" localSheetId="8" hidden="1">#REF!</definedName>
    <definedName name="SD_1x1_84x1_6_S_152" localSheetId="16" hidden="1">#REF!</definedName>
    <definedName name="SD_1x1_84x1_6_S_152" localSheetId="31" hidden="1">#REF!</definedName>
    <definedName name="SD_1x1_84x1_6_S_152" localSheetId="14" hidden="1">#REF!</definedName>
    <definedName name="SD_1x1_84x1_6_S_152" localSheetId="15" hidden="1">#REF!</definedName>
    <definedName name="SD_1x1_84x1_6_S_152" hidden="1">#REF!</definedName>
    <definedName name="SD_1x1_84x1_7_S_0" localSheetId="5" hidden="1">#REF!</definedName>
    <definedName name="SD_1x1_84x1_7_S_0" localSheetId="17" hidden="1">#REF!</definedName>
    <definedName name="SD_1x1_84x1_7_S_0" localSheetId="9" hidden="1">#REF!</definedName>
    <definedName name="SD_1x1_84x1_7_S_0" localSheetId="8" hidden="1">#REF!</definedName>
    <definedName name="SD_1x1_84x1_7_S_0" localSheetId="16" hidden="1">#REF!</definedName>
    <definedName name="SD_1x1_84x1_7_S_0" localSheetId="31" hidden="1">#REF!</definedName>
    <definedName name="SD_1x1_84x1_7_S_0" localSheetId="14" hidden="1">#REF!</definedName>
    <definedName name="SD_1x1_84x1_7_S_0" localSheetId="15" hidden="1">#REF!</definedName>
    <definedName name="SD_1x1_84x1_7_S_0" hidden="1">#REF!</definedName>
    <definedName name="SD_1x1_84x1_9_S_0" localSheetId="5" hidden="1">#REF!</definedName>
    <definedName name="SD_1x1_84x1_9_S_0" localSheetId="17" hidden="1">#REF!</definedName>
    <definedName name="SD_1x1_84x1_9_S_0" localSheetId="9" hidden="1">#REF!</definedName>
    <definedName name="SD_1x1_84x1_9_S_0" localSheetId="8" hidden="1">#REF!</definedName>
    <definedName name="SD_1x1_84x1_9_S_0" localSheetId="16" hidden="1">#REF!</definedName>
    <definedName name="SD_1x1_84x1_9_S_0" localSheetId="31" hidden="1">#REF!</definedName>
    <definedName name="SD_1x1_84x1_9_S_0" localSheetId="14" hidden="1">#REF!</definedName>
    <definedName name="SD_1x1_84x1_9_S_0" localSheetId="15" hidden="1">#REF!</definedName>
    <definedName name="SD_1x1_84x1_9_S_0" hidden="1">#REF!</definedName>
    <definedName name="SD_1x1_84x2_1_S_0" localSheetId="5" hidden="1">#REF!</definedName>
    <definedName name="SD_1x1_84x2_1_S_0" localSheetId="17" hidden="1">#REF!</definedName>
    <definedName name="SD_1x1_84x2_1_S_0" localSheetId="9" hidden="1">#REF!</definedName>
    <definedName name="SD_1x1_84x2_1_S_0" localSheetId="8" hidden="1">#REF!</definedName>
    <definedName name="SD_1x1_84x2_1_S_0" localSheetId="16" hidden="1">#REF!</definedName>
    <definedName name="SD_1x1_84x2_1_S_0" localSheetId="31" hidden="1">#REF!</definedName>
    <definedName name="SD_1x1_84x2_1_S_0" localSheetId="14" hidden="1">#REF!</definedName>
    <definedName name="SD_1x1_84x2_1_S_0" localSheetId="15" hidden="1">#REF!</definedName>
    <definedName name="SD_1x1_84x2_1_S_0" hidden="1">#REF!</definedName>
    <definedName name="SD_1x1_84x2_11_S_0" localSheetId="5" hidden="1">#REF!</definedName>
    <definedName name="SD_1x1_84x2_11_S_0" localSheetId="17" hidden="1">#REF!</definedName>
    <definedName name="SD_1x1_84x2_11_S_0" localSheetId="9" hidden="1">#REF!</definedName>
    <definedName name="SD_1x1_84x2_11_S_0" localSheetId="8" hidden="1">#REF!</definedName>
    <definedName name="SD_1x1_84x2_11_S_0" localSheetId="16" hidden="1">#REF!</definedName>
    <definedName name="SD_1x1_84x2_11_S_0" localSheetId="31" hidden="1">#REF!</definedName>
    <definedName name="SD_1x1_84x2_11_S_0" localSheetId="14" hidden="1">#REF!</definedName>
    <definedName name="SD_1x1_84x2_11_S_0" localSheetId="15" hidden="1">#REF!</definedName>
    <definedName name="SD_1x1_84x2_11_S_0" hidden="1">#REF!</definedName>
    <definedName name="SD_1x1_84x2_12_S_0" localSheetId="5" hidden="1">#REF!</definedName>
    <definedName name="SD_1x1_84x2_12_S_0" localSheetId="17" hidden="1">#REF!</definedName>
    <definedName name="SD_1x1_84x2_12_S_0" localSheetId="9" hidden="1">#REF!</definedName>
    <definedName name="SD_1x1_84x2_12_S_0" localSheetId="8" hidden="1">#REF!</definedName>
    <definedName name="SD_1x1_84x2_12_S_0" localSheetId="16" hidden="1">#REF!</definedName>
    <definedName name="SD_1x1_84x2_12_S_0" localSheetId="31" hidden="1">#REF!</definedName>
    <definedName name="SD_1x1_84x2_12_S_0" localSheetId="14" hidden="1">#REF!</definedName>
    <definedName name="SD_1x1_84x2_12_S_0" localSheetId="15" hidden="1">#REF!</definedName>
    <definedName name="SD_1x1_84x2_12_S_0" hidden="1">#REF!</definedName>
    <definedName name="SD_1x1_84x2_3_S_0" localSheetId="5" hidden="1">#REF!</definedName>
    <definedName name="SD_1x1_84x2_3_S_0" localSheetId="17" hidden="1">#REF!</definedName>
    <definedName name="SD_1x1_84x2_3_S_0" localSheetId="9" hidden="1">#REF!</definedName>
    <definedName name="SD_1x1_84x2_3_S_0" localSheetId="8" hidden="1">#REF!</definedName>
    <definedName name="SD_1x1_84x2_3_S_0" localSheetId="16" hidden="1">#REF!</definedName>
    <definedName name="SD_1x1_84x2_3_S_0" localSheetId="31" hidden="1">#REF!</definedName>
    <definedName name="SD_1x1_84x2_3_S_0" localSheetId="14" hidden="1">#REF!</definedName>
    <definedName name="SD_1x1_84x2_3_S_0" localSheetId="15" hidden="1">#REF!</definedName>
    <definedName name="SD_1x1_84x2_3_S_0" hidden="1">#REF!</definedName>
    <definedName name="SD_1x1_84x2_5_S_0" localSheetId="5" hidden="1">#REF!</definedName>
    <definedName name="SD_1x1_84x2_5_S_0" localSheetId="17" hidden="1">#REF!</definedName>
    <definedName name="SD_1x1_84x2_5_S_0" localSheetId="9" hidden="1">#REF!</definedName>
    <definedName name="SD_1x1_84x2_5_S_0" localSheetId="8" hidden="1">#REF!</definedName>
    <definedName name="SD_1x1_84x2_5_S_0" localSheetId="16" hidden="1">#REF!</definedName>
    <definedName name="SD_1x1_84x2_5_S_0" localSheetId="31" hidden="1">#REF!</definedName>
    <definedName name="SD_1x1_84x2_5_S_0" localSheetId="14" hidden="1">#REF!</definedName>
    <definedName name="SD_1x1_84x2_5_S_0" localSheetId="15" hidden="1">#REF!</definedName>
    <definedName name="SD_1x1_84x2_5_S_0" hidden="1">#REF!</definedName>
    <definedName name="SD_1x1_84x2_6_S_152" localSheetId="5" hidden="1">#REF!</definedName>
    <definedName name="SD_1x1_84x2_6_S_152" localSheetId="17" hidden="1">#REF!</definedName>
    <definedName name="SD_1x1_84x2_6_S_152" localSheetId="9" hidden="1">#REF!</definedName>
    <definedName name="SD_1x1_84x2_6_S_152" localSheetId="8" hidden="1">#REF!</definedName>
    <definedName name="SD_1x1_84x2_6_S_152" localSheetId="16" hidden="1">#REF!</definedName>
    <definedName name="SD_1x1_84x2_6_S_152" localSheetId="31" hidden="1">#REF!</definedName>
    <definedName name="SD_1x1_84x2_6_S_152" localSheetId="14" hidden="1">#REF!</definedName>
    <definedName name="SD_1x1_84x2_6_S_152" localSheetId="15" hidden="1">#REF!</definedName>
    <definedName name="SD_1x1_84x2_6_S_152" hidden="1">#REF!</definedName>
    <definedName name="SD_1x1_84x2_7_S_0" localSheetId="5" hidden="1">#REF!</definedName>
    <definedName name="SD_1x1_84x2_7_S_0" localSheetId="17" hidden="1">#REF!</definedName>
    <definedName name="SD_1x1_84x2_7_S_0" localSheetId="9" hidden="1">#REF!</definedName>
    <definedName name="SD_1x1_84x2_7_S_0" localSheetId="8" hidden="1">#REF!</definedName>
    <definedName name="SD_1x1_84x2_7_S_0" localSheetId="16" hidden="1">#REF!</definedName>
    <definedName name="SD_1x1_84x2_7_S_0" localSheetId="31" hidden="1">#REF!</definedName>
    <definedName name="SD_1x1_84x2_7_S_0" localSheetId="14" hidden="1">#REF!</definedName>
    <definedName name="SD_1x1_84x2_7_S_0" localSheetId="15" hidden="1">#REF!</definedName>
    <definedName name="SD_1x1_84x2_7_S_0" hidden="1">#REF!</definedName>
    <definedName name="SD_1x1_84x2_9_S_0" localSheetId="5" hidden="1">#REF!</definedName>
    <definedName name="SD_1x1_84x2_9_S_0" localSheetId="17" hidden="1">#REF!</definedName>
    <definedName name="SD_1x1_84x2_9_S_0" localSheetId="9" hidden="1">#REF!</definedName>
    <definedName name="SD_1x1_84x2_9_S_0" localSheetId="8" hidden="1">#REF!</definedName>
    <definedName name="SD_1x1_84x2_9_S_0" localSheetId="16" hidden="1">#REF!</definedName>
    <definedName name="SD_1x1_84x2_9_S_0" localSheetId="31" hidden="1">#REF!</definedName>
    <definedName name="SD_1x1_84x2_9_S_0" localSheetId="14" hidden="1">#REF!</definedName>
    <definedName name="SD_1x1_84x2_9_S_0" localSheetId="15" hidden="1">#REF!</definedName>
    <definedName name="SD_1x1_84x2_9_S_0" hidden="1">#REF!</definedName>
    <definedName name="SD_1x1_89x1_1_S_0" localSheetId="5" hidden="1">#REF!</definedName>
    <definedName name="SD_1x1_89x1_1_S_0" localSheetId="17" hidden="1">#REF!</definedName>
    <definedName name="SD_1x1_89x1_1_S_0" localSheetId="9" hidden="1">#REF!</definedName>
    <definedName name="SD_1x1_89x1_1_S_0" localSheetId="8" hidden="1">#REF!</definedName>
    <definedName name="SD_1x1_89x1_1_S_0" localSheetId="16" hidden="1">#REF!</definedName>
    <definedName name="SD_1x1_89x1_1_S_0" localSheetId="31" hidden="1">#REF!</definedName>
    <definedName name="SD_1x1_89x1_1_S_0" localSheetId="14" hidden="1">#REF!</definedName>
    <definedName name="SD_1x1_89x1_1_S_0" localSheetId="15" hidden="1">#REF!</definedName>
    <definedName name="SD_1x1_89x1_1_S_0" hidden="1">#REF!</definedName>
    <definedName name="SD_1x1_89x1_11_S_0" localSheetId="5" hidden="1">#REF!</definedName>
    <definedName name="SD_1x1_89x1_11_S_0" localSheetId="17" hidden="1">#REF!</definedName>
    <definedName name="SD_1x1_89x1_11_S_0" localSheetId="9" hidden="1">#REF!</definedName>
    <definedName name="SD_1x1_89x1_11_S_0" localSheetId="8" hidden="1">#REF!</definedName>
    <definedName name="SD_1x1_89x1_11_S_0" localSheetId="16" hidden="1">#REF!</definedName>
    <definedName name="SD_1x1_89x1_11_S_0" localSheetId="31" hidden="1">#REF!</definedName>
    <definedName name="SD_1x1_89x1_11_S_0" localSheetId="14" hidden="1">#REF!</definedName>
    <definedName name="SD_1x1_89x1_11_S_0" localSheetId="15" hidden="1">#REF!</definedName>
    <definedName name="SD_1x1_89x1_11_S_0" hidden="1">#REF!</definedName>
    <definedName name="SD_1x1_89x1_12_S_0" localSheetId="5" hidden="1">#REF!</definedName>
    <definedName name="SD_1x1_89x1_12_S_0" localSheetId="17" hidden="1">#REF!</definedName>
    <definedName name="SD_1x1_89x1_12_S_0" localSheetId="9" hidden="1">#REF!</definedName>
    <definedName name="SD_1x1_89x1_12_S_0" localSheetId="8" hidden="1">#REF!</definedName>
    <definedName name="SD_1x1_89x1_12_S_0" localSheetId="16" hidden="1">#REF!</definedName>
    <definedName name="SD_1x1_89x1_12_S_0" localSheetId="31" hidden="1">#REF!</definedName>
    <definedName name="SD_1x1_89x1_12_S_0" localSheetId="14" hidden="1">#REF!</definedName>
    <definedName name="SD_1x1_89x1_12_S_0" localSheetId="15" hidden="1">#REF!</definedName>
    <definedName name="SD_1x1_89x1_12_S_0" hidden="1">#REF!</definedName>
    <definedName name="SD_1x1_89x1_3_S_0" localSheetId="5" hidden="1">#REF!</definedName>
    <definedName name="SD_1x1_89x1_3_S_0" localSheetId="17" hidden="1">#REF!</definedName>
    <definedName name="SD_1x1_89x1_3_S_0" localSheetId="9" hidden="1">#REF!</definedName>
    <definedName name="SD_1x1_89x1_3_S_0" localSheetId="8" hidden="1">#REF!</definedName>
    <definedName name="SD_1x1_89x1_3_S_0" localSheetId="16" hidden="1">#REF!</definedName>
    <definedName name="SD_1x1_89x1_3_S_0" localSheetId="31" hidden="1">#REF!</definedName>
    <definedName name="SD_1x1_89x1_3_S_0" localSheetId="14" hidden="1">#REF!</definedName>
    <definedName name="SD_1x1_89x1_3_S_0" localSheetId="15" hidden="1">#REF!</definedName>
    <definedName name="SD_1x1_89x1_3_S_0" hidden="1">#REF!</definedName>
    <definedName name="SD_1x1_89x1_5_S_0" localSheetId="5" hidden="1">#REF!</definedName>
    <definedName name="SD_1x1_89x1_5_S_0" localSheetId="17" hidden="1">#REF!</definedName>
    <definedName name="SD_1x1_89x1_5_S_0" localSheetId="9" hidden="1">#REF!</definedName>
    <definedName name="SD_1x1_89x1_5_S_0" localSheetId="8" hidden="1">#REF!</definedName>
    <definedName name="SD_1x1_89x1_5_S_0" localSheetId="16" hidden="1">#REF!</definedName>
    <definedName name="SD_1x1_89x1_5_S_0" localSheetId="31" hidden="1">#REF!</definedName>
    <definedName name="SD_1x1_89x1_5_S_0" localSheetId="14" hidden="1">#REF!</definedName>
    <definedName name="SD_1x1_89x1_5_S_0" localSheetId="15" hidden="1">#REF!</definedName>
    <definedName name="SD_1x1_89x1_5_S_0" hidden="1">#REF!</definedName>
    <definedName name="SD_1x1_89x1_6_S_152" localSheetId="5" hidden="1">#REF!</definedName>
    <definedName name="SD_1x1_89x1_6_S_152" localSheetId="17" hidden="1">#REF!</definedName>
    <definedName name="SD_1x1_89x1_6_S_152" localSheetId="9" hidden="1">#REF!</definedName>
    <definedName name="SD_1x1_89x1_6_S_152" localSheetId="8" hidden="1">#REF!</definedName>
    <definedName name="SD_1x1_89x1_6_S_152" localSheetId="16" hidden="1">#REF!</definedName>
    <definedName name="SD_1x1_89x1_6_S_152" localSheetId="31" hidden="1">#REF!</definedName>
    <definedName name="SD_1x1_89x1_6_S_152" localSheetId="14" hidden="1">#REF!</definedName>
    <definedName name="SD_1x1_89x1_6_S_152" localSheetId="15" hidden="1">#REF!</definedName>
    <definedName name="SD_1x1_89x1_6_S_152" hidden="1">#REF!</definedName>
    <definedName name="SD_1x1_89x1_7_S_0" localSheetId="5" hidden="1">#REF!</definedName>
    <definedName name="SD_1x1_89x1_7_S_0" localSheetId="17" hidden="1">#REF!</definedName>
    <definedName name="SD_1x1_89x1_7_S_0" localSheetId="9" hidden="1">#REF!</definedName>
    <definedName name="SD_1x1_89x1_7_S_0" localSheetId="8" hidden="1">#REF!</definedName>
    <definedName name="SD_1x1_89x1_7_S_0" localSheetId="16" hidden="1">#REF!</definedName>
    <definedName name="SD_1x1_89x1_7_S_0" localSheetId="31" hidden="1">#REF!</definedName>
    <definedName name="SD_1x1_89x1_7_S_0" localSheetId="14" hidden="1">#REF!</definedName>
    <definedName name="SD_1x1_89x1_7_S_0" localSheetId="15" hidden="1">#REF!</definedName>
    <definedName name="SD_1x1_89x1_7_S_0" hidden="1">#REF!</definedName>
    <definedName name="SD_1x1_89x1_9_S_0" localSheetId="5" hidden="1">#REF!</definedName>
    <definedName name="SD_1x1_89x1_9_S_0" localSheetId="17" hidden="1">#REF!</definedName>
    <definedName name="SD_1x1_89x1_9_S_0" localSheetId="9" hidden="1">#REF!</definedName>
    <definedName name="SD_1x1_89x1_9_S_0" localSheetId="8" hidden="1">#REF!</definedName>
    <definedName name="SD_1x1_89x1_9_S_0" localSheetId="16" hidden="1">#REF!</definedName>
    <definedName name="SD_1x1_89x1_9_S_0" localSheetId="31" hidden="1">#REF!</definedName>
    <definedName name="SD_1x1_89x1_9_S_0" localSheetId="14" hidden="1">#REF!</definedName>
    <definedName name="SD_1x1_89x1_9_S_0" localSheetId="15" hidden="1">#REF!</definedName>
    <definedName name="SD_1x1_89x1_9_S_0" hidden="1">#REF!</definedName>
    <definedName name="SD_1x1_93x1_10_S_0" localSheetId="5" hidden="1">#REF!</definedName>
    <definedName name="SD_1x1_93x1_10_S_0" hidden="1">#REF!</definedName>
    <definedName name="SD_1x1_93x1_12_S_0" localSheetId="5" hidden="1">#REF!</definedName>
    <definedName name="SD_1x1_93x1_12_S_0" hidden="1">#REF!</definedName>
    <definedName name="SD_1x1_93x1_25_S_7" localSheetId="5" hidden="1">#REF!</definedName>
    <definedName name="SD_1x1_93x1_25_S_7" hidden="1">#REF!</definedName>
    <definedName name="SD_1x1_93x1_26_S_86" localSheetId="5" hidden="1">#REF!</definedName>
    <definedName name="SD_1x1_93x1_26_S_86" hidden="1">#REF!</definedName>
    <definedName name="SD_1x1_93x1_27_S_148" localSheetId="5" hidden="1">#REF!</definedName>
    <definedName name="SD_1x1_93x1_27_S_148" hidden="1">#REF!</definedName>
    <definedName name="SD_1x1_93x1_30_S_0" localSheetId="5" hidden="1">#REF!</definedName>
    <definedName name="SD_1x1_93x1_30_S_0" hidden="1">#REF!</definedName>
    <definedName name="SD_1x1_93x1_42_S_0" localSheetId="5" hidden="1">#REF!</definedName>
    <definedName name="SD_1x1_93x1_42_S_0" hidden="1">#REF!</definedName>
    <definedName name="SD_1x1_93x1_8_S_0" localSheetId="5" hidden="1">#REF!</definedName>
    <definedName name="SD_1x1_93x1_8_S_0" hidden="1">#REF!</definedName>
    <definedName name="SD_Dropdown_148_Name" localSheetId="5" hidden="1">[5]SD_Dropdowns!$C$2:$C$41</definedName>
    <definedName name="SD_Dropdown_148_Name" localSheetId="16" hidden="1">[6]SD_Dropdowns!$C$2:$C$41</definedName>
    <definedName name="SD_Dropdown_148_Name" localSheetId="31" hidden="1">[7]SD_Dropdowns!$C$2:$C$41</definedName>
    <definedName name="SD_Dropdown_148_Name" hidden="1">[5]SD_Dropdowns!$C$2:$C$41</definedName>
    <definedName name="SD_Dropdown_152_Name" localSheetId="5" hidden="1">[5]SD_Dropdowns!$G$2:$G$53</definedName>
    <definedName name="SD_Dropdown_152_Name" localSheetId="16" hidden="1">[6]SD_Dropdowns!$G$2:$G$53</definedName>
    <definedName name="SD_Dropdown_152_Name" localSheetId="31" hidden="1">[7]SD_Dropdowns!$G$2:$G$53</definedName>
    <definedName name="SD_Dropdown_152_Name" hidden="1">[5]SD_Dropdowns!$G$2:$G$53</definedName>
    <definedName name="SD_Dropdown_7_Name" localSheetId="5" hidden="1">[5]SD_Dropdowns!$E$2:$E$82</definedName>
    <definedName name="SD_Dropdown_7_Name" localSheetId="16" hidden="1">[6]SD_Dropdowns!$E$2:$E$82</definedName>
    <definedName name="SD_Dropdown_7_Name" localSheetId="31" hidden="1">[7]SD_Dropdowns!$E$2:$E$82</definedName>
    <definedName name="SD_Dropdown_7_Name" hidden="1">[5]SD_Dropdowns!$E$2:$E$82</definedName>
    <definedName name="SD_Dropdown_86_Name" localSheetId="5" hidden="1">[5]SD_Dropdowns!$A$2:$A$53</definedName>
    <definedName name="SD_Dropdown_86_Name" localSheetId="16" hidden="1">[6]SD_Dropdowns!$A$2:$A$53</definedName>
    <definedName name="SD_Dropdown_86_Name" localSheetId="31" hidden="1">[7]SD_Dropdowns!$A$2:$A$53</definedName>
    <definedName name="SD_Dropdown_86_Name" hidden="1">[5]SD_Dropdowns!$A$2:$A$53</definedName>
    <definedName name="SiteControl">#REF!</definedName>
    <definedName name="SizeFactors" localSheetId="5">'[1]Updated Unit Mix'!$CS$2:$CS$6</definedName>
    <definedName name="SizeFactors" localSheetId="12">'[2]Unit Mix'!$CS$2:$CS$6</definedName>
    <definedName name="SizeFactors">'Unit Mix'!$CS$2:$CS$6</definedName>
    <definedName name="Sizes" localSheetId="5">'[1]Updated Unit Mix'!$CR$2:$CR$6</definedName>
    <definedName name="Sizes" localSheetId="12">'[2]Unit Mix'!$CR$2:$CR$6</definedName>
    <definedName name="Sizes">'Unit Mix'!$CR$2:$CR$6</definedName>
    <definedName name="Taxcredit" localSheetId="5">'[1]Project Overview'!$H$207</definedName>
    <definedName name="Taxcredit" localSheetId="12">'[2]Project Overview'!$H$207</definedName>
    <definedName name="Taxcredit">'Project Overview'!$H$207</definedName>
    <definedName name="TC_Rent">[3]Application!$BP$696:$BV$753</definedName>
    <definedName name="TcacRents" localSheetId="12">[3]Application!$CC$160:$CH$217</definedName>
    <definedName name="TcacRents">[4]Application!$CC$160:$CH$217</definedName>
    <definedName name="TieBreakerWeights">Dropdowns!$R$7:$R$25</definedName>
    <definedName name="TotalRestrictedUnits" localSheetId="5">'[1]Updated Unit Mix'!$AD$8</definedName>
    <definedName name="TotalRestrictedUnits" localSheetId="12">'[2]Unit Mix'!$AD$8</definedName>
    <definedName name="TotalRestrictedUnits">'Unit Mix'!$AD$8</definedName>
    <definedName name="TotalUnits" localSheetId="5">#REF!</definedName>
    <definedName name="TotalUnits" localSheetId="12">'[2]High-Cost Verification'!$O$14</definedName>
    <definedName name="TotalUnits">'High-Cost Verification'!$O$14</definedName>
    <definedName name="UnitSizes" localSheetId="12">[3]Application!$AZ$717:$AZ$722</definedName>
    <definedName name="UnitSizes">[4]Application!$AZ$717:$AZ$722</definedName>
    <definedName name="vm180days1" localSheetId="12">[2]Scoring!$AL$168</definedName>
    <definedName name="vm180days2" localSheetId="12">[2]Scoring!$AL$169</definedName>
    <definedName name="vm180days2">Scoring!$AM$337</definedName>
    <definedName name="vmADM2403" localSheetId="5">'[1]Developer Fee'!$AL$8</definedName>
    <definedName name="vmADM2403" localSheetId="12">'[2]Developer Fee'!$AL$8</definedName>
    <definedName name="vmADM2403">'Developer Fee'!$AL$8</definedName>
    <definedName name="vmAGP1" localSheetId="5">#REF!</definedName>
    <definedName name="vmAGP1" localSheetId="12">'[2]Project Overview'!$P$318</definedName>
    <definedName name="vmAGP1">'Project Overview'!$P$318</definedName>
    <definedName name="vmAGP2" localSheetId="5">#REF!</definedName>
    <definedName name="vmAGP2" localSheetId="12">'[2]Project Overview'!$P$326</definedName>
    <definedName name="vmAGP2">'Project Overview'!$P$326</definedName>
    <definedName name="vmAICP" localSheetId="5">[1]Scoring!$AL$214</definedName>
    <definedName name="vmAICP" localSheetId="12">[2]Scoring!$AL$214</definedName>
    <definedName name="vmAICP">Scoring!$AL$214</definedName>
    <definedName name="vmALW" localSheetId="5">'[1]Project Overview'!$AL$143</definedName>
    <definedName name="vmALW" localSheetId="12">'[2]Project Overview'!$AL$143</definedName>
    <definedName name="vmALW">'Project Overview'!$AL$143</definedName>
    <definedName name="vmAtHighRisk" localSheetId="5">'[1]Project Overview'!$B$43</definedName>
    <definedName name="vmAtHighRisk" localSheetId="12">'[2]Project Overview'!$B$43</definedName>
    <definedName name="vmAtHighRisk">'Project Overview'!$B$43</definedName>
    <definedName name="vmCApplication" localSheetId="5">[1]Scoring!$AL$208</definedName>
    <definedName name="vmCApplication" localSheetId="12">[2]Scoring!$AL$208</definedName>
    <definedName name="vmCApplication">Scoring!$AL$208</definedName>
    <definedName name="vmCBD" localSheetId="5">'[1]Project Overview'!$AL$87</definedName>
    <definedName name="vmCBD" localSheetId="12">'[2]Project Overview'!$AL$87</definedName>
    <definedName name="vmCBD">'Project Overview'!$AL$87</definedName>
    <definedName name="vmCBD2" localSheetId="5">'[1]Project Overview'!$AL$96</definedName>
    <definedName name="vmCBD2" localSheetId="12">'[2]Project Overview'!$AL$96</definedName>
    <definedName name="vmCBD2">'Project Overview'!$AL$96</definedName>
    <definedName name="vmCF" localSheetId="12">[2]Scoring!$AL$175</definedName>
    <definedName name="vmCF">Scoring!$AL$175</definedName>
    <definedName name="vmCIP" localSheetId="5">'[1]Project Overview'!$B$30</definedName>
    <definedName name="vmCIP" localSheetId="12">'[2]Project Overview'!$B$30</definedName>
    <definedName name="vmCIP">'Project Overview'!$B$30</definedName>
    <definedName name="vmCommercialSpace">'Project Overview'!$AG$221</definedName>
    <definedName name="vmConditionApproval" localSheetId="5">'[1]Project Overview'!$AL$161</definedName>
    <definedName name="vmConditionApproval" localSheetId="12">'[2]Project Overview'!$AL$159</definedName>
    <definedName name="vmConditionApproval">'Project Overview'!$AL$161</definedName>
    <definedName name="vmDDA" localSheetId="5">'[1]IIG Threshold Requirements'!#REF!</definedName>
    <definedName name="vmDDA" localSheetId="12">'[2]IIG Threshold Requirements'!#REF!</definedName>
    <definedName name="vmDDA">'IIG Threshold Requirements'!#REF!</definedName>
    <definedName name="vmDesignatedTodArea">'SHMHP or TOD Requirements'!$D$21</definedName>
    <definedName name="vmDF" localSheetId="5">'[1]Developer Fee'!$H$24</definedName>
    <definedName name="vmDF" localSheetId="12">'[2]Developer Fee'!$H$24</definedName>
    <definedName name="vmDF">'Developer Fee'!$H$24</definedName>
    <definedName name="vmDT" localSheetId="5">#REF!</definedName>
    <definedName name="vmDT">#REF!</definedName>
    <definedName name="vmED" localSheetId="5">'[1]Project Overview'!$AL$74</definedName>
    <definedName name="vmED" localSheetId="12">'[2]Project Overview'!$AL$74</definedName>
    <definedName name="vmED">'Project Overview'!$AL$74</definedName>
    <definedName name="vmED2" localSheetId="5">'[1]Project Overview'!$AL$75</definedName>
    <definedName name="vmED2" localSheetId="12">'[2]Project Overview'!$AL$75</definedName>
    <definedName name="vmED2">'Project Overview'!$AL$75</definedName>
    <definedName name="vmEDCBDExp">'MHP Threshold Requirements'!$AL$85</definedName>
    <definedName name="vmExperienceRely" localSheetId="5">'[1]Project Overview'!$AL$259</definedName>
    <definedName name="vmExperienceRely" localSheetId="12">'[2]Project Overview'!$AL$259</definedName>
    <definedName name="vmExperienceRely">'Project Overview'!$AL$259</definedName>
    <definedName name="vmFarmworker" localSheetId="5">'[1]Project Overview'!$B$40</definedName>
    <definedName name="vmFarmworker" localSheetId="12">'[2]Project Overview'!$B$40</definedName>
    <definedName name="vmFarmworker">'Project Overview'!$B$40</definedName>
    <definedName name="vmFWHGHybrid" localSheetId="5">'[1]FWHG Threshold Requirements'!$AL$102</definedName>
    <definedName name="vmFWHGHybrid" localSheetId="12">'[2]FWHG Threshold Requirements'!$AL$102</definedName>
    <definedName name="vmFWHGHybrid">'FWHG Threshold Requirements'!$AL$102</definedName>
    <definedName name="vmFWHGProposedRents" localSheetId="5">'[1]FWHG Threshold Requirements'!$AL$113</definedName>
    <definedName name="vmFWHGProposedRents" localSheetId="12">'[2]FWHG Threshold Requirements'!$AL$113</definedName>
    <definedName name="vmFWHGProposedRents">'FWHG Threshold Requirements'!$AL$113</definedName>
    <definedName name="vmGL" localSheetId="5">#REF!</definedName>
    <definedName name="vmGL">#REF!</definedName>
    <definedName name="vmGroundLease" localSheetId="5">'[1]Project Overview'!$AL$356</definedName>
    <definedName name="vmGroundLease" localSheetId="12">'[2]Project Overview'!$AL$356</definedName>
    <definedName name="vmGroundLease">'Project Overview'!$AL$356</definedName>
    <definedName name="vmHCBA" localSheetId="5">'[1]Project Overview'!$AL$142</definedName>
    <definedName name="vmHCBA" localSheetId="12">'[2]Project Overview'!$AL$142</definedName>
    <definedName name="vmHCBA">'Project Overview'!$AL$142</definedName>
    <definedName name="vmHCD1" localSheetId="5">#REF!</definedName>
    <definedName name="vmHCD1">#REF!</definedName>
    <definedName name="vmHCD2" localSheetId="5">#REF!</definedName>
    <definedName name="vmHCD2">#REF!</definedName>
    <definedName name="vmHCD3" localSheetId="5">#REF!</definedName>
    <definedName name="vmHCD3">#REF!</definedName>
    <definedName name="vmHCD4" localSheetId="5">#REF!</definedName>
    <definedName name="vmHCD4">#REF!</definedName>
    <definedName name="vmHCDAproval" localSheetId="5">#REF!</definedName>
    <definedName name="vmHCDAproval">#REF!</definedName>
    <definedName name="vmHighE" localSheetId="5">'[1]High-Cost Verification'!$AF$22</definedName>
    <definedName name="vmHighE" localSheetId="12">'[2]High-Cost Verification'!$AF$22</definedName>
    <definedName name="vmHighE">'High-Cost Verification'!$AF$22</definedName>
    <definedName name="vmHousingFirst" localSheetId="5">'[1]VHHP Threshold Requirements'!$AL$26</definedName>
    <definedName name="vmHousingFirst" localSheetId="12">'[2]VHHP Threshold Requirements'!$AL$26</definedName>
    <definedName name="vmHousingFirst">'VHHP Threshold Requirements'!$AL$26</definedName>
    <definedName name="vmIIGProposedRents" localSheetId="5">'[1]IIG Threshold Requirements'!$AL$122</definedName>
    <definedName name="vmIIGProposedRents" localSheetId="12">'[2]IIG Threshold Requirements'!$AL$122</definedName>
    <definedName name="vmIIGProposedRents">'IIG Threshold Requirements'!$AL$122</definedName>
    <definedName name="vmIndianCountry" localSheetId="5">'[1]Project Overview'!$X$90</definedName>
    <definedName name="vmIndianCountry" localSheetId="12">'[2]Project Overview'!$X$90</definedName>
    <definedName name="vmIndianCountry">'Project Overview'!$X$90</definedName>
    <definedName name="vmIsHHC">'Project Overview'!$AP$20</definedName>
    <definedName name="vmIsIig" localSheetId="5">'[1]Project Overview'!$AL$18</definedName>
    <definedName name="vmIsIig" localSheetId="12">'[2]Project Overview'!$AL$18</definedName>
    <definedName name="vmIsIig">'Project Overview'!$AL$18</definedName>
    <definedName name="vmIsMhp" localSheetId="5">'[1]Project Overview'!$B$18</definedName>
    <definedName name="vmIsMhp" localSheetId="12">'[2]Project Overview'!$B$18</definedName>
    <definedName name="vmIsMhp">'Project Overview'!$B$18</definedName>
    <definedName name="vmIsSerna" localSheetId="5">'[1]Project Overview'!$B$22</definedName>
    <definedName name="vmIsSerna" localSheetId="12">'[2]Project Overview'!$B$22</definedName>
    <definedName name="vmIsSerna">'Project Overview'!$B$22</definedName>
    <definedName name="vmIsShmhp" localSheetId="5">'[1]Project Overview'!$AL$20</definedName>
    <definedName name="vmIsShmhp" localSheetId="12">'[2]Project Overview'!$AL$20</definedName>
    <definedName name="vmIsShmhp">'Project Overview'!$AL$20</definedName>
    <definedName name="vmIsTod" localSheetId="5">'[1]Project Overview'!$B$20</definedName>
    <definedName name="vmIsTod" localSheetId="12">'[2]Project Overview'!$B$20</definedName>
    <definedName name="vmIsTod">'Project Overview'!$B$20</definedName>
    <definedName name="vmIsVhhp" localSheetId="5">'[1]Project Overview'!$AL$22</definedName>
    <definedName name="vmIsVhhp" localSheetId="12">'[2]Project Overview'!$AL$22</definedName>
    <definedName name="vmIsVhhp">'Project Overview'!$AL$22</definedName>
    <definedName name="vmLargeFamily" localSheetId="5">'[1]Project Overview'!$B$47</definedName>
    <definedName name="vmLargeFamily" localSheetId="12">'[2]Project Overview'!$B$47</definedName>
    <definedName name="vmLargeFamily">'Project Overview'!$B$47</definedName>
    <definedName name="vmLD" localSheetId="5">'[1]Sponsor Certification'!$AL$25:$AM$29,'[1]Sponsor Certification'!$AL$31:$AM$37</definedName>
    <definedName name="vmLD" localSheetId="12">'[2]Sponsor Certification'!$AL$25:$AM$29,'[2]Sponsor Certification'!$AL$31:$AM$37</definedName>
    <definedName name="vmLD">'Sponsor Certification'!$AL$25:$AM$29,'Sponsor Certification'!$AL$31:$AM$37</definedName>
    <definedName name="vmLoanDD" localSheetId="5">'[1]Max Loan and Grant Amounts'!$Y$31</definedName>
    <definedName name="vmLoanDD" localSheetId="12">'[2]Max Loan and Grant Amounts'!$Y$31</definedName>
    <definedName name="vmLoanDD">'Max Loan and Grant Amounts'!$Y$31</definedName>
    <definedName name="vmLSPPAgreement" localSheetId="5">'[1]VHHP Threshold Requirements'!$AL$39</definedName>
    <definedName name="vmLSPPAgreement" localSheetId="12">'[2]VHHP Threshold Requirements'!$AL$39</definedName>
    <definedName name="vmLSPPAgreement">'VHHP Threshold Requirements'!$AL$39</definedName>
    <definedName name="vmLUA" localSheetId="5">[1]Scoring!$AA$188</definedName>
    <definedName name="vmLUA" localSheetId="12">[2]Scoring!$AA$188</definedName>
    <definedName name="vmLUA">Scoring!$AA$188</definedName>
    <definedName name="vmManagerLLC" localSheetId="5">'[1]Project Overview'!$P$334</definedName>
    <definedName name="vmManagerLLC" localSheetId="12">'[2]Project Overview'!$P$334</definedName>
    <definedName name="vmManagerLLC">'Project Overview'!$P$334</definedName>
    <definedName name="vmMApproval" localSheetId="5">[1]Scoring!$AL$188</definedName>
    <definedName name="vmMApproval" localSheetId="12">[2]Scoring!$AL$188</definedName>
    <definedName name="vmMApproval">Scoring!$AL$188</definedName>
    <definedName name="vmMGP" localSheetId="5">'[1]Project Overview'!$P$310</definedName>
    <definedName name="vmMGP" localSheetId="12">'[2]Project Overview'!$P$310</definedName>
    <definedName name="vmMGP">'Project Overview'!$P$310</definedName>
    <definedName name="vmMGP1">#REF!</definedName>
    <definedName name="vmMhpHybrid" localSheetId="5">'[1]MHP Threshold Requirements'!$AL$125</definedName>
    <definedName name="vmMhpHybrid" localSheetId="12">'[2]MHP Threshold Requirements'!$AL$125</definedName>
    <definedName name="vmMhpHybrid">'MHP Threshold Requirements'!$AL$125</definedName>
    <definedName name="vmMHPProposedRents" localSheetId="5">'[1]MHP Threshold Requirements'!$AL$136</definedName>
    <definedName name="vmMHPProposedRents" localSheetId="12">'[2]MHP Threshold Requirements'!$AL$136</definedName>
    <definedName name="vmMHPProposedRents">'MHP Threshold Requirements'!$AL$136</definedName>
    <definedName name="vmMHPSSR" localSheetId="5">'[1]Project Overview'!$AL$122</definedName>
    <definedName name="vmMHPSSR" localSheetId="12">'[2]Project Overview'!$AL$122</definedName>
    <definedName name="vmMHPSSR">'Project Overview'!$AL$122</definedName>
    <definedName name="vmMLLC">#REF!</definedName>
    <definedName name="vmNcNonTargetP">'Project Overview'!$B$58</definedName>
    <definedName name="vmNDE" localSheetId="5">'[1]IIG Threshold Requirements'!$AL$19</definedName>
    <definedName name="vmNDE" localSheetId="12">'[2]IIG Threshold Requirements'!$AL$19</definedName>
    <definedName name="vmNDE">'IIG Threshold Requirements'!$AL$19</definedName>
    <definedName name="vmNER" localSheetId="5">[1]Scoring!$AL$218</definedName>
    <definedName name="vmNER" localSheetId="12">[2]Scoring!$AL$218</definedName>
    <definedName name="vmNER">Scoring!$AL$218</definedName>
    <definedName name="vmNetDensity">'IIG Threshold Requirements'!$E$17</definedName>
    <definedName name="vmNonTargetPopulation" localSheetId="5">'[1]MHP Threshold Requirements'!#REF!</definedName>
    <definedName name="vmNonTargetPopulation" localSheetId="12">'[2]MHP Threshold Requirements'!#REF!</definedName>
    <definedName name="vmNonTargetPopulation">'MHP Threshold Requirements'!#REF!</definedName>
    <definedName name="vmOBE">#REF!</definedName>
    <definedName name="vmOCL" localSheetId="5">[1]Scoring!$AL$228</definedName>
    <definedName name="vmOCL" localSheetId="12">[2]Scoring!$AL$228</definedName>
    <definedName name="vmOCL">Scoring!$AL$228</definedName>
    <definedName name="vmOCL2" localSheetId="5">[1]Scoring!$AL$197</definedName>
    <definedName name="vmOCL2" localSheetId="12">[2]Scoring!$AL$197</definedName>
    <definedName name="vmOCL2">Scoring!$AL$197</definedName>
    <definedName name="vmOOA" localSheetId="5">[1]Scoring!$AL$89</definedName>
    <definedName name="vmOOA" localSheetId="12">[2]Scoring!$AL$88</definedName>
    <definedName name="vmOOA">Scoring!$AL$89</definedName>
    <definedName name="vmOtherProgram" localSheetId="5">#REF!</definedName>
    <definedName name="vmOtherProgram">#REF!</definedName>
    <definedName name="vmOtherThanSHandTC" localSheetId="5">'[1]VHHP Threshold Requirements'!$AL$46</definedName>
    <definedName name="vmOtherThanSHandTC" localSheetId="12">'[2]VHHP Threshold Requirements'!$AL$46</definedName>
    <definedName name="vmOtherThanSHandTC">'VHHP Threshold Requirements'!$AL$46</definedName>
    <definedName name="vmPACE" localSheetId="5">'[1]Project Overview'!$AL$141</definedName>
    <definedName name="vmPACE" localSheetId="12">'[2]Project Overview'!$AL$141</definedName>
    <definedName name="vmPACE">'Project Overview'!$AL$141</definedName>
    <definedName name="vmPExperienceRely" localSheetId="5">'[1]Project Overview'!$AL$261</definedName>
    <definedName name="vmPExperienceRely" localSheetId="12">'[2]Project Overview'!$AL$261</definedName>
    <definedName name="vmPExperienceRely">'Project Overview'!$AL$261</definedName>
    <definedName name="vmProjectDevType" localSheetId="5">'[1]Project Overview'!$I$178</definedName>
    <definedName name="vmProjectDevType" localSheetId="12">'[2]Project Overview'!$I$178</definedName>
    <definedName name="vmProjectDevType">'Project Overview'!$I$178</definedName>
    <definedName name="vmQualifyingExp" localSheetId="5">[1]Scoring!$M$93</definedName>
    <definedName name="vmQualifyingExp" localSheetId="12">[2]Scoring!$M$93</definedName>
    <definedName name="vmQualifyingExp">Scoring!$M$93</definedName>
    <definedName name="vmRelocation" localSheetId="5">#REF!</definedName>
    <definedName name="vmRelocation" localSheetId="12">'[2]Project Overview'!$AL$542</definedName>
    <definedName name="vmRelocation">'Project Overview'!$AL$542</definedName>
    <definedName name="vmReplaceMHPfunds" localSheetId="5">'[1]Project Overview'!$X$71</definedName>
    <definedName name="vmReplaceMHPfunds" localSheetId="12">'[2]Project Overview'!$X$71</definedName>
    <definedName name="vmReplaceMHPfunds">'Project Overview'!$X$71</definedName>
    <definedName name="vmRural" localSheetId="5">'[1]Project Overview'!$AL$225</definedName>
    <definedName name="vmRural" localSheetId="12">'[2]Project Overview'!$AL$225</definedName>
    <definedName name="vmRural">'Project Overview'!$AL$225</definedName>
    <definedName name="vmSA" localSheetId="5">'Application Certifications'!#REF!</definedName>
    <definedName name="vmSA" localSheetId="12">'[2]Application Self-Certification'!#REF!</definedName>
    <definedName name="vmSA">#REF!</definedName>
    <definedName name="vmScatteredSite" localSheetId="5">'[1]Project Overview'!$AL$214</definedName>
    <definedName name="vmScatteredSite" localSheetId="12">'[2]Project Overview'!$AL$214</definedName>
    <definedName name="vmScatteredSite">'Project Overview'!$AL$214</definedName>
    <definedName name="vmScoringPrincipal" localSheetId="5">[1]Scoring!$AA$131</definedName>
    <definedName name="vmScoringPrincipal" localSheetId="12">[2]Scoring!$AA$131</definedName>
    <definedName name="vmScoringPrincipal">Scoring!$AA$131</definedName>
    <definedName name="vmSenior" localSheetId="5">'[1]Project Overview'!$B$50</definedName>
    <definedName name="vmSenior" localSheetId="12">'[2]Project Overview'!$B$50</definedName>
    <definedName name="vmSenior">'Project Overview'!$B$50</definedName>
    <definedName name="vmSH" localSheetId="5">'[1]Project Overview'!$B$60</definedName>
    <definedName name="vmSH" localSheetId="12">'[2]Project Overview'!$B$60</definedName>
    <definedName name="vmSH">'Project Overview'!$B$60</definedName>
    <definedName name="vmSharedParking" localSheetId="5">'[1]Project Overview'!$AL$535</definedName>
    <definedName name="vmSharedParking" localSheetId="12">'[2]Project Overview'!$AL$535</definedName>
    <definedName name="vmSharedParking">'Project Overview'!$AL$535</definedName>
    <definedName name="vmSHMHP.TOD" localSheetId="5">'[1]Project Overview'!$AL$70</definedName>
    <definedName name="vmSHMHP.TOD" localSheetId="12">'[2]Project Overview'!$AL$70</definedName>
    <definedName name="vmSHMHP.TOD">'Project Overview'!$AL$70</definedName>
    <definedName name="vmShovelReady" localSheetId="5">#REF!</definedName>
    <definedName name="vmShovelReady">#REF!</definedName>
    <definedName name="vmSN" localSheetId="5">'Application Certifications'!#REF!</definedName>
    <definedName name="vmSN" localSheetId="12">UnitsTbl[Special Needs?]</definedName>
    <definedName name="vmSN">UnitsTbl[Special Needs?]</definedName>
    <definedName name="vmSpecialNeeds" localSheetId="5">'[1]Project Overview'!$B$53</definedName>
    <definedName name="vmSpecialNeeds" localSheetId="12">'[2]Project Overview'!$B$53</definedName>
    <definedName name="vmSpecialNeeds">'Project Overview'!$B$53</definedName>
    <definedName name="vmSponsor1" localSheetId="5">#REF!</definedName>
    <definedName name="vmSponsor1" localSheetId="12">'[2]Project Overview'!$P$256</definedName>
    <definedName name="vmSponsor1">'Project Overview'!$P$256</definedName>
    <definedName name="vmSponsor2" localSheetId="5">#REF!</definedName>
    <definedName name="vmSponsor2" localSheetId="12">'[2]Project Overview'!$P$280</definedName>
    <definedName name="vmSponsor2">'Project Overview'!$P$280</definedName>
    <definedName name="vmSponsor3" localSheetId="5">#REF!</definedName>
    <definedName name="vmSponsor3" localSheetId="12">'[2]Project Overview'!$P$289</definedName>
    <definedName name="vmSponsor3">'Project Overview'!$P$289</definedName>
    <definedName name="vmSponsorType" localSheetId="5">#REF!</definedName>
    <definedName name="vmSponsorType" localSheetId="12">'[2]Project Overview'!$J$257</definedName>
    <definedName name="vmSponsorType">'Project Overview'!$J$257</definedName>
    <definedName name="vmSPrincipal" localSheetId="12">'[2]Project Overview'!$AI$79</definedName>
    <definedName name="vmSPrincipal">'Project Overview'!$AI$79</definedName>
    <definedName name="vmSRP" localSheetId="5">'[1]Project Overview'!$AL$205</definedName>
    <definedName name="vmSRP" localSheetId="12">'[2]Project Overview'!$AL$205</definedName>
    <definedName name="vmSRP">'Project Overview'!$AL$205</definedName>
    <definedName name="vmSSC">'Project Overview'!$AS$3</definedName>
    <definedName name="vmSSCLNotice2405" localSheetId="5">'[1]Supportive Services Costs'!$AC$4</definedName>
    <definedName name="vmSSCLNotice2405" localSheetId="12">'[2]Supportive Services Costs'!$AC$4</definedName>
    <definedName name="vmSSCLNotice2405">'Supportive Services Costs'!$AC$4</definedName>
    <definedName name="vmSSPAgreement" localSheetId="5">'[1]VHHP Threshold Requirements'!$AL$42</definedName>
    <definedName name="vmSSPAgreement" localSheetId="12">'[2]VHHP Threshold Requirements'!$AL$42</definedName>
    <definedName name="vmSSPAgreement">'VHHP Threshold Requirements'!$AL$42</definedName>
    <definedName name="vmTAL" localSheetId="5">[1]Scoring!$AL$259</definedName>
    <definedName name="vmTAL" localSheetId="12">[2]Scoring!$AL$259</definedName>
    <definedName name="vmTAL">Scoring!$AL$259</definedName>
    <definedName name="vmTaxResev" localSheetId="12">'[2]Project Overview'!$AK$210</definedName>
    <definedName name="vmTaxResev">'Project Overview'!$AK$210</definedName>
    <definedName name="vmTcacApp" localSheetId="5">#REF!</definedName>
    <definedName name="vmTcacApp">#REF!</definedName>
    <definedName name="vmTH" localSheetId="5">'[1]Project Overview'!$B$63</definedName>
    <definedName name="vmTH" localSheetId="12">'[2]Project Overview'!$B$63</definedName>
    <definedName name="vmTH">'Project Overview'!$B$63</definedName>
    <definedName name="vmTodTransit" localSheetId="5">'[1]SHMHP or TOD Requirements'!$AL$16</definedName>
    <definedName name="vmTodTransit" localSheetId="12">'[2]SHMHP or TOD Requirements'!$AL$16</definedName>
    <definedName name="vmTodTransit">'SHMHP or TOD Requirements'!$AL$16</definedName>
    <definedName name="vmTribalEntity" localSheetId="5">'[1]Project Overview'!$AL$89</definedName>
    <definedName name="vmTribalEntity" localSheetId="12">'[2]Project Overview'!$AL$89</definedName>
    <definedName name="vmTribalEntity">'Project Overview'!$AL$89</definedName>
    <definedName name="vmTRPF" localSheetId="5">'[1]HCD Reserves Calculator'!$AJ$38</definedName>
    <definedName name="vmTRPF" localSheetId="12">'[2]HCD Reserves Calculator'!$AJ$38</definedName>
    <definedName name="vmTRPF">'HCD Reserves Calculator'!$AJ$38</definedName>
    <definedName name="vmUMR8302Demolition" localSheetId="5">'[1]Project Overview'!$AL$221</definedName>
    <definedName name="vmUMR8302Demolition" localSheetId="12">'[2]Project Overview'!$AL$212</definedName>
    <definedName name="vmUMR8302Demolition">'Project Overview'!$AL$221</definedName>
    <definedName name="vmUrban" localSheetId="5">'[1]Project Overview'!$AL$34</definedName>
    <definedName name="vmUrban" localSheetId="12">'[2]Project Overview'!$AL$34</definedName>
    <definedName name="vmUrban">'Project Overview'!$AL$34</definedName>
    <definedName name="vmWCL" localSheetId="5">[1]Scoring!$AL$227</definedName>
    <definedName name="vmWCL" localSheetId="12">[2]Scoring!$AL$227</definedName>
    <definedName name="vmWCL">Scoring!$AL$227</definedName>
    <definedName name="vmWCL2" localSheetId="5">[1]Scoring!$AL$194</definedName>
    <definedName name="vmWCL2" localSheetId="12">[2]Scoring!$AL$194</definedName>
    <definedName name="vmWCL2">Scoring!$AL$194</definedName>
    <definedName name="wrn.Board._.Commitment._.Package." localSheetId="5"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17"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9"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8"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34"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12"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16"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31"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33"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14"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6"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32"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15"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27" hidden="1">{"Project Summary",#N/A,FALSE,"Project Summary";"Rent Summary",#N/A,FALSE,"Rent Summary";"Operating Budget Detail",#N/A,FALSE,"Operations";"Operating Budget Summary",#N/A,FALSE,"Operations";"Sources and Uses",#N/A,FALSE,"Sources &amp; Uses";"Cash Flow",#N/A,FALSE,"Cash Flow"}</definedName>
    <definedName name="wrn.Board._.Commitment._.Package." localSheetId="20" hidden="1">{"Project Summary",#N/A,FALSE,"Project Summary";"Rent Summary",#N/A,FALSE,"Rent Summary";"Operating Budget Detail",#N/A,FALSE,"Operations";"Operating Budget Summary",#N/A,FALSE,"Operations";"Sources and Uses",#N/A,FALSE,"Sources &amp; Uses";"Cash Flow",#N/A,FALSE,"Cash Flow"}</definedName>
    <definedName name="wrn.Board._.Commitment._.Package."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5"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17"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9"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8"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34"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12"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16"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31"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33"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14"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6"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15" hidden="1">{"Project Summary",#N/A,FALSE,"Project Summary";"Rent Summary",#N/A,FALSE,"Rent Summary";"Operating Budget Detail",#N/A,FALSE,"Operations";"Operating Budget Summary",#N/A,FALSE,"Operations";"Sources and Uses",#N/A,FALSE,"Sources &amp; Uses";"Cash Flow",#N/A,FALSE,"Cash Flow"}</definedName>
    <definedName name="wrn.Board._.Commitment._.Package._1" localSheetId="20" hidden="1">{"Project Summary",#N/A,FALSE,"Project Summary";"Rent Summary",#N/A,FALSE,"Rent Summary";"Operating Budget Detail",#N/A,FALSE,"Operations";"Operating Budget Summary",#N/A,FALSE,"Operations";"Sources and Uses",#N/A,FALSE,"Sources &amp; Uses";"Cash Flow",#N/A,FALSE,"Cash Flow"}</definedName>
    <definedName name="wrn.Board._.Commitment._.Package._1"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5"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17"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9"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8"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34"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12"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16"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31"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33"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14"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6"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15" hidden="1">{"Project Summary",#N/A,FALSE,"Project Summary";"Rent Summary",#N/A,FALSE,"Rent Summary";"Operating Budget Detail",#N/A,FALSE,"Operations";"Operating Budget Summary",#N/A,FALSE,"Operations";"Sources and Uses",#N/A,FALSE,"Sources &amp; Uses";"Cash Flow",#N/A,FALSE,"Cash Flow"}</definedName>
    <definedName name="wrn.Board._.Commitment._.Package.X" localSheetId="20" hidden="1">{"Project Summary",#N/A,FALSE,"Project Summary";"Rent Summary",#N/A,FALSE,"Rent Summary";"Operating Budget Detail",#N/A,FALSE,"Operations";"Operating Budget Summary",#N/A,FALSE,"Operations";"Sources and Uses",#N/A,FALSE,"Sources &amp; Uses";"Cash Flow",#N/A,FALSE,"Cash Flow"}</definedName>
    <definedName name="wrn.Board._.Commitment._.Package.X" hidden="1">{"Project Summary",#N/A,FALSE,"Project Summary";"Rent Summary",#N/A,FALSE,"Rent Summary";"Operating Budget Detail",#N/A,FALSE,"Operations";"Operating Budget Summary",#N/A,FALSE,"Operations";"Sources and Uses",#N/A,FALSE,"Sources &amp; Uses";"Cash Flow",#N/A,FALSE,"Cash Flow"}</definedName>
    <definedName name="wrn.Cash._.Flow." localSheetId="5" hidden="1">{"Cash Flow",#N/A,FALSE,"Cash Flow"}</definedName>
    <definedName name="wrn.Cash._.Flow." localSheetId="17" hidden="1">{"Cash Flow",#N/A,FALSE,"Cash Flow"}</definedName>
    <definedName name="wrn.Cash._.Flow." localSheetId="9" hidden="1">{"Cash Flow",#N/A,FALSE,"Cash Flow"}</definedName>
    <definedName name="wrn.Cash._.Flow." localSheetId="8" hidden="1">{"Cash Flow",#N/A,FALSE,"Cash Flow"}</definedName>
    <definedName name="wrn.Cash._.Flow." localSheetId="34" hidden="1">{"Cash Flow",#N/A,FALSE,"Cash Flow"}</definedName>
    <definedName name="wrn.Cash._.Flow." localSheetId="12" hidden="1">{"Cash Flow",#N/A,FALSE,"Cash Flow"}</definedName>
    <definedName name="wrn.Cash._.Flow." localSheetId="16" hidden="1">{"Cash Flow",#N/A,FALSE,"Cash Flow"}</definedName>
    <definedName name="wrn.Cash._.Flow." localSheetId="31" hidden="1">{"Cash Flow",#N/A,FALSE,"Cash Flow"}</definedName>
    <definedName name="wrn.Cash._.Flow." localSheetId="33" hidden="1">{"Cash Flow",#N/A,FALSE,"Cash Flow"}</definedName>
    <definedName name="wrn.Cash._.Flow." localSheetId="14" hidden="1">{"Cash Flow",#N/A,FALSE,"Cash Flow"}</definedName>
    <definedName name="wrn.Cash._.Flow." localSheetId="6" hidden="1">{"Cash Flow",#N/A,FALSE,"Cash Flow"}</definedName>
    <definedName name="wrn.Cash._.Flow." localSheetId="32" hidden="1">{"Cash Flow",#N/A,FALSE,"Cash Flow"}</definedName>
    <definedName name="wrn.Cash._.Flow." localSheetId="15" hidden="1">{"Cash Flow",#N/A,FALSE,"Cash Flow"}</definedName>
    <definedName name="wrn.Cash._.Flow." localSheetId="27" hidden="1">{"Cash Flow",#N/A,FALSE,"Cash Flow"}</definedName>
    <definedName name="wrn.Cash._.Flow." localSheetId="20" hidden="1">{"Cash Flow",#N/A,FALSE,"Cash Flow"}</definedName>
    <definedName name="wrn.Cash._.Flow." hidden="1">{"Cash Flow",#N/A,FALSE,"Cash Flow"}</definedName>
    <definedName name="wrn.Cash._.Flow._1" localSheetId="5" hidden="1">{"Cash Flow",#N/A,FALSE,"Cash Flow"}</definedName>
    <definedName name="wrn.Cash._.Flow._1" localSheetId="17" hidden="1">{"Cash Flow",#N/A,FALSE,"Cash Flow"}</definedName>
    <definedName name="wrn.Cash._.Flow._1" localSheetId="9" hidden="1">{"Cash Flow",#N/A,FALSE,"Cash Flow"}</definedName>
    <definedName name="wrn.Cash._.Flow._1" localSheetId="8" hidden="1">{"Cash Flow",#N/A,FALSE,"Cash Flow"}</definedName>
    <definedName name="wrn.Cash._.Flow._1" localSheetId="34" hidden="1">{"Cash Flow",#N/A,FALSE,"Cash Flow"}</definedName>
    <definedName name="wrn.Cash._.Flow._1" localSheetId="12" hidden="1">{"Cash Flow",#N/A,FALSE,"Cash Flow"}</definedName>
    <definedName name="wrn.Cash._.Flow._1" localSheetId="16" hidden="1">{"Cash Flow",#N/A,FALSE,"Cash Flow"}</definedName>
    <definedName name="wrn.Cash._.Flow._1" localSheetId="31" hidden="1">{"Cash Flow",#N/A,FALSE,"Cash Flow"}</definedName>
    <definedName name="wrn.Cash._.Flow._1" localSheetId="33" hidden="1">{"Cash Flow",#N/A,FALSE,"Cash Flow"}</definedName>
    <definedName name="wrn.Cash._.Flow._1" localSheetId="14" hidden="1">{"Cash Flow",#N/A,FALSE,"Cash Flow"}</definedName>
    <definedName name="wrn.Cash._.Flow._1" localSheetId="6" hidden="1">{"Cash Flow",#N/A,FALSE,"Cash Flow"}</definedName>
    <definedName name="wrn.Cash._.Flow._1" localSheetId="15" hidden="1">{"Cash Flow",#N/A,FALSE,"Cash Flow"}</definedName>
    <definedName name="wrn.Cash._.Flow._1" localSheetId="20" hidden="1">{"Cash Flow",#N/A,FALSE,"Cash Flow"}</definedName>
    <definedName name="wrn.Cash._.Flow._1" hidden="1">{"Cash Flow",#N/A,FALSE,"Cash Flow"}</definedName>
    <definedName name="wrn.Cash._.Flow.X" localSheetId="5" hidden="1">{"Cash Flow",#N/A,FALSE,"Cash Flow"}</definedName>
    <definedName name="wrn.Cash._.Flow.X" localSheetId="17" hidden="1">{"Cash Flow",#N/A,FALSE,"Cash Flow"}</definedName>
    <definedName name="wrn.Cash._.Flow.X" localSheetId="9" hidden="1">{"Cash Flow",#N/A,FALSE,"Cash Flow"}</definedName>
    <definedName name="wrn.Cash._.Flow.X" localSheetId="8" hidden="1">{"Cash Flow",#N/A,FALSE,"Cash Flow"}</definedName>
    <definedName name="wrn.Cash._.Flow.X" localSheetId="34" hidden="1">{"Cash Flow",#N/A,FALSE,"Cash Flow"}</definedName>
    <definedName name="wrn.Cash._.Flow.X" localSheetId="12" hidden="1">{"Cash Flow",#N/A,FALSE,"Cash Flow"}</definedName>
    <definedName name="wrn.Cash._.Flow.X" localSheetId="16" hidden="1">{"Cash Flow",#N/A,FALSE,"Cash Flow"}</definedName>
    <definedName name="wrn.Cash._.Flow.X" localSheetId="31" hidden="1">{"Cash Flow",#N/A,FALSE,"Cash Flow"}</definedName>
    <definedName name="wrn.Cash._.Flow.X" localSheetId="33" hidden="1">{"Cash Flow",#N/A,FALSE,"Cash Flow"}</definedName>
    <definedName name="wrn.Cash._.Flow.X" localSheetId="14" hidden="1">{"Cash Flow",#N/A,FALSE,"Cash Flow"}</definedName>
    <definedName name="wrn.Cash._.Flow.X" localSheetId="6" hidden="1">{"Cash Flow",#N/A,FALSE,"Cash Flow"}</definedName>
    <definedName name="wrn.Cash._.Flow.X" localSheetId="15" hidden="1">{"Cash Flow",#N/A,FALSE,"Cash Flow"}</definedName>
    <definedName name="wrn.Cash._.Flow.X" localSheetId="20" hidden="1">{"Cash Flow",#N/A,FALSE,"Cash Flow"}</definedName>
    <definedName name="wrn.Cash._.Flow.X" hidden="1">{"Cash Flow",#N/A,FALSE,"Cash Flow"}</definedName>
    <definedName name="wrn.Construction._.Draws." localSheetId="5" hidden="1">{"Construction Draws",#N/A,FALSE,"Hard Cost Breakdown";"Hard Cost Disbursement Summary",#N/A,FALSE,"Hard Cost Breakdown"}</definedName>
    <definedName name="wrn.Construction._.Draws." localSheetId="17" hidden="1">{"Construction Draws",#N/A,FALSE,"Hard Cost Breakdown";"Hard Cost Disbursement Summary",#N/A,FALSE,"Hard Cost Breakdown"}</definedName>
    <definedName name="wrn.Construction._.Draws." localSheetId="9" hidden="1">{"Construction Draws",#N/A,FALSE,"Hard Cost Breakdown";"Hard Cost Disbursement Summary",#N/A,FALSE,"Hard Cost Breakdown"}</definedName>
    <definedName name="wrn.Construction._.Draws." localSheetId="8" hidden="1">{"Construction Draws",#N/A,FALSE,"Hard Cost Breakdown";"Hard Cost Disbursement Summary",#N/A,FALSE,"Hard Cost Breakdown"}</definedName>
    <definedName name="wrn.Construction._.Draws." localSheetId="34" hidden="1">{"Construction Draws",#N/A,FALSE,"Hard Cost Breakdown";"Hard Cost Disbursement Summary",#N/A,FALSE,"Hard Cost Breakdown"}</definedName>
    <definedName name="wrn.Construction._.Draws." localSheetId="12" hidden="1">{"Construction Draws",#N/A,FALSE,"Hard Cost Breakdown";"Hard Cost Disbursement Summary",#N/A,FALSE,"Hard Cost Breakdown"}</definedName>
    <definedName name="wrn.Construction._.Draws." localSheetId="16" hidden="1">{"Construction Draws",#N/A,FALSE,"Hard Cost Breakdown";"Hard Cost Disbursement Summary",#N/A,FALSE,"Hard Cost Breakdown"}</definedName>
    <definedName name="wrn.Construction._.Draws." localSheetId="31" hidden="1">{"Construction Draws",#N/A,FALSE,"Hard Cost Breakdown";"Hard Cost Disbursement Summary",#N/A,FALSE,"Hard Cost Breakdown"}</definedName>
    <definedName name="wrn.Construction._.Draws." localSheetId="33" hidden="1">{"Construction Draws",#N/A,FALSE,"Hard Cost Breakdown";"Hard Cost Disbursement Summary",#N/A,FALSE,"Hard Cost Breakdown"}</definedName>
    <definedName name="wrn.Construction._.Draws." localSheetId="14" hidden="1">{"Construction Draws",#N/A,FALSE,"Hard Cost Breakdown";"Hard Cost Disbursement Summary",#N/A,FALSE,"Hard Cost Breakdown"}</definedName>
    <definedName name="wrn.Construction._.Draws." localSheetId="6" hidden="1">{"Construction Draws",#N/A,FALSE,"Hard Cost Breakdown";"Hard Cost Disbursement Summary",#N/A,FALSE,"Hard Cost Breakdown"}</definedName>
    <definedName name="wrn.Construction._.Draws." localSheetId="32" hidden="1">{"Construction Draws",#N/A,FALSE,"Hard Cost Breakdown";"Hard Cost Disbursement Summary",#N/A,FALSE,"Hard Cost Breakdown"}</definedName>
    <definedName name="wrn.Construction._.Draws." localSheetId="15" hidden="1">{"Construction Draws",#N/A,FALSE,"Hard Cost Breakdown";"Hard Cost Disbursement Summary",#N/A,FALSE,"Hard Cost Breakdown"}</definedName>
    <definedName name="wrn.Construction._.Draws." localSheetId="27" hidden="1">{"Construction Draws",#N/A,FALSE,"Hard Cost Breakdown";"Hard Cost Disbursement Summary",#N/A,FALSE,"Hard Cost Breakdown"}</definedName>
    <definedName name="wrn.Construction._.Draws." localSheetId="20" hidden="1">{"Construction Draws",#N/A,FALSE,"Hard Cost Breakdown";"Hard Cost Disbursement Summary",#N/A,FALSE,"Hard Cost Breakdown"}</definedName>
    <definedName name="wrn.Construction._.Draws." hidden="1">{"Construction Draws",#N/A,FALSE,"Hard Cost Breakdown";"Hard Cost Disbursement Summary",#N/A,FALSE,"Hard Cost Breakdown"}</definedName>
    <definedName name="wrn.Construction._.Draws._1" localSheetId="5" hidden="1">{"Construction Draws",#N/A,FALSE,"Hard Cost Breakdown";"Hard Cost Disbursement Summary",#N/A,FALSE,"Hard Cost Breakdown"}</definedName>
    <definedName name="wrn.Construction._.Draws._1" localSheetId="17" hidden="1">{"Construction Draws",#N/A,FALSE,"Hard Cost Breakdown";"Hard Cost Disbursement Summary",#N/A,FALSE,"Hard Cost Breakdown"}</definedName>
    <definedName name="wrn.Construction._.Draws._1" localSheetId="9" hidden="1">{"Construction Draws",#N/A,FALSE,"Hard Cost Breakdown";"Hard Cost Disbursement Summary",#N/A,FALSE,"Hard Cost Breakdown"}</definedName>
    <definedName name="wrn.Construction._.Draws._1" localSheetId="8" hidden="1">{"Construction Draws",#N/A,FALSE,"Hard Cost Breakdown";"Hard Cost Disbursement Summary",#N/A,FALSE,"Hard Cost Breakdown"}</definedName>
    <definedName name="wrn.Construction._.Draws._1" localSheetId="34" hidden="1">{"Construction Draws",#N/A,FALSE,"Hard Cost Breakdown";"Hard Cost Disbursement Summary",#N/A,FALSE,"Hard Cost Breakdown"}</definedName>
    <definedName name="wrn.Construction._.Draws._1" localSheetId="12" hidden="1">{"Construction Draws",#N/A,FALSE,"Hard Cost Breakdown";"Hard Cost Disbursement Summary",#N/A,FALSE,"Hard Cost Breakdown"}</definedName>
    <definedName name="wrn.Construction._.Draws._1" localSheetId="16" hidden="1">{"Construction Draws",#N/A,FALSE,"Hard Cost Breakdown";"Hard Cost Disbursement Summary",#N/A,FALSE,"Hard Cost Breakdown"}</definedName>
    <definedName name="wrn.Construction._.Draws._1" localSheetId="31" hidden="1">{"Construction Draws",#N/A,FALSE,"Hard Cost Breakdown";"Hard Cost Disbursement Summary",#N/A,FALSE,"Hard Cost Breakdown"}</definedName>
    <definedName name="wrn.Construction._.Draws._1" localSheetId="33" hidden="1">{"Construction Draws",#N/A,FALSE,"Hard Cost Breakdown";"Hard Cost Disbursement Summary",#N/A,FALSE,"Hard Cost Breakdown"}</definedName>
    <definedName name="wrn.Construction._.Draws._1" localSheetId="14" hidden="1">{"Construction Draws",#N/A,FALSE,"Hard Cost Breakdown";"Hard Cost Disbursement Summary",#N/A,FALSE,"Hard Cost Breakdown"}</definedName>
    <definedName name="wrn.Construction._.Draws._1" localSheetId="6" hidden="1">{"Construction Draws",#N/A,FALSE,"Hard Cost Breakdown";"Hard Cost Disbursement Summary",#N/A,FALSE,"Hard Cost Breakdown"}</definedName>
    <definedName name="wrn.Construction._.Draws._1" localSheetId="15" hidden="1">{"Construction Draws",#N/A,FALSE,"Hard Cost Breakdown";"Hard Cost Disbursement Summary",#N/A,FALSE,"Hard Cost Breakdown"}</definedName>
    <definedName name="wrn.Construction._.Draws._1" localSheetId="20" hidden="1">{"Construction Draws",#N/A,FALSE,"Hard Cost Breakdown";"Hard Cost Disbursement Summary",#N/A,FALSE,"Hard Cost Breakdown"}</definedName>
    <definedName name="wrn.Construction._.Draws._1" hidden="1">{"Construction Draws",#N/A,FALSE,"Hard Cost Breakdown";"Hard Cost Disbursement Summary",#N/A,FALSE,"Hard Cost Breakdown"}</definedName>
    <definedName name="wrn.Construction._.Sources._.and._.Uses." localSheetId="5" hidden="1">{"Sources and Uses - Construction",#N/A,FALSE,"Construction S &amp; U"}</definedName>
    <definedName name="wrn.Construction._.Sources._.and._.Uses." localSheetId="17" hidden="1">{"Sources and Uses - Construction",#N/A,FALSE,"Construction S &amp; U"}</definedName>
    <definedName name="wrn.Construction._.Sources._.and._.Uses." localSheetId="9" hidden="1">{"Sources and Uses - Construction",#N/A,FALSE,"Construction S &amp; U"}</definedName>
    <definedName name="wrn.Construction._.Sources._.and._.Uses." localSheetId="8" hidden="1">{"Sources and Uses - Construction",#N/A,FALSE,"Construction S &amp; U"}</definedName>
    <definedName name="wrn.Construction._.Sources._.and._.Uses." localSheetId="34" hidden="1">{"Sources and Uses - Construction",#N/A,FALSE,"Construction S &amp; U"}</definedName>
    <definedName name="wrn.Construction._.Sources._.and._.Uses." localSheetId="12" hidden="1">{"Sources and Uses - Construction",#N/A,FALSE,"Construction S &amp; U"}</definedName>
    <definedName name="wrn.Construction._.Sources._.and._.Uses." localSheetId="16" hidden="1">{"Sources and Uses - Construction",#N/A,FALSE,"Construction S &amp; U"}</definedName>
    <definedName name="wrn.Construction._.Sources._.and._.Uses." localSheetId="31" hidden="1">{"Sources and Uses - Construction",#N/A,FALSE,"Construction S &amp; U"}</definedName>
    <definedName name="wrn.Construction._.Sources._.and._.Uses." localSheetId="33" hidden="1">{"Sources and Uses - Construction",#N/A,FALSE,"Construction S &amp; U"}</definedName>
    <definedName name="wrn.Construction._.Sources._.and._.Uses." localSheetId="14" hidden="1">{"Sources and Uses - Construction",#N/A,FALSE,"Construction S &amp; U"}</definedName>
    <definedName name="wrn.Construction._.Sources._.and._.Uses." localSheetId="6" hidden="1">{"Sources and Uses - Construction",#N/A,FALSE,"Construction S &amp; U"}</definedName>
    <definedName name="wrn.Construction._.Sources._.and._.Uses." localSheetId="32" hidden="1">{"Sources and Uses - Construction",#N/A,FALSE,"Construction S &amp; U"}</definedName>
    <definedName name="wrn.Construction._.Sources._.and._.Uses." localSheetId="15" hidden="1">{"Sources and Uses - Construction",#N/A,FALSE,"Construction S &amp; U"}</definedName>
    <definedName name="wrn.Construction._.Sources._.and._.Uses." localSheetId="27" hidden="1">{"Sources and Uses - Construction",#N/A,FALSE,"Construction S &amp; U"}</definedName>
    <definedName name="wrn.Construction._.Sources._.and._.Uses." localSheetId="20" hidden="1">{"Sources and Uses - Construction",#N/A,FALSE,"Construction S &amp; U"}</definedName>
    <definedName name="wrn.Construction._.Sources._.and._.Uses." hidden="1">{"Sources and Uses - Construction",#N/A,FALSE,"Construction S &amp; U"}</definedName>
    <definedName name="wrn.Construction._.Sources._.and._.Uses._1" localSheetId="5" hidden="1">{"Sources and Uses - Construction",#N/A,FALSE,"Construction S &amp; U"}</definedName>
    <definedName name="wrn.Construction._.Sources._.and._.Uses._1" localSheetId="17" hidden="1">{"Sources and Uses - Construction",#N/A,FALSE,"Construction S &amp; U"}</definedName>
    <definedName name="wrn.Construction._.Sources._.and._.Uses._1" localSheetId="9" hidden="1">{"Sources and Uses - Construction",#N/A,FALSE,"Construction S &amp; U"}</definedName>
    <definedName name="wrn.Construction._.Sources._.and._.Uses._1" localSheetId="8" hidden="1">{"Sources and Uses - Construction",#N/A,FALSE,"Construction S &amp; U"}</definedName>
    <definedName name="wrn.Construction._.Sources._.and._.Uses._1" localSheetId="34" hidden="1">{"Sources and Uses - Construction",#N/A,FALSE,"Construction S &amp; U"}</definedName>
    <definedName name="wrn.Construction._.Sources._.and._.Uses._1" localSheetId="12" hidden="1">{"Sources and Uses - Construction",#N/A,FALSE,"Construction S &amp; U"}</definedName>
    <definedName name="wrn.Construction._.Sources._.and._.Uses._1" localSheetId="16" hidden="1">{"Sources and Uses - Construction",#N/A,FALSE,"Construction S &amp; U"}</definedName>
    <definedName name="wrn.Construction._.Sources._.and._.Uses._1" localSheetId="31" hidden="1">{"Sources and Uses - Construction",#N/A,FALSE,"Construction S &amp; U"}</definedName>
    <definedName name="wrn.Construction._.Sources._.and._.Uses._1" localSheetId="33" hidden="1">{"Sources and Uses - Construction",#N/A,FALSE,"Construction S &amp; U"}</definedName>
    <definedName name="wrn.Construction._.Sources._.and._.Uses._1" localSheetId="14" hidden="1">{"Sources and Uses - Construction",#N/A,FALSE,"Construction S &amp; U"}</definedName>
    <definedName name="wrn.Construction._.Sources._.and._.Uses._1" localSheetId="6" hidden="1">{"Sources and Uses - Construction",#N/A,FALSE,"Construction S &amp; U"}</definedName>
    <definedName name="wrn.Construction._.Sources._.and._.Uses._1" localSheetId="15" hidden="1">{"Sources and Uses - Construction",#N/A,FALSE,"Construction S &amp; U"}</definedName>
    <definedName name="wrn.Construction._.Sources._.and._.Uses._1" localSheetId="20" hidden="1">{"Sources and Uses - Construction",#N/A,FALSE,"Construction S &amp; U"}</definedName>
    <definedName name="wrn.Construction._.Sources._.and._.Uses._1" hidden="1">{"Sources and Uses - Construction",#N/A,FALSE,"Construction S &amp; U"}</definedName>
    <definedName name="wrn.Exhibit._.D._.to._.Constr.._.Loan._.Agmt." localSheetId="5" hidden="1">{"Construction Sources &amp; Uses Ex. D",#N/A,FALSE,"Construction S &amp; U"}</definedName>
    <definedName name="wrn.Exhibit._.D._.to._.Constr.._.Loan._.Agmt." localSheetId="17" hidden="1">{"Construction Sources &amp; Uses Ex. D",#N/A,FALSE,"Construction S &amp; U"}</definedName>
    <definedName name="wrn.Exhibit._.D._.to._.Constr.._.Loan._.Agmt." localSheetId="9" hidden="1">{"Construction Sources &amp; Uses Ex. D",#N/A,FALSE,"Construction S &amp; U"}</definedName>
    <definedName name="wrn.Exhibit._.D._.to._.Constr.._.Loan._.Agmt." localSheetId="8" hidden="1">{"Construction Sources &amp; Uses Ex. D",#N/A,FALSE,"Construction S &amp; U"}</definedName>
    <definedName name="wrn.Exhibit._.D._.to._.Constr.._.Loan._.Agmt." localSheetId="34" hidden="1">{"Construction Sources &amp; Uses Ex. D",#N/A,FALSE,"Construction S &amp; U"}</definedName>
    <definedName name="wrn.Exhibit._.D._.to._.Constr.._.Loan._.Agmt." localSheetId="12" hidden="1">{"Construction Sources &amp; Uses Ex. D",#N/A,FALSE,"Construction S &amp; U"}</definedName>
    <definedName name="wrn.Exhibit._.D._.to._.Constr.._.Loan._.Agmt." localSheetId="16" hidden="1">{"Construction Sources &amp; Uses Ex. D",#N/A,FALSE,"Construction S &amp; U"}</definedName>
    <definedName name="wrn.Exhibit._.D._.to._.Constr.._.Loan._.Agmt." localSheetId="31" hidden="1">{"Construction Sources &amp; Uses Ex. D",#N/A,FALSE,"Construction S &amp; U"}</definedName>
    <definedName name="wrn.Exhibit._.D._.to._.Constr.._.Loan._.Agmt." localSheetId="33" hidden="1">{"Construction Sources &amp; Uses Ex. D",#N/A,FALSE,"Construction S &amp; U"}</definedName>
    <definedName name="wrn.Exhibit._.D._.to._.Constr.._.Loan._.Agmt." localSheetId="14" hidden="1">{"Construction Sources &amp; Uses Ex. D",#N/A,FALSE,"Construction S &amp; U"}</definedName>
    <definedName name="wrn.Exhibit._.D._.to._.Constr.._.Loan._.Agmt." localSheetId="6" hidden="1">{"Construction Sources &amp; Uses Ex. D",#N/A,FALSE,"Construction S &amp; U"}</definedName>
    <definedName name="wrn.Exhibit._.D._.to._.Constr.._.Loan._.Agmt." localSheetId="32" hidden="1">{"Construction Sources &amp; Uses Ex. D",#N/A,FALSE,"Construction S &amp; U"}</definedName>
    <definedName name="wrn.Exhibit._.D._.to._.Constr.._.Loan._.Agmt." localSheetId="15" hidden="1">{"Construction Sources &amp; Uses Ex. D",#N/A,FALSE,"Construction S &amp; U"}</definedName>
    <definedName name="wrn.Exhibit._.D._.to._.Constr.._.Loan._.Agmt." localSheetId="27" hidden="1">{"Construction Sources &amp; Uses Ex. D",#N/A,FALSE,"Construction S &amp; U"}</definedName>
    <definedName name="wrn.Exhibit._.D._.to._.Constr.._.Loan._.Agmt." localSheetId="20" hidden="1">{"Construction Sources &amp; Uses Ex. D",#N/A,FALSE,"Construction S &amp; U"}</definedName>
    <definedName name="wrn.Exhibit._.D._.to._.Constr.._.Loan._.Agmt." hidden="1">{"Construction Sources &amp; Uses Ex. D",#N/A,FALSE,"Construction S &amp; U"}</definedName>
    <definedName name="wrn.Exhibit._.D._.to._.Constr.._.Loan._.Agmt._1" localSheetId="5" hidden="1">{"Construction Sources &amp; Uses Ex. D",#N/A,FALSE,"Construction S &amp; U"}</definedName>
    <definedName name="wrn.Exhibit._.D._.to._.Constr.._.Loan._.Agmt._1" localSheetId="17" hidden="1">{"Construction Sources &amp; Uses Ex. D",#N/A,FALSE,"Construction S &amp; U"}</definedName>
    <definedName name="wrn.Exhibit._.D._.to._.Constr.._.Loan._.Agmt._1" localSheetId="9" hidden="1">{"Construction Sources &amp; Uses Ex. D",#N/A,FALSE,"Construction S &amp; U"}</definedName>
    <definedName name="wrn.Exhibit._.D._.to._.Constr.._.Loan._.Agmt._1" localSheetId="8" hidden="1">{"Construction Sources &amp; Uses Ex. D",#N/A,FALSE,"Construction S &amp; U"}</definedName>
    <definedName name="wrn.Exhibit._.D._.to._.Constr.._.Loan._.Agmt._1" localSheetId="34" hidden="1">{"Construction Sources &amp; Uses Ex. D",#N/A,FALSE,"Construction S &amp; U"}</definedName>
    <definedName name="wrn.Exhibit._.D._.to._.Constr.._.Loan._.Agmt._1" localSheetId="12" hidden="1">{"Construction Sources &amp; Uses Ex. D",#N/A,FALSE,"Construction S &amp; U"}</definedName>
    <definedName name="wrn.Exhibit._.D._.to._.Constr.._.Loan._.Agmt._1" localSheetId="16" hidden="1">{"Construction Sources &amp; Uses Ex. D",#N/A,FALSE,"Construction S &amp; U"}</definedName>
    <definedName name="wrn.Exhibit._.D._.to._.Constr.._.Loan._.Agmt._1" localSheetId="31" hidden="1">{"Construction Sources &amp; Uses Ex. D",#N/A,FALSE,"Construction S &amp; U"}</definedName>
    <definedName name="wrn.Exhibit._.D._.to._.Constr.._.Loan._.Agmt._1" localSheetId="33" hidden="1">{"Construction Sources &amp; Uses Ex. D",#N/A,FALSE,"Construction S &amp; U"}</definedName>
    <definedName name="wrn.Exhibit._.D._.to._.Constr.._.Loan._.Agmt._1" localSheetId="14" hidden="1">{"Construction Sources &amp; Uses Ex. D",#N/A,FALSE,"Construction S &amp; U"}</definedName>
    <definedName name="wrn.Exhibit._.D._.to._.Constr.._.Loan._.Agmt._1" localSheetId="6" hidden="1">{"Construction Sources &amp; Uses Ex. D",#N/A,FALSE,"Construction S &amp; U"}</definedName>
    <definedName name="wrn.Exhibit._.D._.to._.Constr.._.Loan._.Agmt._1" localSheetId="15" hidden="1">{"Construction Sources &amp; Uses Ex. D",#N/A,FALSE,"Construction S &amp; U"}</definedName>
    <definedName name="wrn.Exhibit._.D._.to._.Constr.._.Loan._.Agmt._1" localSheetId="20" hidden="1">{"Construction Sources &amp; Uses Ex. D",#N/A,FALSE,"Construction S &amp; U"}</definedName>
    <definedName name="wrn.Exhibit._.D._.to._.Constr.._.Loan._.Agmt._1" hidden="1">{"Construction Sources &amp; Uses Ex. D",#N/A,FALSE,"Construction S &amp; U"}</definedName>
    <definedName name="wrn.Input._.Information." localSheetId="5" hidden="1">{"Input Pages 1 and 2",#N/A,FALSE,"Input";"Input Pages 3 and 4",#N/A,FALSE,"Input"}</definedName>
    <definedName name="wrn.Input._.Information." localSheetId="17" hidden="1">{"Input Pages 1 and 2",#N/A,FALSE,"Input";"Input Pages 3 and 4",#N/A,FALSE,"Input"}</definedName>
    <definedName name="wrn.Input._.Information." localSheetId="9" hidden="1">{"Input Pages 1 and 2",#N/A,FALSE,"Input";"Input Pages 3 and 4",#N/A,FALSE,"Input"}</definedName>
    <definedName name="wrn.Input._.Information." localSheetId="8" hidden="1">{"Input Pages 1 and 2",#N/A,FALSE,"Input";"Input Pages 3 and 4",#N/A,FALSE,"Input"}</definedName>
    <definedName name="wrn.Input._.Information." localSheetId="34" hidden="1">{"Input Pages 1 and 2",#N/A,FALSE,"Input";"Input Pages 3 and 4",#N/A,FALSE,"Input"}</definedName>
    <definedName name="wrn.Input._.Information." localSheetId="12" hidden="1">{"Input Pages 1 and 2",#N/A,FALSE,"Input";"Input Pages 3 and 4",#N/A,FALSE,"Input"}</definedName>
    <definedName name="wrn.Input._.Information." localSheetId="16" hidden="1">{"Input Pages 1 and 2",#N/A,FALSE,"Input";"Input Pages 3 and 4",#N/A,FALSE,"Input"}</definedName>
    <definedName name="wrn.Input._.Information." localSheetId="31" hidden="1">{"Input Pages 1 and 2",#N/A,FALSE,"Input";"Input Pages 3 and 4",#N/A,FALSE,"Input"}</definedName>
    <definedName name="wrn.Input._.Information." localSheetId="33" hidden="1">{"Input Pages 1 and 2",#N/A,FALSE,"Input";"Input Pages 3 and 4",#N/A,FALSE,"Input"}</definedName>
    <definedName name="wrn.Input._.Information." localSheetId="14" hidden="1">{"Input Pages 1 and 2",#N/A,FALSE,"Input";"Input Pages 3 and 4",#N/A,FALSE,"Input"}</definedName>
    <definedName name="wrn.Input._.Information." localSheetId="6" hidden="1">{"Input Pages 1 and 2",#N/A,FALSE,"Input";"Input Pages 3 and 4",#N/A,FALSE,"Input"}</definedName>
    <definedName name="wrn.Input._.Information." localSheetId="32" hidden="1">{"Input Pages 1 and 2",#N/A,FALSE,"Input";"Input Pages 3 and 4",#N/A,FALSE,"Input"}</definedName>
    <definedName name="wrn.Input._.Information." localSheetId="15" hidden="1">{"Input Pages 1 and 2",#N/A,FALSE,"Input";"Input Pages 3 and 4",#N/A,FALSE,"Input"}</definedName>
    <definedName name="wrn.Input._.Information." localSheetId="27" hidden="1">{"Input Pages 1 and 2",#N/A,FALSE,"Input";"Input Pages 3 and 4",#N/A,FALSE,"Input"}</definedName>
    <definedName name="wrn.Input._.Information." localSheetId="20" hidden="1">{"Input Pages 1 and 2",#N/A,FALSE,"Input";"Input Pages 3 and 4",#N/A,FALSE,"Input"}</definedName>
    <definedName name="wrn.Input._.Information." hidden="1">{"Input Pages 1 and 2",#N/A,FALSE,"Input";"Input Pages 3 and 4",#N/A,FALSE,"Input"}</definedName>
    <definedName name="wrn.Input._.Information._1" localSheetId="5" hidden="1">{"Input Pages 1 and 2",#N/A,FALSE,"Input";"Input Pages 3 and 4",#N/A,FALSE,"Input"}</definedName>
    <definedName name="wrn.Input._.Information._1" localSheetId="17" hidden="1">{"Input Pages 1 and 2",#N/A,FALSE,"Input";"Input Pages 3 and 4",#N/A,FALSE,"Input"}</definedName>
    <definedName name="wrn.Input._.Information._1" localSheetId="9" hidden="1">{"Input Pages 1 and 2",#N/A,FALSE,"Input";"Input Pages 3 and 4",#N/A,FALSE,"Input"}</definedName>
    <definedName name="wrn.Input._.Information._1" localSheetId="8" hidden="1">{"Input Pages 1 and 2",#N/A,FALSE,"Input";"Input Pages 3 and 4",#N/A,FALSE,"Input"}</definedName>
    <definedName name="wrn.Input._.Information._1" localSheetId="34" hidden="1">{"Input Pages 1 and 2",#N/A,FALSE,"Input";"Input Pages 3 and 4",#N/A,FALSE,"Input"}</definedName>
    <definedName name="wrn.Input._.Information._1" localSheetId="12" hidden="1">{"Input Pages 1 and 2",#N/A,FALSE,"Input";"Input Pages 3 and 4",#N/A,FALSE,"Input"}</definedName>
    <definedName name="wrn.Input._.Information._1" localSheetId="16" hidden="1">{"Input Pages 1 and 2",#N/A,FALSE,"Input";"Input Pages 3 and 4",#N/A,FALSE,"Input"}</definedName>
    <definedName name="wrn.Input._.Information._1" localSheetId="31" hidden="1">{"Input Pages 1 and 2",#N/A,FALSE,"Input";"Input Pages 3 and 4",#N/A,FALSE,"Input"}</definedName>
    <definedName name="wrn.Input._.Information._1" localSheetId="33" hidden="1">{"Input Pages 1 and 2",#N/A,FALSE,"Input";"Input Pages 3 and 4",#N/A,FALSE,"Input"}</definedName>
    <definedName name="wrn.Input._.Information._1" localSheetId="14" hidden="1">{"Input Pages 1 and 2",#N/A,FALSE,"Input";"Input Pages 3 and 4",#N/A,FALSE,"Input"}</definedName>
    <definedName name="wrn.Input._.Information._1" localSheetId="6" hidden="1">{"Input Pages 1 and 2",#N/A,FALSE,"Input";"Input Pages 3 and 4",#N/A,FALSE,"Input"}</definedName>
    <definedName name="wrn.Input._.Information._1" localSheetId="15" hidden="1">{"Input Pages 1 and 2",#N/A,FALSE,"Input";"Input Pages 3 and 4",#N/A,FALSE,"Input"}</definedName>
    <definedName name="wrn.Input._.Information._1" localSheetId="20" hidden="1">{"Input Pages 1 and 2",#N/A,FALSE,"Input";"Input Pages 3 and 4",#N/A,FALSE,"Input"}</definedName>
    <definedName name="wrn.Input._.Information._1" hidden="1">{"Input Pages 1 and 2",#N/A,FALSE,"Input";"Input Pages 3 and 4",#N/A,FALSE,"Input"}</definedName>
    <definedName name="wrn.Operating._.Budget." localSheetId="5" hidden="1">{"Operating Budget Detail",#N/A,FALSE,"Operations"}</definedName>
    <definedName name="wrn.Operating._.Budget." localSheetId="17" hidden="1">{"Operating Budget Detail",#N/A,FALSE,"Operations"}</definedName>
    <definedName name="wrn.Operating._.Budget." localSheetId="9" hidden="1">{"Operating Budget Detail",#N/A,FALSE,"Operations"}</definedName>
    <definedName name="wrn.Operating._.Budget." localSheetId="8" hidden="1">{"Operating Budget Detail",#N/A,FALSE,"Operations"}</definedName>
    <definedName name="wrn.Operating._.Budget." localSheetId="34" hidden="1">{"Operating Budget Detail",#N/A,FALSE,"Operations"}</definedName>
    <definedName name="wrn.Operating._.Budget." localSheetId="12" hidden="1">{"Operating Budget Detail",#N/A,FALSE,"Operations"}</definedName>
    <definedName name="wrn.Operating._.Budget." localSheetId="16" hidden="1">{"Operating Budget Detail",#N/A,FALSE,"Operations"}</definedName>
    <definedName name="wrn.Operating._.Budget." localSheetId="31" hidden="1">{"Operating Budget Detail",#N/A,FALSE,"Operations"}</definedName>
    <definedName name="wrn.Operating._.Budget." localSheetId="33" hidden="1">{"Operating Budget Detail",#N/A,FALSE,"Operations"}</definedName>
    <definedName name="wrn.Operating._.Budget." localSheetId="14" hidden="1">{"Operating Budget Detail",#N/A,FALSE,"Operations"}</definedName>
    <definedName name="wrn.Operating._.Budget." localSheetId="6" hidden="1">{"Operating Budget Detail",#N/A,FALSE,"Operations"}</definedName>
    <definedName name="wrn.Operating._.Budget." localSheetId="32" hidden="1">{"Operating Budget Detail",#N/A,FALSE,"Operations"}</definedName>
    <definedName name="wrn.Operating._.Budget." localSheetId="15" hidden="1">{"Operating Budget Detail",#N/A,FALSE,"Operations"}</definedName>
    <definedName name="wrn.Operating._.Budget." localSheetId="27" hidden="1">{"Operating Budget Detail",#N/A,FALSE,"Operations"}</definedName>
    <definedName name="wrn.Operating._.Budget." localSheetId="20" hidden="1">{"Operating Budget Detail",#N/A,FALSE,"Operations"}</definedName>
    <definedName name="wrn.Operating._.Budget." hidden="1">{"Operating Budget Detail",#N/A,FALSE,"Operations"}</definedName>
    <definedName name="wrn.Operating._.Budget._1" localSheetId="5" hidden="1">{"Operating Budget Detail",#N/A,FALSE,"Operations"}</definedName>
    <definedName name="wrn.Operating._.Budget._1" localSheetId="17" hidden="1">{"Operating Budget Detail",#N/A,FALSE,"Operations"}</definedName>
    <definedName name="wrn.Operating._.Budget._1" localSheetId="9" hidden="1">{"Operating Budget Detail",#N/A,FALSE,"Operations"}</definedName>
    <definedName name="wrn.Operating._.Budget._1" localSheetId="8" hidden="1">{"Operating Budget Detail",#N/A,FALSE,"Operations"}</definedName>
    <definedName name="wrn.Operating._.Budget._1" localSheetId="34" hidden="1">{"Operating Budget Detail",#N/A,FALSE,"Operations"}</definedName>
    <definedName name="wrn.Operating._.Budget._1" localSheetId="12" hidden="1">{"Operating Budget Detail",#N/A,FALSE,"Operations"}</definedName>
    <definedName name="wrn.Operating._.Budget._1" localSheetId="16" hidden="1">{"Operating Budget Detail",#N/A,FALSE,"Operations"}</definedName>
    <definedName name="wrn.Operating._.Budget._1" localSheetId="31" hidden="1">{"Operating Budget Detail",#N/A,FALSE,"Operations"}</definedName>
    <definedName name="wrn.Operating._.Budget._1" localSheetId="33" hidden="1">{"Operating Budget Detail",#N/A,FALSE,"Operations"}</definedName>
    <definedName name="wrn.Operating._.Budget._1" localSheetId="14" hidden="1">{"Operating Budget Detail",#N/A,FALSE,"Operations"}</definedName>
    <definedName name="wrn.Operating._.Budget._1" localSheetId="6" hidden="1">{"Operating Budget Detail",#N/A,FALSE,"Operations"}</definedName>
    <definedName name="wrn.Operating._.Budget._1" localSheetId="15" hidden="1">{"Operating Budget Detail",#N/A,FALSE,"Operations"}</definedName>
    <definedName name="wrn.Operating._.Budget._1" localSheetId="20" hidden="1">{"Operating Budget Detail",#N/A,FALSE,"Operations"}</definedName>
    <definedName name="wrn.Operating._.Budget._1" hidden="1">{"Operating Budget Detail",#N/A,FALSE,"Operations"}</definedName>
    <definedName name="wrn.Perm._.Sources._.and._.Uses." localSheetId="5" hidden="1">{"Sources and Uses with Eligible Basis",#N/A,FALSE,"Sources &amp; Uses";"Disbursement Schedule",#N/A,FALSE,"Sources &amp; Uses"}</definedName>
    <definedName name="wrn.Perm._.Sources._.and._.Uses." localSheetId="17" hidden="1">{"Sources and Uses with Eligible Basis",#N/A,FALSE,"Sources &amp; Uses";"Disbursement Schedule",#N/A,FALSE,"Sources &amp; Uses"}</definedName>
    <definedName name="wrn.Perm._.Sources._.and._.Uses." localSheetId="9" hidden="1">{"Sources and Uses with Eligible Basis",#N/A,FALSE,"Sources &amp; Uses";"Disbursement Schedule",#N/A,FALSE,"Sources &amp; Uses"}</definedName>
    <definedName name="wrn.Perm._.Sources._.and._.Uses." localSheetId="8" hidden="1">{"Sources and Uses with Eligible Basis",#N/A,FALSE,"Sources &amp; Uses";"Disbursement Schedule",#N/A,FALSE,"Sources &amp; Uses"}</definedName>
    <definedName name="wrn.Perm._.Sources._.and._.Uses." localSheetId="34" hidden="1">{"Sources and Uses with Eligible Basis",#N/A,FALSE,"Sources &amp; Uses";"Disbursement Schedule",#N/A,FALSE,"Sources &amp; Uses"}</definedName>
    <definedName name="wrn.Perm._.Sources._.and._.Uses." localSheetId="12" hidden="1">{"Sources and Uses with Eligible Basis",#N/A,FALSE,"Sources &amp; Uses";"Disbursement Schedule",#N/A,FALSE,"Sources &amp; Uses"}</definedName>
    <definedName name="wrn.Perm._.Sources._.and._.Uses." localSheetId="16" hidden="1">{"Sources and Uses with Eligible Basis",#N/A,FALSE,"Sources &amp; Uses";"Disbursement Schedule",#N/A,FALSE,"Sources &amp; Uses"}</definedName>
    <definedName name="wrn.Perm._.Sources._.and._.Uses." localSheetId="31" hidden="1">{"Sources and Uses with Eligible Basis",#N/A,FALSE,"Sources &amp; Uses";"Disbursement Schedule",#N/A,FALSE,"Sources &amp; Uses"}</definedName>
    <definedName name="wrn.Perm._.Sources._.and._.Uses." localSheetId="33" hidden="1">{"Sources and Uses with Eligible Basis",#N/A,FALSE,"Sources &amp; Uses";"Disbursement Schedule",#N/A,FALSE,"Sources &amp; Uses"}</definedName>
    <definedName name="wrn.Perm._.Sources._.and._.Uses." localSheetId="14" hidden="1">{"Sources and Uses with Eligible Basis",#N/A,FALSE,"Sources &amp; Uses";"Disbursement Schedule",#N/A,FALSE,"Sources &amp; Uses"}</definedName>
    <definedName name="wrn.Perm._.Sources._.and._.Uses." localSheetId="6" hidden="1">{"Sources and Uses with Eligible Basis",#N/A,FALSE,"Sources &amp; Uses";"Disbursement Schedule",#N/A,FALSE,"Sources &amp; Uses"}</definedName>
    <definedName name="wrn.Perm._.Sources._.and._.Uses." localSheetId="32" hidden="1">{"Sources and Uses with Eligible Basis",#N/A,FALSE,"Sources &amp; Uses";"Disbursement Schedule",#N/A,FALSE,"Sources &amp; Uses"}</definedName>
    <definedName name="wrn.Perm._.Sources._.and._.Uses." localSheetId="15" hidden="1">{"Sources and Uses with Eligible Basis",#N/A,FALSE,"Sources &amp; Uses";"Disbursement Schedule",#N/A,FALSE,"Sources &amp; Uses"}</definedName>
    <definedName name="wrn.Perm._.Sources._.and._.Uses." localSheetId="27" hidden="1">{"Sources and Uses with Eligible Basis",#N/A,FALSE,"Sources &amp; Uses";"Disbursement Schedule",#N/A,FALSE,"Sources &amp; Uses"}</definedName>
    <definedName name="wrn.Perm._.Sources._.and._.Uses." localSheetId="20" hidden="1">{"Sources and Uses with Eligible Basis",#N/A,FALSE,"Sources &amp; Uses";"Disbursement Schedule",#N/A,FALSE,"Sources &amp; Uses"}</definedName>
    <definedName name="wrn.Perm._.Sources._.and._.Uses." hidden="1">{"Sources and Uses with Eligible Basis",#N/A,FALSE,"Sources &amp; Uses";"Disbursement Schedule",#N/A,FALSE,"Sources &amp; Uses"}</definedName>
    <definedName name="wrn.Perm._.Sources._.and._.Uses._1" localSheetId="5" hidden="1">{"Sources and Uses with Eligible Basis",#N/A,FALSE,"Sources &amp; Uses";"Disbursement Schedule",#N/A,FALSE,"Sources &amp; Uses"}</definedName>
    <definedName name="wrn.Perm._.Sources._.and._.Uses._1" localSheetId="17" hidden="1">{"Sources and Uses with Eligible Basis",#N/A,FALSE,"Sources &amp; Uses";"Disbursement Schedule",#N/A,FALSE,"Sources &amp; Uses"}</definedName>
    <definedName name="wrn.Perm._.Sources._.and._.Uses._1" localSheetId="9" hidden="1">{"Sources and Uses with Eligible Basis",#N/A,FALSE,"Sources &amp; Uses";"Disbursement Schedule",#N/A,FALSE,"Sources &amp; Uses"}</definedName>
    <definedName name="wrn.Perm._.Sources._.and._.Uses._1" localSheetId="8" hidden="1">{"Sources and Uses with Eligible Basis",#N/A,FALSE,"Sources &amp; Uses";"Disbursement Schedule",#N/A,FALSE,"Sources &amp; Uses"}</definedName>
    <definedName name="wrn.Perm._.Sources._.and._.Uses._1" localSheetId="34" hidden="1">{"Sources and Uses with Eligible Basis",#N/A,FALSE,"Sources &amp; Uses";"Disbursement Schedule",#N/A,FALSE,"Sources &amp; Uses"}</definedName>
    <definedName name="wrn.Perm._.Sources._.and._.Uses._1" localSheetId="12" hidden="1">{"Sources and Uses with Eligible Basis",#N/A,FALSE,"Sources &amp; Uses";"Disbursement Schedule",#N/A,FALSE,"Sources &amp; Uses"}</definedName>
    <definedName name="wrn.Perm._.Sources._.and._.Uses._1" localSheetId="16" hidden="1">{"Sources and Uses with Eligible Basis",#N/A,FALSE,"Sources &amp; Uses";"Disbursement Schedule",#N/A,FALSE,"Sources &amp; Uses"}</definedName>
    <definedName name="wrn.Perm._.Sources._.and._.Uses._1" localSheetId="31" hidden="1">{"Sources and Uses with Eligible Basis",#N/A,FALSE,"Sources &amp; Uses";"Disbursement Schedule",#N/A,FALSE,"Sources &amp; Uses"}</definedName>
    <definedName name="wrn.Perm._.Sources._.and._.Uses._1" localSheetId="33" hidden="1">{"Sources and Uses with Eligible Basis",#N/A,FALSE,"Sources &amp; Uses";"Disbursement Schedule",#N/A,FALSE,"Sources &amp; Uses"}</definedName>
    <definedName name="wrn.Perm._.Sources._.and._.Uses._1" localSheetId="14" hidden="1">{"Sources and Uses with Eligible Basis",#N/A,FALSE,"Sources &amp; Uses";"Disbursement Schedule",#N/A,FALSE,"Sources &amp; Uses"}</definedName>
    <definedName name="wrn.Perm._.Sources._.and._.Uses._1" localSheetId="6" hidden="1">{"Sources and Uses with Eligible Basis",#N/A,FALSE,"Sources &amp; Uses";"Disbursement Schedule",#N/A,FALSE,"Sources &amp; Uses"}</definedName>
    <definedName name="wrn.Perm._.Sources._.and._.Uses._1" localSheetId="15" hidden="1">{"Sources and Uses with Eligible Basis",#N/A,FALSE,"Sources &amp; Uses";"Disbursement Schedule",#N/A,FALSE,"Sources &amp; Uses"}</definedName>
    <definedName name="wrn.Perm._.Sources._.and._.Uses._1" localSheetId="20" hidden="1">{"Sources and Uses with Eligible Basis",#N/A,FALSE,"Sources &amp; Uses";"Disbursement Schedule",#N/A,FALSE,"Sources &amp; Uses"}</definedName>
    <definedName name="wrn.Perm._.Sources._.and._.Uses._1" hidden="1">{"Sources and Uses with Eligible Basis",#N/A,FALSE,"Sources &amp; Uses";"Disbursement Schedule",#N/A,FALSE,"Sources &amp; Uses"}</definedName>
    <definedName name="wrn.Rent._.Calcs." localSheetId="5" hidden="1">{"Rent Calcs - all rents and two subsidies",#N/A,FALSE,"Rent Calcs";"Income Limits and Maximum Rents",#N/A,FALSE,"Rent Calcs"}</definedName>
    <definedName name="wrn.Rent._.Calcs." localSheetId="17" hidden="1">{"Rent Calcs - all rents and two subsidies",#N/A,FALSE,"Rent Calcs";"Income Limits and Maximum Rents",#N/A,FALSE,"Rent Calcs"}</definedName>
    <definedName name="wrn.Rent._.Calcs." localSheetId="9" hidden="1">{"Rent Calcs - all rents and two subsidies",#N/A,FALSE,"Rent Calcs";"Income Limits and Maximum Rents",#N/A,FALSE,"Rent Calcs"}</definedName>
    <definedName name="wrn.Rent._.Calcs." localSheetId="8" hidden="1">{"Rent Calcs - all rents and two subsidies",#N/A,FALSE,"Rent Calcs";"Income Limits and Maximum Rents",#N/A,FALSE,"Rent Calcs"}</definedName>
    <definedName name="wrn.Rent._.Calcs." localSheetId="34" hidden="1">{"Rent Calcs - all rents and two subsidies",#N/A,FALSE,"Rent Calcs";"Income Limits and Maximum Rents",#N/A,FALSE,"Rent Calcs"}</definedName>
    <definedName name="wrn.Rent._.Calcs." localSheetId="12" hidden="1">{"Rent Calcs - all rents and two subsidies",#N/A,FALSE,"Rent Calcs";"Income Limits and Maximum Rents",#N/A,FALSE,"Rent Calcs"}</definedName>
    <definedName name="wrn.Rent._.Calcs." localSheetId="16" hidden="1">{"Rent Calcs - all rents and two subsidies",#N/A,FALSE,"Rent Calcs";"Income Limits and Maximum Rents",#N/A,FALSE,"Rent Calcs"}</definedName>
    <definedName name="wrn.Rent._.Calcs." localSheetId="31" hidden="1">{"Rent Calcs - all rents and two subsidies",#N/A,FALSE,"Rent Calcs";"Income Limits and Maximum Rents",#N/A,FALSE,"Rent Calcs"}</definedName>
    <definedName name="wrn.Rent._.Calcs." localSheetId="33" hidden="1">{"Rent Calcs - all rents and two subsidies",#N/A,FALSE,"Rent Calcs";"Income Limits and Maximum Rents",#N/A,FALSE,"Rent Calcs"}</definedName>
    <definedName name="wrn.Rent._.Calcs." localSheetId="14" hidden="1">{"Rent Calcs - all rents and two subsidies",#N/A,FALSE,"Rent Calcs";"Income Limits and Maximum Rents",#N/A,FALSE,"Rent Calcs"}</definedName>
    <definedName name="wrn.Rent._.Calcs." localSheetId="6" hidden="1">{"Rent Calcs - all rents and two subsidies",#N/A,FALSE,"Rent Calcs";"Income Limits and Maximum Rents",#N/A,FALSE,"Rent Calcs"}</definedName>
    <definedName name="wrn.Rent._.Calcs." localSheetId="32" hidden="1">{"Rent Calcs - all rents and two subsidies",#N/A,FALSE,"Rent Calcs";"Income Limits and Maximum Rents",#N/A,FALSE,"Rent Calcs"}</definedName>
    <definedName name="wrn.Rent._.Calcs." localSheetId="15" hidden="1">{"Rent Calcs - all rents and two subsidies",#N/A,FALSE,"Rent Calcs";"Income Limits and Maximum Rents",#N/A,FALSE,"Rent Calcs"}</definedName>
    <definedName name="wrn.Rent._.Calcs." localSheetId="27" hidden="1">{"Rent Calcs - all rents and two subsidies",#N/A,FALSE,"Rent Calcs";"Income Limits and Maximum Rents",#N/A,FALSE,"Rent Calcs"}</definedName>
    <definedName name="wrn.Rent._.Calcs." localSheetId="20" hidden="1">{"Rent Calcs - all rents and two subsidies",#N/A,FALSE,"Rent Calcs";"Income Limits and Maximum Rents",#N/A,FALSE,"Rent Calcs"}</definedName>
    <definedName name="wrn.Rent._.Calcs." hidden="1">{"Rent Calcs - all rents and two subsidies",#N/A,FALSE,"Rent Calcs";"Income Limits and Maximum Rents",#N/A,FALSE,"Rent Calcs"}</definedName>
    <definedName name="wrn.Rent._.Calcs._1" localSheetId="5" hidden="1">{"Rent Calcs - all rents and two subsidies",#N/A,FALSE,"Rent Calcs";"Income Limits and Maximum Rents",#N/A,FALSE,"Rent Calcs"}</definedName>
    <definedName name="wrn.Rent._.Calcs._1" localSheetId="17" hidden="1">{"Rent Calcs - all rents and two subsidies",#N/A,FALSE,"Rent Calcs";"Income Limits and Maximum Rents",#N/A,FALSE,"Rent Calcs"}</definedName>
    <definedName name="wrn.Rent._.Calcs._1" localSheetId="9" hidden="1">{"Rent Calcs - all rents and two subsidies",#N/A,FALSE,"Rent Calcs";"Income Limits and Maximum Rents",#N/A,FALSE,"Rent Calcs"}</definedName>
    <definedName name="wrn.Rent._.Calcs._1" localSheetId="8" hidden="1">{"Rent Calcs - all rents and two subsidies",#N/A,FALSE,"Rent Calcs";"Income Limits and Maximum Rents",#N/A,FALSE,"Rent Calcs"}</definedName>
    <definedName name="wrn.Rent._.Calcs._1" localSheetId="34" hidden="1">{"Rent Calcs - all rents and two subsidies",#N/A,FALSE,"Rent Calcs";"Income Limits and Maximum Rents",#N/A,FALSE,"Rent Calcs"}</definedName>
    <definedName name="wrn.Rent._.Calcs._1" localSheetId="12" hidden="1">{"Rent Calcs - all rents and two subsidies",#N/A,FALSE,"Rent Calcs";"Income Limits and Maximum Rents",#N/A,FALSE,"Rent Calcs"}</definedName>
    <definedName name="wrn.Rent._.Calcs._1" localSheetId="16" hidden="1">{"Rent Calcs - all rents and two subsidies",#N/A,FALSE,"Rent Calcs";"Income Limits and Maximum Rents",#N/A,FALSE,"Rent Calcs"}</definedName>
    <definedName name="wrn.Rent._.Calcs._1" localSheetId="31" hidden="1">{"Rent Calcs - all rents and two subsidies",#N/A,FALSE,"Rent Calcs";"Income Limits and Maximum Rents",#N/A,FALSE,"Rent Calcs"}</definedName>
    <definedName name="wrn.Rent._.Calcs._1" localSheetId="33" hidden="1">{"Rent Calcs - all rents and two subsidies",#N/A,FALSE,"Rent Calcs";"Income Limits and Maximum Rents",#N/A,FALSE,"Rent Calcs"}</definedName>
    <definedName name="wrn.Rent._.Calcs._1" localSheetId="14" hidden="1">{"Rent Calcs - all rents and two subsidies",#N/A,FALSE,"Rent Calcs";"Income Limits and Maximum Rents",#N/A,FALSE,"Rent Calcs"}</definedName>
    <definedName name="wrn.Rent._.Calcs._1" localSheetId="6" hidden="1">{"Rent Calcs - all rents and two subsidies",#N/A,FALSE,"Rent Calcs";"Income Limits and Maximum Rents",#N/A,FALSE,"Rent Calcs"}</definedName>
    <definedName name="wrn.Rent._.Calcs._1" localSheetId="15" hidden="1">{"Rent Calcs - all rents and two subsidies",#N/A,FALSE,"Rent Calcs";"Income Limits and Maximum Rents",#N/A,FALSE,"Rent Calcs"}</definedName>
    <definedName name="wrn.Rent._.Calcs._1" localSheetId="20" hidden="1">{"Rent Calcs - all rents and two subsidies",#N/A,FALSE,"Rent Calcs";"Income Limits and Maximum Rents",#N/A,FALSE,"Rent Calcs"}</definedName>
    <definedName name="wrn.Rent._.Calcs._1" hidden="1">{"Rent Calcs - all rents and two subsidies",#N/A,FALSE,"Rent Calcs";"Income Limits and Maximum Rents",#N/A,FALSE,"Rent Calcs"}</definedName>
    <definedName name="wrn.Rent._.Summary." localSheetId="5"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17"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9"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8"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34"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12"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16"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31"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33"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14"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6"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32"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15"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27"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localSheetId="20"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5"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17"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9"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8"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34"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12"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16"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31"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33"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14"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6"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15"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localSheetId="20" hidden="1">{"Rent Summary",#N/A,FALSE,"Rent Summary";"Regulated Units by Agency",#N/A,FALSE,"Rent Calcs";"Rent Calcs - all rents and two subsidies",#N/A,FALSE,"Rent Calcs";"Rent Calcs - CalHFA and TCAC",#N/A,FALSE,"Rent Calcs";"Rent Calcs - HUD Income Limits and Rents",#N/A,FALSE,"Rent Calcs"}</definedName>
    <definedName name="wrn.Rent._.Summary._1" hidden="1">{"Rent Summary",#N/A,FALSE,"Rent Summary";"Regulated Units by Agency",#N/A,FALSE,"Rent Calcs";"Rent Calcs - all rents and two subsidies",#N/A,FALSE,"Rent Calcs";"Rent Calcs - CalHFA and TCAC",#N/A,FALSE,"Rent Calcs";"Rent Calcs - HUD Income Limits and Rents",#N/A,FALSE,"Rent Calcs"}</definedName>
    <definedName name="wrn.Sources._.and._.Uses." localSheetId="5" hidden="1">{"Sources and Uses",#N/A,FALSE,"Sources &amp; Uses";"Construction Sources &amp; Uses Ex. D",#N/A,FALSE,"Sources &amp; Uses"}</definedName>
    <definedName name="wrn.Sources._.and._.Uses." localSheetId="17" hidden="1">{"Sources and Uses",#N/A,FALSE,"Sources &amp; Uses";"Construction Sources &amp; Uses Ex. D",#N/A,FALSE,"Sources &amp; Uses"}</definedName>
    <definedName name="wrn.Sources._.and._.Uses." localSheetId="9" hidden="1">{"Sources and Uses",#N/A,FALSE,"Sources &amp; Uses";"Construction Sources &amp; Uses Ex. D",#N/A,FALSE,"Sources &amp; Uses"}</definedName>
    <definedName name="wrn.Sources._.and._.Uses." localSheetId="8" hidden="1">{"Sources and Uses",#N/A,FALSE,"Sources &amp; Uses";"Construction Sources &amp; Uses Ex. D",#N/A,FALSE,"Sources &amp; Uses"}</definedName>
    <definedName name="wrn.Sources._.and._.Uses." localSheetId="34" hidden="1">{"Sources and Uses",#N/A,FALSE,"Sources &amp; Uses";"Construction Sources &amp; Uses Ex. D",#N/A,FALSE,"Sources &amp; Uses"}</definedName>
    <definedName name="wrn.Sources._.and._.Uses." localSheetId="12" hidden="1">{"Sources and Uses",#N/A,FALSE,"Sources &amp; Uses";"Construction Sources &amp; Uses Ex. D",#N/A,FALSE,"Sources &amp; Uses"}</definedName>
    <definedName name="wrn.Sources._.and._.Uses." localSheetId="16" hidden="1">{"Sources and Uses",#N/A,FALSE,"Sources &amp; Uses";"Construction Sources &amp; Uses Ex. D",#N/A,FALSE,"Sources &amp; Uses"}</definedName>
    <definedName name="wrn.Sources._.and._.Uses." localSheetId="31" hidden="1">{"Sources and Uses",#N/A,FALSE,"Sources &amp; Uses";"Construction Sources &amp; Uses Ex. D",#N/A,FALSE,"Sources &amp; Uses"}</definedName>
    <definedName name="wrn.Sources._.and._.Uses." localSheetId="33" hidden="1">{"Sources and Uses",#N/A,FALSE,"Sources &amp; Uses";"Construction Sources &amp; Uses Ex. D",#N/A,FALSE,"Sources &amp; Uses"}</definedName>
    <definedName name="wrn.Sources._.and._.Uses." localSheetId="14" hidden="1">{"Sources and Uses",#N/A,FALSE,"Sources &amp; Uses";"Construction Sources &amp; Uses Ex. D",#N/A,FALSE,"Sources &amp; Uses"}</definedName>
    <definedName name="wrn.Sources._.and._.Uses." localSheetId="6" hidden="1">{"Sources and Uses",#N/A,FALSE,"Sources &amp; Uses";"Construction Sources &amp; Uses Ex. D",#N/A,FALSE,"Sources &amp; Uses"}</definedName>
    <definedName name="wrn.Sources._.and._.Uses." localSheetId="32" hidden="1">{"Sources and Uses",#N/A,FALSE,"Sources &amp; Uses";"Construction Sources &amp; Uses Ex. D",#N/A,FALSE,"Sources &amp; Uses"}</definedName>
    <definedName name="wrn.Sources._.and._.Uses." localSheetId="15" hidden="1">{"Sources and Uses",#N/A,FALSE,"Sources &amp; Uses";"Construction Sources &amp; Uses Ex. D",#N/A,FALSE,"Sources &amp; Uses"}</definedName>
    <definedName name="wrn.Sources._.and._.Uses." localSheetId="27" hidden="1">{"Sources and Uses",#N/A,FALSE,"Sources &amp; Uses";"Construction Sources &amp; Uses Ex. D",#N/A,FALSE,"Sources &amp; Uses"}</definedName>
    <definedName name="wrn.Sources._.and._.Uses." localSheetId="20" hidden="1">{"Sources and Uses",#N/A,FALSE,"Sources &amp; Uses";"Construction Sources &amp; Uses Ex. D",#N/A,FALSE,"Sources &amp; Uses"}</definedName>
    <definedName name="wrn.Sources._.and._.Uses." hidden="1">{"Sources and Uses",#N/A,FALSE,"Sources &amp; Uses";"Construction Sources &amp; Uses Ex. D",#N/A,FALSE,"Sources &amp; Uses"}</definedName>
    <definedName name="wrn.Sources._.and._.Uses._1" localSheetId="5" hidden="1">{"Sources and Uses",#N/A,FALSE,"Sources &amp; Uses";"Construction Sources &amp; Uses Ex. D",#N/A,FALSE,"Sources &amp; Uses"}</definedName>
    <definedName name="wrn.Sources._.and._.Uses._1" localSheetId="17" hidden="1">{"Sources and Uses",#N/A,FALSE,"Sources &amp; Uses";"Construction Sources &amp; Uses Ex. D",#N/A,FALSE,"Sources &amp; Uses"}</definedName>
    <definedName name="wrn.Sources._.and._.Uses._1" localSheetId="9" hidden="1">{"Sources and Uses",#N/A,FALSE,"Sources &amp; Uses";"Construction Sources &amp; Uses Ex. D",#N/A,FALSE,"Sources &amp; Uses"}</definedName>
    <definedName name="wrn.Sources._.and._.Uses._1" localSheetId="8" hidden="1">{"Sources and Uses",#N/A,FALSE,"Sources &amp; Uses";"Construction Sources &amp; Uses Ex. D",#N/A,FALSE,"Sources &amp; Uses"}</definedName>
    <definedName name="wrn.Sources._.and._.Uses._1" localSheetId="34" hidden="1">{"Sources and Uses",#N/A,FALSE,"Sources &amp; Uses";"Construction Sources &amp; Uses Ex. D",#N/A,FALSE,"Sources &amp; Uses"}</definedName>
    <definedName name="wrn.Sources._.and._.Uses._1" localSheetId="12" hidden="1">{"Sources and Uses",#N/A,FALSE,"Sources &amp; Uses";"Construction Sources &amp; Uses Ex. D",#N/A,FALSE,"Sources &amp; Uses"}</definedName>
    <definedName name="wrn.Sources._.and._.Uses._1" localSheetId="16" hidden="1">{"Sources and Uses",#N/A,FALSE,"Sources &amp; Uses";"Construction Sources &amp; Uses Ex. D",#N/A,FALSE,"Sources &amp; Uses"}</definedName>
    <definedName name="wrn.Sources._.and._.Uses._1" localSheetId="31" hidden="1">{"Sources and Uses",#N/A,FALSE,"Sources &amp; Uses";"Construction Sources &amp; Uses Ex. D",#N/A,FALSE,"Sources &amp; Uses"}</definedName>
    <definedName name="wrn.Sources._.and._.Uses._1" localSheetId="33" hidden="1">{"Sources and Uses",#N/A,FALSE,"Sources &amp; Uses";"Construction Sources &amp; Uses Ex. D",#N/A,FALSE,"Sources &amp; Uses"}</definedName>
    <definedName name="wrn.Sources._.and._.Uses._1" localSheetId="14" hidden="1">{"Sources and Uses",#N/A,FALSE,"Sources &amp; Uses";"Construction Sources &amp; Uses Ex. D",#N/A,FALSE,"Sources &amp; Uses"}</definedName>
    <definedName name="wrn.Sources._.and._.Uses._1" localSheetId="6" hidden="1">{"Sources and Uses",#N/A,FALSE,"Sources &amp; Uses";"Construction Sources &amp; Uses Ex. D",#N/A,FALSE,"Sources &amp; Uses"}</definedName>
    <definedName name="wrn.Sources._.and._.Uses._1" localSheetId="15" hidden="1">{"Sources and Uses",#N/A,FALSE,"Sources &amp; Uses";"Construction Sources &amp; Uses Ex. D",#N/A,FALSE,"Sources &amp; Uses"}</definedName>
    <definedName name="wrn.Sources._.and._.Uses._1" localSheetId="20" hidden="1">{"Sources and Uses",#N/A,FALSE,"Sources &amp; Uses";"Construction Sources &amp; Uses Ex. D",#N/A,FALSE,"Sources &amp; Uses"}</definedName>
    <definedName name="wrn.Sources._.and._.Uses._1" hidden="1">{"Sources and Uses",#N/A,FALSE,"Sources &amp; Uses";"Construction Sources &amp; Uses Ex. D",#N/A,FALSE,"Sources &amp; Uses"}</definedName>
    <definedName name="wrn.Subsidy._.Costs._.to._.CalHFA." localSheetId="5" hidden="1">{"Subsidy",#N/A,FALSE,"Subisdy"}</definedName>
    <definedName name="wrn.Subsidy._.Costs._.to._.CalHFA." localSheetId="17" hidden="1">{"Subsidy",#N/A,FALSE,"Subisdy"}</definedName>
    <definedName name="wrn.Subsidy._.Costs._.to._.CalHFA." localSheetId="9" hidden="1">{"Subsidy",#N/A,FALSE,"Subisdy"}</definedName>
    <definedName name="wrn.Subsidy._.Costs._.to._.CalHFA." localSheetId="8" hidden="1">{"Subsidy",#N/A,FALSE,"Subisdy"}</definedName>
    <definedName name="wrn.Subsidy._.Costs._.to._.CalHFA." localSheetId="34" hidden="1">{"Subsidy",#N/A,FALSE,"Subisdy"}</definedName>
    <definedName name="wrn.Subsidy._.Costs._.to._.CalHFA." localSheetId="12" hidden="1">{"Subsidy",#N/A,FALSE,"Subisdy"}</definedName>
    <definedName name="wrn.Subsidy._.Costs._.to._.CalHFA." localSheetId="16" hidden="1">{"Subsidy",#N/A,FALSE,"Subisdy"}</definedName>
    <definedName name="wrn.Subsidy._.Costs._.to._.CalHFA." localSheetId="31" hidden="1">{"Subsidy",#N/A,FALSE,"Subisdy"}</definedName>
    <definedName name="wrn.Subsidy._.Costs._.to._.CalHFA." localSheetId="33" hidden="1">{"Subsidy",#N/A,FALSE,"Subisdy"}</definedName>
    <definedName name="wrn.Subsidy._.Costs._.to._.CalHFA." localSheetId="14" hidden="1">{"Subsidy",#N/A,FALSE,"Subisdy"}</definedName>
    <definedName name="wrn.Subsidy._.Costs._.to._.CalHFA." localSheetId="6" hidden="1">{"Subsidy",#N/A,FALSE,"Subisdy"}</definedName>
    <definedName name="wrn.Subsidy._.Costs._.to._.CalHFA." localSheetId="32" hidden="1">{"Subsidy",#N/A,FALSE,"Subisdy"}</definedName>
    <definedName name="wrn.Subsidy._.Costs._.to._.CalHFA." localSheetId="15" hidden="1">{"Subsidy",#N/A,FALSE,"Subisdy"}</definedName>
    <definedName name="wrn.Subsidy._.Costs._.to._.CalHFA." localSheetId="27" hidden="1">{"Subsidy",#N/A,FALSE,"Subisdy"}</definedName>
    <definedName name="wrn.Subsidy._.Costs._.to._.CalHFA." localSheetId="20" hidden="1">{"Subsidy",#N/A,FALSE,"Subisdy"}</definedName>
    <definedName name="wrn.Subsidy._.Costs._.to._.CalHFA." hidden="1">{"Subsidy",#N/A,FALSE,"Subisdy"}</definedName>
    <definedName name="wrn.Subsidy._.Costs._.to._.CalHFA._1" localSheetId="5" hidden="1">{"Subsidy",#N/A,FALSE,"Subisdy"}</definedName>
    <definedName name="wrn.Subsidy._.Costs._.to._.CalHFA._1" localSheetId="17" hidden="1">{"Subsidy",#N/A,FALSE,"Subisdy"}</definedName>
    <definedName name="wrn.Subsidy._.Costs._.to._.CalHFA._1" localSheetId="9" hidden="1">{"Subsidy",#N/A,FALSE,"Subisdy"}</definedName>
    <definedName name="wrn.Subsidy._.Costs._.to._.CalHFA._1" localSheetId="8" hidden="1">{"Subsidy",#N/A,FALSE,"Subisdy"}</definedName>
    <definedName name="wrn.Subsidy._.Costs._.to._.CalHFA._1" localSheetId="34" hidden="1">{"Subsidy",#N/A,FALSE,"Subisdy"}</definedName>
    <definedName name="wrn.Subsidy._.Costs._.to._.CalHFA._1" localSheetId="12" hidden="1">{"Subsidy",#N/A,FALSE,"Subisdy"}</definedName>
    <definedName name="wrn.Subsidy._.Costs._.to._.CalHFA._1" localSheetId="16" hidden="1">{"Subsidy",#N/A,FALSE,"Subisdy"}</definedName>
    <definedName name="wrn.Subsidy._.Costs._.to._.CalHFA._1" localSheetId="31" hidden="1">{"Subsidy",#N/A,FALSE,"Subisdy"}</definedName>
    <definedName name="wrn.Subsidy._.Costs._.to._.CalHFA._1" localSheetId="33" hidden="1">{"Subsidy",#N/A,FALSE,"Subisdy"}</definedName>
    <definedName name="wrn.Subsidy._.Costs._.to._.CalHFA._1" localSheetId="14" hidden="1">{"Subsidy",#N/A,FALSE,"Subisdy"}</definedName>
    <definedName name="wrn.Subsidy._.Costs._.to._.CalHFA._1" localSheetId="6" hidden="1">{"Subsidy",#N/A,FALSE,"Subisdy"}</definedName>
    <definedName name="wrn.Subsidy._.Costs._.to._.CalHFA._1" localSheetId="15" hidden="1">{"Subsidy",#N/A,FALSE,"Subisdy"}</definedName>
    <definedName name="wrn.Subsidy._.Costs._.to._.CalHFA._1" localSheetId="20" hidden="1">{"Subsidy",#N/A,FALSE,"Subisdy"}</definedName>
    <definedName name="wrn.Subsidy._.Costs._.to._.CalHFA._1" hidden="1">{"Subsidy",#N/A,FALSE,"Subisdy"}</definedName>
    <definedName name="wrn.TEFRA._.INFO." localSheetId="5" hidden="1">{"TEFRA INFO",#N/A,FALSE,"Input"}</definedName>
    <definedName name="wrn.TEFRA._.INFO." localSheetId="17" hidden="1">{"TEFRA INFO",#N/A,FALSE,"Input"}</definedName>
    <definedName name="wrn.TEFRA._.INFO." localSheetId="9" hidden="1">{"TEFRA INFO",#N/A,FALSE,"Input"}</definedName>
    <definedName name="wrn.TEFRA._.INFO." localSheetId="8" hidden="1">{"TEFRA INFO",#N/A,FALSE,"Input"}</definedName>
    <definedName name="wrn.TEFRA._.INFO." localSheetId="34" hidden="1">{"TEFRA INFO",#N/A,FALSE,"Input"}</definedName>
    <definedName name="wrn.TEFRA._.INFO." localSheetId="12" hidden="1">{"TEFRA INFO",#N/A,FALSE,"Input"}</definedName>
    <definedName name="wrn.TEFRA._.INFO." localSheetId="16" hidden="1">{"TEFRA INFO",#N/A,FALSE,"Input"}</definedName>
    <definedName name="wrn.TEFRA._.INFO." localSheetId="31" hidden="1">{"TEFRA INFO",#N/A,FALSE,"Input"}</definedName>
    <definedName name="wrn.TEFRA._.INFO." localSheetId="33" hidden="1">{"TEFRA INFO",#N/A,FALSE,"Input"}</definedName>
    <definedName name="wrn.TEFRA._.INFO." localSheetId="14" hidden="1">{"TEFRA INFO",#N/A,FALSE,"Input"}</definedName>
    <definedName name="wrn.TEFRA._.INFO." localSheetId="6" hidden="1">{"TEFRA INFO",#N/A,FALSE,"Input"}</definedName>
    <definedName name="wrn.TEFRA._.INFO." localSheetId="32" hidden="1">{"TEFRA INFO",#N/A,FALSE,"Input"}</definedName>
    <definedName name="wrn.TEFRA._.INFO." localSheetId="15" hidden="1">{"TEFRA INFO",#N/A,FALSE,"Input"}</definedName>
    <definedName name="wrn.TEFRA._.INFO." localSheetId="27" hidden="1">{"TEFRA INFO",#N/A,FALSE,"Input"}</definedName>
    <definedName name="wrn.TEFRA._.INFO." localSheetId="20" hidden="1">{"TEFRA INFO",#N/A,FALSE,"Input"}</definedName>
    <definedName name="wrn.TEFRA._.INFO." hidden="1">{"TEFRA INFO",#N/A,FALSE,"Input"}</definedName>
    <definedName name="wrn.TEFRA._.INFO._1" localSheetId="5" hidden="1">{"TEFRA INFO",#N/A,FALSE,"Input"}</definedName>
    <definedName name="wrn.TEFRA._.INFO._1" localSheetId="17" hidden="1">{"TEFRA INFO",#N/A,FALSE,"Input"}</definedName>
    <definedName name="wrn.TEFRA._.INFO._1" localSheetId="9" hidden="1">{"TEFRA INFO",#N/A,FALSE,"Input"}</definedName>
    <definedName name="wrn.TEFRA._.INFO._1" localSheetId="8" hidden="1">{"TEFRA INFO",#N/A,FALSE,"Input"}</definedName>
    <definedName name="wrn.TEFRA._.INFO._1" localSheetId="34" hidden="1">{"TEFRA INFO",#N/A,FALSE,"Input"}</definedName>
    <definedName name="wrn.TEFRA._.INFO._1" localSheetId="12" hidden="1">{"TEFRA INFO",#N/A,FALSE,"Input"}</definedName>
    <definedName name="wrn.TEFRA._.INFO._1" localSheetId="16" hidden="1">{"TEFRA INFO",#N/A,FALSE,"Input"}</definedName>
    <definedName name="wrn.TEFRA._.INFO._1" localSheetId="31" hidden="1">{"TEFRA INFO",#N/A,FALSE,"Input"}</definedName>
    <definedName name="wrn.TEFRA._.INFO._1" localSheetId="33" hidden="1">{"TEFRA INFO",#N/A,FALSE,"Input"}</definedName>
    <definedName name="wrn.TEFRA._.INFO._1" localSheetId="14" hidden="1">{"TEFRA INFO",#N/A,FALSE,"Input"}</definedName>
    <definedName name="wrn.TEFRA._.INFO._1" localSheetId="6" hidden="1">{"TEFRA INFO",#N/A,FALSE,"Input"}</definedName>
    <definedName name="wrn.TEFRA._.INFO._1" localSheetId="15" hidden="1">{"TEFRA INFO",#N/A,FALSE,"Input"}</definedName>
    <definedName name="wrn.TEFRA._.INFO._1" localSheetId="20" hidden="1">{"TEFRA INFO",#N/A,FALSE,"Input"}</definedName>
    <definedName name="wrn.TEFRA._.INFO._1" hidden="1">{"TEFRA INFO",#N/A,FALSE,"Input"}</definedName>
    <definedName name="wrn.Underwriting._.View." localSheetId="5"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17"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9"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8"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34"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12"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16"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31"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33"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14"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6"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32"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15"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27"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localSheetId="20"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5"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17"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9"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8"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34"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12"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16"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31"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33"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14"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6"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15"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localSheetId="20"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wrn.Underwriting._.View._1" hidden="1">{"Project Summary",#N/A,FALSE,"Project Summary";"Rent Summary",#N/A,FALSE,"Rent Summary";"Regulated Units by Agency",#N/A,FALSE,"Rent Calcs";"Rent Calcs - all rents and two subsidies",#N/A,FALSE,"Rent Calcs";"Rent Calcs - CalHFA and TCAC",#N/A,FALSE,"Rent Calcs";"Sources and Uses with Eligible Basis",#N/A,FALSE,"Sources &amp; Uses";"Construction Sources &amp; Uses Ex. D",#N/A,FALSE,"Construction S &amp; U";"Operating Budget Detail",#N/A,FALSE,"Operations";"Cash Flow",#N/A,FALSE,"Cash Flow";"Input Pages 1 and 2",#N/A,FALSE,"Input";"Input Pages 3 and 4",#N/A,FALSE,"Input";"Bridge Loan",#N/A,FALSE,"Bridge Loan"}</definedName>
    <definedName name="Yes_No" localSheetId="5" hidden="1">#REF!</definedName>
    <definedName name="Yes_No" hidden="1">#REF!</definedName>
    <definedName name="Z_01FBA833_B929_4522_A165_3270E654351D_.wvu.Cols" localSheetId="33" hidden="1">'Local Enviro Verification'!$L:$AM</definedName>
    <definedName name="Z_01FBA833_B929_4522_A165_3270E654351D_.wvu.PrintArea" localSheetId="33" hidden="1">'Local Enviro Verification'!$B$2:$K$29</definedName>
    <definedName name="Z_0C0140BC_99E4_40E9_BCEC_80DC8B305317_.wvu.Cols" localSheetId="33" hidden="1">'Local Enviro Verification'!$L:$AM</definedName>
    <definedName name="Z_0C0140BC_99E4_40E9_BCEC_80DC8B305317_.wvu.PrintArea" localSheetId="33" hidden="1">'Local Enviro Verification'!$B$2:$K$29</definedName>
    <definedName name="Z_6C218C41_7B9F_4AF9_B281_A64AA99DB2FC_.wvu.Cols" localSheetId="16" hidden="1">'HCD Reserves Calculator'!$N:$N</definedName>
    <definedName name="Z_84F316A4_6238_48E1_8EDF_C2D46DC50E22_.wvu.PrintArea" localSheetId="20" hidden="1">'VHHP Resident Services Coord'!#REF!</definedName>
    <definedName name="Z_C3EF0F80_B7E0_494E_8085_B7C349F07694_.wvu.Cols" localSheetId="33" hidden="1">'Local Enviro Verification'!$L:$AM</definedName>
    <definedName name="Z_C3EF0F80_B7E0_494E_8085_B7C349F07694_.wvu.PrintArea" localSheetId="33" hidden="1">'Local Enviro Verification'!$B$2:$K$29</definedName>
    <definedName name="Z_CC6768C9_4665_41C0_9961_CED8945EEDF4_.wvu.Cols" localSheetId="33" hidden="1">'Local Enviro Verification'!$L:$AM</definedName>
    <definedName name="Z_CC6768C9_4665_41C0_9961_CED8945EEDF4_.wvu.PrintArea" localSheetId="33" hidden="1">'Local Enviro Verification'!$B$2:$K$29</definedName>
    <definedName name="Z_DFEFA7A8_CDA7_4EE6_88CD_A742A6A7742C_.wvu.Cols" localSheetId="33" hidden="1">'Local Enviro Verification'!$L:$AM</definedName>
    <definedName name="Z_DFEFA7A8_CDA7_4EE6_88CD_A742A6A7742C_.wvu.PrintArea" localSheetId="33" hidden="1">'Local Enviro Verification'!$B$2:$K$29</definedName>
    <definedName name="Z_E7FF1637_BF68_472E_9EDD_D742175AC7C6_.wvu.PrintArea" localSheetId="20" hidden="1">'VHHP Resident Services Coord'!#REF!</definedName>
    <definedName name="Z_EE5380CF_C0CC_4223_9151_8148B1DCEC52_.wvu.Cols" localSheetId="33" hidden="1">'Local Enviro Verification'!$L:$AM</definedName>
    <definedName name="Z_EE5380CF_C0CC_4223_9151_8148B1DCEC52_.wvu.PrintArea" localSheetId="33" hidden="1">'Local Enviro Verification'!$B$2:$K$29</definedName>
    <definedName name="Z_F5BB6EF4_FD9B_4B7E_AFDF_FB5FCB9BA5F6_.wvu.Cols" localSheetId="33" hidden="1">'Local Enviro Verification'!$L:$AM</definedName>
    <definedName name="Z_F5BB6EF4_FD9B_4B7E_AFDF_FB5FCB9BA5F6_.wvu.PrintArea" localSheetId="33" hidden="1">'Local Enviro Verification'!$B$2:$K$29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17" i="15" l="1"/>
  <c r="I10" i="32"/>
  <c r="I9" i="32"/>
  <c r="I8" i="32"/>
  <c r="I52" i="4" l="1"/>
  <c r="C52" i="4" l="1"/>
  <c r="AL166" i="34"/>
  <c r="N291" i="7" l="1"/>
  <c r="N282" i="7"/>
  <c r="N273" i="7"/>
  <c r="AJ24" i="39" l="1"/>
  <c r="K48" i="34" l="1"/>
  <c r="B11" i="7" l="1"/>
  <c r="AL41" i="34" l="1"/>
  <c r="L17" i="19"/>
  <c r="L18" i="19"/>
  <c r="AX13" i="11"/>
  <c r="T64" i="34"/>
  <c r="AB64" i="34" l="1"/>
  <c r="G27" i="13" l="1"/>
  <c r="V488" i="7"/>
  <c r="S488" i="7"/>
  <c r="T65" i="34"/>
  <c r="E87" i="14" l="1"/>
  <c r="E84" i="14"/>
  <c r="E65" i="14"/>
  <c r="AI181" i="7" l="1"/>
  <c r="AJ38" i="39"/>
  <c r="I108" i="4"/>
  <c r="N227" i="7"/>
  <c r="Y227" i="7"/>
  <c r="AO225" i="7"/>
  <c r="AJ25" i="39"/>
  <c r="AJ30" i="39"/>
  <c r="AJ31" i="39"/>
  <c r="AJ32" i="39"/>
  <c r="AJ33" i="39"/>
  <c r="AJ45" i="39"/>
  <c r="AJ52" i="39"/>
  <c r="AJ97" i="39"/>
  <c r="AJ98" i="39"/>
  <c r="AJ181" i="39"/>
  <c r="AJ180" i="39"/>
  <c r="E227" i="7"/>
  <c r="B31" i="44"/>
  <c r="I8" i="11"/>
  <c r="H8" i="11"/>
  <c r="G8" i="11"/>
  <c r="E8" i="11"/>
  <c r="F8" i="11"/>
  <c r="AB8" i="11"/>
  <c r="AC162" i="7"/>
  <c r="L162" i="7"/>
  <c r="E162" i="7"/>
  <c r="N211" i="34"/>
  <c r="N209" i="34"/>
  <c r="E211" i="34"/>
  <c r="E209" i="34"/>
  <c r="AX10" i="11"/>
  <c r="BA10" i="11" s="1"/>
  <c r="V5" i="12"/>
  <c r="AQ8" i="11" l="1"/>
  <c r="M213" i="7"/>
  <c r="M212" i="7"/>
  <c r="E213" i="7"/>
  <c r="E212" i="7"/>
  <c r="K466" i="7" l="1"/>
  <c r="AL164" i="34" l="1"/>
  <c r="AJ468" i="7"/>
  <c r="K468" i="7"/>
  <c r="K470" i="7" s="1"/>
  <c r="AJ473" i="7"/>
  <c r="AB18" i="34" l="1"/>
  <c r="AE18" i="34" s="1"/>
  <c r="L69" i="19"/>
  <c r="E60" i="14"/>
  <c r="E64" i="14"/>
  <c r="E16" i="14"/>
  <c r="E20" i="14"/>
  <c r="AO7" i="11"/>
  <c r="CI19" i="11" s="1"/>
  <c r="CJ33" i="11" s="1"/>
  <c r="E70" i="14" l="1"/>
  <c r="E21" i="14"/>
  <c r="CI7" i="11"/>
  <c r="CJ41" i="11" s="1"/>
  <c r="CI11" i="11"/>
  <c r="CI10" i="11"/>
  <c r="B210" i="7" l="1"/>
  <c r="AQ58" i="34"/>
  <c r="AQ59" i="34"/>
  <c r="B61" i="44"/>
  <c r="B62" i="44" s="1"/>
  <c r="B64" i="44" s="1"/>
  <c r="B68" i="44" s="1"/>
  <c r="B69" i="44" s="1"/>
  <c r="C55" i="44"/>
  <c r="B54" i="44"/>
  <c r="B53" i="44"/>
  <c r="C51" i="44" s="1"/>
  <c r="D51" i="44" s="1"/>
  <c r="B52" i="44"/>
  <c r="C50" i="44" s="1"/>
  <c r="D50" i="44" s="1"/>
  <c r="B49" i="44"/>
  <c r="B48" i="44"/>
  <c r="D39" i="44"/>
  <c r="C38" i="44"/>
  <c r="C37" i="44"/>
  <c r="C36" i="44"/>
  <c r="D36" i="44" s="1"/>
  <c r="D32" i="44"/>
  <c r="D31" i="44"/>
  <c r="T68" i="34"/>
  <c r="AB68" i="34" s="1"/>
  <c r="T67" i="34"/>
  <c r="AB67" i="34" s="1"/>
  <c r="T66" i="34"/>
  <c r="AB66" i="34" s="1"/>
  <c r="AQ57" i="34"/>
  <c r="B5" i="13"/>
  <c r="I34" i="13"/>
  <c r="I35" i="13"/>
  <c r="I44" i="13"/>
  <c r="I45" i="13"/>
  <c r="I46" i="13"/>
  <c r="I47" i="13"/>
  <c r="I48" i="13"/>
  <c r="I49" i="13"/>
  <c r="I50" i="13"/>
  <c r="I51" i="13"/>
  <c r="I52" i="13"/>
  <c r="I53" i="13"/>
  <c r="I54" i="13"/>
  <c r="I55" i="13"/>
  <c r="I56" i="13"/>
  <c r="I57" i="13"/>
  <c r="I58" i="13"/>
  <c r="I59" i="13"/>
  <c r="I60" i="13"/>
  <c r="I61" i="13"/>
  <c r="X21" i="34"/>
  <c r="H65" i="13" l="1"/>
  <c r="AB65" i="34"/>
  <c r="AB69" i="34" s="1"/>
  <c r="T69" i="34"/>
  <c r="B55" i="44"/>
  <c r="B56" i="44" s="1"/>
  <c r="B67" i="44" s="1"/>
  <c r="B40" i="44"/>
  <c r="D40" i="44" s="1"/>
  <c r="D37" i="44"/>
  <c r="AR57" i="34"/>
  <c r="AQ60" i="34"/>
  <c r="B6" i="44" l="1"/>
  <c r="AL255" i="34"/>
  <c r="K250" i="34"/>
  <c r="K256" i="34" s="1"/>
  <c r="AK256" i="34" s="1"/>
  <c r="AL258" i="34"/>
  <c r="AR60" i="34"/>
  <c r="CT12" i="11"/>
  <c r="DA12" i="11"/>
  <c r="CX12" i="11"/>
  <c r="CY12" i="11"/>
  <c r="CS11" i="11"/>
  <c r="CS10" i="11"/>
  <c r="AJ66" i="12"/>
  <c r="AJ65" i="12"/>
  <c r="AJ63" i="12"/>
  <c r="AJ62" i="12"/>
  <c r="AJ310" i="34"/>
  <c r="AO113" i="34"/>
  <c r="AD8" i="11" l="1"/>
  <c r="AL42" i="34" s="1"/>
  <c r="DB12" i="11"/>
  <c r="DC12" i="11" s="1"/>
  <c r="AR59" i="34"/>
  <c r="AQ61" i="34"/>
  <c r="AR58" i="34"/>
  <c r="BC33" i="11"/>
  <c r="BC11" i="11"/>
  <c r="BC12" i="11"/>
  <c r="BC13" i="11"/>
  <c r="BC14" i="11"/>
  <c r="BC15" i="11"/>
  <c r="BC16" i="11"/>
  <c r="BC17" i="11"/>
  <c r="BC18" i="11"/>
  <c r="BC19" i="11"/>
  <c r="BC20" i="11"/>
  <c r="BC21" i="11"/>
  <c r="BC22" i="11"/>
  <c r="BC23" i="11"/>
  <c r="BC24" i="11"/>
  <c r="BC25" i="11"/>
  <c r="BC26" i="11"/>
  <c r="BC27" i="11"/>
  <c r="BC28" i="11"/>
  <c r="BC29" i="11"/>
  <c r="BC30" i="11"/>
  <c r="BC31" i="11"/>
  <c r="BC32" i="11"/>
  <c r="BC34" i="11"/>
  <c r="BC35" i="11"/>
  <c r="BC36" i="11"/>
  <c r="BC37" i="11"/>
  <c r="BC38" i="11"/>
  <c r="BC39" i="11"/>
  <c r="BC40" i="11"/>
  <c r="BC41" i="11"/>
  <c r="BC42" i="11"/>
  <c r="BC43" i="11"/>
  <c r="BC44" i="11"/>
  <c r="BC45" i="11"/>
  <c r="BC46" i="11"/>
  <c r="BC47" i="11"/>
  <c r="BC48" i="11"/>
  <c r="BC49" i="11"/>
  <c r="BC50" i="11"/>
  <c r="BC10" i="11"/>
  <c r="BF10" i="11" s="1"/>
  <c r="AX11" i="11"/>
  <c r="AX12" i="11"/>
  <c r="AX14" i="11"/>
  <c r="AX15" i="11"/>
  <c r="AX16" i="11"/>
  <c r="AX17" i="11"/>
  <c r="AX18" i="11"/>
  <c r="AX19" i="11"/>
  <c r="AX20" i="11"/>
  <c r="AX21" i="11"/>
  <c r="AX22" i="11"/>
  <c r="AX23" i="11"/>
  <c r="AX24" i="11"/>
  <c r="AX25" i="11"/>
  <c r="AX26" i="11"/>
  <c r="AX27" i="11"/>
  <c r="AX28" i="11"/>
  <c r="AX29" i="11"/>
  <c r="AX30" i="11"/>
  <c r="AX31" i="11"/>
  <c r="AX32" i="11"/>
  <c r="AX33" i="11"/>
  <c r="AX34" i="11"/>
  <c r="AX35" i="11"/>
  <c r="AX36" i="11"/>
  <c r="AX37" i="11"/>
  <c r="AX38" i="11"/>
  <c r="AX39" i="11"/>
  <c r="AX40" i="11"/>
  <c r="AX41" i="11"/>
  <c r="AX42" i="11"/>
  <c r="AX43" i="11"/>
  <c r="AX44" i="11"/>
  <c r="AX45" i="11"/>
  <c r="AX46" i="11"/>
  <c r="AX47" i="11"/>
  <c r="AX48" i="11"/>
  <c r="AX49" i="11"/>
  <c r="AX50" i="11"/>
  <c r="AR61" i="34" l="1"/>
  <c r="AR62" i="34" s="1"/>
  <c r="AQ62" i="34"/>
  <c r="T9" i="32" l="1"/>
  <c r="F117" i="15" l="1"/>
  <c r="AL248" i="34" l="1"/>
  <c r="AN218" i="39" l="1"/>
  <c r="AN216" i="39"/>
  <c r="AN214" i="39"/>
  <c r="AN212" i="39"/>
  <c r="AN211" i="39"/>
  <c r="AN201" i="39"/>
  <c r="AN198" i="39"/>
  <c r="AN197" i="39"/>
  <c r="AN196" i="39"/>
  <c r="AN195" i="39"/>
  <c r="AN193" i="39"/>
  <c r="AN192" i="39"/>
  <c r="AN191" i="39"/>
  <c r="AN190" i="39"/>
  <c r="AN189" i="39"/>
  <c r="AN188" i="39"/>
  <c r="AO187" i="39"/>
  <c r="AN187" i="39"/>
  <c r="AN186" i="39"/>
  <c r="AN185" i="39"/>
  <c r="AN184" i="39"/>
  <c r="AN183" i="39"/>
  <c r="AO182" i="39"/>
  <c r="AN182" i="39"/>
  <c r="AN181" i="39"/>
  <c r="AN180" i="39"/>
  <c r="AN179" i="39"/>
  <c r="AN178" i="39"/>
  <c r="AN177" i="39"/>
  <c r="AN176" i="39"/>
  <c r="AN175" i="39"/>
  <c r="AN174" i="39"/>
  <c r="AN173" i="39"/>
  <c r="AN172" i="39"/>
  <c r="AN171" i="39"/>
  <c r="AN170" i="39"/>
  <c r="AN165" i="39"/>
  <c r="AN162" i="39"/>
  <c r="AN161" i="39"/>
  <c r="AN160" i="39"/>
  <c r="AN156" i="39"/>
  <c r="AN155" i="39"/>
  <c r="AN154" i="39"/>
  <c r="AN153" i="39"/>
  <c r="AN143" i="39"/>
  <c r="AN142" i="39"/>
  <c r="AN141" i="39"/>
  <c r="AN140" i="39"/>
  <c r="AN139" i="39"/>
  <c r="AN132" i="39"/>
  <c r="AN131" i="39"/>
  <c r="AN128" i="39"/>
  <c r="AN125" i="39"/>
  <c r="AN124" i="39"/>
  <c r="AN123" i="39"/>
  <c r="AN122" i="39"/>
  <c r="AN121" i="39"/>
  <c r="AN120" i="39"/>
  <c r="AN117" i="39"/>
  <c r="AN114" i="39"/>
  <c r="AN112" i="39"/>
  <c r="AN110" i="39"/>
  <c r="AN108" i="39"/>
  <c r="AN107" i="39"/>
  <c r="AN106" i="39"/>
  <c r="AN105" i="39"/>
  <c r="AN104" i="39"/>
  <c r="AN103" i="39"/>
  <c r="AN101" i="39"/>
  <c r="AN99" i="39"/>
  <c r="AN98" i="39"/>
  <c r="AN97" i="39"/>
  <c r="AN95" i="39"/>
  <c r="AN94" i="39"/>
  <c r="AN93" i="39"/>
  <c r="AN92" i="39"/>
  <c r="AN91" i="39"/>
  <c r="AN90" i="39"/>
  <c r="AN88" i="39"/>
  <c r="AN87" i="39"/>
  <c r="AN86" i="39"/>
  <c r="AN85" i="39"/>
  <c r="AN84" i="39"/>
  <c r="AN83" i="39"/>
  <c r="AN81" i="39"/>
  <c r="AN80" i="39"/>
  <c r="AN79" i="39"/>
  <c r="AN78" i="39"/>
  <c r="AN77" i="39"/>
  <c r="AN76" i="39"/>
  <c r="AN74" i="39"/>
  <c r="AN73" i="39"/>
  <c r="AN72" i="39"/>
  <c r="AN71" i="39"/>
  <c r="AN70" i="39"/>
  <c r="AN69" i="39"/>
  <c r="AN67" i="39"/>
  <c r="AN66" i="39"/>
  <c r="AN65" i="39"/>
  <c r="AN64" i="39"/>
  <c r="AN63" i="39"/>
  <c r="AN62" i="39"/>
  <c r="AN61" i="39"/>
  <c r="AN60" i="39"/>
  <c r="AN59" i="39"/>
  <c r="AN57" i="39"/>
  <c r="AN56" i="39"/>
  <c r="AN55" i="39"/>
  <c r="AN54" i="39"/>
  <c r="AN53" i="39"/>
  <c r="AN52" i="39"/>
  <c r="AN50" i="39"/>
  <c r="AN49" i="39"/>
  <c r="AN48" i="39"/>
  <c r="AN47" i="39"/>
  <c r="AN46" i="39"/>
  <c r="AN45" i="39"/>
  <c r="AN43" i="39"/>
  <c r="AN42" i="39"/>
  <c r="AN41" i="39"/>
  <c r="AN40" i="39"/>
  <c r="AN39" i="39"/>
  <c r="AN38" i="39"/>
  <c r="AN37" i="39"/>
  <c r="AN36" i="39"/>
  <c r="AN35" i="39"/>
  <c r="AN33" i="39"/>
  <c r="AN32" i="39"/>
  <c r="AN31" i="39"/>
  <c r="AN30" i="39"/>
  <c r="AN29" i="39"/>
  <c r="AN28" i="39"/>
  <c r="AN27" i="39"/>
  <c r="AN26" i="39"/>
  <c r="AN25" i="39"/>
  <c r="AN24" i="39"/>
  <c r="AN22" i="39"/>
  <c r="AN21" i="39"/>
  <c r="AN20" i="39"/>
  <c r="AN19" i="39"/>
  <c r="AN18" i="39"/>
  <c r="AN17" i="39"/>
  <c r="AN16" i="39"/>
  <c r="AN15" i="39"/>
  <c r="AN12" i="39"/>
  <c r="N39" i="36"/>
  <c r="E39" i="36"/>
  <c r="N11" i="35"/>
  <c r="N10" i="35"/>
  <c r="N9" i="35"/>
  <c r="N8" i="35"/>
  <c r="N7" i="35"/>
  <c r="N6" i="35"/>
  <c r="N5" i="35"/>
  <c r="N4" i="35"/>
  <c r="AJ300" i="34"/>
  <c r="AK289" i="34"/>
  <c r="N274" i="34"/>
  <c r="N273" i="34"/>
  <c r="H271" i="34"/>
  <c r="N264" i="34"/>
  <c r="E264" i="34"/>
  <c r="N263" i="34"/>
  <c r="E263" i="34"/>
  <c r="N262" i="34"/>
  <c r="E262" i="34"/>
  <c r="AL254" i="34"/>
  <c r="AL253" i="34"/>
  <c r="AL252" i="34"/>
  <c r="AL251" i="34"/>
  <c r="AL250" i="34"/>
  <c r="D242" i="34"/>
  <c r="D241" i="34"/>
  <c r="AL236" i="34"/>
  <c r="AA233" i="34"/>
  <c r="M233" i="34"/>
  <c r="N231" i="34"/>
  <c r="E231" i="34"/>
  <c r="N230" i="34"/>
  <c r="E230" i="34"/>
  <c r="N219" i="34"/>
  <c r="E219" i="34"/>
  <c r="N215" i="34"/>
  <c r="E215" i="34"/>
  <c r="AB212" i="34"/>
  <c r="N212" i="34"/>
  <c r="N210" i="34"/>
  <c r="E210" i="34"/>
  <c r="AB206" i="34"/>
  <c r="N206" i="34"/>
  <c r="N204" i="34"/>
  <c r="E204" i="34"/>
  <c r="N203" i="34"/>
  <c r="E203" i="34"/>
  <c r="N202" i="34"/>
  <c r="E202" i="34"/>
  <c r="AB201" i="34"/>
  <c r="N201" i="34"/>
  <c r="N189" i="34"/>
  <c r="E189" i="34"/>
  <c r="N184" i="34"/>
  <c r="E184" i="34"/>
  <c r="N183" i="34"/>
  <c r="E183" i="34"/>
  <c r="AL179" i="34"/>
  <c r="N178" i="34"/>
  <c r="E178" i="34"/>
  <c r="AV162" i="34"/>
  <c r="AO162" i="34"/>
  <c r="AH162" i="34"/>
  <c r="AF162" i="34"/>
  <c r="AP162" i="34" s="1"/>
  <c r="AV161" i="34"/>
  <c r="AO161" i="34"/>
  <c r="AH161" i="34"/>
  <c r="AF161" i="34"/>
  <c r="AP161" i="34" s="1"/>
  <c r="AT161" i="34" s="1"/>
  <c r="AV160" i="34"/>
  <c r="AO160" i="34"/>
  <c r="AH160" i="34"/>
  <c r="AF160" i="34"/>
  <c r="AP160" i="34" s="1"/>
  <c r="AV159" i="34"/>
  <c r="AO159" i="34"/>
  <c r="AH159" i="34"/>
  <c r="AF159" i="34"/>
  <c r="AV158" i="34"/>
  <c r="AO158" i="34"/>
  <c r="AH158" i="34"/>
  <c r="AF158" i="34"/>
  <c r="AP158" i="34" s="1"/>
  <c r="AV157" i="34"/>
  <c r="AO157" i="34"/>
  <c r="AH157" i="34"/>
  <c r="AF157" i="34"/>
  <c r="AP157" i="34" s="1"/>
  <c r="AV156" i="34"/>
  <c r="AO156" i="34"/>
  <c r="AH156" i="34"/>
  <c r="AF156" i="34"/>
  <c r="AP156" i="34" s="1"/>
  <c r="AV155" i="34"/>
  <c r="AO155" i="34"/>
  <c r="AH155" i="34"/>
  <c r="AF155" i="34"/>
  <c r="AP155" i="34" s="1"/>
  <c r="AV154" i="34"/>
  <c r="AO154" i="34"/>
  <c r="AH154" i="34"/>
  <c r="AF154" i="34"/>
  <c r="AP154" i="34" s="1"/>
  <c r="AT154" i="34" s="1"/>
  <c r="AV153" i="34"/>
  <c r="AO153" i="34"/>
  <c r="AH153" i="34"/>
  <c r="AF153" i="34"/>
  <c r="AP153" i="34" s="1"/>
  <c r="AT153" i="34" s="1"/>
  <c r="AV152" i="34"/>
  <c r="AO152" i="34"/>
  <c r="AH152" i="34"/>
  <c r="AF152" i="34"/>
  <c r="AP152" i="34" s="1"/>
  <c r="AT152" i="34" s="1"/>
  <c r="AV151" i="34"/>
  <c r="AO151" i="34"/>
  <c r="AH151" i="34"/>
  <c r="AF151" i="34"/>
  <c r="AV150" i="34"/>
  <c r="AO150" i="34"/>
  <c r="AH150" i="34"/>
  <c r="AF150" i="34"/>
  <c r="AP150" i="34" s="1"/>
  <c r="AV149" i="34"/>
  <c r="AO149" i="34"/>
  <c r="AH149" i="34"/>
  <c r="AF149" i="34"/>
  <c r="AV148" i="34"/>
  <c r="AO148" i="34"/>
  <c r="AH148" i="34"/>
  <c r="AF148" i="34"/>
  <c r="AP148" i="34" s="1"/>
  <c r="W147" i="34"/>
  <c r="N145" i="34"/>
  <c r="E145" i="34"/>
  <c r="N144" i="34"/>
  <c r="E144" i="34"/>
  <c r="N143" i="34"/>
  <c r="E143" i="34"/>
  <c r="AD139" i="34"/>
  <c r="AL140" i="34" s="1"/>
  <c r="AC137" i="34"/>
  <c r="AL138" i="34" s="1"/>
  <c r="N129" i="34"/>
  <c r="E129" i="34"/>
  <c r="N126" i="34"/>
  <c r="E126" i="34"/>
  <c r="N125" i="34"/>
  <c r="E125" i="34"/>
  <c r="N124" i="34"/>
  <c r="E124" i="34"/>
  <c r="N123" i="34"/>
  <c r="E123" i="34"/>
  <c r="AO122" i="34"/>
  <c r="AH122" i="34"/>
  <c r="AF122" i="34"/>
  <c r="AQ122" i="34" s="1"/>
  <c r="AD122" i="34"/>
  <c r="AP122" i="34" s="1"/>
  <c r="AO121" i="34"/>
  <c r="AH121" i="34"/>
  <c r="AF121" i="34"/>
  <c r="AQ121" i="34" s="1"/>
  <c r="AD121" i="34"/>
  <c r="AP121" i="34" s="1"/>
  <c r="AT121" i="34" s="1"/>
  <c r="AO120" i="34"/>
  <c r="AH120" i="34"/>
  <c r="AF120" i="34"/>
  <c r="AQ120" i="34" s="1"/>
  <c r="AD120" i="34"/>
  <c r="AO119" i="34"/>
  <c r="AH119" i="34"/>
  <c r="AF119" i="34"/>
  <c r="AQ119" i="34" s="1"/>
  <c r="AD119" i="34"/>
  <c r="AO118" i="34"/>
  <c r="AH118" i="34"/>
  <c r="AF118" i="34"/>
  <c r="AQ118" i="34" s="1"/>
  <c r="AD118" i="34"/>
  <c r="AP118" i="34" s="1"/>
  <c r="AO117" i="34"/>
  <c r="AH117" i="34"/>
  <c r="AF117" i="34"/>
  <c r="AQ117" i="34" s="1"/>
  <c r="AD117" i="34"/>
  <c r="AP117" i="34" s="1"/>
  <c r="AT117" i="34" s="1"/>
  <c r="AO116" i="34"/>
  <c r="AH116" i="34"/>
  <c r="AF116" i="34"/>
  <c r="AQ116" i="34" s="1"/>
  <c r="AD116" i="34"/>
  <c r="AO115" i="34"/>
  <c r="AH115" i="34"/>
  <c r="AF115" i="34"/>
  <c r="AQ115" i="34" s="1"/>
  <c r="AD115" i="34"/>
  <c r="AO114" i="34"/>
  <c r="AH114" i="34"/>
  <c r="AF114" i="34"/>
  <c r="AD114" i="34"/>
  <c r="AH113" i="34"/>
  <c r="AF113" i="34"/>
  <c r="AQ113" i="34" s="1"/>
  <c r="AD113" i="34"/>
  <c r="AN112" i="34"/>
  <c r="X112" i="34"/>
  <c r="AD109" i="34"/>
  <c r="AL110" i="34" s="1"/>
  <c r="AC107" i="34"/>
  <c r="AL108" i="34" s="1"/>
  <c r="T50" i="34"/>
  <c r="K50" i="34"/>
  <c r="V50" i="34" s="1"/>
  <c r="T49" i="34"/>
  <c r="T48" i="34"/>
  <c r="T47" i="34"/>
  <c r="K47" i="34"/>
  <c r="T46" i="34"/>
  <c r="K46" i="34"/>
  <c r="T45" i="34"/>
  <c r="AB45" i="34" s="1"/>
  <c r="K45" i="34"/>
  <c r="AJ78" i="33"/>
  <c r="V76" i="33"/>
  <c r="V71" i="33"/>
  <c r="V70" i="33"/>
  <c r="V64" i="33"/>
  <c r="V63" i="33"/>
  <c r="AG43" i="33"/>
  <c r="AG33" i="33"/>
  <c r="C30" i="33"/>
  <c r="K27" i="33"/>
  <c r="X26" i="33" a="1"/>
  <c r="X26" i="33" s="1"/>
  <c r="X24" i="33"/>
  <c r="AC48" i="33" s="1"/>
  <c r="AJ48" i="33" s="1"/>
  <c r="AA19" i="33"/>
  <c r="AA18" i="33"/>
  <c r="AA17" i="33"/>
  <c r="B17" i="33"/>
  <c r="AA16" i="33"/>
  <c r="B16" i="33"/>
  <c r="F4" i="33"/>
  <c r="AH52" i="32"/>
  <c r="AH51" i="32"/>
  <c r="AH50" i="32"/>
  <c r="AF49" i="32"/>
  <c r="AF44" i="32"/>
  <c r="AF42" i="32"/>
  <c r="AF40" i="32"/>
  <c r="AF38" i="32"/>
  <c r="AF36" i="32"/>
  <c r="AF34" i="32"/>
  <c r="AF32" i="32"/>
  <c r="AF30" i="32"/>
  <c r="AF28" i="32"/>
  <c r="AF26" i="32"/>
  <c r="AF24" i="32"/>
  <c r="AH21" i="32"/>
  <c r="AH20" i="32"/>
  <c r="AH19" i="32"/>
  <c r="AH18" i="32"/>
  <c r="AH17" i="32"/>
  <c r="O14" i="32"/>
  <c r="I14" i="32"/>
  <c r="N12" i="32"/>
  <c r="N11" i="32"/>
  <c r="N10" i="32"/>
  <c r="N9" i="32"/>
  <c r="AO8" i="32"/>
  <c r="AO9" i="32" s="1"/>
  <c r="AO10" i="32" s="1"/>
  <c r="AO11" i="32" s="1"/>
  <c r="N8" i="32"/>
  <c r="AK4" i="32"/>
  <c r="W4" i="32"/>
  <c r="F55" i="32" s="1"/>
  <c r="AF53" i="32" s="1"/>
  <c r="AH53" i="32" s="1"/>
  <c r="F4" i="32"/>
  <c r="T10" i="32" s="1"/>
  <c r="N123" i="31"/>
  <c r="E123" i="31"/>
  <c r="N86" i="31"/>
  <c r="E86" i="31"/>
  <c r="E83" i="31"/>
  <c r="N82" i="31"/>
  <c r="E82" i="31"/>
  <c r="M25" i="31"/>
  <c r="E25" i="31"/>
  <c r="M23" i="31"/>
  <c r="E23" i="31"/>
  <c r="M20" i="31"/>
  <c r="E20" i="31"/>
  <c r="N135" i="30"/>
  <c r="E135" i="30"/>
  <c r="N123" i="30"/>
  <c r="E123" i="30"/>
  <c r="N114" i="30"/>
  <c r="E114" i="30"/>
  <c r="E94" i="30"/>
  <c r="N93" i="30"/>
  <c r="E93" i="30"/>
  <c r="D62" i="30"/>
  <c r="N61" i="30"/>
  <c r="E61" i="30"/>
  <c r="X31" i="30"/>
  <c r="R28" i="30"/>
  <c r="D12" i="30"/>
  <c r="N34" i="28"/>
  <c r="E34" i="28"/>
  <c r="N33" i="28"/>
  <c r="E33" i="28"/>
  <c r="AL27" i="28"/>
  <c r="N26" i="28"/>
  <c r="E26" i="28"/>
  <c r="AL21" i="28"/>
  <c r="N20" i="28"/>
  <c r="E20" i="28"/>
  <c r="AN25" i="27"/>
  <c r="AN24" i="27"/>
  <c r="AN23" i="27"/>
  <c r="AN20" i="27"/>
  <c r="AN19" i="27"/>
  <c r="AN18" i="27"/>
  <c r="AN15" i="27"/>
  <c r="AN14" i="27"/>
  <c r="AN13" i="27"/>
  <c r="AN12" i="27"/>
  <c r="AN11" i="27"/>
  <c r="AN10" i="27"/>
  <c r="AN9" i="27"/>
  <c r="AN8" i="27"/>
  <c r="AN6" i="27"/>
  <c r="N336" i="26"/>
  <c r="E336" i="26"/>
  <c r="X307" i="26"/>
  <c r="X319" i="26" s="1"/>
  <c r="X293" i="26"/>
  <c r="AJ291" i="26" s="1"/>
  <c r="AK283" i="26"/>
  <c r="AK279" i="26"/>
  <c r="AK275" i="26"/>
  <c r="AK268" i="26"/>
  <c r="N260" i="26"/>
  <c r="E260" i="26"/>
  <c r="AC248" i="26"/>
  <c r="Y248" i="26"/>
  <c r="N199" i="26"/>
  <c r="E199" i="26"/>
  <c r="N182" i="26"/>
  <c r="E182" i="26"/>
  <c r="N80" i="26"/>
  <c r="E80" i="26"/>
  <c r="B8" i="26"/>
  <c r="B7" i="26"/>
  <c r="B6" i="26"/>
  <c r="B5" i="26"/>
  <c r="N156" i="25"/>
  <c r="E156" i="25"/>
  <c r="N144" i="25"/>
  <c r="E144" i="25"/>
  <c r="N137" i="25"/>
  <c r="E137" i="25"/>
  <c r="N120" i="25"/>
  <c r="E120" i="25"/>
  <c r="E118" i="25"/>
  <c r="N117" i="25"/>
  <c r="E117" i="25"/>
  <c r="BB83" i="25"/>
  <c r="N83" i="25"/>
  <c r="E83" i="25"/>
  <c r="BM80" i="25"/>
  <c r="BF80" i="25"/>
  <c r="AX84" i="25" s="1"/>
  <c r="BB80" i="25"/>
  <c r="AJ25" i="25"/>
  <c r="AJ24" i="25"/>
  <c r="M22" i="24"/>
  <c r="E22" i="24"/>
  <c r="N17" i="24"/>
  <c r="E17" i="24"/>
  <c r="C12" i="24"/>
  <c r="C11" i="24"/>
  <c r="C10" i="24"/>
  <c r="V417" i="23"/>
  <c r="AH412" i="23" s="1"/>
  <c r="V404" i="23"/>
  <c r="AH402" i="23" s="1"/>
  <c r="V396" i="23"/>
  <c r="AH392" i="23" s="1"/>
  <c r="AK383" i="23"/>
  <c r="AK380" i="23"/>
  <c r="AK377" i="23"/>
  <c r="AC359" i="23"/>
  <c r="AJ369" i="23" s="1"/>
  <c r="AJ370" i="23" s="1"/>
  <c r="N118" i="23"/>
  <c r="E118" i="23"/>
  <c r="AJ60" i="23"/>
  <c r="AI60" i="23"/>
  <c r="AH60" i="23"/>
  <c r="AG60" i="23"/>
  <c r="L60" i="23"/>
  <c r="K60" i="23"/>
  <c r="J60" i="23"/>
  <c r="I60" i="23"/>
  <c r="AJ59" i="23"/>
  <c r="AI59" i="23"/>
  <c r="AH59" i="23"/>
  <c r="AG59" i="23"/>
  <c r="L59" i="23"/>
  <c r="K59" i="23"/>
  <c r="J59" i="23"/>
  <c r="I59" i="23"/>
  <c r="AJ58" i="23"/>
  <c r="AI58" i="23"/>
  <c r="AH58" i="23"/>
  <c r="AG58" i="23"/>
  <c r="L58" i="23"/>
  <c r="K58" i="23"/>
  <c r="J58" i="23"/>
  <c r="I58" i="23"/>
  <c r="AJ57" i="23"/>
  <c r="AI57" i="23"/>
  <c r="AH57" i="23"/>
  <c r="AG57" i="23"/>
  <c r="L57" i="23"/>
  <c r="K57" i="23"/>
  <c r="J57" i="23"/>
  <c r="I57" i="23"/>
  <c r="I56" i="23" s="1"/>
  <c r="AK52" i="23"/>
  <c r="AE52" i="23"/>
  <c r="Y52" i="23"/>
  <c r="S52" i="23"/>
  <c r="M52" i="23"/>
  <c r="AK51" i="23"/>
  <c r="AE51" i="23"/>
  <c r="Y51" i="23"/>
  <c r="S51" i="23"/>
  <c r="M51" i="23"/>
  <c r="AK50" i="23"/>
  <c r="AE50" i="23"/>
  <c r="Y50" i="23"/>
  <c r="S50" i="23"/>
  <c r="M50" i="23"/>
  <c r="AK49" i="23"/>
  <c r="AE49" i="23"/>
  <c r="Y49" i="23"/>
  <c r="S49" i="23"/>
  <c r="M49" i="23"/>
  <c r="AJ48" i="23"/>
  <c r="AI48" i="23"/>
  <c r="AH48" i="23"/>
  <c r="AG48" i="23"/>
  <c r="AD48" i="23"/>
  <c r="AC48" i="23"/>
  <c r="AB48" i="23"/>
  <c r="AA48" i="23"/>
  <c r="X48" i="23"/>
  <c r="W48" i="23"/>
  <c r="V48" i="23"/>
  <c r="U48" i="23"/>
  <c r="R48" i="23"/>
  <c r="Q48" i="23"/>
  <c r="P48" i="23"/>
  <c r="O48" i="23"/>
  <c r="L48" i="23"/>
  <c r="K48" i="23"/>
  <c r="J48" i="23"/>
  <c r="I48" i="23"/>
  <c r="AK47" i="23"/>
  <c r="AE47" i="23"/>
  <c r="Y47" i="23"/>
  <c r="S47" i="23"/>
  <c r="M47" i="23"/>
  <c r="AK46" i="23"/>
  <c r="AE46" i="23"/>
  <c r="Y46" i="23"/>
  <c r="S46" i="23"/>
  <c r="M46" i="23"/>
  <c r="AK45" i="23"/>
  <c r="AE45" i="23"/>
  <c r="Y45" i="23"/>
  <c r="S45" i="23"/>
  <c r="M45" i="23"/>
  <c r="AK44" i="23"/>
  <c r="AE44" i="23"/>
  <c r="Y44" i="23"/>
  <c r="S44" i="23"/>
  <c r="M44" i="23"/>
  <c r="AJ43" i="23"/>
  <c r="AI43" i="23"/>
  <c r="AH43" i="23"/>
  <c r="AG43" i="23"/>
  <c r="AD43" i="23"/>
  <c r="AC43" i="23"/>
  <c r="AB43" i="23"/>
  <c r="AA43" i="23"/>
  <c r="X43" i="23"/>
  <c r="W43" i="23"/>
  <c r="V43" i="23"/>
  <c r="U43" i="23"/>
  <c r="R43" i="23"/>
  <c r="Q43" i="23"/>
  <c r="P43" i="23"/>
  <c r="O43" i="23"/>
  <c r="L43" i="23"/>
  <c r="K43" i="23"/>
  <c r="J43" i="23"/>
  <c r="I43" i="23"/>
  <c r="X181" i="22"/>
  <c r="X193" i="22" s="1"/>
  <c r="X173" i="22"/>
  <c r="AJ170" i="22" s="1"/>
  <c r="AC131" i="22"/>
  <c r="X143" i="22" s="1"/>
  <c r="X144" i="22" s="1"/>
  <c r="M31" i="21"/>
  <c r="E31" i="21"/>
  <c r="M30" i="21"/>
  <c r="E30" i="21"/>
  <c r="M27" i="21"/>
  <c r="E27" i="21"/>
  <c r="M23" i="21"/>
  <c r="E23" i="21"/>
  <c r="M22" i="21"/>
  <c r="E22" i="21"/>
  <c r="M15" i="21"/>
  <c r="E15" i="21"/>
  <c r="N174" i="20"/>
  <c r="E174" i="20"/>
  <c r="N163" i="20"/>
  <c r="E163" i="20"/>
  <c r="O148" i="20"/>
  <c r="N144" i="20"/>
  <c r="E144" i="20"/>
  <c r="D103" i="20"/>
  <c r="D102" i="20"/>
  <c r="D101" i="20"/>
  <c r="E64" i="20"/>
  <c r="M56" i="20"/>
  <c r="E56" i="20"/>
  <c r="M55" i="20"/>
  <c r="E55" i="20"/>
  <c r="D51" i="20"/>
  <c r="L50" i="20"/>
  <c r="E50" i="20"/>
  <c r="M48" i="20"/>
  <c r="E48" i="20"/>
  <c r="M43" i="20"/>
  <c r="E43" i="20"/>
  <c r="M40" i="20"/>
  <c r="E40" i="20"/>
  <c r="M27" i="20"/>
  <c r="E27" i="20"/>
  <c r="O19" i="20"/>
  <c r="D12" i="20"/>
  <c r="B133" i="19"/>
  <c r="B128" i="19"/>
  <c r="J120" i="19"/>
  <c r="J119" i="19"/>
  <c r="J118" i="19"/>
  <c r="AV118" i="19" s="1"/>
  <c r="B118" i="19"/>
  <c r="J117" i="19"/>
  <c r="BE117" i="19" s="1"/>
  <c r="J116" i="19"/>
  <c r="J115" i="19"/>
  <c r="B103" i="19"/>
  <c r="B102" i="19"/>
  <c r="B101" i="19"/>
  <c r="B100" i="19"/>
  <c r="L84" i="19"/>
  <c r="O84" i="19" s="1"/>
  <c r="R84" i="19" s="1"/>
  <c r="U84" i="19" s="1"/>
  <c r="X84" i="19" s="1"/>
  <c r="AA84" i="19" s="1"/>
  <c r="AD84" i="19" s="1"/>
  <c r="AG84" i="19" s="1"/>
  <c r="AJ84" i="19" s="1"/>
  <c r="AM84" i="19" s="1"/>
  <c r="AP84" i="19" s="1"/>
  <c r="AS84" i="19" s="1"/>
  <c r="AV84" i="19" s="1"/>
  <c r="AY84" i="19" s="1"/>
  <c r="BB84" i="19" s="1"/>
  <c r="BE84" i="19" s="1"/>
  <c r="BH84" i="19" s="1"/>
  <c r="BK84" i="19" s="1"/>
  <c r="BN84" i="19" s="1"/>
  <c r="BQ84" i="19" s="1"/>
  <c r="BT84" i="19" s="1"/>
  <c r="BW84" i="19" s="1"/>
  <c r="BZ84" i="19" s="1"/>
  <c r="CC84" i="19" s="1"/>
  <c r="CF84" i="19" s="1"/>
  <c r="CI84" i="19" s="1"/>
  <c r="CL84" i="19" s="1"/>
  <c r="CO84" i="19" s="1"/>
  <c r="CR84" i="19" s="1"/>
  <c r="CU84" i="19" s="1"/>
  <c r="CX84" i="19" s="1"/>
  <c r="DA84" i="19" s="1"/>
  <c r="DD84" i="19" s="1"/>
  <c r="DG84" i="19" s="1"/>
  <c r="DJ84" i="19" s="1"/>
  <c r="DM84" i="19" s="1"/>
  <c r="DP84" i="19" s="1"/>
  <c r="DS84" i="19" s="1"/>
  <c r="DV84" i="19" s="1"/>
  <c r="DY84" i="19" s="1"/>
  <c r="BQ69" i="19"/>
  <c r="BN69" i="19"/>
  <c r="BK69" i="19"/>
  <c r="BH69" i="19"/>
  <c r="BE69" i="19"/>
  <c r="BB69" i="19"/>
  <c r="AY69" i="19"/>
  <c r="AV69" i="19"/>
  <c r="AS69" i="19"/>
  <c r="AP69" i="19"/>
  <c r="AM69" i="19"/>
  <c r="AJ69" i="19"/>
  <c r="AG69" i="19"/>
  <c r="AD69" i="19"/>
  <c r="AA69" i="19"/>
  <c r="X69" i="19"/>
  <c r="U69" i="19"/>
  <c r="R69" i="19"/>
  <c r="O69" i="19"/>
  <c r="BQ68" i="19" a="1"/>
  <c r="BQ68" i="19" s="1"/>
  <c r="BN68" i="19" a="1"/>
  <c r="BN68" i="19" s="1"/>
  <c r="BK68" i="19" a="1"/>
  <c r="BK68" i="19" s="1"/>
  <c r="BH68" i="19" a="1"/>
  <c r="BH68" i="19" s="1"/>
  <c r="BE68" i="19" a="1"/>
  <c r="BE68" i="19" s="1"/>
  <c r="BB68" i="19" a="1"/>
  <c r="BB68" i="19" s="1"/>
  <c r="AY68" i="19" a="1"/>
  <c r="AY68" i="19" s="1"/>
  <c r="AV68" i="19" a="1"/>
  <c r="AV68" i="19" s="1"/>
  <c r="AS68" i="19" a="1"/>
  <c r="AS68" i="19" s="1"/>
  <c r="AP68" i="19" a="1"/>
  <c r="AP68" i="19" s="1"/>
  <c r="AM68" i="19" a="1"/>
  <c r="AM68" i="19" s="1"/>
  <c r="AJ68" i="19" a="1"/>
  <c r="AJ68" i="19" s="1"/>
  <c r="AG68" i="19" a="1"/>
  <c r="AG68" i="19" s="1"/>
  <c r="AD68" i="19" a="1"/>
  <c r="AD68" i="19" s="1"/>
  <c r="AA68" i="19" a="1"/>
  <c r="AA68" i="19" s="1"/>
  <c r="X68" i="19" a="1"/>
  <c r="X68" i="19" s="1"/>
  <c r="U68" i="19" a="1"/>
  <c r="U68" i="19" s="1"/>
  <c r="R68" i="19" a="1"/>
  <c r="R68" i="19" s="1"/>
  <c r="O68" i="19" a="1"/>
  <c r="O68" i="19" s="1"/>
  <c r="L68" i="19"/>
  <c r="BQ67" i="19"/>
  <c r="BN67" i="19"/>
  <c r="BK67" i="19"/>
  <c r="BH67" i="19"/>
  <c r="BE67" i="19"/>
  <c r="BB67" i="19"/>
  <c r="AY67" i="19"/>
  <c r="AV67" i="19"/>
  <c r="AS67" i="19"/>
  <c r="AP67" i="19"/>
  <c r="AM67" i="19"/>
  <c r="AJ67" i="19"/>
  <c r="AG67" i="19"/>
  <c r="AD67" i="19"/>
  <c r="AA67" i="19"/>
  <c r="X67" i="19"/>
  <c r="U67" i="19"/>
  <c r="R67" i="19"/>
  <c r="O67" i="19"/>
  <c r="L67" i="19"/>
  <c r="L61" i="19"/>
  <c r="CR61" i="19" s="1"/>
  <c r="B61" i="19"/>
  <c r="L60" i="19"/>
  <c r="DP60" i="19" s="1"/>
  <c r="B60" i="19"/>
  <c r="L59" i="19"/>
  <c r="DA59" i="19" s="1"/>
  <c r="B59" i="19"/>
  <c r="L58" i="19"/>
  <c r="CU58" i="19" s="1"/>
  <c r="B58" i="19"/>
  <c r="L57" i="19"/>
  <c r="CX57" i="19" s="1"/>
  <c r="B57" i="19"/>
  <c r="B56" i="19"/>
  <c r="B55" i="19"/>
  <c r="B54" i="19"/>
  <c r="B53" i="19"/>
  <c r="B52" i="19"/>
  <c r="L51" i="19"/>
  <c r="DJ51" i="19" s="1"/>
  <c r="B51" i="19"/>
  <c r="L50" i="19"/>
  <c r="DP50" i="19" s="1"/>
  <c r="B50" i="19"/>
  <c r="L48" i="19"/>
  <c r="DP48" i="19" s="1"/>
  <c r="B48" i="19"/>
  <c r="L42" i="19"/>
  <c r="O42" i="19" s="1"/>
  <c r="R42" i="19" s="1"/>
  <c r="U42" i="19" s="1"/>
  <c r="X42" i="19" s="1"/>
  <c r="AA42" i="19" s="1"/>
  <c r="AD42" i="19" s="1"/>
  <c r="AG42" i="19" s="1"/>
  <c r="AJ42" i="19" s="1"/>
  <c r="AM42" i="19" s="1"/>
  <c r="AP42" i="19" s="1"/>
  <c r="AS42" i="19" s="1"/>
  <c r="AV42" i="19" s="1"/>
  <c r="AY42" i="19" s="1"/>
  <c r="BB42" i="19" s="1"/>
  <c r="BE42" i="19" s="1"/>
  <c r="BH42" i="19" s="1"/>
  <c r="BK42" i="19" s="1"/>
  <c r="BN42" i="19" s="1"/>
  <c r="BQ42" i="19" s="1"/>
  <c r="BT42" i="19" s="1"/>
  <c r="BW42" i="19" s="1"/>
  <c r="BZ42" i="19" s="1"/>
  <c r="CC42" i="19" s="1"/>
  <c r="CF42" i="19" s="1"/>
  <c r="CI42" i="19" s="1"/>
  <c r="CL42" i="19" s="1"/>
  <c r="CO42" i="19" s="1"/>
  <c r="CR42" i="19" s="1"/>
  <c r="CU42" i="19" s="1"/>
  <c r="CX42" i="19" s="1"/>
  <c r="DA42" i="19" s="1"/>
  <c r="DD42" i="19" s="1"/>
  <c r="DG42" i="19" s="1"/>
  <c r="DJ42" i="19" s="1"/>
  <c r="DM42" i="19" s="1"/>
  <c r="DP42" i="19" s="1"/>
  <c r="DS42" i="19" s="1"/>
  <c r="DV42" i="19" s="1"/>
  <c r="DY42" i="19" s="1"/>
  <c r="L41" i="19"/>
  <c r="O41" i="19" s="1"/>
  <c r="R41" i="19" s="1"/>
  <c r="U41" i="19" s="1"/>
  <c r="X41" i="19" s="1"/>
  <c r="AA41" i="19" s="1"/>
  <c r="AD41" i="19" s="1"/>
  <c r="AG41" i="19" s="1"/>
  <c r="AJ41" i="19" s="1"/>
  <c r="AM41" i="19" s="1"/>
  <c r="AP41" i="19" s="1"/>
  <c r="AS41" i="19" s="1"/>
  <c r="AV41" i="19" s="1"/>
  <c r="AY41" i="19" s="1"/>
  <c r="BB41" i="19" s="1"/>
  <c r="BE41" i="19" s="1"/>
  <c r="BH41" i="19" s="1"/>
  <c r="BK41" i="19" s="1"/>
  <c r="BN41" i="19" s="1"/>
  <c r="BQ41" i="19" s="1"/>
  <c r="BT41" i="19" s="1"/>
  <c r="BW41" i="19" s="1"/>
  <c r="BZ41" i="19" s="1"/>
  <c r="CC41" i="19" s="1"/>
  <c r="CF41" i="19" s="1"/>
  <c r="CI41" i="19" s="1"/>
  <c r="CL41" i="19" s="1"/>
  <c r="CO41" i="19" s="1"/>
  <c r="CR41" i="19" s="1"/>
  <c r="CU41" i="19" s="1"/>
  <c r="CX41" i="19" s="1"/>
  <c r="DA41" i="19" s="1"/>
  <c r="DD41" i="19" s="1"/>
  <c r="DG41" i="19" s="1"/>
  <c r="DJ41" i="19" s="1"/>
  <c r="DM41" i="19" s="1"/>
  <c r="DP41" i="19" s="1"/>
  <c r="DS41" i="19" s="1"/>
  <c r="DV41" i="19" s="1"/>
  <c r="DY41" i="19" s="1"/>
  <c r="B41" i="19"/>
  <c r="L40" i="19"/>
  <c r="O40" i="19" s="1"/>
  <c r="R40" i="19" s="1"/>
  <c r="U40" i="19" s="1"/>
  <c r="X40" i="19" s="1"/>
  <c r="AA40" i="19" s="1"/>
  <c r="AD40" i="19" s="1"/>
  <c r="AG40" i="19" s="1"/>
  <c r="AJ40" i="19" s="1"/>
  <c r="AM40" i="19" s="1"/>
  <c r="AP40" i="19" s="1"/>
  <c r="AS40" i="19" s="1"/>
  <c r="AV40" i="19" s="1"/>
  <c r="AY40" i="19" s="1"/>
  <c r="BB40" i="19" s="1"/>
  <c r="BE40" i="19" s="1"/>
  <c r="BH40" i="19" s="1"/>
  <c r="BK40" i="19" s="1"/>
  <c r="BN40" i="19" s="1"/>
  <c r="BQ40" i="19" s="1"/>
  <c r="BT40" i="19" s="1"/>
  <c r="BW40" i="19" s="1"/>
  <c r="BZ40" i="19" s="1"/>
  <c r="CC40" i="19" s="1"/>
  <c r="CF40" i="19" s="1"/>
  <c r="CI40" i="19" s="1"/>
  <c r="CL40" i="19" s="1"/>
  <c r="CO40" i="19" s="1"/>
  <c r="CR40" i="19" s="1"/>
  <c r="CU40" i="19" s="1"/>
  <c r="CX40" i="19" s="1"/>
  <c r="DA40" i="19" s="1"/>
  <c r="DD40" i="19" s="1"/>
  <c r="DG40" i="19" s="1"/>
  <c r="DJ40" i="19" s="1"/>
  <c r="DM40" i="19" s="1"/>
  <c r="DP40" i="19" s="1"/>
  <c r="DS40" i="19" s="1"/>
  <c r="DV40" i="19" s="1"/>
  <c r="DY40" i="19" s="1"/>
  <c r="B40" i="19"/>
  <c r="BT39" i="19"/>
  <c r="BW39" i="19" s="1"/>
  <c r="BZ39" i="19" s="1"/>
  <c r="CC39" i="19" s="1"/>
  <c r="CF39" i="19" s="1"/>
  <c r="CI39" i="19" s="1"/>
  <c r="CL39" i="19" s="1"/>
  <c r="CO39" i="19" s="1"/>
  <c r="CR39" i="19" s="1"/>
  <c r="CU39" i="19" s="1"/>
  <c r="CX39" i="19" s="1"/>
  <c r="DA39" i="19" s="1"/>
  <c r="DD39" i="19" s="1"/>
  <c r="DG39" i="19" s="1"/>
  <c r="DJ39" i="19" s="1"/>
  <c r="DM39" i="19" s="1"/>
  <c r="DP39" i="19" s="1"/>
  <c r="DS39" i="19" s="1"/>
  <c r="DV39" i="19" s="1"/>
  <c r="DY39" i="19" s="1"/>
  <c r="B39" i="19"/>
  <c r="B38" i="19"/>
  <c r="L36" i="19"/>
  <c r="O36" i="19" s="1"/>
  <c r="R36" i="19" s="1"/>
  <c r="U36" i="19" s="1"/>
  <c r="X36" i="19" s="1"/>
  <c r="AA36" i="19" s="1"/>
  <c r="AD36" i="19" s="1"/>
  <c r="AG36" i="19" s="1"/>
  <c r="AJ36" i="19" s="1"/>
  <c r="AM36" i="19" s="1"/>
  <c r="AP36" i="19" s="1"/>
  <c r="AS36" i="19" s="1"/>
  <c r="AV36" i="19" s="1"/>
  <c r="AY36" i="19" s="1"/>
  <c r="BB36" i="19" s="1"/>
  <c r="BE36" i="19" s="1"/>
  <c r="BH36" i="19" s="1"/>
  <c r="BK36" i="19" s="1"/>
  <c r="BN36" i="19" s="1"/>
  <c r="BQ36" i="19" s="1"/>
  <c r="BT36" i="19" s="1"/>
  <c r="BW36" i="19" s="1"/>
  <c r="BZ36" i="19" s="1"/>
  <c r="CC36" i="19" s="1"/>
  <c r="CF36" i="19" s="1"/>
  <c r="CI36" i="19" s="1"/>
  <c r="CL36" i="19" s="1"/>
  <c r="CO36" i="19" s="1"/>
  <c r="CR36" i="19" s="1"/>
  <c r="CU36" i="19" s="1"/>
  <c r="CX36" i="19" s="1"/>
  <c r="DA36" i="19" s="1"/>
  <c r="DD36" i="19" s="1"/>
  <c r="DG36" i="19" s="1"/>
  <c r="DJ36" i="19" s="1"/>
  <c r="DM36" i="19" s="1"/>
  <c r="DP36" i="19" s="1"/>
  <c r="DS36" i="19" s="1"/>
  <c r="DV36" i="19" s="1"/>
  <c r="DY36" i="19" s="1"/>
  <c r="J30" i="19"/>
  <c r="B30" i="19"/>
  <c r="J29" i="19"/>
  <c r="L29" i="19" s="1"/>
  <c r="B29" i="19"/>
  <c r="J28" i="19"/>
  <c r="DP28" i="19" s="1"/>
  <c r="B28" i="19"/>
  <c r="J27" i="19"/>
  <c r="B27" i="19"/>
  <c r="J26" i="19"/>
  <c r="B26" i="19"/>
  <c r="J25" i="19"/>
  <c r="B25" i="19"/>
  <c r="J24" i="19"/>
  <c r="B24" i="19"/>
  <c r="J13" i="19"/>
  <c r="B13" i="19"/>
  <c r="J12" i="19"/>
  <c r="B12" i="19"/>
  <c r="L11" i="19"/>
  <c r="O11" i="19" s="1"/>
  <c r="R11" i="19" s="1"/>
  <c r="U11" i="19" s="1"/>
  <c r="X11" i="19" s="1"/>
  <c r="AA11" i="19" s="1"/>
  <c r="AD11" i="19" s="1"/>
  <c r="AG11" i="19" s="1"/>
  <c r="AJ11" i="19" s="1"/>
  <c r="AM11" i="19" s="1"/>
  <c r="AP11" i="19" s="1"/>
  <c r="AS11" i="19" s="1"/>
  <c r="AV11" i="19" s="1"/>
  <c r="AY11" i="19" s="1"/>
  <c r="BB11" i="19" s="1"/>
  <c r="BE11" i="19" s="1"/>
  <c r="BH11" i="19" s="1"/>
  <c r="BK11" i="19" s="1"/>
  <c r="BN11" i="19" s="1"/>
  <c r="BQ11" i="19" s="1"/>
  <c r="BT11" i="19" s="1"/>
  <c r="BW11" i="19" s="1"/>
  <c r="BZ11" i="19" s="1"/>
  <c r="CC11" i="19" s="1"/>
  <c r="CF11" i="19" s="1"/>
  <c r="CI11" i="19" s="1"/>
  <c r="CL11" i="19" s="1"/>
  <c r="CO11" i="19" s="1"/>
  <c r="CR11" i="19" s="1"/>
  <c r="CU11" i="19" s="1"/>
  <c r="CX11" i="19" s="1"/>
  <c r="DA11" i="19" s="1"/>
  <c r="DD11" i="19" s="1"/>
  <c r="DG11" i="19" s="1"/>
  <c r="DJ11" i="19" s="1"/>
  <c r="DM11" i="19" s="1"/>
  <c r="DP11" i="19" s="1"/>
  <c r="DS11" i="19" s="1"/>
  <c r="DV11" i="19" s="1"/>
  <c r="DY11" i="19" s="1"/>
  <c r="B11" i="19"/>
  <c r="B10" i="19"/>
  <c r="B9" i="19"/>
  <c r="Y3" i="19"/>
  <c r="M53" i="18"/>
  <c r="M54" i="18" s="1"/>
  <c r="AF46" i="18"/>
  <c r="M46" i="18"/>
  <c r="AF45" i="18"/>
  <c r="M45" i="18"/>
  <c r="AF44" i="18"/>
  <c r="M44" i="18"/>
  <c r="AF43" i="18"/>
  <c r="M43" i="18"/>
  <c r="AF42" i="18"/>
  <c r="M42" i="18"/>
  <c r="X40" i="18"/>
  <c r="E40" i="18"/>
  <c r="AJ31" i="18"/>
  <c r="AF31" i="18"/>
  <c r="AB30" i="18"/>
  <c r="AF30" i="18" s="1"/>
  <c r="D30" i="18"/>
  <c r="AB29" i="18"/>
  <c r="D29" i="18"/>
  <c r="AB28" i="18"/>
  <c r="AJ28" i="18" s="1"/>
  <c r="D28" i="18"/>
  <c r="AB27" i="18"/>
  <c r="D27" i="18"/>
  <c r="AB21" i="18"/>
  <c r="AF21" i="18" s="1"/>
  <c r="D21" i="18"/>
  <c r="AB20" i="18"/>
  <c r="AF20" i="18" s="1"/>
  <c r="D20" i="18"/>
  <c r="AB19" i="18"/>
  <c r="AF19" i="18" s="1"/>
  <c r="D19" i="18"/>
  <c r="F4" i="18"/>
  <c r="AA37" i="17"/>
  <c r="AA36" i="17"/>
  <c r="C36" i="17"/>
  <c r="AA35" i="17"/>
  <c r="C35" i="17"/>
  <c r="AD29" i="17"/>
  <c r="AA21" i="17"/>
  <c r="AA20" i="17"/>
  <c r="C20" i="17"/>
  <c r="AA19" i="17"/>
  <c r="C19" i="17"/>
  <c r="AD13" i="17"/>
  <c r="AZ6" i="17"/>
  <c r="AZ7" i="17" s="1"/>
  <c r="AZ8" i="17" s="1"/>
  <c r="AZ9" i="17" s="1"/>
  <c r="AZ10" i="17" s="1"/>
  <c r="AZ11" i="17" s="1"/>
  <c r="AZ12" i="17" s="1"/>
  <c r="AZ13" i="17" s="1"/>
  <c r="AZ14" i="17" s="1"/>
  <c r="AZ15" i="17" s="1"/>
  <c r="AZ16" i="17" s="1"/>
  <c r="AZ17" i="17" s="1"/>
  <c r="AZ18" i="17" s="1"/>
  <c r="AZ19" i="17" s="1"/>
  <c r="AZ20" i="17" s="1"/>
  <c r="AZ21" i="17" s="1"/>
  <c r="AY6" i="17"/>
  <c r="AY7" i="17" s="1"/>
  <c r="AY8" i="17" s="1"/>
  <c r="AY9" i="17" s="1"/>
  <c r="AY10" i="17" s="1"/>
  <c r="AY11" i="17" s="1"/>
  <c r="AY12" i="17" s="1"/>
  <c r="AY13" i="17" s="1"/>
  <c r="AY14" i="17" s="1"/>
  <c r="AY15" i="17" s="1"/>
  <c r="AY16" i="17" s="1"/>
  <c r="AY17" i="17" s="1"/>
  <c r="AY18" i="17" s="1"/>
  <c r="AY19" i="17" s="1"/>
  <c r="AY20" i="17" s="1"/>
  <c r="AY21" i="17" s="1"/>
  <c r="AX6" i="17"/>
  <c r="AX7" i="17" s="1"/>
  <c r="AX8" i="17" s="1"/>
  <c r="AX9" i="17" s="1"/>
  <c r="AX10" i="17" s="1"/>
  <c r="AX11" i="17" s="1"/>
  <c r="AX12" i="17" s="1"/>
  <c r="AX13" i="17" s="1"/>
  <c r="AX14" i="17" s="1"/>
  <c r="AX15" i="17" s="1"/>
  <c r="AX16" i="17" s="1"/>
  <c r="AX17" i="17" s="1"/>
  <c r="AX18" i="17" s="1"/>
  <c r="AX19" i="17" s="1"/>
  <c r="AX20" i="17" s="1"/>
  <c r="AX21" i="17" s="1"/>
  <c r="AW6" i="17"/>
  <c r="AW7" i="17" s="1"/>
  <c r="AW8" i="17" s="1"/>
  <c r="AW9" i="17" s="1"/>
  <c r="AW10" i="17" s="1"/>
  <c r="AW11" i="17" s="1"/>
  <c r="AW12" i="17" s="1"/>
  <c r="AW13" i="17" s="1"/>
  <c r="AW14" i="17" s="1"/>
  <c r="AW15" i="17" s="1"/>
  <c r="AW16" i="17" s="1"/>
  <c r="AW17" i="17" s="1"/>
  <c r="AW18" i="17" s="1"/>
  <c r="AW19" i="17" s="1"/>
  <c r="AW20" i="17" s="1"/>
  <c r="AW21" i="17" s="1"/>
  <c r="AV6" i="17"/>
  <c r="AV7" i="17" s="1"/>
  <c r="AV8" i="17" s="1"/>
  <c r="AV9" i="17" s="1"/>
  <c r="AV10" i="17" s="1"/>
  <c r="AV11" i="17" s="1"/>
  <c r="AV12" i="17" s="1"/>
  <c r="AV13" i="17" s="1"/>
  <c r="AV14" i="17" s="1"/>
  <c r="AV15" i="17" s="1"/>
  <c r="AV16" i="17" s="1"/>
  <c r="AV17" i="17" s="1"/>
  <c r="AV18" i="17" s="1"/>
  <c r="AV19" i="17" s="1"/>
  <c r="AV20" i="17" s="1"/>
  <c r="AV21" i="17" s="1"/>
  <c r="AU6" i="17"/>
  <c r="AU7" i="17" s="1"/>
  <c r="AU8" i="17" s="1"/>
  <c r="AU9" i="17" s="1"/>
  <c r="AU10" i="17" s="1"/>
  <c r="AU11" i="17" s="1"/>
  <c r="AU12" i="17" s="1"/>
  <c r="AU13" i="17" s="1"/>
  <c r="AU14" i="17" s="1"/>
  <c r="AU15" i="17" s="1"/>
  <c r="AU16" i="17" s="1"/>
  <c r="AU17" i="17" s="1"/>
  <c r="AU18" i="17" s="1"/>
  <c r="AU19" i="17" s="1"/>
  <c r="AU20" i="17" s="1"/>
  <c r="AU21" i="17" s="1"/>
  <c r="AT6" i="17"/>
  <c r="AT7" i="17" s="1"/>
  <c r="AT8" i="17" s="1"/>
  <c r="AT9" i="17" s="1"/>
  <c r="AT10" i="17" s="1"/>
  <c r="AT11" i="17" s="1"/>
  <c r="AT12" i="17" s="1"/>
  <c r="AT13" i="17" s="1"/>
  <c r="AT14" i="17" s="1"/>
  <c r="AT15" i="17" s="1"/>
  <c r="AT16" i="17" s="1"/>
  <c r="AT17" i="17" s="1"/>
  <c r="AT18" i="17" s="1"/>
  <c r="AT19" i="17" s="1"/>
  <c r="AT20" i="17" s="1"/>
  <c r="AT21" i="17" s="1"/>
  <c r="AS6" i="17"/>
  <c r="AS7" i="17" s="1"/>
  <c r="AS8" i="17" s="1"/>
  <c r="AS9" i="17" s="1"/>
  <c r="AS10" i="17" s="1"/>
  <c r="AS11" i="17" s="1"/>
  <c r="AS12" i="17" s="1"/>
  <c r="AS13" i="17" s="1"/>
  <c r="AS14" i="17" s="1"/>
  <c r="AS15" i="17" s="1"/>
  <c r="AS16" i="17" s="1"/>
  <c r="AS17" i="17" s="1"/>
  <c r="AS18" i="17" s="1"/>
  <c r="AS19" i="17" s="1"/>
  <c r="AS20" i="17" s="1"/>
  <c r="AS21" i="17" s="1"/>
  <c r="AR6" i="17"/>
  <c r="AR7" i="17" s="1"/>
  <c r="AR8" i="17" s="1"/>
  <c r="AD207" i="15"/>
  <c r="AC207" i="15"/>
  <c r="AB207" i="15"/>
  <c r="AA207" i="15"/>
  <c r="Z207" i="15"/>
  <c r="Y207" i="15"/>
  <c r="X207" i="15"/>
  <c r="W207" i="15"/>
  <c r="V207" i="15"/>
  <c r="U207" i="15"/>
  <c r="T207" i="15"/>
  <c r="S207" i="15"/>
  <c r="R207" i="15"/>
  <c r="Q207" i="15"/>
  <c r="P207" i="15"/>
  <c r="O207" i="15"/>
  <c r="N207" i="15"/>
  <c r="M207" i="15"/>
  <c r="L207" i="15"/>
  <c r="K207" i="15"/>
  <c r="J207" i="15"/>
  <c r="I207" i="15"/>
  <c r="H207" i="15"/>
  <c r="G207" i="15"/>
  <c r="F207" i="15"/>
  <c r="E205" i="15"/>
  <c r="D205" i="15"/>
  <c r="E204" i="15"/>
  <c r="D204" i="15"/>
  <c r="E203" i="15"/>
  <c r="D203" i="15"/>
  <c r="AD202" i="15"/>
  <c r="AC202" i="15"/>
  <c r="AB202" i="15"/>
  <c r="AA202" i="15"/>
  <c r="Z202" i="15"/>
  <c r="Y202" i="15"/>
  <c r="X202" i="15"/>
  <c r="W202" i="15"/>
  <c r="V202" i="15"/>
  <c r="U202" i="15"/>
  <c r="T202" i="15"/>
  <c r="S202" i="15"/>
  <c r="R202" i="15"/>
  <c r="Q202" i="15"/>
  <c r="P202" i="15"/>
  <c r="O202" i="15"/>
  <c r="N202" i="15"/>
  <c r="M202" i="15"/>
  <c r="L202" i="15"/>
  <c r="K202" i="15"/>
  <c r="J202" i="15"/>
  <c r="I202" i="15"/>
  <c r="H202" i="15"/>
  <c r="G202" i="15"/>
  <c r="F202" i="15"/>
  <c r="E201" i="15"/>
  <c r="D201" i="15"/>
  <c r="E200" i="15"/>
  <c r="D200" i="15"/>
  <c r="E199" i="15"/>
  <c r="D199" i="15"/>
  <c r="E198" i="15"/>
  <c r="D198" i="15"/>
  <c r="AD197" i="15"/>
  <c r="AC197" i="15"/>
  <c r="AB197" i="15"/>
  <c r="AA197" i="15"/>
  <c r="Z197" i="15"/>
  <c r="Y197" i="15"/>
  <c r="X197" i="15"/>
  <c r="W197" i="15"/>
  <c r="V197" i="15"/>
  <c r="U197" i="15"/>
  <c r="T197" i="15"/>
  <c r="S197" i="15"/>
  <c r="R197" i="15"/>
  <c r="Q197" i="15"/>
  <c r="P197" i="15"/>
  <c r="O197" i="15"/>
  <c r="N197" i="15"/>
  <c r="M197" i="15"/>
  <c r="L197" i="15"/>
  <c r="K197" i="15"/>
  <c r="J197" i="15"/>
  <c r="I197" i="15"/>
  <c r="H197" i="15"/>
  <c r="G197" i="15"/>
  <c r="F197" i="15"/>
  <c r="E196" i="15"/>
  <c r="D196" i="15"/>
  <c r="E195" i="15"/>
  <c r="D195" i="15"/>
  <c r="E194" i="15"/>
  <c r="D194" i="15"/>
  <c r="E193" i="15"/>
  <c r="D193" i="15"/>
  <c r="E192" i="15"/>
  <c r="D192" i="15"/>
  <c r="E191" i="15"/>
  <c r="D191" i="15"/>
  <c r="E190" i="15"/>
  <c r="D190" i="15"/>
  <c r="E189" i="15"/>
  <c r="D189" i="15"/>
  <c r="AD188" i="15"/>
  <c r="AC188" i="15"/>
  <c r="AB188" i="15"/>
  <c r="AA188" i="15"/>
  <c r="Z188" i="15"/>
  <c r="Y188" i="15"/>
  <c r="X188" i="15"/>
  <c r="W188" i="15"/>
  <c r="V188" i="15"/>
  <c r="U188" i="15"/>
  <c r="T188" i="15"/>
  <c r="S188" i="15"/>
  <c r="R188" i="15"/>
  <c r="Q188" i="15"/>
  <c r="P188" i="15"/>
  <c r="O188" i="15"/>
  <c r="N188" i="15"/>
  <c r="M188" i="15"/>
  <c r="L188" i="15"/>
  <c r="K188" i="15"/>
  <c r="J188" i="15"/>
  <c r="I188" i="15"/>
  <c r="H188" i="15"/>
  <c r="G188" i="15"/>
  <c r="F188" i="15"/>
  <c r="E187" i="15"/>
  <c r="D187" i="15"/>
  <c r="E186" i="15"/>
  <c r="D186" i="15"/>
  <c r="E185" i="15"/>
  <c r="D185" i="15"/>
  <c r="E184" i="15"/>
  <c r="D184" i="15"/>
  <c r="E183" i="15"/>
  <c r="D183" i="15"/>
  <c r="E182" i="15"/>
  <c r="D182" i="15"/>
  <c r="E181" i="15"/>
  <c r="D181" i="15"/>
  <c r="AD180" i="15"/>
  <c r="AC180" i="15"/>
  <c r="AB180" i="15"/>
  <c r="AA180" i="15"/>
  <c r="Z180" i="15"/>
  <c r="Y180" i="15"/>
  <c r="X180" i="15"/>
  <c r="W180" i="15"/>
  <c r="V180" i="15"/>
  <c r="U180" i="15"/>
  <c r="T180" i="15"/>
  <c r="S180" i="15"/>
  <c r="R180" i="15"/>
  <c r="Q180" i="15"/>
  <c r="P180" i="15"/>
  <c r="O180" i="15"/>
  <c r="N180" i="15"/>
  <c r="M180" i="15"/>
  <c r="L180" i="15"/>
  <c r="K180" i="15"/>
  <c r="J180" i="15"/>
  <c r="I180" i="15"/>
  <c r="H180" i="15"/>
  <c r="G180" i="15"/>
  <c r="F180" i="15"/>
  <c r="E179" i="15"/>
  <c r="D179" i="15"/>
  <c r="E178" i="15"/>
  <c r="D178" i="15"/>
  <c r="E177" i="15"/>
  <c r="D177" i="15"/>
  <c r="E176" i="15"/>
  <c r="D176" i="15"/>
  <c r="E175" i="15"/>
  <c r="D175" i="15"/>
  <c r="E174" i="15"/>
  <c r="D174" i="15"/>
  <c r="AD173" i="15"/>
  <c r="AC173" i="15"/>
  <c r="AB173" i="15"/>
  <c r="AA173" i="15"/>
  <c r="Z173" i="15"/>
  <c r="Y173" i="15"/>
  <c r="X173" i="15"/>
  <c r="W173" i="15"/>
  <c r="V173" i="15"/>
  <c r="U173" i="15"/>
  <c r="T173" i="15"/>
  <c r="S173" i="15"/>
  <c r="R173" i="15"/>
  <c r="Q173" i="15"/>
  <c r="P173" i="15"/>
  <c r="O173" i="15"/>
  <c r="N173" i="15"/>
  <c r="M173" i="15"/>
  <c r="L173" i="15"/>
  <c r="K173" i="15"/>
  <c r="J173" i="15"/>
  <c r="I173" i="15"/>
  <c r="H173" i="15"/>
  <c r="G173" i="15"/>
  <c r="F173" i="15"/>
  <c r="E172" i="15"/>
  <c r="D172" i="15"/>
  <c r="E171" i="15"/>
  <c r="D171" i="15"/>
  <c r="E170" i="15"/>
  <c r="D170" i="15"/>
  <c r="E169" i="15"/>
  <c r="D169" i="15"/>
  <c r="E168" i="15"/>
  <c r="D168" i="15"/>
  <c r="E167" i="15"/>
  <c r="D167" i="15"/>
  <c r="AD166" i="15"/>
  <c r="AC166" i="15"/>
  <c r="AB166" i="15"/>
  <c r="AA166" i="15"/>
  <c r="Z166" i="15"/>
  <c r="Y166" i="15"/>
  <c r="X166" i="15"/>
  <c r="W166" i="15"/>
  <c r="V166" i="15"/>
  <c r="U166" i="15"/>
  <c r="T166" i="15"/>
  <c r="S166" i="15"/>
  <c r="R166" i="15"/>
  <c r="Q166" i="15"/>
  <c r="P166" i="15"/>
  <c r="O166" i="15"/>
  <c r="N166" i="15"/>
  <c r="M166" i="15"/>
  <c r="L166" i="15"/>
  <c r="K166" i="15"/>
  <c r="J166" i="15"/>
  <c r="I166" i="15"/>
  <c r="H166" i="15"/>
  <c r="G166" i="15"/>
  <c r="F166" i="15"/>
  <c r="E165" i="15"/>
  <c r="D165" i="15"/>
  <c r="E164" i="15"/>
  <c r="D164" i="15"/>
  <c r="E163" i="15"/>
  <c r="D163" i="15"/>
  <c r="E162" i="15"/>
  <c r="D162" i="15"/>
  <c r="E161" i="15"/>
  <c r="D161" i="15"/>
  <c r="AD160" i="15"/>
  <c r="AC160" i="15"/>
  <c r="AB160" i="15"/>
  <c r="AA160" i="15"/>
  <c r="Z160" i="15"/>
  <c r="Y160" i="15"/>
  <c r="X160" i="15"/>
  <c r="W160" i="15"/>
  <c r="V160" i="15"/>
  <c r="U160" i="15"/>
  <c r="T160" i="15"/>
  <c r="S160" i="15"/>
  <c r="R160" i="15"/>
  <c r="Q160" i="15"/>
  <c r="P160" i="15"/>
  <c r="O160" i="15"/>
  <c r="N160" i="15"/>
  <c r="M160" i="15"/>
  <c r="L160" i="15"/>
  <c r="K160" i="15"/>
  <c r="J160" i="15"/>
  <c r="I160" i="15"/>
  <c r="H160" i="15"/>
  <c r="G160" i="15"/>
  <c r="F160" i="15"/>
  <c r="E159" i="15"/>
  <c r="D159" i="15"/>
  <c r="E158" i="15"/>
  <c r="D158" i="15"/>
  <c r="E157" i="15"/>
  <c r="D157" i="15"/>
  <c r="E156" i="15"/>
  <c r="D156" i="15"/>
  <c r="E155" i="15"/>
  <c r="D155" i="15"/>
  <c r="E154" i="15"/>
  <c r="D154" i="15"/>
  <c r="E153" i="15"/>
  <c r="D153" i="15"/>
  <c r="E152" i="15"/>
  <c r="D152" i="15"/>
  <c r="E151" i="15"/>
  <c r="D151" i="15"/>
  <c r="E150" i="15"/>
  <c r="D150" i="15"/>
  <c r="E149" i="15"/>
  <c r="D149" i="15"/>
  <c r="AD148" i="15"/>
  <c r="AC148" i="15"/>
  <c r="AB148" i="15"/>
  <c r="AA148" i="15"/>
  <c r="Z148" i="15"/>
  <c r="Y148" i="15"/>
  <c r="X148" i="15"/>
  <c r="W148" i="15"/>
  <c r="V148" i="15"/>
  <c r="U148" i="15"/>
  <c r="T148" i="15"/>
  <c r="S148" i="15"/>
  <c r="R148" i="15"/>
  <c r="Q148" i="15"/>
  <c r="P148" i="15"/>
  <c r="O148" i="15"/>
  <c r="N148" i="15"/>
  <c r="M148" i="15"/>
  <c r="L148" i="15"/>
  <c r="K148" i="15"/>
  <c r="J148" i="15"/>
  <c r="I148" i="15"/>
  <c r="H148" i="15"/>
  <c r="G148" i="15"/>
  <c r="F148" i="15"/>
  <c r="E147" i="15"/>
  <c r="D147" i="15"/>
  <c r="E146" i="15"/>
  <c r="D146" i="15"/>
  <c r="E145" i="15"/>
  <c r="D145" i="15"/>
  <c r="E144" i="15"/>
  <c r="D144" i="15"/>
  <c r="E143" i="15"/>
  <c r="D143" i="15"/>
  <c r="E142" i="15"/>
  <c r="D142" i="15"/>
  <c r="E141" i="15"/>
  <c r="D141" i="15"/>
  <c r="AD140" i="15"/>
  <c r="AC140" i="15"/>
  <c r="AB140" i="15"/>
  <c r="AA140" i="15"/>
  <c r="Z140" i="15"/>
  <c r="Y140" i="15"/>
  <c r="X140" i="15"/>
  <c r="W140" i="15"/>
  <c r="V140" i="15"/>
  <c r="U140" i="15"/>
  <c r="T140" i="15"/>
  <c r="S140" i="15"/>
  <c r="R140" i="15"/>
  <c r="Q140" i="15"/>
  <c r="P140" i="15"/>
  <c r="O140" i="15"/>
  <c r="N140" i="15"/>
  <c r="M140" i="15"/>
  <c r="L140" i="15"/>
  <c r="K140" i="15"/>
  <c r="J140" i="15"/>
  <c r="I140" i="15"/>
  <c r="H140" i="15"/>
  <c r="G140" i="15"/>
  <c r="F140" i="15"/>
  <c r="E139" i="15"/>
  <c r="D139" i="15"/>
  <c r="E138" i="15"/>
  <c r="D138" i="15"/>
  <c r="E137" i="15"/>
  <c r="D137" i="15"/>
  <c r="E136" i="15"/>
  <c r="D136" i="15"/>
  <c r="E135" i="15"/>
  <c r="D135" i="15"/>
  <c r="E134" i="15"/>
  <c r="D134" i="15"/>
  <c r="E133" i="15"/>
  <c r="D133" i="15"/>
  <c r="AD132" i="15"/>
  <c r="AC132" i="15"/>
  <c r="AB132" i="15"/>
  <c r="AA132" i="15"/>
  <c r="Z132" i="15"/>
  <c r="Y132" i="15"/>
  <c r="X132" i="15"/>
  <c r="W132" i="15"/>
  <c r="V132" i="15"/>
  <c r="U132" i="15"/>
  <c r="T132" i="15"/>
  <c r="S132" i="15"/>
  <c r="R132" i="15"/>
  <c r="Q132" i="15"/>
  <c r="P132" i="15"/>
  <c r="O132" i="15"/>
  <c r="N132" i="15"/>
  <c r="M132" i="15"/>
  <c r="L132" i="15"/>
  <c r="K132" i="15"/>
  <c r="J132" i="15"/>
  <c r="I132" i="15"/>
  <c r="H132" i="15"/>
  <c r="G132" i="15"/>
  <c r="F132" i="15"/>
  <c r="E131" i="15"/>
  <c r="D131" i="15"/>
  <c r="E130" i="15"/>
  <c r="D130" i="15"/>
  <c r="E129" i="15"/>
  <c r="D129" i="15"/>
  <c r="E128" i="15"/>
  <c r="D128" i="15"/>
  <c r="E127" i="15"/>
  <c r="D127" i="15"/>
  <c r="E126" i="15"/>
  <c r="D126" i="15"/>
  <c r="E125" i="15"/>
  <c r="D125" i="15"/>
  <c r="E124" i="15"/>
  <c r="D124" i="15"/>
  <c r="E123" i="15"/>
  <c r="D123" i="15"/>
  <c r="AD122" i="15"/>
  <c r="AC122" i="15"/>
  <c r="AB122" i="15"/>
  <c r="AA122" i="15"/>
  <c r="Z122" i="15"/>
  <c r="Y122" i="15"/>
  <c r="X122" i="15"/>
  <c r="W122" i="15"/>
  <c r="V122" i="15"/>
  <c r="U122" i="15"/>
  <c r="T122" i="15"/>
  <c r="S122" i="15"/>
  <c r="R122" i="15"/>
  <c r="Q122" i="15"/>
  <c r="P122" i="15"/>
  <c r="O122" i="15"/>
  <c r="N122" i="15"/>
  <c r="M122" i="15"/>
  <c r="L122" i="15"/>
  <c r="K122" i="15"/>
  <c r="J122" i="15"/>
  <c r="I122" i="15"/>
  <c r="H122" i="15"/>
  <c r="G122" i="15"/>
  <c r="F122" i="15"/>
  <c r="E121" i="15"/>
  <c r="D121" i="15"/>
  <c r="E120" i="15"/>
  <c r="D120" i="15"/>
  <c r="AD117" i="15"/>
  <c r="AC117" i="15"/>
  <c r="AB117" i="15"/>
  <c r="AA117" i="15"/>
  <c r="Z117" i="15"/>
  <c r="Y117" i="15"/>
  <c r="X117" i="15"/>
  <c r="W117" i="15"/>
  <c r="V117" i="15"/>
  <c r="U117" i="15"/>
  <c r="T117" i="15"/>
  <c r="S117" i="15"/>
  <c r="R117" i="15"/>
  <c r="Q117" i="15"/>
  <c r="P117" i="15"/>
  <c r="O117" i="15"/>
  <c r="N117" i="15"/>
  <c r="M117" i="15"/>
  <c r="L117" i="15"/>
  <c r="K117" i="15"/>
  <c r="J117" i="15"/>
  <c r="I117" i="15"/>
  <c r="H117" i="15"/>
  <c r="E116" i="15"/>
  <c r="D116" i="15"/>
  <c r="E115" i="15"/>
  <c r="D115" i="15"/>
  <c r="E114" i="15"/>
  <c r="D114" i="15"/>
  <c r="E113" i="15"/>
  <c r="D113" i="15"/>
  <c r="E112" i="15"/>
  <c r="D112" i="15"/>
  <c r="E111" i="15"/>
  <c r="D111" i="15"/>
  <c r="AD110" i="15"/>
  <c r="AC110" i="15"/>
  <c r="AB110" i="15"/>
  <c r="AA110" i="15"/>
  <c r="Z110" i="15"/>
  <c r="Y110" i="15"/>
  <c r="X110" i="15"/>
  <c r="W110" i="15"/>
  <c r="V110" i="15"/>
  <c r="U110" i="15"/>
  <c r="T110" i="15"/>
  <c r="S110" i="15"/>
  <c r="R110" i="15"/>
  <c r="Q110" i="15"/>
  <c r="P110" i="15"/>
  <c r="O110" i="15"/>
  <c r="N110" i="15"/>
  <c r="M110" i="15"/>
  <c r="L110" i="15"/>
  <c r="K110" i="15"/>
  <c r="J110" i="15"/>
  <c r="I110" i="15"/>
  <c r="H110" i="15"/>
  <c r="G110" i="15"/>
  <c r="F110" i="15"/>
  <c r="E109" i="15"/>
  <c r="D109" i="15"/>
  <c r="E108" i="15"/>
  <c r="D108" i="15"/>
  <c r="E107" i="15"/>
  <c r="D107" i="15"/>
  <c r="E106" i="15"/>
  <c r="D106" i="15"/>
  <c r="E105" i="15"/>
  <c r="D105" i="15"/>
  <c r="E104" i="15"/>
  <c r="D104" i="15"/>
  <c r="E103" i="15"/>
  <c r="D103" i="15"/>
  <c r="E102" i="15"/>
  <c r="D102" i="15"/>
  <c r="E101" i="15"/>
  <c r="D101" i="15"/>
  <c r="E100" i="15"/>
  <c r="D100" i="15"/>
  <c r="E99" i="15"/>
  <c r="D99" i="15"/>
  <c r="E98" i="15"/>
  <c r="D98" i="15"/>
  <c r="E97" i="15"/>
  <c r="D97" i="15"/>
  <c r="E96" i="15"/>
  <c r="D96" i="15"/>
  <c r="E95" i="15"/>
  <c r="D95" i="15"/>
  <c r="E94" i="15"/>
  <c r="D94" i="15"/>
  <c r="E93" i="15"/>
  <c r="D93" i="15"/>
  <c r="E92" i="15"/>
  <c r="D92" i="15"/>
  <c r="AD91" i="15"/>
  <c r="AC91" i="15"/>
  <c r="AB91" i="15"/>
  <c r="AA91" i="15"/>
  <c r="Z91" i="15"/>
  <c r="Y91" i="15"/>
  <c r="X91" i="15"/>
  <c r="W91" i="15"/>
  <c r="V91" i="15"/>
  <c r="U91" i="15"/>
  <c r="T91" i="15"/>
  <c r="S91" i="15"/>
  <c r="R91" i="15"/>
  <c r="Q91" i="15"/>
  <c r="P91" i="15"/>
  <c r="O91" i="15"/>
  <c r="N91" i="15"/>
  <c r="M91" i="15"/>
  <c r="L91" i="15"/>
  <c r="K91" i="15"/>
  <c r="J91" i="15"/>
  <c r="I91" i="15"/>
  <c r="H91" i="15"/>
  <c r="G91" i="15"/>
  <c r="F91" i="15"/>
  <c r="E90" i="15"/>
  <c r="D90" i="15"/>
  <c r="E89" i="15"/>
  <c r="D89" i="15"/>
  <c r="E88" i="15"/>
  <c r="D88" i="15"/>
  <c r="E87" i="15"/>
  <c r="D87" i="15"/>
  <c r="E86" i="15"/>
  <c r="D86" i="15"/>
  <c r="AD85" i="15"/>
  <c r="AC85" i="15"/>
  <c r="AB85" i="15"/>
  <c r="AA85" i="15"/>
  <c r="Z85" i="15"/>
  <c r="Y85" i="15"/>
  <c r="X85" i="15"/>
  <c r="W85" i="15"/>
  <c r="V85" i="15"/>
  <c r="U85" i="15"/>
  <c r="T85" i="15"/>
  <c r="S85" i="15"/>
  <c r="R85" i="15"/>
  <c r="Q85" i="15"/>
  <c r="P85" i="15"/>
  <c r="O85" i="15"/>
  <c r="N85" i="15"/>
  <c r="M85" i="15"/>
  <c r="L85" i="15"/>
  <c r="K85" i="15"/>
  <c r="J85" i="15"/>
  <c r="I85" i="15"/>
  <c r="H85" i="15"/>
  <c r="G85" i="15"/>
  <c r="F85" i="15"/>
  <c r="E84" i="15"/>
  <c r="D84" i="15"/>
  <c r="E83" i="15"/>
  <c r="D83" i="15"/>
  <c r="E82" i="15"/>
  <c r="D82" i="15"/>
  <c r="E81" i="15"/>
  <c r="D81" i="15"/>
  <c r="E80" i="15"/>
  <c r="D80" i="15"/>
  <c r="E79" i="15"/>
  <c r="D79" i="15"/>
  <c r="E78" i="15"/>
  <c r="D78" i="15"/>
  <c r="AD77" i="15"/>
  <c r="AC77" i="15"/>
  <c r="AB77" i="15"/>
  <c r="AA77" i="15"/>
  <c r="Z77" i="15"/>
  <c r="Y77" i="15"/>
  <c r="X77" i="15"/>
  <c r="W77" i="15"/>
  <c r="V77" i="15"/>
  <c r="U77" i="15"/>
  <c r="T77" i="15"/>
  <c r="S77" i="15"/>
  <c r="R77" i="15"/>
  <c r="Q77" i="15"/>
  <c r="P77" i="15"/>
  <c r="O77" i="15"/>
  <c r="N77" i="15"/>
  <c r="M77" i="15"/>
  <c r="L77" i="15"/>
  <c r="K77" i="15"/>
  <c r="J77" i="15"/>
  <c r="I77" i="15"/>
  <c r="H77" i="15"/>
  <c r="G77" i="15"/>
  <c r="F77" i="15"/>
  <c r="E76" i="15"/>
  <c r="D76" i="15"/>
  <c r="E75" i="15"/>
  <c r="D75" i="15"/>
  <c r="E74" i="15"/>
  <c r="D74" i="15"/>
  <c r="E73" i="15"/>
  <c r="D73" i="15"/>
  <c r="E72" i="15"/>
  <c r="D72" i="15"/>
  <c r="E71" i="15"/>
  <c r="D71" i="15"/>
  <c r="E70" i="15"/>
  <c r="D70" i="15"/>
  <c r="AD69" i="15"/>
  <c r="AC69" i="15"/>
  <c r="AB69" i="15"/>
  <c r="AA69" i="15"/>
  <c r="Z69" i="15"/>
  <c r="Y69" i="15"/>
  <c r="X69" i="15"/>
  <c r="W69" i="15"/>
  <c r="V69" i="15"/>
  <c r="U69" i="15"/>
  <c r="T69" i="15"/>
  <c r="S69" i="15"/>
  <c r="R69" i="15"/>
  <c r="Q69" i="15"/>
  <c r="P69" i="15"/>
  <c r="O69" i="15"/>
  <c r="N69" i="15"/>
  <c r="M69" i="15"/>
  <c r="L69" i="15"/>
  <c r="K69" i="15"/>
  <c r="J69" i="15"/>
  <c r="I69" i="15"/>
  <c r="H69" i="15"/>
  <c r="G69" i="15"/>
  <c r="F69" i="15"/>
  <c r="E68" i="15"/>
  <c r="D68" i="15"/>
  <c r="E67" i="15"/>
  <c r="D67" i="15"/>
  <c r="E66" i="15"/>
  <c r="D66" i="15"/>
  <c r="E65" i="15"/>
  <c r="D65" i="15"/>
  <c r="E64" i="15"/>
  <c r="D64" i="15"/>
  <c r="E63" i="15"/>
  <c r="D63" i="15"/>
  <c r="E62" i="15"/>
  <c r="D62" i="15"/>
  <c r="E61" i="15"/>
  <c r="D61" i="15"/>
  <c r="AD60" i="15"/>
  <c r="AC60" i="15"/>
  <c r="AB60" i="15"/>
  <c r="AA60" i="15"/>
  <c r="Z60" i="15"/>
  <c r="Y60" i="15"/>
  <c r="X60" i="15"/>
  <c r="W60" i="15"/>
  <c r="V60" i="15"/>
  <c r="U60" i="15"/>
  <c r="T60" i="15"/>
  <c r="S60" i="15"/>
  <c r="R60" i="15"/>
  <c r="Q60" i="15"/>
  <c r="P60" i="15"/>
  <c r="O60" i="15"/>
  <c r="N60" i="15"/>
  <c r="M60" i="15"/>
  <c r="L60" i="15"/>
  <c r="K60" i="15"/>
  <c r="J60" i="15"/>
  <c r="I60" i="15"/>
  <c r="H60" i="15"/>
  <c r="G60" i="15"/>
  <c r="F60" i="15"/>
  <c r="E59" i="15"/>
  <c r="D59" i="15"/>
  <c r="E58" i="15"/>
  <c r="D58" i="15"/>
  <c r="E57" i="15"/>
  <c r="D57" i="15"/>
  <c r="E56" i="15"/>
  <c r="D56" i="15"/>
  <c r="E55" i="15"/>
  <c r="D55" i="15"/>
  <c r="E54" i="15"/>
  <c r="D54" i="15"/>
  <c r="E53" i="15"/>
  <c r="D53" i="15"/>
  <c r="E52" i="15"/>
  <c r="D52" i="15"/>
  <c r="E51" i="15"/>
  <c r="D51" i="15"/>
  <c r="E50" i="15"/>
  <c r="D50" i="15"/>
  <c r="E49" i="15"/>
  <c r="D49" i="15"/>
  <c r="E48" i="15"/>
  <c r="D48" i="15"/>
  <c r="E47" i="15"/>
  <c r="D47" i="15"/>
  <c r="AD46" i="15"/>
  <c r="AC46" i="15"/>
  <c r="AB46" i="15"/>
  <c r="AA46" i="15"/>
  <c r="Z46" i="15"/>
  <c r="Y46" i="15"/>
  <c r="X46" i="15"/>
  <c r="W46" i="15"/>
  <c r="V46" i="15"/>
  <c r="U46" i="15"/>
  <c r="T46" i="15"/>
  <c r="S46" i="15"/>
  <c r="R46" i="15"/>
  <c r="Q46" i="15"/>
  <c r="P46" i="15"/>
  <c r="O46" i="15"/>
  <c r="N46" i="15"/>
  <c r="M46" i="15"/>
  <c r="L46" i="15"/>
  <c r="K46" i="15"/>
  <c r="J46" i="15"/>
  <c r="I46" i="15"/>
  <c r="H46" i="15"/>
  <c r="G46" i="15"/>
  <c r="F46" i="15"/>
  <c r="E45" i="15"/>
  <c r="D45" i="15"/>
  <c r="E44" i="15"/>
  <c r="D44" i="15"/>
  <c r="E43" i="15"/>
  <c r="D43" i="15"/>
  <c r="E42" i="15"/>
  <c r="D42" i="15"/>
  <c r="E41" i="15"/>
  <c r="D41" i="15"/>
  <c r="AD40" i="15"/>
  <c r="AC40" i="15"/>
  <c r="AB40" i="15"/>
  <c r="AA40" i="15"/>
  <c r="Z40" i="15"/>
  <c r="Y40" i="15"/>
  <c r="X40" i="15"/>
  <c r="W40" i="15"/>
  <c r="V40" i="15"/>
  <c r="U40" i="15"/>
  <c r="T40" i="15"/>
  <c r="S40" i="15"/>
  <c r="R40" i="15"/>
  <c r="Q40" i="15"/>
  <c r="P40" i="15"/>
  <c r="O40" i="15"/>
  <c r="N40" i="15"/>
  <c r="M40" i="15"/>
  <c r="L40" i="15"/>
  <c r="K40" i="15"/>
  <c r="J40" i="15"/>
  <c r="I40" i="15"/>
  <c r="H40" i="15"/>
  <c r="G40" i="15"/>
  <c r="F40" i="15"/>
  <c r="E39" i="15"/>
  <c r="D39" i="15"/>
  <c r="E38" i="15"/>
  <c r="D38" i="15"/>
  <c r="E37" i="15"/>
  <c r="D37" i="15"/>
  <c r="E36" i="15"/>
  <c r="D36" i="15"/>
  <c r="E35" i="15"/>
  <c r="D35" i="15"/>
  <c r="E34" i="15"/>
  <c r="D34" i="15"/>
  <c r="E33" i="15"/>
  <c r="D33" i="15"/>
  <c r="E32" i="15"/>
  <c r="D32" i="15"/>
  <c r="E31" i="15"/>
  <c r="D31" i="15"/>
  <c r="E30" i="15"/>
  <c r="D30" i="15"/>
  <c r="E29" i="15"/>
  <c r="D29" i="15"/>
  <c r="AD28" i="15"/>
  <c r="AC28" i="15"/>
  <c r="AB28" i="15"/>
  <c r="AA28" i="15"/>
  <c r="Z28" i="15"/>
  <c r="Y28" i="15"/>
  <c r="X28" i="15"/>
  <c r="W28" i="15"/>
  <c r="V28" i="15"/>
  <c r="U28" i="15"/>
  <c r="T28" i="15"/>
  <c r="S28" i="15"/>
  <c r="R28" i="15"/>
  <c r="Q28" i="15"/>
  <c r="P28" i="15"/>
  <c r="O28" i="15"/>
  <c r="N28" i="15"/>
  <c r="M28" i="15"/>
  <c r="L28" i="15"/>
  <c r="K28" i="15"/>
  <c r="J28" i="15"/>
  <c r="I28" i="15"/>
  <c r="H28" i="15"/>
  <c r="G28" i="15"/>
  <c r="F28" i="15"/>
  <c r="E27" i="15"/>
  <c r="D27" i="15"/>
  <c r="E26" i="15"/>
  <c r="D26" i="15"/>
  <c r="E25" i="15"/>
  <c r="D25" i="15"/>
  <c r="E24" i="15"/>
  <c r="D24" i="15"/>
  <c r="E23" i="15"/>
  <c r="D23" i="15"/>
  <c r="E22" i="15"/>
  <c r="D22" i="15"/>
  <c r="E21" i="15"/>
  <c r="D21" i="15"/>
  <c r="E20" i="15"/>
  <c r="D20" i="15"/>
  <c r="E19" i="15"/>
  <c r="D19" i="15"/>
  <c r="E18" i="15"/>
  <c r="D18" i="15"/>
  <c r="E17" i="15"/>
  <c r="D17" i="15"/>
  <c r="E16" i="15"/>
  <c r="D16" i="15"/>
  <c r="AD15" i="15"/>
  <c r="AC15" i="15"/>
  <c r="AB15" i="15"/>
  <c r="AA15" i="15"/>
  <c r="Z15" i="15"/>
  <c r="Y15" i="15"/>
  <c r="X15" i="15"/>
  <c r="W15" i="15"/>
  <c r="V15" i="15"/>
  <c r="U15" i="15"/>
  <c r="T15" i="15"/>
  <c r="S15" i="15"/>
  <c r="R15" i="15"/>
  <c r="Q15" i="15"/>
  <c r="P15" i="15"/>
  <c r="O15" i="15"/>
  <c r="N15" i="15"/>
  <c r="M15" i="15"/>
  <c r="L15" i="15"/>
  <c r="K15" i="15"/>
  <c r="J15" i="15"/>
  <c r="I15" i="15"/>
  <c r="H15" i="15"/>
  <c r="G15" i="15"/>
  <c r="F15" i="15"/>
  <c r="E14" i="15"/>
  <c r="D14" i="15"/>
  <c r="E13" i="15"/>
  <c r="D13" i="15"/>
  <c r="E12" i="15"/>
  <c r="D12" i="15"/>
  <c r="E11" i="15"/>
  <c r="D11" i="15"/>
  <c r="E10" i="15"/>
  <c r="D10" i="15"/>
  <c r="E9" i="15"/>
  <c r="D9" i="15"/>
  <c r="E8" i="15"/>
  <c r="D8" i="15"/>
  <c r="E7" i="15"/>
  <c r="D7" i="15"/>
  <c r="E6" i="15"/>
  <c r="D6" i="15"/>
  <c r="AB4" i="15"/>
  <c r="AA4" i="15"/>
  <c r="Z4" i="15"/>
  <c r="Y4" i="15"/>
  <c r="X4" i="15"/>
  <c r="W4" i="15"/>
  <c r="V4" i="15"/>
  <c r="U4" i="15"/>
  <c r="T4" i="15"/>
  <c r="S4" i="15"/>
  <c r="R4" i="15"/>
  <c r="Q4" i="15"/>
  <c r="P4" i="15"/>
  <c r="O4" i="15"/>
  <c r="N4" i="15"/>
  <c r="M4" i="15"/>
  <c r="L4" i="15"/>
  <c r="K4" i="15"/>
  <c r="J4" i="15"/>
  <c r="I4" i="15"/>
  <c r="H4" i="15"/>
  <c r="G4" i="15"/>
  <c r="F4" i="15"/>
  <c r="D159" i="14"/>
  <c r="C159" i="14"/>
  <c r="F156" i="14"/>
  <c r="E156" i="14"/>
  <c r="F155" i="14"/>
  <c r="E155" i="14"/>
  <c r="F141" i="14"/>
  <c r="F124" i="14"/>
  <c r="E124" i="14"/>
  <c r="F120" i="14"/>
  <c r="F112" i="14"/>
  <c r="E108" i="14"/>
  <c r="E107" i="14"/>
  <c r="AA33" i="17" s="1"/>
  <c r="E106" i="14"/>
  <c r="AA16" i="17" s="1"/>
  <c r="F103" i="14"/>
  <c r="E101" i="14"/>
  <c r="E100" i="14"/>
  <c r="E96" i="14"/>
  <c r="F92" i="14"/>
  <c r="E81" i="14"/>
  <c r="F78" i="14"/>
  <c r="E78" i="14"/>
  <c r="F70" i="14"/>
  <c r="D38" i="14"/>
  <c r="D37" i="14"/>
  <c r="F28" i="14"/>
  <c r="F16" i="14"/>
  <c r="B61" i="13"/>
  <c r="B60" i="13"/>
  <c r="B59" i="13"/>
  <c r="B58" i="13"/>
  <c r="B57" i="13"/>
  <c r="B56" i="13"/>
  <c r="B55" i="13"/>
  <c r="B54" i="13"/>
  <c r="B53" i="13"/>
  <c r="B52" i="13"/>
  <c r="B51" i="13"/>
  <c r="B50" i="13"/>
  <c r="B49" i="13"/>
  <c r="B48" i="13"/>
  <c r="B47" i="13"/>
  <c r="B46" i="13"/>
  <c r="B45" i="13"/>
  <c r="B44" i="13"/>
  <c r="I43" i="13"/>
  <c r="B43" i="13"/>
  <c r="R42" i="13"/>
  <c r="B42" i="13"/>
  <c r="R41" i="13"/>
  <c r="B41" i="13"/>
  <c r="B40" i="13"/>
  <c r="R39" i="13"/>
  <c r="B39" i="13"/>
  <c r="R38" i="13"/>
  <c r="B38" i="13"/>
  <c r="B37" i="13"/>
  <c r="B35" i="13"/>
  <c r="B34" i="13"/>
  <c r="I32" i="13"/>
  <c r="B32" i="13"/>
  <c r="I31" i="13"/>
  <c r="B31" i="13"/>
  <c r="I30" i="13"/>
  <c r="B30" i="13"/>
  <c r="B29" i="13"/>
  <c r="I28" i="13"/>
  <c r="B28" i="13"/>
  <c r="I27" i="13"/>
  <c r="B27" i="13"/>
  <c r="I26" i="13"/>
  <c r="B26" i="13"/>
  <c r="I25" i="13"/>
  <c r="B25" i="13"/>
  <c r="I24" i="13"/>
  <c r="B24" i="13"/>
  <c r="I23" i="13"/>
  <c r="B23" i="13"/>
  <c r="I22" i="13"/>
  <c r="B22" i="13"/>
  <c r="I21" i="13"/>
  <c r="B21" i="13"/>
  <c r="I20" i="13"/>
  <c r="B20" i="13"/>
  <c r="I19" i="13"/>
  <c r="B19" i="13"/>
  <c r="I18" i="13"/>
  <c r="B18" i="13"/>
  <c r="I17" i="13"/>
  <c r="B17" i="13"/>
  <c r="I16" i="13"/>
  <c r="B16" i="13"/>
  <c r="I15" i="13"/>
  <c r="B15" i="13"/>
  <c r="I14" i="13"/>
  <c r="B14" i="13"/>
  <c r="I13" i="13"/>
  <c r="B13" i="13"/>
  <c r="I12" i="13"/>
  <c r="B12" i="13"/>
  <c r="I11" i="13"/>
  <c r="B11" i="13"/>
  <c r="I10" i="13"/>
  <c r="B10" i="13"/>
  <c r="I9" i="13"/>
  <c r="B9" i="13"/>
  <c r="I8" i="13"/>
  <c r="B8" i="13"/>
  <c r="I7" i="13"/>
  <c r="B7" i="13"/>
  <c r="I6" i="13"/>
  <c r="B6" i="13"/>
  <c r="I5" i="13"/>
  <c r="U3" i="13"/>
  <c r="G29" i="13" s="1"/>
  <c r="I29" i="13" s="1"/>
  <c r="T3" i="13"/>
  <c r="S3" i="13"/>
  <c r="AJ70" i="12"/>
  <c r="U48" i="12" a="1"/>
  <c r="U48" i="12" s="1"/>
  <c r="R39" i="12"/>
  <c r="N30" i="12"/>
  <c r="B32" i="12" s="1"/>
  <c r="P24" i="12"/>
  <c r="K24" i="12"/>
  <c r="AH9" i="12"/>
  <c r="X9" i="12"/>
  <c r="Q9" i="12"/>
  <c r="AO6" i="12"/>
  <c r="AP6" i="12" s="1"/>
  <c r="AQ6" i="12" s="1"/>
  <c r="AO5" i="12"/>
  <c r="AP5" i="12" s="1"/>
  <c r="AQ5" i="12" s="1"/>
  <c r="AO72" i="11"/>
  <c r="G5" i="12"/>
  <c r="AO4" i="12"/>
  <c r="AP4" i="12" s="1"/>
  <c r="AQ4" i="12" s="1"/>
  <c r="F4" i="12"/>
  <c r="AO3" i="12"/>
  <c r="CC113" i="11"/>
  <c r="CC115" i="11" s="1"/>
  <c r="CB113" i="11"/>
  <c r="CB115" i="11" s="1"/>
  <c r="CA113" i="11"/>
  <c r="CA115" i="11" s="1"/>
  <c r="BZ113" i="11"/>
  <c r="BZ115" i="11" s="1"/>
  <c r="BY113" i="11"/>
  <c r="BY115" i="11" s="1"/>
  <c r="CC111" i="11"/>
  <c r="CB111" i="11"/>
  <c r="CA111" i="11"/>
  <c r="BZ111" i="11"/>
  <c r="BY111" i="11"/>
  <c r="CC110" i="11"/>
  <c r="CB110" i="11"/>
  <c r="CA110" i="11"/>
  <c r="BZ110" i="11"/>
  <c r="BY110" i="11"/>
  <c r="CC109" i="11"/>
  <c r="CB109" i="11"/>
  <c r="CA109" i="11"/>
  <c r="BZ109" i="11"/>
  <c r="BY109" i="11"/>
  <c r="CC108" i="11"/>
  <c r="CB108" i="11"/>
  <c r="CA108" i="11"/>
  <c r="BZ108" i="11"/>
  <c r="BY108" i="11"/>
  <c r="CC107" i="11"/>
  <c r="CB107" i="11"/>
  <c r="CA107" i="11"/>
  <c r="BZ107" i="11"/>
  <c r="BY107" i="11"/>
  <c r="DY103" i="11"/>
  <c r="AS93" i="11"/>
  <c r="AS92" i="11"/>
  <c r="AS91" i="11"/>
  <c r="AS90" i="11"/>
  <c r="AS89" i="11"/>
  <c r="AS88" i="11"/>
  <c r="AS87" i="11"/>
  <c r="AS86" i="11"/>
  <c r="AS85" i="11"/>
  <c r="AS84" i="11"/>
  <c r="BY83" i="11"/>
  <c r="AS83" i="11"/>
  <c r="BY82" i="11"/>
  <c r="AS82" i="11"/>
  <c r="BX66" i="11"/>
  <c r="BX67" i="11" s="1"/>
  <c r="CA65" i="11"/>
  <c r="BY65" i="11"/>
  <c r="CI60" i="11"/>
  <c r="CI59" i="11"/>
  <c r="CI58" i="11"/>
  <c r="CI57" i="11"/>
  <c r="CI56" i="11"/>
  <c r="CI55" i="11"/>
  <c r="CI54" i="11"/>
  <c r="A54" i="11" a="1"/>
  <c r="A54" i="11" s="1"/>
  <c r="CI53" i="11"/>
  <c r="A53" i="11" a="1"/>
  <c r="A53" i="11" s="1"/>
  <c r="CI52" i="11"/>
  <c r="CI51" i="11"/>
  <c r="DA50" i="11"/>
  <c r="CY50" i="11"/>
  <c r="CX50" i="11"/>
  <c r="CT50" i="11"/>
  <c r="CS50" i="11"/>
  <c r="CR50" i="11"/>
  <c r="CI50" i="11"/>
  <c r="BI50" i="11"/>
  <c r="BH50" i="11"/>
  <c r="BG50" i="11"/>
  <c r="BF50" i="11"/>
  <c r="BA50" i="11"/>
  <c r="AU50" i="11"/>
  <c r="BN50" i="11"/>
  <c r="AP50" i="11"/>
  <c r="DA49" i="11"/>
  <c r="CY49" i="11"/>
  <c r="CX49" i="11"/>
  <c r="CT49" i="11"/>
  <c r="CS49" i="11"/>
  <c r="CR49" i="11"/>
  <c r="CI49" i="11"/>
  <c r="BI49" i="11"/>
  <c r="BH49" i="11"/>
  <c r="BG49" i="11"/>
  <c r="BF49" i="11"/>
  <c r="BA49" i="11"/>
  <c r="AU49" i="11"/>
  <c r="BN49" i="11"/>
  <c r="AP49" i="11"/>
  <c r="BK49" i="11"/>
  <c r="DA48" i="11"/>
  <c r="CY48" i="11"/>
  <c r="CX48" i="11"/>
  <c r="CT48" i="11"/>
  <c r="CS48" i="11"/>
  <c r="CR48" i="11"/>
  <c r="CI48" i="11"/>
  <c r="BI48" i="11"/>
  <c r="BH48" i="11"/>
  <c r="BG48" i="11"/>
  <c r="BF48" i="11"/>
  <c r="BA48" i="11"/>
  <c r="AU48" i="11"/>
  <c r="BN48" i="11"/>
  <c r="AP48" i="11"/>
  <c r="DA47" i="11"/>
  <c r="CY47" i="11"/>
  <c r="CX47" i="11"/>
  <c r="CT47" i="11"/>
  <c r="CS47" i="11"/>
  <c r="CR47" i="11"/>
  <c r="CI47" i="11"/>
  <c r="BI47" i="11"/>
  <c r="BH47" i="11"/>
  <c r="BG47" i="11"/>
  <c r="BF47" i="11"/>
  <c r="BA47" i="11"/>
  <c r="AU47" i="11"/>
  <c r="BN47" i="11"/>
  <c r="AP47" i="11"/>
  <c r="BK47" i="11"/>
  <c r="DA46" i="11"/>
  <c r="CY46" i="11"/>
  <c r="CX46" i="11"/>
  <c r="CT46" i="11"/>
  <c r="CS46" i="11"/>
  <c r="CR46" i="11"/>
  <c r="CI46" i="11"/>
  <c r="BI46" i="11"/>
  <c r="BH46" i="11"/>
  <c r="BG46" i="11"/>
  <c r="BF46" i="11"/>
  <c r="BA46" i="11"/>
  <c r="AU46" i="11"/>
  <c r="BN46" i="11"/>
  <c r="AP46" i="11"/>
  <c r="BK46" i="11"/>
  <c r="DA45" i="11"/>
  <c r="CY45" i="11"/>
  <c r="CX45" i="11"/>
  <c r="CT45" i="11"/>
  <c r="CS45" i="11"/>
  <c r="CR45" i="11"/>
  <c r="CI45" i="11"/>
  <c r="BP45" i="11"/>
  <c r="BI45" i="11"/>
  <c r="BH45" i="11"/>
  <c r="BG45" i="11"/>
  <c r="BF45" i="11"/>
  <c r="BA45" i="11"/>
  <c r="AU45" i="11"/>
  <c r="CZ45" i="11"/>
  <c r="AP45" i="11"/>
  <c r="BJ45" i="11"/>
  <c r="DA44" i="11"/>
  <c r="CY44" i="11"/>
  <c r="CX44" i="11"/>
  <c r="CT44" i="11"/>
  <c r="CS44" i="11"/>
  <c r="CR44" i="11"/>
  <c r="CI44" i="11"/>
  <c r="BP44" i="11"/>
  <c r="BI44" i="11"/>
  <c r="BH44" i="11"/>
  <c r="BG44" i="11"/>
  <c r="BF44" i="11"/>
  <c r="BA44" i="11"/>
  <c r="AU44" i="11"/>
  <c r="BM44" i="11"/>
  <c r="AP44" i="11"/>
  <c r="BK44" i="11"/>
  <c r="DA43" i="11"/>
  <c r="CY43" i="11"/>
  <c r="CX43" i="11"/>
  <c r="CT43" i="11"/>
  <c r="CS43" i="11"/>
  <c r="CR43" i="11"/>
  <c r="CI43" i="11"/>
  <c r="BP43" i="11"/>
  <c r="BI43" i="11"/>
  <c r="BH43" i="11"/>
  <c r="BG43" i="11"/>
  <c r="BF43" i="11"/>
  <c r="BA43" i="11"/>
  <c r="AU43" i="11"/>
  <c r="CZ43" i="11"/>
  <c r="AP43" i="11"/>
  <c r="BK43" i="11"/>
  <c r="DA42" i="11"/>
  <c r="CY42" i="11"/>
  <c r="CX42" i="11"/>
  <c r="CT42" i="11"/>
  <c r="CS42" i="11"/>
  <c r="CR42" i="11"/>
  <c r="CI42" i="11"/>
  <c r="BP42" i="11"/>
  <c r="BI42" i="11"/>
  <c r="BH42" i="11"/>
  <c r="BG42" i="11"/>
  <c r="BF42" i="11"/>
  <c r="BA42" i="11"/>
  <c r="AU42" i="11"/>
  <c r="BN42" i="11"/>
  <c r="AP42" i="11"/>
  <c r="BK42" i="11"/>
  <c r="DA41" i="11"/>
  <c r="CY41" i="11"/>
  <c r="CX41" i="11"/>
  <c r="CT41" i="11"/>
  <c r="CS41" i="11"/>
  <c r="CR41" i="11"/>
  <c r="CI41" i="11"/>
  <c r="BP41" i="11"/>
  <c r="BI41" i="11"/>
  <c r="BH41" i="11"/>
  <c r="BG41" i="11"/>
  <c r="BF41" i="11"/>
  <c r="BA41" i="11"/>
  <c r="AU41" i="11"/>
  <c r="CZ41" i="11"/>
  <c r="AP41" i="11"/>
  <c r="BK41" i="11"/>
  <c r="DA40" i="11"/>
  <c r="CY40" i="11"/>
  <c r="CX40" i="11"/>
  <c r="CT40" i="11"/>
  <c r="CS40" i="11"/>
  <c r="CR40" i="11"/>
  <c r="BP40" i="11"/>
  <c r="BI40" i="11"/>
  <c r="BH40" i="11"/>
  <c r="BG40" i="11"/>
  <c r="BF40" i="11"/>
  <c r="BA40" i="11"/>
  <c r="AU40" i="11"/>
  <c r="CZ40" i="11"/>
  <c r="AP40" i="11"/>
  <c r="BJ40" i="11"/>
  <c r="DA39" i="11"/>
  <c r="CY39" i="11"/>
  <c r="CX39" i="11"/>
  <c r="CT39" i="11"/>
  <c r="CS39" i="11"/>
  <c r="CR39" i="11"/>
  <c r="BP39" i="11"/>
  <c r="BI39" i="11"/>
  <c r="BH39" i="11"/>
  <c r="BG39" i="11"/>
  <c r="BF39" i="11"/>
  <c r="BA39" i="11"/>
  <c r="AU39" i="11"/>
  <c r="AP39" i="11"/>
  <c r="DA38" i="11"/>
  <c r="CY38" i="11"/>
  <c r="CX38" i="11"/>
  <c r="CT38" i="11"/>
  <c r="CS38" i="11"/>
  <c r="CR38" i="11"/>
  <c r="BP38" i="11"/>
  <c r="BI38" i="11"/>
  <c r="BH38" i="11"/>
  <c r="BG38" i="11"/>
  <c r="BF38" i="11"/>
  <c r="BA38" i="11"/>
  <c r="AU38" i="11"/>
  <c r="BM38" i="11"/>
  <c r="AP38" i="11"/>
  <c r="BJ38" i="11"/>
  <c r="DA37" i="11"/>
  <c r="CY37" i="11"/>
  <c r="CX37" i="11"/>
  <c r="CT37" i="11"/>
  <c r="CS37" i="11"/>
  <c r="CR37" i="11"/>
  <c r="BP37" i="11"/>
  <c r="BI37" i="11"/>
  <c r="BH37" i="11"/>
  <c r="BG37" i="11"/>
  <c r="BF37" i="11"/>
  <c r="BA37" i="11"/>
  <c r="AU37" i="11"/>
  <c r="BN37" i="11"/>
  <c r="AP37" i="11"/>
  <c r="DA36" i="11"/>
  <c r="CY36" i="11"/>
  <c r="CX36" i="11"/>
  <c r="CT36" i="11"/>
  <c r="CS36" i="11"/>
  <c r="CR36" i="11"/>
  <c r="BP36" i="11"/>
  <c r="BI36" i="11"/>
  <c r="BH36" i="11"/>
  <c r="BG36" i="11"/>
  <c r="BF36" i="11"/>
  <c r="BA36" i="11"/>
  <c r="AU36" i="11"/>
  <c r="CZ36" i="11"/>
  <c r="AP36" i="11"/>
  <c r="DA35" i="11"/>
  <c r="CY35" i="11"/>
  <c r="CX35" i="11"/>
  <c r="CT35" i="11"/>
  <c r="CS35" i="11"/>
  <c r="CR35" i="11"/>
  <c r="BP35" i="11"/>
  <c r="BI35" i="11"/>
  <c r="BH35" i="11"/>
  <c r="BG35" i="11"/>
  <c r="BF35" i="11"/>
  <c r="BA35" i="11"/>
  <c r="AU35" i="11"/>
  <c r="AP35" i="11"/>
  <c r="BK35" i="11"/>
  <c r="DA34" i="11"/>
  <c r="CY34" i="11"/>
  <c r="CX34" i="11"/>
  <c r="CT34" i="11"/>
  <c r="CS34" i="11"/>
  <c r="CR34" i="11"/>
  <c r="BP34" i="11"/>
  <c r="BI34" i="11"/>
  <c r="BH34" i="11"/>
  <c r="BG34" i="11"/>
  <c r="BF34" i="11"/>
  <c r="BA34" i="11"/>
  <c r="AU34" i="11"/>
  <c r="AP34" i="11"/>
  <c r="DA33" i="11"/>
  <c r="CY33" i="11"/>
  <c r="CX33" i="11"/>
  <c r="CT33" i="11"/>
  <c r="CS33" i="11"/>
  <c r="CR33" i="11"/>
  <c r="CI33" i="11"/>
  <c r="BP33" i="11"/>
  <c r="BI33" i="11"/>
  <c r="BH33" i="11"/>
  <c r="BG33" i="11"/>
  <c r="BF33" i="11"/>
  <c r="BA33" i="11"/>
  <c r="AU33" i="11"/>
  <c r="BN33" i="11"/>
  <c r="AP33" i="11"/>
  <c r="BK33" i="11"/>
  <c r="DA32" i="11"/>
  <c r="CY32" i="11"/>
  <c r="CX32" i="11"/>
  <c r="CT32" i="11"/>
  <c r="CS32" i="11"/>
  <c r="CR32" i="11"/>
  <c r="BP32" i="11"/>
  <c r="BI32" i="11"/>
  <c r="BH32" i="11"/>
  <c r="BG32" i="11"/>
  <c r="BF32" i="11"/>
  <c r="BA32" i="11"/>
  <c r="AU32" i="11"/>
  <c r="CZ32" i="11"/>
  <c r="AP32" i="11"/>
  <c r="DA31" i="11"/>
  <c r="CY31" i="11"/>
  <c r="CX31" i="11"/>
  <c r="CT31" i="11"/>
  <c r="CS31" i="11"/>
  <c r="CR31" i="11"/>
  <c r="BI31" i="11"/>
  <c r="BH31" i="11"/>
  <c r="BG31" i="11"/>
  <c r="BF31" i="11"/>
  <c r="BA31" i="11"/>
  <c r="AU31" i="11"/>
  <c r="CZ31" i="11"/>
  <c r="AP31" i="11"/>
  <c r="BK31" i="11"/>
  <c r="DA30" i="11"/>
  <c r="CY30" i="11"/>
  <c r="CX30" i="11"/>
  <c r="CT30" i="11"/>
  <c r="CS30" i="11"/>
  <c r="CR30" i="11"/>
  <c r="BI30" i="11"/>
  <c r="BH30" i="11"/>
  <c r="BG30" i="11"/>
  <c r="BF30" i="11"/>
  <c r="BA30" i="11"/>
  <c r="AU30" i="11"/>
  <c r="BM30" i="11"/>
  <c r="AP30" i="11"/>
  <c r="DA29" i="11"/>
  <c r="CY29" i="11"/>
  <c r="CX29" i="11"/>
  <c r="CT29" i="11"/>
  <c r="CS29" i="11"/>
  <c r="CR29" i="11"/>
  <c r="BI29" i="11"/>
  <c r="BH29" i="11"/>
  <c r="BG29" i="11"/>
  <c r="BF29" i="11"/>
  <c r="BA29" i="11"/>
  <c r="AU29" i="11"/>
  <c r="AP29" i="11"/>
  <c r="BJ29" i="11"/>
  <c r="DA28" i="11"/>
  <c r="CY28" i="11"/>
  <c r="CX28" i="11"/>
  <c r="CT28" i="11"/>
  <c r="CS28" i="11"/>
  <c r="CR28" i="11"/>
  <c r="BI28" i="11"/>
  <c r="BH28" i="11"/>
  <c r="BG28" i="11"/>
  <c r="BF28" i="11"/>
  <c r="BA28" i="11"/>
  <c r="AU28" i="11"/>
  <c r="CZ28" i="11"/>
  <c r="AP28" i="11"/>
  <c r="BJ28" i="11"/>
  <c r="DA27" i="11"/>
  <c r="CY27" i="11"/>
  <c r="CX27" i="11"/>
  <c r="CT27" i="11"/>
  <c r="CS27" i="11"/>
  <c r="CR27" i="11"/>
  <c r="BI27" i="11"/>
  <c r="BH27" i="11"/>
  <c r="BG27" i="11"/>
  <c r="BF27" i="11"/>
  <c r="BA27" i="11"/>
  <c r="AU27" i="11"/>
  <c r="AP27" i="11"/>
  <c r="DA26" i="11"/>
  <c r="CY26" i="11"/>
  <c r="CX26" i="11"/>
  <c r="CT26" i="11"/>
  <c r="CS26" i="11"/>
  <c r="CR26" i="11"/>
  <c r="BI26" i="11"/>
  <c r="BH26" i="11"/>
  <c r="BG26" i="11"/>
  <c r="BF26" i="11"/>
  <c r="BA26" i="11"/>
  <c r="AU26" i="11"/>
  <c r="BM26" i="11"/>
  <c r="AP26" i="11"/>
  <c r="BK26" i="11"/>
  <c r="DA25" i="11"/>
  <c r="CY25" i="11"/>
  <c r="CX25" i="11"/>
  <c r="CT25" i="11"/>
  <c r="CS25" i="11"/>
  <c r="CR25" i="11"/>
  <c r="BI25" i="11"/>
  <c r="BH25" i="11"/>
  <c r="BG25" i="11"/>
  <c r="BF25" i="11"/>
  <c r="BA25" i="11"/>
  <c r="AU25" i="11"/>
  <c r="CZ25" i="11"/>
  <c r="AP25" i="11"/>
  <c r="BK25" i="11"/>
  <c r="DA24" i="11"/>
  <c r="CY24" i="11"/>
  <c r="CX24" i="11"/>
  <c r="CT24" i="11"/>
  <c r="CS24" i="11"/>
  <c r="CR24" i="11"/>
  <c r="BI24" i="11"/>
  <c r="BH24" i="11"/>
  <c r="BG24" i="11"/>
  <c r="BF24" i="11"/>
  <c r="BA24" i="11"/>
  <c r="AU24" i="11"/>
  <c r="BM24" i="11"/>
  <c r="AP24" i="11"/>
  <c r="DA23" i="11"/>
  <c r="CY23" i="11"/>
  <c r="CX23" i="11"/>
  <c r="CT23" i="11"/>
  <c r="CS23" i="11"/>
  <c r="CR23" i="11"/>
  <c r="BP23" i="11"/>
  <c r="BI23" i="11"/>
  <c r="BH23" i="11"/>
  <c r="BG23" i="11"/>
  <c r="BF23" i="11"/>
  <c r="BA23" i="11"/>
  <c r="AU23" i="11"/>
  <c r="BN23" i="11"/>
  <c r="AP23" i="11"/>
  <c r="BK23" i="11"/>
  <c r="DA22" i="11"/>
  <c r="CY22" i="11"/>
  <c r="CX22" i="11"/>
  <c r="CT22" i="11"/>
  <c r="CS22" i="11"/>
  <c r="CR22" i="11"/>
  <c r="BP22" i="11"/>
  <c r="BI22" i="11"/>
  <c r="BH22" i="11"/>
  <c r="BG22" i="11"/>
  <c r="BF22" i="11"/>
  <c r="BA22" i="11"/>
  <c r="AU22" i="11"/>
  <c r="AP22" i="11"/>
  <c r="BK22" i="11"/>
  <c r="DA21" i="11"/>
  <c r="CY21" i="11"/>
  <c r="CX21" i="11"/>
  <c r="CT21" i="11"/>
  <c r="CS21" i="11"/>
  <c r="CR21" i="11"/>
  <c r="BP21" i="11"/>
  <c r="BI21" i="11"/>
  <c r="BH21" i="11"/>
  <c r="BG21" i="11"/>
  <c r="BF21" i="11"/>
  <c r="BA21" i="11"/>
  <c r="AU21" i="11"/>
  <c r="AP21" i="11"/>
  <c r="DA20" i="11"/>
  <c r="CY20" i="11"/>
  <c r="CX20" i="11"/>
  <c r="CT20" i="11"/>
  <c r="CS20" i="11"/>
  <c r="CR20" i="11"/>
  <c r="BP20" i="11"/>
  <c r="BI20" i="11"/>
  <c r="BH20" i="11"/>
  <c r="BG20" i="11"/>
  <c r="BF20" i="11"/>
  <c r="BA20" i="11"/>
  <c r="AU20" i="11"/>
  <c r="BN20" i="11"/>
  <c r="AP20" i="11"/>
  <c r="BJ20" i="11"/>
  <c r="DA19" i="11"/>
  <c r="CY19" i="11"/>
  <c r="CX19" i="11"/>
  <c r="CT19" i="11"/>
  <c r="CS19" i="11"/>
  <c r="CR19" i="11"/>
  <c r="BP19" i="11"/>
  <c r="BI19" i="11"/>
  <c r="BH19" i="11"/>
  <c r="BG19" i="11"/>
  <c r="BF19" i="11"/>
  <c r="BA19" i="11"/>
  <c r="AU19" i="11"/>
  <c r="BN19" i="11"/>
  <c r="AP19" i="11"/>
  <c r="BJ19" i="11"/>
  <c r="DA18" i="11"/>
  <c r="CY18" i="11"/>
  <c r="CX18" i="11"/>
  <c r="CT18" i="11"/>
  <c r="CS18" i="11"/>
  <c r="CR18" i="11"/>
  <c r="BP18" i="11"/>
  <c r="BI18" i="11"/>
  <c r="BH18" i="11"/>
  <c r="BG18" i="11"/>
  <c r="BF18" i="11"/>
  <c r="BA18" i="11"/>
  <c r="AU18" i="11"/>
  <c r="BM18" i="11"/>
  <c r="AP18" i="11"/>
  <c r="DA17" i="11"/>
  <c r="CY17" i="11"/>
  <c r="CX17" i="11"/>
  <c r="CT17" i="11"/>
  <c r="CS17" i="11"/>
  <c r="CR17" i="11"/>
  <c r="BP17" i="11"/>
  <c r="BI17" i="11"/>
  <c r="BH17" i="11"/>
  <c r="BG17" i="11"/>
  <c r="BF17" i="11"/>
  <c r="BA17" i="11"/>
  <c r="AU17" i="11"/>
  <c r="AP17" i="11"/>
  <c r="BJ17" i="11"/>
  <c r="DA16" i="11"/>
  <c r="CY16" i="11"/>
  <c r="CX16" i="11"/>
  <c r="CT16" i="11"/>
  <c r="CS16" i="11"/>
  <c r="CR16" i="11"/>
  <c r="BP16" i="11"/>
  <c r="BI16" i="11"/>
  <c r="BH16" i="11"/>
  <c r="BG16" i="11"/>
  <c r="BF16" i="11"/>
  <c r="BA16" i="11"/>
  <c r="AU16" i="11"/>
  <c r="BN16" i="11"/>
  <c r="AP16" i="11"/>
  <c r="DA15" i="11"/>
  <c r="CY15" i="11"/>
  <c r="CX15" i="11"/>
  <c r="CT15" i="11"/>
  <c r="CS15" i="11"/>
  <c r="CR15" i="11"/>
  <c r="BP15" i="11"/>
  <c r="BI15" i="11"/>
  <c r="BH15" i="11"/>
  <c r="BG15" i="11"/>
  <c r="BF15" i="11"/>
  <c r="BA15" i="11"/>
  <c r="AU15" i="11"/>
  <c r="BN15" i="11"/>
  <c r="AP15" i="11"/>
  <c r="BK15" i="11"/>
  <c r="DA14" i="11"/>
  <c r="CY14" i="11"/>
  <c r="CX14" i="11"/>
  <c r="CT14" i="11"/>
  <c r="CS14" i="11"/>
  <c r="CR14" i="11"/>
  <c r="BP14" i="11"/>
  <c r="BI14" i="11"/>
  <c r="BH14" i="11"/>
  <c r="BG14" i="11"/>
  <c r="BF14" i="11"/>
  <c r="BA14" i="11"/>
  <c r="AU14" i="11"/>
  <c r="AP14" i="11"/>
  <c r="BK14" i="11"/>
  <c r="DA13" i="11"/>
  <c r="CY13" i="11"/>
  <c r="CX13" i="11"/>
  <c r="CT13" i="11"/>
  <c r="CS13" i="11"/>
  <c r="CR13" i="11"/>
  <c r="BP13" i="11"/>
  <c r="BI13" i="11"/>
  <c r="BH13" i="11"/>
  <c r="BG13" i="11"/>
  <c r="BF13" i="11"/>
  <c r="BA13" i="11"/>
  <c r="AU13" i="11"/>
  <c r="AP13" i="11"/>
  <c r="CS12" i="11"/>
  <c r="CR12" i="11"/>
  <c r="BP12" i="11"/>
  <c r="BI12" i="11"/>
  <c r="BH12" i="11"/>
  <c r="BG12" i="11"/>
  <c r="BF12" i="11"/>
  <c r="BA12" i="11"/>
  <c r="AU12" i="11"/>
  <c r="CZ12" i="11"/>
  <c r="AP12" i="11"/>
  <c r="BK12" i="11"/>
  <c r="DA11" i="11"/>
  <c r="CY11" i="11"/>
  <c r="CX11" i="11"/>
  <c r="CT11" i="11"/>
  <c r="CR11" i="11"/>
  <c r="BP11" i="11"/>
  <c r="BI11" i="11"/>
  <c r="BH11" i="11"/>
  <c r="BG11" i="11"/>
  <c r="BF11" i="11"/>
  <c r="BA11" i="11"/>
  <c r="AU11" i="11"/>
  <c r="CZ11" i="11"/>
  <c r="AP11" i="11"/>
  <c r="BJ11" i="11"/>
  <c r="DA10" i="11"/>
  <c r="CY10" i="11"/>
  <c r="CT10" i="11"/>
  <c r="CR10" i="11"/>
  <c r="BP10" i="11"/>
  <c r="BI10" i="11"/>
  <c r="BH10" i="11"/>
  <c r="BG10" i="11"/>
  <c r="BN10" i="11"/>
  <c r="BN9" i="11"/>
  <c r="BM9" i="11"/>
  <c r="BE8" i="11"/>
  <c r="AZ8" i="11"/>
  <c r="AT8" i="11"/>
  <c r="AE8" i="11"/>
  <c r="AC8" i="11"/>
  <c r="AA8" i="11"/>
  <c r="Z8" i="11"/>
  <c r="Y8" i="11"/>
  <c r="X8" i="11"/>
  <c r="Z422" i="23" s="1"/>
  <c r="Z428" i="23" s="1"/>
  <c r="W8" i="11"/>
  <c r="AK381" i="23" s="1"/>
  <c r="V8" i="11"/>
  <c r="U8" i="11"/>
  <c r="T8" i="11"/>
  <c r="S8" i="11"/>
  <c r="AC111" i="22" s="1"/>
  <c r="R8" i="11"/>
  <c r="Q8" i="11"/>
  <c r="P8" i="11"/>
  <c r="O8" i="11"/>
  <c r="N8" i="11"/>
  <c r="M8" i="11"/>
  <c r="L8" i="11"/>
  <c r="J8" i="11"/>
  <c r="DD7" i="11"/>
  <c r="AV7" i="11"/>
  <c r="CP19" i="11" s="1"/>
  <c r="AU7" i="11"/>
  <c r="CO19" i="11" s="1"/>
  <c r="AT7" i="11"/>
  <c r="CN19" i="11" s="1"/>
  <c r="CN20" i="11" s="1"/>
  <c r="CN54" i="11" s="1"/>
  <c r="AS7" i="11"/>
  <c r="CM19" i="11" s="1"/>
  <c r="CM10" i="11" s="1"/>
  <c r="AR7" i="11"/>
  <c r="CL19" i="11" s="1"/>
  <c r="CL7" i="11" s="1"/>
  <c r="AQ7" i="11"/>
  <c r="CK19" i="11" s="1"/>
  <c r="CK8" i="11" s="1"/>
  <c r="CL42" i="11" s="1"/>
  <c r="AP7" i="11"/>
  <c r="CJ19" i="11" s="1"/>
  <c r="AH7" i="11"/>
  <c r="AG7" i="11"/>
  <c r="AF7" i="11"/>
  <c r="X7" i="11"/>
  <c r="R7" i="11"/>
  <c r="CF1" i="11"/>
  <c r="C12" i="9"/>
  <c r="C11" i="9"/>
  <c r="C10" i="9"/>
  <c r="C9" i="9"/>
  <c r="N544" i="7"/>
  <c r="E544" i="7"/>
  <c r="B542" i="7"/>
  <c r="N537" i="7"/>
  <c r="E537" i="7"/>
  <c r="N520" i="7"/>
  <c r="E520" i="7"/>
  <c r="N513" i="7"/>
  <c r="E513" i="7"/>
  <c r="N512" i="7"/>
  <c r="E512" i="7"/>
  <c r="N511" i="7"/>
  <c r="E511" i="7"/>
  <c r="N510" i="7"/>
  <c r="E510" i="7"/>
  <c r="N509" i="7"/>
  <c r="E509" i="7"/>
  <c r="N508" i="7"/>
  <c r="E508" i="7"/>
  <c r="N502" i="7"/>
  <c r="E502" i="7"/>
  <c r="N501" i="7"/>
  <c r="E501" i="7"/>
  <c r="N495" i="7"/>
  <c r="E495" i="7"/>
  <c r="AH488" i="7"/>
  <c r="AE488" i="7"/>
  <c r="AB488" i="7"/>
  <c r="Y488" i="7"/>
  <c r="AJ472" i="7"/>
  <c r="AJ471" i="7"/>
  <c r="AJ470" i="7"/>
  <c r="AJ467" i="7"/>
  <c r="AJ466" i="7"/>
  <c r="AJ465" i="7"/>
  <c r="AA457" i="7"/>
  <c r="H454" i="7"/>
  <c r="I445" i="7"/>
  <c r="J449" i="7" s="1"/>
  <c r="I436" i="7"/>
  <c r="I440" i="7" s="1"/>
  <c r="S404" i="7"/>
  <c r="O404" i="7"/>
  <c r="M404" i="7"/>
  <c r="I404" i="7"/>
  <c r="AK401" i="7"/>
  <c r="AH401" i="7"/>
  <c r="V393" i="7" s="1"/>
  <c r="AK400" i="7"/>
  <c r="AH400" i="7"/>
  <c r="S393" i="7" s="1"/>
  <c r="AK399" i="7"/>
  <c r="AH399" i="7"/>
  <c r="P393" i="7" s="1"/>
  <c r="AK398" i="7"/>
  <c r="AH398" i="7"/>
  <c r="M393" i="7" s="1"/>
  <c r="AH397" i="7"/>
  <c r="J393" i="7" s="1"/>
  <c r="AK396" i="7"/>
  <c r="AH396" i="7"/>
  <c r="H393" i="7" s="1"/>
  <c r="AA392" i="7"/>
  <c r="Y392" i="7"/>
  <c r="N362" i="7"/>
  <c r="E362" i="7"/>
  <c r="N361" i="7"/>
  <c r="E361" i="7"/>
  <c r="N360" i="7"/>
  <c r="E360" i="7"/>
  <c r="AI347" i="7"/>
  <c r="N340" i="7"/>
  <c r="E340" i="7"/>
  <c r="N339" i="7"/>
  <c r="E339" i="7"/>
  <c r="N338" i="7"/>
  <c r="E338" i="7"/>
  <c r="N337" i="7"/>
  <c r="E337" i="7"/>
  <c r="N336" i="7"/>
  <c r="E336" i="7"/>
  <c r="N335" i="7"/>
  <c r="E335" i="7"/>
  <c r="N332" i="7"/>
  <c r="E332" i="7"/>
  <c r="N331" i="7"/>
  <c r="E331" i="7"/>
  <c r="N330" i="7"/>
  <c r="E330" i="7"/>
  <c r="N329" i="7"/>
  <c r="E329" i="7"/>
  <c r="N328" i="7"/>
  <c r="E328" i="7"/>
  <c r="N327" i="7"/>
  <c r="E327" i="7"/>
  <c r="N324" i="7"/>
  <c r="E324" i="7"/>
  <c r="N323" i="7"/>
  <c r="E323" i="7"/>
  <c r="N322" i="7"/>
  <c r="E322" i="7"/>
  <c r="N321" i="7"/>
  <c r="E321" i="7"/>
  <c r="N320" i="7"/>
  <c r="E320" i="7"/>
  <c r="N319" i="7"/>
  <c r="E319" i="7"/>
  <c r="N316" i="7"/>
  <c r="E316" i="7"/>
  <c r="N315" i="7"/>
  <c r="E315" i="7"/>
  <c r="N314" i="7"/>
  <c r="E314" i="7"/>
  <c r="N313" i="7"/>
  <c r="E313" i="7"/>
  <c r="N312" i="7"/>
  <c r="E312" i="7"/>
  <c r="N311" i="7"/>
  <c r="E311" i="7"/>
  <c r="N308" i="7"/>
  <c r="E308" i="7"/>
  <c r="N307" i="7"/>
  <c r="E307" i="7"/>
  <c r="N306" i="7"/>
  <c r="E306" i="7"/>
  <c r="N305" i="7"/>
  <c r="E305" i="7"/>
  <c r="N304" i="7"/>
  <c r="E304" i="7"/>
  <c r="N303" i="7"/>
  <c r="E303" i="7"/>
  <c r="N302" i="7"/>
  <c r="E302" i="7"/>
  <c r="N301" i="7"/>
  <c r="E301" i="7"/>
  <c r="N300" i="7"/>
  <c r="E300" i="7"/>
  <c r="N296" i="7"/>
  <c r="E296" i="7"/>
  <c r="N295" i="7"/>
  <c r="E295" i="7"/>
  <c r="N294" i="7"/>
  <c r="E294" i="7"/>
  <c r="N293" i="7"/>
  <c r="E293" i="7"/>
  <c r="N292" i="7"/>
  <c r="E292" i="7"/>
  <c r="E291" i="7"/>
  <c r="N287" i="7"/>
  <c r="E287" i="7"/>
  <c r="N286" i="7"/>
  <c r="E286" i="7"/>
  <c r="N285" i="7"/>
  <c r="E285" i="7"/>
  <c r="N284" i="7"/>
  <c r="E284" i="7"/>
  <c r="N283" i="7"/>
  <c r="E283" i="7"/>
  <c r="E282" i="7"/>
  <c r="N278" i="7"/>
  <c r="E278" i="7"/>
  <c r="N277" i="7"/>
  <c r="E277" i="7"/>
  <c r="N276" i="7"/>
  <c r="E276" i="7"/>
  <c r="N275" i="7"/>
  <c r="E275" i="7"/>
  <c r="N274" i="7"/>
  <c r="E274" i="7"/>
  <c r="E273" i="7"/>
  <c r="N265" i="7"/>
  <c r="E265" i="7"/>
  <c r="N264" i="7"/>
  <c r="E264" i="7"/>
  <c r="N263" i="7"/>
  <c r="E263" i="7"/>
  <c r="N253" i="7"/>
  <c r="E253" i="7"/>
  <c r="N231" i="7"/>
  <c r="E231" i="7"/>
  <c r="M211" i="7"/>
  <c r="E211" i="7"/>
  <c r="N186" i="7"/>
  <c r="E186" i="7"/>
  <c r="N185" i="7"/>
  <c r="E185" i="7"/>
  <c r="N184" i="7"/>
  <c r="E184" i="7"/>
  <c r="N183" i="7"/>
  <c r="E183" i="7"/>
  <c r="L146" i="7"/>
  <c r="E146" i="7"/>
  <c r="L135" i="7"/>
  <c r="E135" i="7"/>
  <c r="L131" i="7"/>
  <c r="E131" i="7"/>
  <c r="O124" i="7"/>
  <c r="L116" i="7"/>
  <c r="E116" i="7"/>
  <c r="L94" i="7"/>
  <c r="E94" i="7"/>
  <c r="L93" i="7"/>
  <c r="E93" i="7"/>
  <c r="L92" i="7"/>
  <c r="E92" i="7"/>
  <c r="B89" i="7"/>
  <c r="B85" i="7"/>
  <c r="E77" i="7"/>
  <c r="AO63" i="7"/>
  <c r="I185" i="4" s="1"/>
  <c r="AO60" i="7"/>
  <c r="I174" i="4" s="1"/>
  <c r="AO58" i="7"/>
  <c r="I89" i="4" s="1"/>
  <c r="AO53" i="7"/>
  <c r="AO50" i="7"/>
  <c r="AO47" i="7"/>
  <c r="I86" i="4" s="1"/>
  <c r="AO43" i="7"/>
  <c r="I90" i="4" s="1"/>
  <c r="AO40" i="7"/>
  <c r="I88" i="4" s="1"/>
  <c r="L37" i="7"/>
  <c r="E37" i="7"/>
  <c r="S33" i="7"/>
  <c r="AO30" i="7"/>
  <c r="AO17" i="7"/>
  <c r="AL38" i="11" s="1"/>
  <c r="AO16" i="7"/>
  <c r="AO15" i="7"/>
  <c r="AK36" i="11" s="1"/>
  <c r="AO14" i="7"/>
  <c r="AO6" i="7"/>
  <c r="AO3" i="7"/>
  <c r="AJ28" i="11" s="1"/>
  <c r="I191" i="4"/>
  <c r="I189" i="4"/>
  <c r="D189" i="4"/>
  <c r="C189" i="4"/>
  <c r="I188" i="4"/>
  <c r="D188" i="4"/>
  <c r="C188" i="4"/>
  <c r="I187" i="4"/>
  <c r="D187" i="4"/>
  <c r="C187" i="4"/>
  <c r="D186" i="4"/>
  <c r="C186" i="4"/>
  <c r="D185" i="4"/>
  <c r="C185" i="4"/>
  <c r="I184" i="4"/>
  <c r="D184" i="4"/>
  <c r="C184" i="4"/>
  <c r="I183" i="4"/>
  <c r="D183" i="4"/>
  <c r="C183" i="4"/>
  <c r="I182" i="4"/>
  <c r="D182" i="4"/>
  <c r="C182" i="4"/>
  <c r="D181" i="4"/>
  <c r="C181" i="4"/>
  <c r="I180" i="4"/>
  <c r="D180" i="4"/>
  <c r="C180" i="4"/>
  <c r="D179" i="4"/>
  <c r="C179" i="4"/>
  <c r="D178" i="4"/>
  <c r="C178" i="4"/>
  <c r="I177" i="4"/>
  <c r="D177" i="4"/>
  <c r="C177" i="4"/>
  <c r="F173" i="4"/>
  <c r="E173" i="4"/>
  <c r="F172" i="4"/>
  <c r="E172" i="4"/>
  <c r="F171" i="4"/>
  <c r="E171" i="4"/>
  <c r="F170" i="4"/>
  <c r="E170" i="4"/>
  <c r="F169" i="4"/>
  <c r="E169" i="4"/>
  <c r="I168" i="4"/>
  <c r="F168" i="4"/>
  <c r="E168" i="4"/>
  <c r="I167" i="4"/>
  <c r="F167" i="4"/>
  <c r="E167" i="4"/>
  <c r="F166" i="4"/>
  <c r="E166" i="4"/>
  <c r="F165" i="4"/>
  <c r="E165" i="4"/>
  <c r="I164" i="4"/>
  <c r="F164" i="4"/>
  <c r="E164" i="4"/>
  <c r="F163" i="4"/>
  <c r="E163" i="4"/>
  <c r="I162" i="4"/>
  <c r="F162" i="4"/>
  <c r="E162" i="4"/>
  <c r="I159" i="4"/>
  <c r="D159" i="4"/>
  <c r="C159" i="4"/>
  <c r="I158" i="4"/>
  <c r="D158" i="4"/>
  <c r="C158" i="4"/>
  <c r="I157" i="4"/>
  <c r="D157" i="4"/>
  <c r="C157" i="4"/>
  <c r="I156" i="4"/>
  <c r="D156" i="4"/>
  <c r="C156" i="4"/>
  <c r="I155" i="4"/>
  <c r="I154" i="4"/>
  <c r="D154" i="4"/>
  <c r="C154" i="4"/>
  <c r="I153" i="4"/>
  <c r="D153" i="4"/>
  <c r="C153" i="4"/>
  <c r="I152" i="4"/>
  <c r="D152" i="4"/>
  <c r="C152" i="4"/>
  <c r="I151" i="4"/>
  <c r="D151" i="4"/>
  <c r="C151" i="4"/>
  <c r="I150" i="4"/>
  <c r="D150" i="4"/>
  <c r="C150" i="4"/>
  <c r="I149" i="4"/>
  <c r="D149" i="4"/>
  <c r="C149" i="4"/>
  <c r="I148" i="4"/>
  <c r="D148" i="4"/>
  <c r="C148" i="4"/>
  <c r="I147" i="4"/>
  <c r="D147" i="4"/>
  <c r="C147" i="4"/>
  <c r="I146" i="4"/>
  <c r="D146" i="4"/>
  <c r="C146" i="4"/>
  <c r="I145" i="4"/>
  <c r="D145" i="4"/>
  <c r="C145" i="4"/>
  <c r="I144" i="4"/>
  <c r="D144" i="4"/>
  <c r="C144" i="4"/>
  <c r="I143" i="4"/>
  <c r="D143" i="4"/>
  <c r="C143" i="4"/>
  <c r="I142" i="4"/>
  <c r="D142" i="4"/>
  <c r="C142" i="4"/>
  <c r="I141" i="4"/>
  <c r="D141" i="4"/>
  <c r="C141" i="4"/>
  <c r="I140" i="4"/>
  <c r="D140" i="4"/>
  <c r="C140" i="4"/>
  <c r="I139" i="4"/>
  <c r="D139" i="4"/>
  <c r="C139" i="4"/>
  <c r="I138" i="4"/>
  <c r="D138" i="4"/>
  <c r="C138" i="4"/>
  <c r="I137" i="4"/>
  <c r="D137" i="4"/>
  <c r="C137" i="4"/>
  <c r="I136" i="4"/>
  <c r="D136" i="4"/>
  <c r="C136" i="4"/>
  <c r="I135" i="4"/>
  <c r="D135" i="4"/>
  <c r="C135" i="4"/>
  <c r="I134" i="4"/>
  <c r="D134" i="4"/>
  <c r="C134" i="4"/>
  <c r="I133" i="4"/>
  <c r="D133" i="4"/>
  <c r="C133" i="4"/>
  <c r="I132" i="4"/>
  <c r="D132" i="4"/>
  <c r="C132" i="4"/>
  <c r="I131" i="4"/>
  <c r="D131" i="4"/>
  <c r="C131" i="4"/>
  <c r="I130" i="4"/>
  <c r="D130" i="4"/>
  <c r="C130" i="4"/>
  <c r="I129" i="4"/>
  <c r="D129" i="4"/>
  <c r="C129" i="4"/>
  <c r="I128" i="4"/>
  <c r="D128" i="4"/>
  <c r="C128" i="4"/>
  <c r="I127" i="4"/>
  <c r="D127" i="4"/>
  <c r="C127" i="4"/>
  <c r="I126" i="4"/>
  <c r="D126" i="4"/>
  <c r="C126" i="4"/>
  <c r="D125" i="4"/>
  <c r="C125" i="4"/>
  <c r="D124" i="4"/>
  <c r="C124" i="4"/>
  <c r="I123" i="4"/>
  <c r="D123" i="4"/>
  <c r="C123" i="4"/>
  <c r="I122" i="4"/>
  <c r="D122" i="4"/>
  <c r="C122" i="4"/>
  <c r="I121" i="4"/>
  <c r="D121" i="4"/>
  <c r="C121" i="4"/>
  <c r="I120" i="4"/>
  <c r="D120" i="4"/>
  <c r="C120" i="4"/>
  <c r="I119" i="4"/>
  <c r="D119" i="4"/>
  <c r="C119" i="4"/>
  <c r="I118" i="4"/>
  <c r="D118" i="4"/>
  <c r="C118" i="4"/>
  <c r="I117" i="4"/>
  <c r="D117" i="4"/>
  <c r="C117" i="4"/>
  <c r="I116" i="4"/>
  <c r="D116" i="4"/>
  <c r="C116" i="4"/>
  <c r="I115" i="4"/>
  <c r="D115" i="4"/>
  <c r="C115" i="4"/>
  <c r="I114" i="4"/>
  <c r="D114" i="4"/>
  <c r="C114" i="4"/>
  <c r="D113" i="4"/>
  <c r="C113" i="4"/>
  <c r="D112" i="4"/>
  <c r="C112" i="4"/>
  <c r="I111" i="4"/>
  <c r="D111" i="4"/>
  <c r="C111" i="4"/>
  <c r="D110" i="4"/>
  <c r="C110" i="4"/>
  <c r="I109" i="4"/>
  <c r="D109" i="4"/>
  <c r="C109" i="4"/>
  <c r="D108" i="4"/>
  <c r="C108" i="4"/>
  <c r="I107" i="4"/>
  <c r="D107" i="4"/>
  <c r="C107" i="4"/>
  <c r="I106" i="4"/>
  <c r="D106" i="4"/>
  <c r="C106" i="4"/>
  <c r="D105" i="4"/>
  <c r="C105" i="4"/>
  <c r="D104" i="4"/>
  <c r="C104" i="4"/>
  <c r="D103" i="4"/>
  <c r="C103" i="4"/>
  <c r="D102" i="4"/>
  <c r="C102" i="4"/>
  <c r="D101" i="4"/>
  <c r="C101" i="4"/>
  <c r="D100" i="4"/>
  <c r="C100" i="4"/>
  <c r="I99" i="4"/>
  <c r="D99" i="4"/>
  <c r="C99" i="4"/>
  <c r="I98" i="4"/>
  <c r="D98" i="4"/>
  <c r="C98" i="4"/>
  <c r="I97" i="4"/>
  <c r="D97" i="4"/>
  <c r="C97" i="4"/>
  <c r="I96" i="4"/>
  <c r="D96" i="4"/>
  <c r="C96" i="4"/>
  <c r="I95" i="4"/>
  <c r="D95" i="4"/>
  <c r="C95" i="4"/>
  <c r="D94" i="4"/>
  <c r="C94" i="4"/>
  <c r="I93" i="4"/>
  <c r="D93" i="4"/>
  <c r="C93" i="4"/>
  <c r="D92" i="4"/>
  <c r="C92" i="4"/>
  <c r="D91" i="4"/>
  <c r="C91" i="4"/>
  <c r="D90" i="4"/>
  <c r="C90" i="4"/>
  <c r="D89" i="4"/>
  <c r="C89" i="4"/>
  <c r="D88" i="4"/>
  <c r="C88" i="4"/>
  <c r="D87" i="4"/>
  <c r="C87" i="4"/>
  <c r="D86" i="4"/>
  <c r="C86" i="4"/>
  <c r="D85" i="4"/>
  <c r="C85" i="4"/>
  <c r="D84" i="4"/>
  <c r="C84" i="4"/>
  <c r="I83" i="4"/>
  <c r="D83" i="4"/>
  <c r="C83" i="4"/>
  <c r="I82" i="4"/>
  <c r="D82" i="4"/>
  <c r="C82" i="4"/>
  <c r="I81" i="4"/>
  <c r="D81" i="4"/>
  <c r="C81" i="4"/>
  <c r="I80" i="4"/>
  <c r="D80" i="4"/>
  <c r="C80" i="4"/>
  <c r="I79" i="4"/>
  <c r="D79" i="4"/>
  <c r="C79" i="4"/>
  <c r="I77" i="4"/>
  <c r="D77" i="4"/>
  <c r="C77" i="4"/>
  <c r="D75" i="4"/>
  <c r="C75" i="4"/>
  <c r="D74" i="4"/>
  <c r="C74" i="4"/>
  <c r="D73" i="4"/>
  <c r="C73" i="4"/>
  <c r="D72" i="4"/>
  <c r="C72" i="4"/>
  <c r="D71" i="4"/>
  <c r="C71" i="4"/>
  <c r="D70" i="4"/>
  <c r="C70" i="4"/>
  <c r="I69" i="4"/>
  <c r="D69" i="4"/>
  <c r="C69" i="4"/>
  <c r="D68" i="4"/>
  <c r="C68" i="4"/>
  <c r="D67" i="4"/>
  <c r="C67" i="4"/>
  <c r="D66" i="4"/>
  <c r="C66" i="4"/>
  <c r="D65" i="4"/>
  <c r="C65" i="4"/>
  <c r="D64" i="4"/>
  <c r="C64" i="4"/>
  <c r="D63" i="4"/>
  <c r="C63" i="4"/>
  <c r="I62" i="4"/>
  <c r="D62" i="4"/>
  <c r="C62" i="4"/>
  <c r="I61" i="4"/>
  <c r="D61" i="4"/>
  <c r="C61" i="4"/>
  <c r="I60" i="4"/>
  <c r="D60" i="4"/>
  <c r="C60" i="4"/>
  <c r="I59" i="4"/>
  <c r="D59" i="4"/>
  <c r="C59" i="4"/>
  <c r="I58" i="4"/>
  <c r="D58" i="4"/>
  <c r="C58" i="4"/>
  <c r="I57" i="4"/>
  <c r="D57" i="4"/>
  <c r="C57" i="4"/>
  <c r="I56" i="4"/>
  <c r="D56" i="4"/>
  <c r="C56" i="4"/>
  <c r="I55" i="4"/>
  <c r="D55" i="4"/>
  <c r="C55" i="4"/>
  <c r="I54" i="4"/>
  <c r="D54" i="4"/>
  <c r="C54" i="4"/>
  <c r="D52" i="4"/>
  <c r="I51" i="4"/>
  <c r="D51" i="4"/>
  <c r="C51" i="4"/>
  <c r="D50" i="4"/>
  <c r="C50" i="4"/>
  <c r="D49" i="4"/>
  <c r="C49" i="4"/>
  <c r="D48" i="4"/>
  <c r="C48" i="4"/>
  <c r="D47" i="4"/>
  <c r="C47" i="4"/>
  <c r="D46" i="4"/>
  <c r="C46" i="4"/>
  <c r="I44" i="4"/>
  <c r="D44" i="4"/>
  <c r="C44" i="4"/>
  <c r="I43" i="4"/>
  <c r="D43" i="4"/>
  <c r="C43" i="4"/>
  <c r="I42" i="4"/>
  <c r="D42" i="4"/>
  <c r="C42" i="4"/>
  <c r="I41" i="4"/>
  <c r="D41" i="4"/>
  <c r="C41" i="4"/>
  <c r="I40" i="4"/>
  <c r="D40" i="4"/>
  <c r="C40" i="4"/>
  <c r="I39" i="4"/>
  <c r="D39" i="4"/>
  <c r="C39" i="4"/>
  <c r="D38" i="4"/>
  <c r="C38" i="4"/>
  <c r="D37" i="4"/>
  <c r="C37" i="4"/>
  <c r="I36" i="4"/>
  <c r="D36" i="4"/>
  <c r="C36" i="4"/>
  <c r="I35" i="4"/>
  <c r="D35" i="4"/>
  <c r="C35" i="4"/>
  <c r="I34" i="4"/>
  <c r="D34" i="4"/>
  <c r="C34" i="4"/>
  <c r="I33" i="4"/>
  <c r="D33" i="4"/>
  <c r="C33" i="4"/>
  <c r="I32" i="4"/>
  <c r="D32" i="4"/>
  <c r="C32" i="4"/>
  <c r="I31" i="4"/>
  <c r="D31" i="4"/>
  <c r="C31" i="4"/>
  <c r="I30" i="4"/>
  <c r="D30" i="4"/>
  <c r="C30" i="4"/>
  <c r="I29" i="4"/>
  <c r="D29" i="4"/>
  <c r="C29" i="4"/>
  <c r="I28" i="4"/>
  <c r="D28" i="4"/>
  <c r="C28" i="4"/>
  <c r="D27" i="4"/>
  <c r="C27" i="4"/>
  <c r="D26" i="4"/>
  <c r="C26" i="4"/>
  <c r="D25" i="4"/>
  <c r="C25" i="4"/>
  <c r="D24" i="4"/>
  <c r="C24" i="4"/>
  <c r="D23" i="4"/>
  <c r="C23" i="4"/>
  <c r="D22" i="4"/>
  <c r="C22" i="4"/>
  <c r="D21" i="4"/>
  <c r="C21" i="4"/>
  <c r="D20" i="4"/>
  <c r="C20" i="4"/>
  <c r="D19" i="4"/>
  <c r="C19" i="4"/>
  <c r="D18" i="4"/>
  <c r="C18" i="4"/>
  <c r="I17" i="4"/>
  <c r="D17" i="4"/>
  <c r="C17" i="4"/>
  <c r="I16" i="4"/>
  <c r="D16" i="4"/>
  <c r="C16" i="4"/>
  <c r="I15" i="4"/>
  <c r="D15" i="4"/>
  <c r="C15" i="4"/>
  <c r="I14" i="4"/>
  <c r="D14" i="4"/>
  <c r="C14" i="4"/>
  <c r="I13" i="4"/>
  <c r="D13" i="4"/>
  <c r="C13" i="4"/>
  <c r="I12" i="4"/>
  <c r="D12" i="4"/>
  <c r="C12" i="4"/>
  <c r="D11" i="4"/>
  <c r="C11" i="4"/>
  <c r="D10" i="4"/>
  <c r="C10" i="4"/>
  <c r="D9" i="4"/>
  <c r="C9" i="4"/>
  <c r="D8" i="4"/>
  <c r="C8" i="4"/>
  <c r="D7" i="4"/>
  <c r="C7" i="4"/>
  <c r="D6" i="4"/>
  <c r="C6" i="4"/>
  <c r="I5" i="4"/>
  <c r="C3" i="3"/>
  <c r="C4" i="3" s="1"/>
  <c r="C5" i="3" s="1"/>
  <c r="C6" i="3" s="1"/>
  <c r="C7" i="3" s="1"/>
  <c r="C8" i="3" s="1"/>
  <c r="C9" i="3" s="1"/>
  <c r="C10" i="3" s="1"/>
  <c r="C11" i="3" s="1"/>
  <c r="C12" i="3" s="1"/>
  <c r="C13" i="3" s="1"/>
  <c r="C14" i="3" s="1"/>
  <c r="C15" i="3" s="1"/>
  <c r="C16" i="3" s="1"/>
  <c r="C17" i="3" s="1"/>
  <c r="C18" i="3" s="1"/>
  <c r="B59" i="2"/>
  <c r="B58" i="2"/>
  <c r="D207" i="15" l="1"/>
  <c r="E207" i="15"/>
  <c r="D122" i="15"/>
  <c r="E160" i="15"/>
  <c r="E188" i="15"/>
  <c r="AM26" i="11"/>
  <c r="D197" i="15"/>
  <c r="D166" i="15"/>
  <c r="AJ474" i="7"/>
  <c r="K472" i="7"/>
  <c r="K474" i="7" s="1"/>
  <c r="CJ8" i="11"/>
  <c r="CJ16" i="11"/>
  <c r="AG56" i="23"/>
  <c r="AK5" i="34"/>
  <c r="V255" i="34"/>
  <c r="BA8" i="11"/>
  <c r="E37" i="14" s="1"/>
  <c r="G3" i="15"/>
  <c r="AR148" i="34"/>
  <c r="AP113" i="34"/>
  <c r="AS113" i="34" s="1"/>
  <c r="AR113" i="34"/>
  <c r="BK10" i="11"/>
  <c r="BF8" i="11"/>
  <c r="AJ292" i="26"/>
  <c r="I12" i="32"/>
  <c r="P12" i="32" s="1"/>
  <c r="AR121" i="34"/>
  <c r="AL11" i="24"/>
  <c r="P9" i="32"/>
  <c r="AD117" i="19"/>
  <c r="BB48" i="19"/>
  <c r="AL145" i="7"/>
  <c r="AL12" i="24"/>
  <c r="D15" i="15"/>
  <c r="AL81" i="25"/>
  <c r="AE29" i="15"/>
  <c r="AE78" i="15"/>
  <c r="I11" i="32"/>
  <c r="P11" i="32" s="1"/>
  <c r="F3" i="15"/>
  <c r="BM31" i="11"/>
  <c r="AE116" i="15"/>
  <c r="AS51" i="19"/>
  <c r="P10" i="32"/>
  <c r="BQ51" i="19"/>
  <c r="DB32" i="11"/>
  <c r="DC32" i="11" s="1"/>
  <c r="DD32" i="11" s="1"/>
  <c r="BE48" i="19"/>
  <c r="DB28" i="11"/>
  <c r="DC28" i="11" s="1"/>
  <c r="DD28" i="11" s="1"/>
  <c r="DB46" i="11"/>
  <c r="DC46" i="11" s="1"/>
  <c r="DD46" i="11" s="1"/>
  <c r="BY66" i="11"/>
  <c r="CA66" i="11" s="1"/>
  <c r="CB66" i="11" s="1"/>
  <c r="CO48" i="19"/>
  <c r="AS14" i="11"/>
  <c r="AV14" i="11" s="1"/>
  <c r="DB39" i="11"/>
  <c r="DC39" i="11" s="1"/>
  <c r="DD39" i="11" s="1"/>
  <c r="DB29" i="11"/>
  <c r="DC29" i="11" s="1"/>
  <c r="DD29" i="11" s="1"/>
  <c r="CR51" i="19"/>
  <c r="AG60" i="19"/>
  <c r="DB11" i="11"/>
  <c r="DC11" i="11" s="1"/>
  <c r="DD11" i="11" s="1"/>
  <c r="BK28" i="11"/>
  <c r="BL28" i="11" s="1"/>
  <c r="DA51" i="19"/>
  <c r="DP57" i="19"/>
  <c r="AJ296" i="26"/>
  <c r="AR117" i="34"/>
  <c r="AS45" i="11"/>
  <c r="AV45" i="11" s="1"/>
  <c r="AA51" i="19"/>
  <c r="AY51" i="19"/>
  <c r="AR161" i="34"/>
  <c r="AE8" i="15"/>
  <c r="AE17" i="15"/>
  <c r="AE21" i="15"/>
  <c r="AS58" i="19"/>
  <c r="DG60" i="19"/>
  <c r="BJ44" i="11"/>
  <c r="BL44" i="11" s="1"/>
  <c r="X28" i="19"/>
  <c r="AJ301" i="26"/>
  <c r="BK20" i="11"/>
  <c r="BL20" i="11" s="1"/>
  <c r="AE9" i="15"/>
  <c r="BH28" i="19"/>
  <c r="DY51" i="19"/>
  <c r="X57" i="19"/>
  <c r="AJ302" i="26"/>
  <c r="CO58" i="19"/>
  <c r="AJ56" i="23"/>
  <c r="BK17" i="11"/>
  <c r="BL17" i="11" s="1"/>
  <c r="AE32" i="15"/>
  <c r="AE41" i="15"/>
  <c r="AE58" i="15"/>
  <c r="CL28" i="19"/>
  <c r="U48" i="19"/>
  <c r="O51" i="19"/>
  <c r="BH57" i="19"/>
  <c r="BN59" i="19"/>
  <c r="AJ305" i="26"/>
  <c r="AE35" i="15"/>
  <c r="CX28" i="19"/>
  <c r="CI48" i="19"/>
  <c r="AV50" i="19"/>
  <c r="BW60" i="19"/>
  <c r="AP118" i="19"/>
  <c r="AR154" i="34"/>
  <c r="DB19" i="11"/>
  <c r="DC19" i="11" s="1"/>
  <c r="DD19" i="11" s="1"/>
  <c r="BJ25" i="11"/>
  <c r="BL25" i="11" s="1"/>
  <c r="AS26" i="11"/>
  <c r="AV26" i="11" s="1"/>
  <c r="AE49" i="15"/>
  <c r="AE57" i="15"/>
  <c r="AE66" i="15"/>
  <c r="AE71" i="15"/>
  <c r="AE75" i="15"/>
  <c r="AE89" i="15"/>
  <c r="AE98" i="15"/>
  <c r="AE115" i="15"/>
  <c r="R28" i="19"/>
  <c r="DY28" i="19"/>
  <c r="R48" i="19"/>
  <c r="CL48" i="19"/>
  <c r="CX50" i="19"/>
  <c r="CC60" i="19"/>
  <c r="M43" i="23"/>
  <c r="M58" i="23"/>
  <c r="DV50" i="19"/>
  <c r="CM7" i="11"/>
  <c r="CM41" i="11" s="1"/>
  <c r="BJ22" i="11"/>
  <c r="BL22" i="11" s="1"/>
  <c r="BJ26" i="11"/>
  <c r="BL26" i="11" s="1"/>
  <c r="DB40" i="11"/>
  <c r="DC40" i="11" s="1"/>
  <c r="DD40" i="11" s="1"/>
  <c r="DB49" i="11"/>
  <c r="DC49" i="11" s="1"/>
  <c r="DD49" i="11" s="1"/>
  <c r="AE63" i="15"/>
  <c r="AE67" i="15"/>
  <c r="AE76" i="15"/>
  <c r="AE81" i="15"/>
  <c r="AE90" i="15"/>
  <c r="AE95" i="15"/>
  <c r="AD28" i="19"/>
  <c r="AA48" i="19"/>
  <c r="DM48" i="19"/>
  <c r="BW51" i="19"/>
  <c r="CF59" i="19"/>
  <c r="DS60" i="19"/>
  <c r="AP117" i="19"/>
  <c r="AJ297" i="26"/>
  <c r="AR153" i="34"/>
  <c r="AR162" i="34"/>
  <c r="DB37" i="11"/>
  <c r="DC37" i="11" s="1"/>
  <c r="DD37" i="11" s="1"/>
  <c r="AE37" i="15"/>
  <c r="BE28" i="19"/>
  <c r="AD48" i="19"/>
  <c r="DS48" i="19"/>
  <c r="CC51" i="19"/>
  <c r="BN117" i="19"/>
  <c r="AJ299" i="26"/>
  <c r="AF112" i="34"/>
  <c r="AR155" i="34"/>
  <c r="AE42" i="15"/>
  <c r="AE92" i="15"/>
  <c r="AE104" i="15"/>
  <c r="AE113" i="15"/>
  <c r="S43" i="23"/>
  <c r="AE38" i="15"/>
  <c r="AE43" i="15"/>
  <c r="AE48" i="15"/>
  <c r="AE65" i="15"/>
  <c r="AE74" i="15"/>
  <c r="AE79" i="15"/>
  <c r="AE83" i="15"/>
  <c r="AE97" i="15"/>
  <c r="AE105" i="15"/>
  <c r="AE109" i="15"/>
  <c r="CR28" i="19"/>
  <c r="CC48" i="19"/>
  <c r="AD50" i="19"/>
  <c r="AG51" i="19"/>
  <c r="DM51" i="19"/>
  <c r="DA58" i="19"/>
  <c r="AS60" i="19"/>
  <c r="AJ118" i="19"/>
  <c r="AJ304" i="26"/>
  <c r="P8" i="32"/>
  <c r="O3" i="4"/>
  <c r="I124" i="4"/>
  <c r="D140" i="15"/>
  <c r="E148" i="15"/>
  <c r="D132" i="15"/>
  <c r="D180" i="15"/>
  <c r="E132" i="15"/>
  <c r="E140" i="15"/>
  <c r="E173" i="15"/>
  <c r="E180" i="15"/>
  <c r="D202" i="15"/>
  <c r="E122" i="15"/>
  <c r="E166" i="15"/>
  <c r="E197" i="15"/>
  <c r="E202" i="15"/>
  <c r="D148" i="15"/>
  <c r="D160" i="15"/>
  <c r="D173" i="15"/>
  <c r="AL62" i="31" s="1"/>
  <c r="D188" i="15"/>
  <c r="AL59" i="30"/>
  <c r="N24" i="17"/>
  <c r="K49" i="34"/>
  <c r="V49" i="34" s="1"/>
  <c r="Z49" i="34" s="1"/>
  <c r="AK397" i="7"/>
  <c r="AK402" i="7" s="1"/>
  <c r="N9" i="17"/>
  <c r="AL15" i="24"/>
  <c r="AS27" i="11"/>
  <c r="AV27" i="11" s="1"/>
  <c r="AS13" i="11"/>
  <c r="AV13" i="11" s="1"/>
  <c r="AS29" i="11"/>
  <c r="AV29" i="11" s="1"/>
  <c r="AT162" i="34"/>
  <c r="AS162" i="34"/>
  <c r="AU162" i="34" s="1"/>
  <c r="AT160" i="34"/>
  <c r="AS160" i="34"/>
  <c r="AU160" i="34" s="1"/>
  <c r="I161" i="4" a="1"/>
  <c r="I161" i="4" s="1"/>
  <c r="BJ46" i="11"/>
  <c r="BL46" i="11" s="1"/>
  <c r="AJ30" i="18"/>
  <c r="AP61" i="19"/>
  <c r="BJ12" i="11"/>
  <c r="BL12" i="11" s="1"/>
  <c r="DB21" i="11"/>
  <c r="DC21" i="11" s="1"/>
  <c r="DD21" i="11" s="1"/>
  <c r="BK38" i="11"/>
  <c r="BL38" i="11" s="1"/>
  <c r="BJ41" i="11"/>
  <c r="BL41" i="11" s="1"/>
  <c r="BK45" i="11"/>
  <c r="BL45" i="11" s="1"/>
  <c r="BJ47" i="11"/>
  <c r="BL47" i="11" s="1"/>
  <c r="DB47" i="11"/>
  <c r="DC47" i="11" s="1"/>
  <c r="DD47" i="11" s="1"/>
  <c r="AO67" i="11"/>
  <c r="AJ19" i="18"/>
  <c r="R59" i="19"/>
  <c r="BB61" i="19"/>
  <c r="L118" i="19"/>
  <c r="BH118" i="19"/>
  <c r="AQ114" i="34"/>
  <c r="AQ111" i="34" s="1"/>
  <c r="AR118" i="34"/>
  <c r="CL9" i="11"/>
  <c r="BJ14" i="11"/>
  <c r="BL14" i="11" s="1"/>
  <c r="DP59" i="19"/>
  <c r="BB118" i="19"/>
  <c r="I78" i="4" a="1"/>
  <c r="I78" i="4" s="1"/>
  <c r="I91" i="4"/>
  <c r="DB10" i="11"/>
  <c r="AS33" i="11"/>
  <c r="AV33" i="11" s="1"/>
  <c r="DB36" i="11"/>
  <c r="DC36" i="11" s="1"/>
  <c r="DD36" i="11" s="1"/>
  <c r="DB45" i="11"/>
  <c r="DC45" i="11" s="1"/>
  <c r="DD45" i="11" s="1"/>
  <c r="AE14" i="15"/>
  <c r="AE27" i="15"/>
  <c r="AE52" i="15"/>
  <c r="E69" i="15"/>
  <c r="AE70" i="15"/>
  <c r="AE93" i="15"/>
  <c r="AE108" i="15"/>
  <c r="BN28" i="19"/>
  <c r="X50" i="19"/>
  <c r="BE51" i="19"/>
  <c r="DG51" i="19"/>
  <c r="AG59" i="19"/>
  <c r="DM60" i="19"/>
  <c r="CX61" i="19"/>
  <c r="R117" i="19"/>
  <c r="R118" i="19"/>
  <c r="BN118" i="19"/>
  <c r="AR115" i="34"/>
  <c r="AR158" i="34"/>
  <c r="AR160" i="34"/>
  <c r="E92" i="14"/>
  <c r="AJ59" i="19"/>
  <c r="DJ61" i="19"/>
  <c r="X118" i="19"/>
  <c r="AE48" i="23"/>
  <c r="AR122" i="34"/>
  <c r="I160" i="4" a="1"/>
  <c r="I160" i="4" s="1"/>
  <c r="CN12" i="11"/>
  <c r="CN46" i="11" s="1"/>
  <c r="BK19" i="11"/>
  <c r="BL19" i="11" s="1"/>
  <c r="AS22" i="11"/>
  <c r="AV22" i="11" s="1"/>
  <c r="DB22" i="11"/>
  <c r="DC22" i="11" s="1"/>
  <c r="DD22" i="11" s="1"/>
  <c r="CZ26" i="11"/>
  <c r="BJ33" i="11"/>
  <c r="BL33" i="11" s="1"/>
  <c r="DB44" i="11"/>
  <c r="DC44" i="11" s="1"/>
  <c r="DD44" i="11" s="1"/>
  <c r="AE24" i="15"/>
  <c r="AE36" i="15"/>
  <c r="AE62" i="15"/>
  <c r="AE101" i="15"/>
  <c r="U28" i="19"/>
  <c r="CO28" i="19"/>
  <c r="AY48" i="19"/>
  <c r="DJ48" i="19"/>
  <c r="AP50" i="19"/>
  <c r="U51" i="19"/>
  <c r="BT51" i="19"/>
  <c r="DP51" i="19"/>
  <c r="BE58" i="19"/>
  <c r="BB59" i="19"/>
  <c r="AM60" i="19"/>
  <c r="DV61" i="19"/>
  <c r="AJ117" i="19"/>
  <c r="AA118" i="19"/>
  <c r="I53" i="23"/>
  <c r="AR150" i="34"/>
  <c r="AR152" i="34"/>
  <c r="AS161" i="34"/>
  <c r="AU161" i="34" s="1"/>
  <c r="AD112" i="34"/>
  <c r="DB23" i="11"/>
  <c r="DC23" i="11" s="1"/>
  <c r="DD23" i="11" s="1"/>
  <c r="DB31" i="11"/>
  <c r="DC31" i="11" s="1"/>
  <c r="DD31" i="11" s="1"/>
  <c r="BK40" i="11"/>
  <c r="BL40" i="11" s="1"/>
  <c r="AE12" i="15"/>
  <c r="AE33" i="15"/>
  <c r="AE54" i="15"/>
  <c r="AE86" i="15"/>
  <c r="AJ21" i="18"/>
  <c r="AD61" i="19"/>
  <c r="M48" i="23"/>
  <c r="CJ11" i="11"/>
  <c r="DB14" i="11"/>
  <c r="DC14" i="11" s="1"/>
  <c r="DD14" i="11" s="1"/>
  <c r="DB18" i="11"/>
  <c r="DC18" i="11" s="1"/>
  <c r="DD18" i="11" s="1"/>
  <c r="DB43" i="11"/>
  <c r="DC43" i="11" s="1"/>
  <c r="DD43" i="11" s="1"/>
  <c r="AE13" i="15"/>
  <c r="AE18" i="15"/>
  <c r="AE25" i="15"/>
  <c r="AE34" i="15"/>
  <c r="AE51" i="15"/>
  <c r="AE55" i="15"/>
  <c r="AE59" i="15"/>
  <c r="AE68" i="15"/>
  <c r="AE73" i="15"/>
  <c r="AE82" i="15"/>
  <c r="AE103" i="15"/>
  <c r="AE107" i="15"/>
  <c r="AE112" i="15"/>
  <c r="BB28" i="19"/>
  <c r="DV28" i="19"/>
  <c r="BK48" i="19"/>
  <c r="DV48" i="19"/>
  <c r="DJ50" i="19"/>
  <c r="AM51" i="19"/>
  <c r="CO51" i="19"/>
  <c r="CL57" i="19"/>
  <c r="CX59" i="19"/>
  <c r="BZ60" i="19"/>
  <c r="AJ61" i="19"/>
  <c r="AY118" i="19"/>
  <c r="I175" i="4"/>
  <c r="M3" i="4"/>
  <c r="I76" i="4" a="1"/>
  <c r="I76" i="4" s="1"/>
  <c r="N3" i="4"/>
  <c r="I11" i="4"/>
  <c r="P3" i="4"/>
  <c r="BN32" i="11"/>
  <c r="AS41" i="11"/>
  <c r="AV41" i="11" s="1"/>
  <c r="BN44" i="11"/>
  <c r="CZ44" i="11"/>
  <c r="BM41" i="11"/>
  <c r="BM10" i="11"/>
  <c r="BM28" i="11"/>
  <c r="AS12" i="11"/>
  <c r="AV12" i="11" s="1"/>
  <c r="BN26" i="11"/>
  <c r="BN41" i="11"/>
  <c r="BM43" i="11"/>
  <c r="AS28" i="11"/>
  <c r="AV28" i="11" s="1"/>
  <c r="CZ22" i="11"/>
  <c r="BM25" i="11"/>
  <c r="BN30" i="11"/>
  <c r="BM36" i="11"/>
  <c r="CZ38" i="11"/>
  <c r="BN40" i="11"/>
  <c r="BM11" i="11"/>
  <c r="BN36" i="11"/>
  <c r="AS42" i="11"/>
  <c r="AV42" i="11" s="1"/>
  <c r="BN43" i="11"/>
  <c r="AS18" i="11"/>
  <c r="AV18" i="11" s="1"/>
  <c r="AS23" i="11"/>
  <c r="AV23" i="11" s="1"/>
  <c r="BM49" i="11"/>
  <c r="AS11" i="11"/>
  <c r="AV11" i="11" s="1"/>
  <c r="CZ27" i="11"/>
  <c r="BN28" i="11"/>
  <c r="AS32" i="11"/>
  <c r="AV32" i="11" s="1"/>
  <c r="AS43" i="11"/>
  <c r="AV43" i="11" s="1"/>
  <c r="AS50" i="11"/>
  <c r="AV50" i="11" s="1"/>
  <c r="I94" i="4"/>
  <c r="Z3" i="15"/>
  <c r="I85" i="4"/>
  <c r="L3" i="4"/>
  <c r="I18" i="4"/>
  <c r="I112" i="4"/>
  <c r="I125" i="4"/>
  <c r="AD91" i="7"/>
  <c r="I37" i="4"/>
  <c r="I92" i="4"/>
  <c r="I38" i="4"/>
  <c r="I84" i="4"/>
  <c r="I87" i="4"/>
  <c r="CI24" i="11"/>
  <c r="CJ58" i="11" s="1"/>
  <c r="CI14" i="11"/>
  <c r="CJ48" i="11" s="1"/>
  <c r="CJ45" i="11"/>
  <c r="CI22" i="11"/>
  <c r="CJ56" i="11" s="1"/>
  <c r="BK11" i="11"/>
  <c r="BL11" i="11" s="1"/>
  <c r="AS15" i="11"/>
  <c r="AV15" i="11" s="1"/>
  <c r="BM20" i="11"/>
  <c r="CZ20" i="11"/>
  <c r="DB24" i="11"/>
  <c r="DC24" i="11" s="1"/>
  <c r="DD24" i="11" s="1"/>
  <c r="AI30" i="11"/>
  <c r="AM32" i="11"/>
  <c r="BN35" i="11"/>
  <c r="CZ35" i="11"/>
  <c r="BM35" i="11"/>
  <c r="BK39" i="11"/>
  <c r="BJ39" i="11"/>
  <c r="AM42" i="11"/>
  <c r="E117" i="15"/>
  <c r="Z197" i="22"/>
  <c r="Z198" i="22" s="1"/>
  <c r="AJ191" i="22"/>
  <c r="AJ181" i="22"/>
  <c r="AJ190" i="22"/>
  <c r="AJ189" i="22"/>
  <c r="AJ179" i="22"/>
  <c r="AJ186" i="22"/>
  <c r="AJ178" i="22"/>
  <c r="AJ185" i="22"/>
  <c r="AJ177" i="22"/>
  <c r="AJ184" i="22"/>
  <c r="AJ176" i="22"/>
  <c r="AJ183" i="22"/>
  <c r="AJ192" i="22"/>
  <c r="AJ182" i="22"/>
  <c r="I178" i="4"/>
  <c r="I186" i="4"/>
  <c r="CL10" i="11"/>
  <c r="CM44" i="11" s="1"/>
  <c r="BK29" i="11"/>
  <c r="BL29" i="11" s="1"/>
  <c r="BJ35" i="11"/>
  <c r="BL35" i="11" s="1"/>
  <c r="BK36" i="11"/>
  <c r="BJ36" i="11"/>
  <c r="M3" i="15"/>
  <c r="U3" i="15"/>
  <c r="AC3" i="15"/>
  <c r="I181" i="4"/>
  <c r="AJ19" i="11"/>
  <c r="AJ45" i="11"/>
  <c r="AJ33" i="11"/>
  <c r="AJ39" i="11"/>
  <c r="AJ25" i="11"/>
  <c r="AJ18" i="11"/>
  <c r="BN11" i="11"/>
  <c r="BM12" i="11"/>
  <c r="DB13" i="11"/>
  <c r="DC13" i="11" s="1"/>
  <c r="DD13" i="11" s="1"/>
  <c r="BM14" i="11"/>
  <c r="BJ15" i="11"/>
  <c r="BL15" i="11" s="1"/>
  <c r="DB15" i="11"/>
  <c r="DC15" i="11" s="1"/>
  <c r="DD15" i="11" s="1"/>
  <c r="AM17" i="11"/>
  <c r="AS25" i="11"/>
  <c r="AV25" i="11" s="1"/>
  <c r="BM33" i="11"/>
  <c r="AJ36" i="11"/>
  <c r="BM39" i="11"/>
  <c r="CZ39" i="11"/>
  <c r="AE11" i="15"/>
  <c r="AE96" i="15"/>
  <c r="I176" i="4"/>
  <c r="AI37" i="11"/>
  <c r="AI50" i="11"/>
  <c r="BJ10" i="11"/>
  <c r="BN12" i="11"/>
  <c r="DD12" i="11"/>
  <c r="CK13" i="11"/>
  <c r="CL47" i="11" s="1"/>
  <c r="BN14" i="11"/>
  <c r="BM15" i="11"/>
  <c r="AI16" i="11"/>
  <c r="CT8" i="11" a="1"/>
  <c r="CT8" i="11" s="1"/>
  <c r="CU8" i="11" s="1"/>
  <c r="AM38" i="11"/>
  <c r="AM40" i="11"/>
  <c r="AE61" i="15"/>
  <c r="I179" i="4"/>
  <c r="AN43" i="11"/>
  <c r="AN32" i="11"/>
  <c r="CO20" i="11"/>
  <c r="CO26" i="11"/>
  <c r="AI11" i="11"/>
  <c r="CL13" i="11"/>
  <c r="AM14" i="11"/>
  <c r="BN17" i="11"/>
  <c r="CZ17" i="11"/>
  <c r="CL18" i="11"/>
  <c r="AI19" i="11"/>
  <c r="AJ23" i="11"/>
  <c r="CN26" i="11"/>
  <c r="CN60" i="11" s="1"/>
  <c r="AJ31" i="11"/>
  <c r="BM32" i="11"/>
  <c r="CZ47" i="11"/>
  <c r="BM47" i="11"/>
  <c r="CZ49" i="11"/>
  <c r="I3" i="15"/>
  <c r="R3" i="15"/>
  <c r="CP24" i="11"/>
  <c r="CP22" i="11"/>
  <c r="M58" i="12"/>
  <c r="BK18" i="11"/>
  <c r="BJ18" i="11"/>
  <c r="AM22" i="11"/>
  <c r="E103" i="14"/>
  <c r="Y3" i="15"/>
  <c r="AE53" i="15"/>
  <c r="AE84" i="15"/>
  <c r="AJ314" i="26"/>
  <c r="AJ312" i="26"/>
  <c r="AJ311" i="26"/>
  <c r="AJ310" i="26"/>
  <c r="AJ318" i="26"/>
  <c r="AJ309" i="26"/>
  <c r="AJ317" i="26"/>
  <c r="AJ308" i="26"/>
  <c r="AJ316" i="26"/>
  <c r="AJ307" i="26"/>
  <c r="AJ315" i="26"/>
  <c r="AJ313" i="26"/>
  <c r="AM43" i="11"/>
  <c r="BT27" i="11"/>
  <c r="BR27" i="11"/>
  <c r="AM35" i="11"/>
  <c r="AM29" i="11"/>
  <c r="M55" i="12"/>
  <c r="CO12" i="11"/>
  <c r="CP14" i="11"/>
  <c r="AN26" i="11"/>
  <c r="AE45" i="15"/>
  <c r="X89" i="7"/>
  <c r="AJ15" i="11"/>
  <c r="DB16" i="11"/>
  <c r="DC16" i="11" s="1"/>
  <c r="DD16" i="11" s="1"/>
  <c r="CZ18" i="11"/>
  <c r="BN18" i="11"/>
  <c r="CZ19" i="11"/>
  <c r="BM19" i="11"/>
  <c r="DB20" i="11"/>
  <c r="DC20" i="11" s="1"/>
  <c r="DD20" i="11" s="1"/>
  <c r="BN22" i="11"/>
  <c r="BM22" i="11"/>
  <c r="BM23" i="11"/>
  <c r="AI24" i="11"/>
  <c r="BJ31" i="11"/>
  <c r="BL31" i="11" s="1"/>
  <c r="BK32" i="11"/>
  <c r="BJ32" i="11"/>
  <c r="BK48" i="11"/>
  <c r="BJ48" i="11"/>
  <c r="DB50" i="11"/>
  <c r="DC50" i="11" s="1"/>
  <c r="DD50" i="11" s="1"/>
  <c r="AS31" i="11"/>
  <c r="AV31" i="11" s="1"/>
  <c r="AS38" i="11"/>
  <c r="AV38" i="11" s="1"/>
  <c r="AS46" i="11"/>
  <c r="AV46" i="11" s="1"/>
  <c r="AE6" i="15"/>
  <c r="AE10" i="15"/>
  <c r="D40" i="15"/>
  <c r="AA17" i="17"/>
  <c r="AJ20" i="18"/>
  <c r="AF28" i="18"/>
  <c r="BH58" i="19"/>
  <c r="DG58" i="19"/>
  <c r="AJ298" i="26"/>
  <c r="AJ306" i="26"/>
  <c r="C45" i="33"/>
  <c r="AB46" i="34"/>
  <c r="AS152" i="34"/>
  <c r="AU152" i="34" s="1"/>
  <c r="AR157" i="34"/>
  <c r="DB33" i="11"/>
  <c r="DC33" i="11" s="1"/>
  <c r="DD33" i="11" s="1"/>
  <c r="AS35" i="11"/>
  <c r="AV35" i="11" s="1"/>
  <c r="AS36" i="11"/>
  <c r="AV36" i="11" s="1"/>
  <c r="AS37" i="11"/>
  <c r="AV37" i="11" s="1"/>
  <c r="AS49" i="11"/>
  <c r="AV49" i="11" s="1"/>
  <c r="P3" i="15"/>
  <c r="X3" i="15"/>
  <c r="D46" i="15"/>
  <c r="E46" i="15"/>
  <c r="AE56" i="15"/>
  <c r="AE64" i="15"/>
  <c r="AE72" i="15"/>
  <c r="AE80" i="15"/>
  <c r="AE88" i="15"/>
  <c r="AE99" i="15"/>
  <c r="AE102" i="15"/>
  <c r="AE106" i="15"/>
  <c r="AE114" i="15"/>
  <c r="P15" i="18"/>
  <c r="O58" i="19"/>
  <c r="BK58" i="19"/>
  <c r="DM58" i="19"/>
  <c r="AY60" i="19"/>
  <c r="CI60" i="19"/>
  <c r="DV60" i="19"/>
  <c r="C46" i="33"/>
  <c r="AS153" i="34"/>
  <c r="AU153" i="34" s="1"/>
  <c r="AS154" i="34"/>
  <c r="AU154" i="34" s="1"/>
  <c r="AG28" i="19"/>
  <c r="BQ28" i="19"/>
  <c r="DD28" i="19"/>
  <c r="AG48" i="19"/>
  <c r="BN48" i="19"/>
  <c r="CU48" i="19"/>
  <c r="DY48" i="19"/>
  <c r="BB50" i="19"/>
  <c r="AV51" i="19"/>
  <c r="CI51" i="19"/>
  <c r="DS51" i="19"/>
  <c r="U58" i="19"/>
  <c r="BQ58" i="19"/>
  <c r="DS58" i="19"/>
  <c r="BK59" i="19"/>
  <c r="O60" i="19"/>
  <c r="BB60" i="19"/>
  <c r="CO60" i="19"/>
  <c r="DY60" i="19"/>
  <c r="BN61" i="19"/>
  <c r="AD118" i="19"/>
  <c r="L56" i="23"/>
  <c r="AJ300" i="26"/>
  <c r="C47" i="33"/>
  <c r="AR119" i="34"/>
  <c r="AR149" i="34"/>
  <c r="AJ28" i="19"/>
  <c r="BZ28" i="19"/>
  <c r="DJ28" i="19"/>
  <c r="AM48" i="19"/>
  <c r="BQ48" i="19"/>
  <c r="CX48" i="19"/>
  <c r="BN50" i="19"/>
  <c r="AA58" i="19"/>
  <c r="CC58" i="19"/>
  <c r="DY58" i="19"/>
  <c r="U60" i="19"/>
  <c r="BE60" i="19"/>
  <c r="CU60" i="19"/>
  <c r="BZ61" i="19"/>
  <c r="X27" i="33"/>
  <c r="AJ30" i="33" s="1"/>
  <c r="V65" i="33"/>
  <c r="AP114" i="34"/>
  <c r="AS114" i="34" s="1"/>
  <c r="AU114" i="34" s="1"/>
  <c r="AR156" i="34"/>
  <c r="AS17" i="11"/>
  <c r="AV17" i="11" s="1"/>
  <c r="DB25" i="11"/>
  <c r="DC25" i="11" s="1"/>
  <c r="DD25" i="11" s="1"/>
  <c r="AS30" i="11"/>
  <c r="AV30" i="11" s="1"/>
  <c r="CZ30" i="11"/>
  <c r="DB34" i="11"/>
  <c r="DC34" i="11" s="1"/>
  <c r="DD34" i="11" s="1"/>
  <c r="BM45" i="11"/>
  <c r="AS48" i="11"/>
  <c r="AV48" i="11" s="1"/>
  <c r="BJ49" i="11"/>
  <c r="BL49" i="11" s="1"/>
  <c r="E15" i="15"/>
  <c r="N3" i="15"/>
  <c r="V3" i="15"/>
  <c r="AD3" i="15"/>
  <c r="AE19" i="15"/>
  <c r="AE22" i="15"/>
  <c r="AE26" i="15"/>
  <c r="AE30" i="15"/>
  <c r="AE50" i="15"/>
  <c r="AE100" i="15"/>
  <c r="M47" i="18"/>
  <c r="M48" i="18" s="1"/>
  <c r="AS28" i="19"/>
  <c r="CC28" i="19"/>
  <c r="DM28" i="19"/>
  <c r="AP48" i="19"/>
  <c r="BW48" i="19"/>
  <c r="DA48" i="19"/>
  <c r="BZ50" i="19"/>
  <c r="AG58" i="19"/>
  <c r="CI58" i="19"/>
  <c r="AA60" i="19"/>
  <c r="BK60" i="19"/>
  <c r="CX60" i="19"/>
  <c r="CF61" i="19"/>
  <c r="AK58" i="23"/>
  <c r="AS19" i="11"/>
  <c r="AV19" i="11" s="1"/>
  <c r="AS20" i="11"/>
  <c r="AV20" i="11" s="1"/>
  <c r="BJ23" i="11"/>
  <c r="BL23" i="11" s="1"/>
  <c r="DB26" i="11"/>
  <c r="DC26" i="11" s="1"/>
  <c r="DD26" i="11" s="1"/>
  <c r="DB30" i="11"/>
  <c r="DC30" i="11" s="1"/>
  <c r="DD30" i="11" s="1"/>
  <c r="DB35" i="11"/>
  <c r="DC35" i="11" s="1"/>
  <c r="DD35" i="11" s="1"/>
  <c r="AS39" i="11"/>
  <c r="AV39" i="11" s="1"/>
  <c r="AS44" i="11"/>
  <c r="AV44" i="11" s="1"/>
  <c r="BN45" i="11"/>
  <c r="AS47" i="11"/>
  <c r="AV47" i="11" s="1"/>
  <c r="AE16" i="15"/>
  <c r="L3" i="15"/>
  <c r="T3" i="15"/>
  <c r="AB3" i="15"/>
  <c r="AE31" i="15"/>
  <c r="D77" i="15"/>
  <c r="D85" i="15"/>
  <c r="L28" i="19"/>
  <c r="AV28" i="19"/>
  <c r="CF28" i="19"/>
  <c r="O48" i="19"/>
  <c r="AS48" i="19"/>
  <c r="BZ48" i="19"/>
  <c r="DG48" i="19"/>
  <c r="R50" i="19"/>
  <c r="CL50" i="19"/>
  <c r="X51" i="19"/>
  <c r="BK51" i="19"/>
  <c r="CU51" i="19"/>
  <c r="AM58" i="19"/>
  <c r="CL58" i="19"/>
  <c r="CR59" i="19"/>
  <c r="AD60" i="19"/>
  <c r="BQ60" i="19"/>
  <c r="DA60" i="19"/>
  <c r="R61" i="19"/>
  <c r="CL61" i="19"/>
  <c r="AI56" i="23"/>
  <c r="AJ303" i="26"/>
  <c r="V72" i="33"/>
  <c r="E60" i="15"/>
  <c r="DB48" i="11"/>
  <c r="DC48" i="11" s="1"/>
  <c r="DD48" i="11" s="1"/>
  <c r="E28" i="15"/>
  <c r="H3" i="15"/>
  <c r="Q3" i="15"/>
  <c r="AE94" i="15"/>
  <c r="AK60" i="23"/>
  <c r="L55" i="19"/>
  <c r="G41" i="13"/>
  <c r="I41" i="13" s="1"/>
  <c r="AK40" i="11"/>
  <c r="AK43" i="11"/>
  <c r="AK50" i="11"/>
  <c r="AB25" i="18"/>
  <c r="AK45" i="11"/>
  <c r="AK47" i="11"/>
  <c r="AK35" i="11"/>
  <c r="AK32" i="11"/>
  <c r="AK26" i="11"/>
  <c r="AK22" i="11"/>
  <c r="AK14" i="11"/>
  <c r="M57" i="12"/>
  <c r="AK19" i="11"/>
  <c r="AK11" i="11"/>
  <c r="AK49" i="11"/>
  <c r="AK48" i="11"/>
  <c r="AK46" i="11"/>
  <c r="AK37" i="11"/>
  <c r="AK30" i="11"/>
  <c r="AK24" i="11"/>
  <c r="AK16" i="11"/>
  <c r="AK41" i="11"/>
  <c r="AK34" i="11"/>
  <c r="AK27" i="11"/>
  <c r="AK21" i="11"/>
  <c r="AK13" i="11"/>
  <c r="AK39" i="11"/>
  <c r="AK28" i="11"/>
  <c r="AK18" i="11"/>
  <c r="A4" i="11"/>
  <c r="AK44" i="11"/>
  <c r="AK38" i="11"/>
  <c r="AK29" i="11"/>
  <c r="AK17" i="11"/>
  <c r="D40" i="7"/>
  <c r="AA393" i="7"/>
  <c r="B504" i="7"/>
  <c r="BM16" i="11"/>
  <c r="CP17" i="11"/>
  <c r="AS24" i="11"/>
  <c r="AV24" i="11" s="1"/>
  <c r="AK31" i="11"/>
  <c r="AN35" i="11"/>
  <c r="BK27" i="11"/>
  <c r="BJ27" i="11"/>
  <c r="Q3" i="4"/>
  <c r="J28" i="7"/>
  <c r="AH402" i="7"/>
  <c r="CM53" i="11"/>
  <c r="CL26" i="11"/>
  <c r="CL20" i="11"/>
  <c r="CL12" i="11"/>
  <c r="CL17" i="11"/>
  <c r="CL24" i="11"/>
  <c r="CL22" i="11"/>
  <c r="CL14" i="11"/>
  <c r="CL11" i="11"/>
  <c r="CL16" i="11"/>
  <c r="CL8" i="11"/>
  <c r="CL23" i="11"/>
  <c r="CL15" i="11"/>
  <c r="D8" i="11"/>
  <c r="F7" i="11" s="1"/>
  <c r="AK15" i="11"/>
  <c r="BK21" i="11"/>
  <c r="BJ21" i="11"/>
  <c r="CL21" i="11"/>
  <c r="BK30" i="11"/>
  <c r="BJ30" i="11"/>
  <c r="DB38" i="11"/>
  <c r="DC38" i="11" s="1"/>
  <c r="DD38" i="11" s="1"/>
  <c r="DB42" i="11"/>
  <c r="DC42" i="11" s="1"/>
  <c r="DD42" i="11" s="1"/>
  <c r="BM34" i="11"/>
  <c r="CZ34" i="11"/>
  <c r="BN34" i="11"/>
  <c r="L53" i="19"/>
  <c r="AL43" i="11"/>
  <c r="AL50" i="11"/>
  <c r="AL48" i="11"/>
  <c r="AL46" i="11"/>
  <c r="AL42" i="11"/>
  <c r="AB23" i="18"/>
  <c r="G38" i="13"/>
  <c r="I38" i="13" s="1"/>
  <c r="AL45" i="11"/>
  <c r="AL19" i="11"/>
  <c r="AL11" i="11"/>
  <c r="AL49" i="11"/>
  <c r="AL37" i="11"/>
  <c r="AL30" i="11"/>
  <c r="AL24" i="11"/>
  <c r="AL16" i="11"/>
  <c r="AL41" i="11"/>
  <c r="AL34" i="11"/>
  <c r="AL27" i="11"/>
  <c r="AL21" i="11"/>
  <c r="AL13" i="11"/>
  <c r="N41" i="12"/>
  <c r="AL39" i="11"/>
  <c r="AL28" i="11"/>
  <c r="AL18" i="11"/>
  <c r="A5" i="11"/>
  <c r="N40" i="12"/>
  <c r="AL36" i="11"/>
  <c r="AL33" i="11"/>
  <c r="AL31" i="11"/>
  <c r="AL25" i="11"/>
  <c r="AL23" i="11"/>
  <c r="AL15" i="11"/>
  <c r="AL47" i="11"/>
  <c r="AL35" i="11"/>
  <c r="AL32" i="11"/>
  <c r="AL26" i="11"/>
  <c r="AL22" i="11"/>
  <c r="AL14" i="11"/>
  <c r="M56" i="12"/>
  <c r="CL53" i="11"/>
  <c r="CK23" i="11"/>
  <c r="CL57" i="11" s="1"/>
  <c r="CK15" i="11"/>
  <c r="CL49" i="11" s="1"/>
  <c r="CK26" i="11"/>
  <c r="CL60" i="11" s="1"/>
  <c r="CK20" i="11"/>
  <c r="CL54" i="11" s="1"/>
  <c r="CK12" i="11"/>
  <c r="CL46" i="11" s="1"/>
  <c r="CK17" i="11"/>
  <c r="CL51" i="11" s="1"/>
  <c r="CK24" i="11"/>
  <c r="CL58" i="11" s="1"/>
  <c r="CK22" i="11"/>
  <c r="CL56" i="11" s="1"/>
  <c r="CK14" i="11"/>
  <c r="CL48" i="11" s="1"/>
  <c r="CK11" i="11"/>
  <c r="CL45" i="11" s="1"/>
  <c r="CL33" i="11"/>
  <c r="CK18" i="11"/>
  <c r="CL52" i="11" s="1"/>
  <c r="CK10" i="11"/>
  <c r="CL44" i="11" s="1"/>
  <c r="CK7" i="11"/>
  <c r="CL41" i="11" s="1"/>
  <c r="AA3" i="11"/>
  <c r="AA7" i="11" s="1"/>
  <c r="CM17" i="11"/>
  <c r="CM24" i="11"/>
  <c r="CM22" i="11"/>
  <c r="CM14" i="11"/>
  <c r="CM11" i="11"/>
  <c r="CM16" i="11"/>
  <c r="CM8" i="11"/>
  <c r="CM25" i="11"/>
  <c r="CM21" i="11"/>
  <c r="CM13" i="11"/>
  <c r="CM9" i="11"/>
  <c r="CM26" i="11"/>
  <c r="CM20" i="11"/>
  <c r="CM12" i="11"/>
  <c r="AN11" i="11"/>
  <c r="CM15" i="11"/>
  <c r="CK16" i="11"/>
  <c r="CL50" i="11" s="1"/>
  <c r="CK53" i="11"/>
  <c r="CJ53" i="11"/>
  <c r="CI25" i="11"/>
  <c r="CI21" i="11"/>
  <c r="CI13" i="11"/>
  <c r="CI9" i="11"/>
  <c r="CJ43" i="11" s="1"/>
  <c r="CI18" i="11"/>
  <c r="CI23" i="11"/>
  <c r="CI15" i="11"/>
  <c r="CI26" i="11"/>
  <c r="CI20" i="11"/>
  <c r="CI12" i="11"/>
  <c r="CI17" i="11"/>
  <c r="CI16" i="11"/>
  <c r="CI8" i="11"/>
  <c r="AK23" i="11"/>
  <c r="CK25" i="11"/>
  <c r="CL59" i="11" s="1"/>
  <c r="AK33" i="11"/>
  <c r="AK42" i="11"/>
  <c r="AE39" i="15"/>
  <c r="CZ24" i="11"/>
  <c r="BK50" i="11"/>
  <c r="BJ50" i="11"/>
  <c r="Y393" i="7"/>
  <c r="CN24" i="11"/>
  <c r="CN58" i="11" s="1"/>
  <c r="CN22" i="11"/>
  <c r="CN56" i="11" s="1"/>
  <c r="CN14" i="11"/>
  <c r="CN48" i="11" s="1"/>
  <c r="CN11" i="11"/>
  <c r="CN45" i="11" s="1"/>
  <c r="CN16" i="11"/>
  <c r="CN50" i="11" s="1"/>
  <c r="CN8" i="11"/>
  <c r="CN42" i="11" s="1"/>
  <c r="CN25" i="11"/>
  <c r="CN59" i="11" s="1"/>
  <c r="CN21" i="11"/>
  <c r="CN55" i="11" s="1"/>
  <c r="CN13" i="11"/>
  <c r="CN47" i="11" s="1"/>
  <c r="CN9" i="11"/>
  <c r="CN43" i="11" s="1"/>
  <c r="CO33" i="11"/>
  <c r="CN18" i="11"/>
  <c r="CN52" i="11" s="1"/>
  <c r="CN10" i="11"/>
  <c r="CN44" i="11" s="1"/>
  <c r="CN7" i="11"/>
  <c r="CN41" i="11" s="1"/>
  <c r="CN53" i="11"/>
  <c r="CN17" i="11"/>
  <c r="CN51" i="11" s="1"/>
  <c r="CK9" i="11"/>
  <c r="CL43" i="11" s="1"/>
  <c r="AU8" i="11"/>
  <c r="L6" i="19" s="1"/>
  <c r="AK12" i="11"/>
  <c r="BM13" i="11"/>
  <c r="BN13" i="11"/>
  <c r="CN15" i="11"/>
  <c r="CN49" i="11" s="1"/>
  <c r="AN19" i="11"/>
  <c r="CK33" i="11"/>
  <c r="CJ18" i="11"/>
  <c r="CJ10" i="11"/>
  <c r="CJ7" i="11"/>
  <c r="CJ23" i="11"/>
  <c r="CJ15" i="11"/>
  <c r="CJ26" i="11"/>
  <c r="CJ20" i="11"/>
  <c r="CJ12" i="11"/>
  <c r="CJ17" i="11"/>
  <c r="CJ24" i="11"/>
  <c r="CJ22" i="11"/>
  <c r="CJ14" i="11"/>
  <c r="CJ25" i="11"/>
  <c r="CJ21" i="11"/>
  <c r="CJ13" i="11"/>
  <c r="CJ9" i="11"/>
  <c r="CM23" i="11"/>
  <c r="CL25" i="11"/>
  <c r="BM27" i="11"/>
  <c r="BN27" i="11"/>
  <c r="AL29" i="11"/>
  <c r="BK37" i="11"/>
  <c r="BJ37" i="11"/>
  <c r="CO53" i="11"/>
  <c r="CO11" i="11"/>
  <c r="CO16" i="11"/>
  <c r="CO8" i="11"/>
  <c r="CO25" i="11"/>
  <c r="CO21" i="11"/>
  <c r="CO13" i="11"/>
  <c r="CO9" i="11"/>
  <c r="CO18" i="11"/>
  <c r="CO10" i="11"/>
  <c r="CO7" i="11"/>
  <c r="CO23" i="11"/>
  <c r="CO15" i="11"/>
  <c r="CO24" i="11"/>
  <c r="CO22" i="11"/>
  <c r="CO14" i="11"/>
  <c r="AN215" i="39"/>
  <c r="AK327" i="26"/>
  <c r="AK328" i="26" s="1"/>
  <c r="AL12" i="11"/>
  <c r="BK16" i="11"/>
  <c r="BJ16" i="11"/>
  <c r="AL17" i="11"/>
  <c r="AK20" i="11"/>
  <c r="BM21" i="11"/>
  <c r="CZ21" i="11"/>
  <c r="BN21" i="11"/>
  <c r="CN23" i="11"/>
  <c r="CN57" i="11" s="1"/>
  <c r="AK25" i="11"/>
  <c r="CM33" i="11"/>
  <c r="BK34" i="11"/>
  <c r="BJ34" i="11"/>
  <c r="AL40" i="11"/>
  <c r="BK13" i="11"/>
  <c r="BJ13" i="11"/>
  <c r="CK21" i="11"/>
  <c r="CL55" i="11" s="1"/>
  <c r="BN24" i="11"/>
  <c r="AS34" i="11"/>
  <c r="AV34" i="11" s="1"/>
  <c r="D79" i="25"/>
  <c r="AX79" i="25" s="1"/>
  <c r="AD31" i="25"/>
  <c r="F31" i="25"/>
  <c r="E63" i="20"/>
  <c r="C141" i="25"/>
  <c r="F37" i="25"/>
  <c r="AA31" i="25"/>
  <c r="C138" i="25"/>
  <c r="U31" i="25"/>
  <c r="D78" i="25"/>
  <c r="AX78" i="25" s="1"/>
  <c r="D77" i="25"/>
  <c r="AX77" i="25" s="1"/>
  <c r="AG31" i="25"/>
  <c r="AL24" i="25"/>
  <c r="AL25" i="25" s="1"/>
  <c r="D11" i="25"/>
  <c r="D71" i="25"/>
  <c r="X31" i="25"/>
  <c r="C139" i="25"/>
  <c r="E62" i="25"/>
  <c r="R31" i="25"/>
  <c r="E108" i="25"/>
  <c r="E61" i="25"/>
  <c r="O31" i="25"/>
  <c r="D80" i="25"/>
  <c r="F33" i="25"/>
  <c r="I31" i="25"/>
  <c r="D14" i="25"/>
  <c r="D13" i="25"/>
  <c r="F35" i="25"/>
  <c r="L31" i="25"/>
  <c r="D87" i="25"/>
  <c r="E65" i="20"/>
  <c r="L96" i="19"/>
  <c r="L97" i="19"/>
  <c r="AN50" i="11"/>
  <c r="AN48" i="11"/>
  <c r="AN46" i="11"/>
  <c r="AN42" i="11"/>
  <c r="AN39" i="11"/>
  <c r="G40" i="13"/>
  <c r="I40" i="13" s="1"/>
  <c r="AN45" i="11"/>
  <c r="AN41" i="11"/>
  <c r="AN49" i="11"/>
  <c r="AN47" i="11"/>
  <c r="AN44" i="11"/>
  <c r="AN34" i="11"/>
  <c r="AN27" i="11"/>
  <c r="AN21" i="11"/>
  <c r="Y3" i="11"/>
  <c r="O518" i="7"/>
  <c r="Q87" i="7"/>
  <c r="AN28" i="11"/>
  <c r="AN18" i="11"/>
  <c r="BT5" i="11"/>
  <c r="AN36" i="11"/>
  <c r="AN33" i="11"/>
  <c r="AN31" i="11"/>
  <c r="AN25" i="11"/>
  <c r="AN23" i="11"/>
  <c r="BR5" i="11"/>
  <c r="G533" i="7"/>
  <c r="B498" i="7"/>
  <c r="AN20" i="11"/>
  <c r="AN12" i="11"/>
  <c r="K548" i="7"/>
  <c r="L530" i="7"/>
  <c r="AN40" i="11"/>
  <c r="AN38" i="11"/>
  <c r="AN29" i="11"/>
  <c r="AN17" i="11"/>
  <c r="A1" i="11"/>
  <c r="M527" i="7"/>
  <c r="O74" i="7"/>
  <c r="N15" i="39" s="1"/>
  <c r="L77" i="7" s="1"/>
  <c r="M69" i="12"/>
  <c r="AN37" i="11"/>
  <c r="AN30" i="11"/>
  <c r="AN24" i="11"/>
  <c r="Z3" i="11"/>
  <c r="I539" i="7"/>
  <c r="F35" i="20"/>
  <c r="E34" i="20"/>
  <c r="T522" i="7"/>
  <c r="CP16" i="11"/>
  <c r="CP8" i="11"/>
  <c r="CP25" i="11"/>
  <c r="CP21" i="11"/>
  <c r="CP13" i="11"/>
  <c r="CP9" i="11"/>
  <c r="CP18" i="11"/>
  <c r="CP10" i="11"/>
  <c r="CP7" i="11"/>
  <c r="CP23" i="11"/>
  <c r="CP15" i="11"/>
  <c r="CP26" i="11"/>
  <c r="CP20" i="11"/>
  <c r="CP12" i="11"/>
  <c r="CP11" i="11"/>
  <c r="AL39" i="25"/>
  <c r="AL10" i="24"/>
  <c r="AK375" i="23"/>
  <c r="AS16" i="11"/>
  <c r="AV16" i="11" s="1"/>
  <c r="CO17" i="11"/>
  <c r="DB17" i="11"/>
  <c r="DC17" i="11" s="1"/>
  <c r="DD17" i="11" s="1"/>
  <c r="CM18" i="11"/>
  <c r="AL20" i="11"/>
  <c r="AS21" i="11"/>
  <c r="AV21" i="11" s="1"/>
  <c r="AN22" i="11"/>
  <c r="BK24" i="11"/>
  <c r="BJ24" i="11"/>
  <c r="DB27" i="11"/>
  <c r="DC27" i="11" s="1"/>
  <c r="DD27" i="11" s="1"/>
  <c r="CN33" i="11"/>
  <c r="CZ37" i="11"/>
  <c r="BM37" i="11"/>
  <c r="AL44" i="11"/>
  <c r="D117" i="15"/>
  <c r="AE111" i="15"/>
  <c r="C135" i="31"/>
  <c r="E31" i="31"/>
  <c r="E30" i="31"/>
  <c r="D28" i="31"/>
  <c r="E11" i="31"/>
  <c r="D9" i="31"/>
  <c r="AL46" i="31"/>
  <c r="AL45" i="31"/>
  <c r="D38" i="31"/>
  <c r="AI45" i="11"/>
  <c r="B118" i="15"/>
  <c r="F6" i="12"/>
  <c r="AI49" i="11"/>
  <c r="Z52" i="12"/>
  <c r="B8" i="11" a="1"/>
  <c r="B8" i="11" s="1"/>
  <c r="K8" i="11"/>
  <c r="E23" i="20" s="1"/>
  <c r="AM11" i="11"/>
  <c r="AJ12" i="11"/>
  <c r="AI13" i="11"/>
  <c r="AM19" i="11"/>
  <c r="AJ20" i="11"/>
  <c r="AI21" i="11"/>
  <c r="AI27" i="11"/>
  <c r="AI34" i="11"/>
  <c r="AJ40" i="11"/>
  <c r="BM40" i="11"/>
  <c r="AI41" i="11"/>
  <c r="AJ42" i="11"/>
  <c r="O3" i="15"/>
  <c r="W3" i="15"/>
  <c r="D60" i="15"/>
  <c r="AE47" i="15"/>
  <c r="D69" i="15"/>
  <c r="D83" i="20"/>
  <c r="C157" i="20"/>
  <c r="C156" i="20"/>
  <c r="D13" i="20"/>
  <c r="D82" i="20"/>
  <c r="D11" i="20"/>
  <c r="D81" i="20"/>
  <c r="E136" i="20"/>
  <c r="D80" i="20"/>
  <c r="E54" i="20"/>
  <c r="C159" i="20"/>
  <c r="D74" i="20"/>
  <c r="E53" i="20"/>
  <c r="D9" i="20"/>
  <c r="L56" i="19"/>
  <c r="AM50" i="11"/>
  <c r="AM48" i="11"/>
  <c r="AM46" i="11"/>
  <c r="AB26" i="18"/>
  <c r="N42" i="12"/>
  <c r="AM49" i="11"/>
  <c r="AM47" i="11"/>
  <c r="AM44" i="11"/>
  <c r="AJ368" i="23"/>
  <c r="AL12" i="21"/>
  <c r="Z421" i="23"/>
  <c r="AK378" i="23"/>
  <c r="AM12" i="11"/>
  <c r="AJ13" i="11"/>
  <c r="AI14" i="11"/>
  <c r="BM17" i="11"/>
  <c r="AM20" i="11"/>
  <c r="AJ21" i="11"/>
  <c r="AI22" i="11"/>
  <c r="AI26" i="11"/>
  <c r="AJ27" i="11"/>
  <c r="BM29" i="11"/>
  <c r="AI32" i="11"/>
  <c r="CZ33" i="11"/>
  <c r="AJ34" i="11"/>
  <c r="AI35" i="11"/>
  <c r="AJ41" i="11"/>
  <c r="DB41" i="11"/>
  <c r="DC41" i="11" s="1"/>
  <c r="DD41" i="11" s="1"/>
  <c r="AM45" i="11"/>
  <c r="AI46" i="11"/>
  <c r="AI48" i="11"/>
  <c r="AA34" i="17"/>
  <c r="AF32" i="17" s="1"/>
  <c r="AA18" i="17"/>
  <c r="AB22" i="18"/>
  <c r="AM15" i="11"/>
  <c r="AJ16" i="11"/>
  <c r="AI17" i="11"/>
  <c r="AM23" i="11"/>
  <c r="CZ23" i="11"/>
  <c r="AJ24" i="11"/>
  <c r="AM25" i="11"/>
  <c r="AI29" i="11"/>
  <c r="BN29" i="11"/>
  <c r="CZ29" i="11"/>
  <c r="AJ30" i="11"/>
  <c r="AM31" i="11"/>
  <c r="AM33" i="11"/>
  <c r="AM36" i="11"/>
  <c r="AJ37" i="11"/>
  <c r="AI38" i="11"/>
  <c r="BN38" i="11"/>
  <c r="BN39" i="11"/>
  <c r="AS40" i="11"/>
  <c r="AV40" i="11" s="1"/>
  <c r="BM42" i="11"/>
  <c r="CZ42" i="11"/>
  <c r="CZ50" i="11"/>
  <c r="BM50" i="11"/>
  <c r="AO76" i="11"/>
  <c r="AO70" i="11"/>
  <c r="AO73" i="11"/>
  <c r="AO65" i="11"/>
  <c r="AO68" i="11"/>
  <c r="AO64" i="11"/>
  <c r="AO71" i="11"/>
  <c r="AO63" i="11"/>
  <c r="AO74" i="11"/>
  <c r="AO62" i="11"/>
  <c r="AO75" i="11"/>
  <c r="AO69" i="11"/>
  <c r="AO66" i="11"/>
  <c r="AO61" i="11"/>
  <c r="AO60" i="11"/>
  <c r="AO59" i="11"/>
  <c r="AO58" i="11"/>
  <c r="AO57" i="11"/>
  <c r="E112" i="14"/>
  <c r="AE23" i="15"/>
  <c r="AE44" i="15"/>
  <c r="O18" i="19"/>
  <c r="R18" i="19" s="1"/>
  <c r="U18" i="19" s="1"/>
  <c r="X18" i="19" s="1"/>
  <c r="AA18" i="19" s="1"/>
  <c r="AD18" i="19" s="1"/>
  <c r="AG18" i="19" s="1"/>
  <c r="AJ18" i="19" s="1"/>
  <c r="AM18" i="19" s="1"/>
  <c r="AP18" i="19" s="1"/>
  <c r="AS18" i="19" s="1"/>
  <c r="AV18" i="19" s="1"/>
  <c r="AY18" i="19" s="1"/>
  <c r="BB18" i="19" s="1"/>
  <c r="BE18" i="19" s="1"/>
  <c r="BH18" i="19" s="1"/>
  <c r="BK18" i="19" s="1"/>
  <c r="BN18" i="19" s="1"/>
  <c r="BQ18" i="19" s="1"/>
  <c r="BT18" i="19" s="1"/>
  <c r="BW18" i="19" s="1"/>
  <c r="BZ18" i="19" s="1"/>
  <c r="CC18" i="19" s="1"/>
  <c r="CF18" i="19" s="1"/>
  <c r="CI18" i="19" s="1"/>
  <c r="CL18" i="19" s="1"/>
  <c r="CO18" i="19" s="1"/>
  <c r="CR18" i="19" s="1"/>
  <c r="CU18" i="19" s="1"/>
  <c r="CX18" i="19" s="1"/>
  <c r="DA18" i="19" s="1"/>
  <c r="DD18" i="19" s="1"/>
  <c r="DG18" i="19" s="1"/>
  <c r="DJ18" i="19" s="1"/>
  <c r="DM18" i="19" s="1"/>
  <c r="DP18" i="19" s="1"/>
  <c r="DS18" i="19" s="1"/>
  <c r="DV18" i="19" s="1"/>
  <c r="DY18" i="19" s="1"/>
  <c r="A2" i="11"/>
  <c r="AJ11" i="11"/>
  <c r="AI12" i="11"/>
  <c r="AM18" i="11"/>
  <c r="AI20" i="11"/>
  <c r="AM28" i="11"/>
  <c r="AM39" i="11"/>
  <c r="AI42" i="11"/>
  <c r="AI43" i="11"/>
  <c r="AI47" i="11"/>
  <c r="BX68" i="11"/>
  <c r="BY67" i="11"/>
  <c r="CA67" i="11" s="1"/>
  <c r="G42" i="13"/>
  <c r="I42" i="13" s="1"/>
  <c r="D28" i="15"/>
  <c r="D91" i="15"/>
  <c r="AE87" i="15"/>
  <c r="AF7" i="18"/>
  <c r="AJ7" i="18" s="1"/>
  <c r="AJ29" i="18"/>
  <c r="AF29" i="18"/>
  <c r="D58" i="30"/>
  <c r="D57" i="30"/>
  <c r="D9" i="30"/>
  <c r="C118" i="30"/>
  <c r="D47" i="30"/>
  <c r="C116" i="30"/>
  <c r="D63" i="30"/>
  <c r="E39" i="30"/>
  <c r="C115" i="30"/>
  <c r="E38" i="30"/>
  <c r="D13" i="30"/>
  <c r="D11" i="30"/>
  <c r="L52" i="19"/>
  <c r="AJ49" i="11"/>
  <c r="AJ47" i="11"/>
  <c r="AJ44" i="11"/>
  <c r="G39" i="13"/>
  <c r="I39" i="13" s="1"/>
  <c r="N38" i="12"/>
  <c r="AJ43" i="11"/>
  <c r="AJ50" i="11"/>
  <c r="AJ48" i="11"/>
  <c r="AJ46" i="11"/>
  <c r="A3" i="11"/>
  <c r="M54" i="12"/>
  <c r="AM13" i="11"/>
  <c r="AJ14" i="11"/>
  <c r="AI15" i="11"/>
  <c r="AM21" i="11"/>
  <c r="AJ22" i="11"/>
  <c r="AI23" i="11"/>
  <c r="AI25" i="11"/>
  <c r="BN25" i="11"/>
  <c r="AJ26" i="11"/>
  <c r="AM27" i="11"/>
  <c r="AI31" i="11"/>
  <c r="BN31" i="11"/>
  <c r="AJ32" i="11"/>
  <c r="AI33" i="11"/>
  <c r="AM34" i="11"/>
  <c r="AJ35" i="11"/>
  <c r="AI36" i="11"/>
  <c r="AI40" i="11"/>
  <c r="AM41" i="11"/>
  <c r="AI44" i="11"/>
  <c r="L98" i="19"/>
  <c r="O98" i="19" s="1"/>
  <c r="R98" i="19" s="1"/>
  <c r="U98" i="19" s="1"/>
  <c r="X98" i="19" s="1"/>
  <c r="AA98" i="19" s="1"/>
  <c r="AD98" i="19" s="1"/>
  <c r="AG98" i="19" s="1"/>
  <c r="AJ98" i="19" s="1"/>
  <c r="AM98" i="19" s="1"/>
  <c r="AP98" i="19" s="1"/>
  <c r="AS98" i="19" s="1"/>
  <c r="AV98" i="19" s="1"/>
  <c r="AY98" i="19" s="1"/>
  <c r="BB98" i="19" s="1"/>
  <c r="BE98" i="19" s="1"/>
  <c r="BH98" i="19" s="1"/>
  <c r="BK98" i="19" s="1"/>
  <c r="BN98" i="19" s="1"/>
  <c r="BQ98" i="19" s="1"/>
  <c r="BT98" i="19" s="1"/>
  <c r="BW98" i="19" s="1"/>
  <c r="BZ98" i="19" s="1"/>
  <c r="CC98" i="19" s="1"/>
  <c r="CF98" i="19" s="1"/>
  <c r="CI98" i="19" s="1"/>
  <c r="CL98" i="19" s="1"/>
  <c r="CO98" i="19" s="1"/>
  <c r="CR98" i="19" s="1"/>
  <c r="CU98" i="19" s="1"/>
  <c r="CX98" i="19" s="1"/>
  <c r="DA98" i="19" s="1"/>
  <c r="DD98" i="19" s="1"/>
  <c r="DG98" i="19" s="1"/>
  <c r="DJ98" i="19" s="1"/>
  <c r="DM98" i="19" s="1"/>
  <c r="DP98" i="19" s="1"/>
  <c r="DS98" i="19" s="1"/>
  <c r="L7" i="19"/>
  <c r="F113" i="14"/>
  <c r="L43" i="19" s="1"/>
  <c r="O43" i="19" s="1"/>
  <c r="R43" i="19" s="1"/>
  <c r="U43" i="19" s="1"/>
  <c r="X43" i="19" s="1"/>
  <c r="AA43" i="19" s="1"/>
  <c r="AD43" i="19" s="1"/>
  <c r="AG43" i="19" s="1"/>
  <c r="AJ43" i="19" s="1"/>
  <c r="AM43" i="19" s="1"/>
  <c r="AP43" i="19" s="1"/>
  <c r="AS43" i="19" s="1"/>
  <c r="AV43" i="19" s="1"/>
  <c r="AY43" i="19" s="1"/>
  <c r="BB43" i="19" s="1"/>
  <c r="BE43" i="19" s="1"/>
  <c r="BH43" i="19" s="1"/>
  <c r="BK43" i="19" s="1"/>
  <c r="BN43" i="19" s="1"/>
  <c r="BQ43" i="19" s="1"/>
  <c r="BT43" i="19" s="1"/>
  <c r="BW43" i="19" s="1"/>
  <c r="BZ43" i="19" s="1"/>
  <c r="CC43" i="19" s="1"/>
  <c r="CF43" i="19" s="1"/>
  <c r="CI43" i="19" s="1"/>
  <c r="CL43" i="19" s="1"/>
  <c r="CO43" i="19" s="1"/>
  <c r="CR43" i="19" s="1"/>
  <c r="CU43" i="19" s="1"/>
  <c r="CX43" i="19" s="1"/>
  <c r="DA43" i="19" s="1"/>
  <c r="DD43" i="19" s="1"/>
  <c r="DG43" i="19" s="1"/>
  <c r="DJ43" i="19" s="1"/>
  <c r="DM43" i="19" s="1"/>
  <c r="DP43" i="19" s="1"/>
  <c r="DS43" i="19" s="1"/>
  <c r="DV43" i="19" s="1"/>
  <c r="DY43" i="19" s="1"/>
  <c r="AE7" i="15"/>
  <c r="AE20" i="15"/>
  <c r="D110" i="15"/>
  <c r="AJ71" i="12"/>
  <c r="AJ72" i="12" s="1"/>
  <c r="AM16" i="11"/>
  <c r="AJ17" i="11"/>
  <c r="AI18" i="11"/>
  <c r="AM24" i="11"/>
  <c r="AI28" i="11"/>
  <c r="AJ29" i="11"/>
  <c r="AM30" i="11"/>
  <c r="AM37" i="11"/>
  <c r="AJ38" i="11"/>
  <c r="AI39" i="11"/>
  <c r="BJ42" i="11"/>
  <c r="BL42" i="11" s="1"/>
  <c r="CZ46" i="11"/>
  <c r="BM46" i="11"/>
  <c r="CZ48" i="11"/>
  <c r="BM48" i="11"/>
  <c r="AP3" i="12"/>
  <c r="AQ3" i="12" s="1"/>
  <c r="J3" i="15"/>
  <c r="K3" i="15"/>
  <c r="S3" i="15"/>
  <c r="AA3" i="15"/>
  <c r="E40" i="15"/>
  <c r="E110" i="15"/>
  <c r="AJ27" i="18"/>
  <c r="AF27" i="18"/>
  <c r="AA32" i="17"/>
  <c r="AF47" i="18"/>
  <c r="AF48" i="18" s="1"/>
  <c r="E77" i="15"/>
  <c r="E85" i="15"/>
  <c r="E91" i="15"/>
  <c r="BJ43" i="11"/>
  <c r="BL43" i="11" s="1"/>
  <c r="AR9" i="17"/>
  <c r="DG28" i="19"/>
  <c r="CI28" i="19"/>
  <c r="BK28" i="19"/>
  <c r="AM28" i="19"/>
  <c r="O28" i="19"/>
  <c r="DS28" i="19"/>
  <c r="CU28" i="19"/>
  <c r="BW28" i="19"/>
  <c r="AY28" i="19"/>
  <c r="AA28" i="19"/>
  <c r="AP28" i="19"/>
  <c r="BT28" i="19"/>
  <c r="DA28" i="19"/>
  <c r="AA50" i="19"/>
  <c r="AY50" i="19"/>
  <c r="BW50" i="19"/>
  <c r="CU50" i="19"/>
  <c r="DS50" i="19"/>
  <c r="U57" i="19"/>
  <c r="BB57" i="19"/>
  <c r="CI57" i="19"/>
  <c r="DM57" i="19"/>
  <c r="AJ48" i="19"/>
  <c r="BH48" i="19"/>
  <c r="CF48" i="19"/>
  <c r="DD48" i="19"/>
  <c r="AG50" i="19"/>
  <c r="BE50" i="19"/>
  <c r="CC50" i="19"/>
  <c r="DA50" i="19"/>
  <c r="DY50" i="19"/>
  <c r="AD51" i="19"/>
  <c r="BB51" i="19"/>
  <c r="BZ51" i="19"/>
  <c r="CX51" i="19"/>
  <c r="DV51" i="19"/>
  <c r="AD57" i="19"/>
  <c r="BK57" i="19"/>
  <c r="CO57" i="19"/>
  <c r="DV57" i="19"/>
  <c r="AJ58" i="19"/>
  <c r="BN58" i="19"/>
  <c r="AM59" i="19"/>
  <c r="BT59" i="19"/>
  <c r="AV61" i="19"/>
  <c r="AJ50" i="19"/>
  <c r="BH50" i="19"/>
  <c r="CF50" i="19"/>
  <c r="DD50" i="19"/>
  <c r="AJ57" i="19"/>
  <c r="BN57" i="19"/>
  <c r="CR57" i="19"/>
  <c r="DS59" i="19"/>
  <c r="CU59" i="19"/>
  <c r="BW59" i="19"/>
  <c r="AY59" i="19"/>
  <c r="AA59" i="19"/>
  <c r="DM59" i="19"/>
  <c r="CO59" i="19"/>
  <c r="BQ59" i="19"/>
  <c r="AS59" i="19"/>
  <c r="U59" i="19"/>
  <c r="DG59" i="19"/>
  <c r="AP59" i="19"/>
  <c r="BZ59" i="19"/>
  <c r="DD59" i="19"/>
  <c r="O50" i="19"/>
  <c r="AM50" i="19"/>
  <c r="BK50" i="19"/>
  <c r="CI50" i="19"/>
  <c r="DG50" i="19"/>
  <c r="AJ51" i="19"/>
  <c r="BH51" i="19"/>
  <c r="CF51" i="19"/>
  <c r="DD51" i="19"/>
  <c r="AM57" i="19"/>
  <c r="BQ57" i="19"/>
  <c r="DV58" i="19"/>
  <c r="CX58" i="19"/>
  <c r="BZ58" i="19"/>
  <c r="BB58" i="19"/>
  <c r="AD58" i="19"/>
  <c r="DP58" i="19"/>
  <c r="CR58" i="19"/>
  <c r="BT58" i="19"/>
  <c r="AV58" i="19"/>
  <c r="X58" i="19"/>
  <c r="AP58" i="19"/>
  <c r="BW58" i="19"/>
  <c r="DD58" i="19"/>
  <c r="O59" i="19"/>
  <c r="AV59" i="19"/>
  <c r="CC59" i="19"/>
  <c r="DJ59" i="19"/>
  <c r="DS61" i="19"/>
  <c r="CU61" i="19"/>
  <c r="BW61" i="19"/>
  <c r="AY61" i="19"/>
  <c r="AA61" i="19"/>
  <c r="DM61" i="19"/>
  <c r="CO61" i="19"/>
  <c r="BQ61" i="19"/>
  <c r="AS61" i="19"/>
  <c r="U61" i="19"/>
  <c r="DG61" i="19"/>
  <c r="CI61" i="19"/>
  <c r="BK61" i="19"/>
  <c r="AM61" i="19"/>
  <c r="O61" i="19"/>
  <c r="DY61" i="19"/>
  <c r="DA61" i="19"/>
  <c r="CC61" i="19"/>
  <c r="BE61" i="19"/>
  <c r="AG61" i="19"/>
  <c r="BH61" i="19"/>
  <c r="DD61" i="19"/>
  <c r="G68" i="19"/>
  <c r="DY57" i="19"/>
  <c r="DA57" i="19"/>
  <c r="CC57" i="19"/>
  <c r="BE57" i="19"/>
  <c r="AG57" i="19"/>
  <c r="DS57" i="19"/>
  <c r="CU57" i="19"/>
  <c r="BW57" i="19"/>
  <c r="AY57" i="19"/>
  <c r="AA57" i="19"/>
  <c r="AP57" i="19"/>
  <c r="BT57" i="19"/>
  <c r="DD57" i="19"/>
  <c r="X48" i="19"/>
  <c r="AV48" i="19"/>
  <c r="BT48" i="19"/>
  <c r="CR48" i="19"/>
  <c r="U50" i="19"/>
  <c r="AS50" i="19"/>
  <c r="BQ50" i="19"/>
  <c r="CO50" i="19"/>
  <c r="DM50" i="19"/>
  <c r="R51" i="19"/>
  <c r="AP51" i="19"/>
  <c r="BN51" i="19"/>
  <c r="CL51" i="19"/>
  <c r="O57" i="19"/>
  <c r="AS57" i="19"/>
  <c r="BZ57" i="19"/>
  <c r="DG57" i="19"/>
  <c r="R58" i="19"/>
  <c r="AY58" i="19"/>
  <c r="CF58" i="19"/>
  <c r="DJ58" i="19"/>
  <c r="X59" i="19"/>
  <c r="BE59" i="19"/>
  <c r="CI59" i="19"/>
  <c r="DV59" i="19"/>
  <c r="X61" i="19"/>
  <c r="BT61" i="19"/>
  <c r="DP61" i="19"/>
  <c r="BT50" i="19"/>
  <c r="CR50" i="19"/>
  <c r="R57" i="19"/>
  <c r="AV57" i="19"/>
  <c r="CF57" i="19"/>
  <c r="DJ57" i="19"/>
  <c r="AD59" i="19"/>
  <c r="BH59" i="19"/>
  <c r="CL59" i="19"/>
  <c r="DY59" i="19"/>
  <c r="AJ60" i="19"/>
  <c r="BH60" i="19"/>
  <c r="CF60" i="19"/>
  <c r="DD60" i="19"/>
  <c r="R60" i="19"/>
  <c r="AP60" i="19"/>
  <c r="BN60" i="19"/>
  <c r="CL60" i="19"/>
  <c r="DJ60" i="19"/>
  <c r="X60" i="19"/>
  <c r="AV60" i="19"/>
  <c r="BT60" i="19"/>
  <c r="CR60" i="19"/>
  <c r="AG117" i="19"/>
  <c r="AY117" i="19"/>
  <c r="AA117" i="19"/>
  <c r="BQ117" i="19"/>
  <c r="AS117" i="19"/>
  <c r="U117" i="19"/>
  <c r="BK117" i="19"/>
  <c r="AM117" i="19"/>
  <c r="O117" i="19"/>
  <c r="AV117" i="19"/>
  <c r="K56" i="23"/>
  <c r="M59" i="23"/>
  <c r="L117" i="19"/>
  <c r="BB117" i="19"/>
  <c r="X117" i="19"/>
  <c r="BH117" i="19"/>
  <c r="V47" i="34"/>
  <c r="Z47" i="34" s="1"/>
  <c r="AG118" i="19"/>
  <c r="BE118" i="19"/>
  <c r="T51" i="34"/>
  <c r="AT148" i="34"/>
  <c r="AS148" i="34"/>
  <c r="O118" i="19"/>
  <c r="AM118" i="19"/>
  <c r="BK118" i="19"/>
  <c r="AK43" i="23"/>
  <c r="AG53" i="23"/>
  <c r="AK48" i="23"/>
  <c r="AH401" i="23"/>
  <c r="AH400" i="23"/>
  <c r="AH399" i="23"/>
  <c r="AH403" i="23"/>
  <c r="AH56" i="23"/>
  <c r="AK57" i="23"/>
  <c r="U118" i="19"/>
  <c r="AS118" i="19"/>
  <c r="BQ118" i="19"/>
  <c r="AH416" i="23"/>
  <c r="AH408" i="23"/>
  <c r="AH415" i="23"/>
  <c r="AH407" i="23"/>
  <c r="AH413" i="23"/>
  <c r="AH405" i="23"/>
  <c r="AH411" i="23"/>
  <c r="Z424" i="23"/>
  <c r="AH410" i="23"/>
  <c r="AH409" i="23"/>
  <c r="AH406" i="23"/>
  <c r="AH404" i="23"/>
  <c r="AH414" i="23"/>
  <c r="J56" i="23"/>
  <c r="AJ172" i="22"/>
  <c r="AJ171" i="22"/>
  <c r="AJ169" i="22"/>
  <c r="Y48" i="23"/>
  <c r="S147" i="34"/>
  <c r="AT156" i="34"/>
  <c r="AS156" i="34"/>
  <c r="AU156" i="34" s="1"/>
  <c r="AE43" i="23"/>
  <c r="U53" i="23"/>
  <c r="M57" i="23"/>
  <c r="AK59" i="23"/>
  <c r="AH393" i="23"/>
  <c r="AH22" i="32"/>
  <c r="AT155" i="34"/>
  <c r="AS155" i="34"/>
  <c r="AU155" i="34" s="1"/>
  <c r="AT157" i="34"/>
  <c r="AS157" i="34"/>
  <c r="AU157" i="34" s="1"/>
  <c r="AR159" i="34"/>
  <c r="AP159" i="34"/>
  <c r="AH394" i="23"/>
  <c r="V48" i="34"/>
  <c r="Z48" i="34" s="1"/>
  <c r="AF147" i="34"/>
  <c r="AR151" i="34"/>
  <c r="AP151" i="34"/>
  <c r="S273" i="34"/>
  <c r="S48" i="23"/>
  <c r="O53" i="23"/>
  <c r="AA53" i="23"/>
  <c r="AH395" i="23"/>
  <c r="AN26" i="27"/>
  <c r="E10" i="30"/>
  <c r="AL12" i="31"/>
  <c r="AL29" i="25"/>
  <c r="T112" i="34"/>
  <c r="AR114" i="34"/>
  <c r="AR116" i="34"/>
  <c r="AP116" i="34"/>
  <c r="AR120" i="34"/>
  <c r="AP120" i="34"/>
  <c r="S274" i="34"/>
  <c r="AJ290" i="26"/>
  <c r="AJ289" i="26"/>
  <c r="AT118" i="34"/>
  <c r="AS118" i="34"/>
  <c r="AU118" i="34" s="1"/>
  <c r="AT122" i="34"/>
  <c r="AS122" i="34"/>
  <c r="AU122" i="34" s="1"/>
  <c r="Y43" i="23"/>
  <c r="M60" i="23"/>
  <c r="Z50" i="34"/>
  <c r="AV146" i="34"/>
  <c r="AT158" i="34"/>
  <c r="AS158" i="34"/>
  <c r="AU158" i="34" s="1"/>
  <c r="AT150" i="34"/>
  <c r="AS150" i="34"/>
  <c r="AU150" i="34" s="1"/>
  <c r="C48" i="33"/>
  <c r="AS117" i="34"/>
  <c r="AU117" i="34" s="1"/>
  <c r="AS121" i="34"/>
  <c r="AU121" i="34" s="1"/>
  <c r="AP149" i="34"/>
  <c r="AB50" i="34"/>
  <c r="AP115" i="34"/>
  <c r="AP119" i="34"/>
  <c r="V46" i="34"/>
  <c r="Z46" i="34" s="1"/>
  <c r="AB49" i="34"/>
  <c r="AJ180" i="22"/>
  <c r="AJ187" i="22"/>
  <c r="AK324" i="26"/>
  <c r="V45" i="34"/>
  <c r="AB48" i="34"/>
  <c r="AJ188" i="22"/>
  <c r="AB47" i="34"/>
  <c r="AH12" i="32" l="1"/>
  <c r="AH7" i="32"/>
  <c r="N268" i="34"/>
  <c r="K108" i="4"/>
  <c r="G108" i="4" s="1"/>
  <c r="AX8" i="11"/>
  <c r="BC8" i="11"/>
  <c r="E38" i="14"/>
  <c r="F45" i="14"/>
  <c r="F53" i="14" s="1"/>
  <c r="F54" i="14" s="1"/>
  <c r="F125" i="14" s="1"/>
  <c r="F142" i="14" s="1"/>
  <c r="AT114" i="34"/>
  <c r="BM8" i="11"/>
  <c r="L9" i="19" s="1"/>
  <c r="M249" i="34"/>
  <c r="AL249" i="34" s="1"/>
  <c r="AL244" i="34" s="1"/>
  <c r="AP146" i="34"/>
  <c r="CU20" i="11"/>
  <c r="CU11" i="11"/>
  <c r="BL10" i="11"/>
  <c r="AP111" i="34"/>
  <c r="AT113" i="34"/>
  <c r="CO60" i="11"/>
  <c r="K51" i="34"/>
  <c r="CO58" i="11"/>
  <c r="D3" i="15"/>
  <c r="AE46" i="15"/>
  <c r="AC33" i="33"/>
  <c r="AJ33" i="33" s="1"/>
  <c r="N52" i="33"/>
  <c r="CO48" i="11"/>
  <c r="CO56" i="11"/>
  <c r="AH396" i="23"/>
  <c r="BL32" i="11"/>
  <c r="E113" i="14"/>
  <c r="L35" i="19" s="1"/>
  <c r="K147" i="4"/>
  <c r="G147" i="4" s="1"/>
  <c r="AE77" i="15"/>
  <c r="AL63" i="31"/>
  <c r="CM52" i="11"/>
  <c r="CK56" i="11"/>
  <c r="AE91" i="15"/>
  <c r="AE40" i="15"/>
  <c r="K133" i="4"/>
  <c r="G133" i="4" s="1"/>
  <c r="K150" i="4"/>
  <c r="G150" i="4" s="1"/>
  <c r="L116" i="19"/>
  <c r="AE15" i="15"/>
  <c r="AE85" i="15"/>
  <c r="CM43" i="11"/>
  <c r="AE110" i="15"/>
  <c r="CK45" i="11"/>
  <c r="BL24" i="11"/>
  <c r="BL48" i="11"/>
  <c r="BL18" i="11"/>
  <c r="K170" i="4"/>
  <c r="G170" i="4" s="1"/>
  <c r="K76" i="4"/>
  <c r="G76" i="4" s="1"/>
  <c r="K43" i="4"/>
  <c r="G43" i="4" s="1"/>
  <c r="K47" i="4"/>
  <c r="G47" i="4" s="1"/>
  <c r="K109" i="4"/>
  <c r="G109" i="4" s="1"/>
  <c r="K6" i="4"/>
  <c r="G6" i="4" s="1"/>
  <c r="K178" i="4"/>
  <c r="G178" i="4" s="1"/>
  <c r="K143" i="4"/>
  <c r="G143" i="4" s="1"/>
  <c r="K56" i="18"/>
  <c r="U116" i="19"/>
  <c r="R116" i="19"/>
  <c r="BV42" i="11"/>
  <c r="CU40" i="11"/>
  <c r="CU19" i="11"/>
  <c r="CU21" i="11"/>
  <c r="CU36" i="11"/>
  <c r="CU43" i="11"/>
  <c r="CU45" i="11"/>
  <c r="CU34" i="11"/>
  <c r="CU37" i="11"/>
  <c r="CU26" i="11"/>
  <c r="AE60" i="15"/>
  <c r="CU27" i="11"/>
  <c r="CU32" i="11"/>
  <c r="CU16" i="11"/>
  <c r="CU33" i="11"/>
  <c r="CU30" i="11"/>
  <c r="CM47" i="11"/>
  <c r="CU14" i="11"/>
  <c r="CU10" i="11"/>
  <c r="CU28" i="11"/>
  <c r="AC44" i="33"/>
  <c r="AJ44" i="33" s="1"/>
  <c r="BV44" i="11"/>
  <c r="L22" i="33"/>
  <c r="AE16" i="33" s="1"/>
  <c r="AI16" i="33" s="1"/>
  <c r="CO46" i="11"/>
  <c r="CU15" i="11"/>
  <c r="CU38" i="11"/>
  <c r="CU24" i="11"/>
  <c r="CK58" i="11"/>
  <c r="CU17" i="11"/>
  <c r="CU22" i="11"/>
  <c r="CU18" i="11"/>
  <c r="CU42" i="11"/>
  <c r="AJ193" i="22"/>
  <c r="CK48" i="11"/>
  <c r="AF16" i="17"/>
  <c r="AE117" i="15"/>
  <c r="CU29" i="11"/>
  <c r="CU31" i="11"/>
  <c r="CU46" i="11"/>
  <c r="CU41" i="11"/>
  <c r="CO54" i="11"/>
  <c r="CU25" i="11"/>
  <c r="CU12" i="11"/>
  <c r="BL39" i="11"/>
  <c r="CU48" i="11"/>
  <c r="CU35" i="11"/>
  <c r="CU39" i="11"/>
  <c r="AR111" i="34"/>
  <c r="M56" i="23"/>
  <c r="CU50" i="11"/>
  <c r="CU47" i="11"/>
  <c r="CU44" i="11"/>
  <c r="CU23" i="11"/>
  <c r="CU49" i="11"/>
  <c r="CU13" i="11"/>
  <c r="BV45" i="11"/>
  <c r="K129" i="4"/>
  <c r="G129" i="4" s="1"/>
  <c r="K168" i="4"/>
  <c r="G168" i="4" s="1"/>
  <c r="K30" i="4"/>
  <c r="G30" i="4" s="1"/>
  <c r="K91" i="4"/>
  <c r="G91" i="4" s="1"/>
  <c r="K139" i="4"/>
  <c r="G139" i="4" s="1"/>
  <c r="K127" i="4"/>
  <c r="G127" i="4" s="1"/>
  <c r="BV40" i="11"/>
  <c r="K121" i="4"/>
  <c r="G121" i="4" s="1"/>
  <c r="K80" i="4"/>
  <c r="G80" i="4" s="1"/>
  <c r="K188" i="4"/>
  <c r="G188" i="4" s="1"/>
  <c r="K49" i="4"/>
  <c r="G49" i="4" s="1"/>
  <c r="K78" i="4"/>
  <c r="G78" i="4" s="1"/>
  <c r="K114" i="4"/>
  <c r="G114" i="4" s="1"/>
  <c r="K13" i="4"/>
  <c r="G13" i="4" s="1"/>
  <c r="K59" i="4"/>
  <c r="G59" i="4" s="1"/>
  <c r="K128" i="4"/>
  <c r="G128" i="4" s="1"/>
  <c r="K96" i="4"/>
  <c r="G96" i="4" s="1"/>
  <c r="K27" i="4"/>
  <c r="G27" i="4" s="1"/>
  <c r="K10" i="4"/>
  <c r="G10" i="4" s="1"/>
  <c r="K94" i="4"/>
  <c r="G94" i="4" s="1"/>
  <c r="K90" i="4"/>
  <c r="G90" i="4" s="1"/>
  <c r="K72" i="4"/>
  <c r="G72" i="4" s="1"/>
  <c r="BT44" i="11"/>
  <c r="BV41" i="11"/>
  <c r="K111" i="4"/>
  <c r="G111" i="4" s="1"/>
  <c r="K67" i="4"/>
  <c r="G67" i="4" s="1"/>
  <c r="K22" i="4"/>
  <c r="G22" i="4" s="1"/>
  <c r="K19" i="4"/>
  <c r="G19" i="4" s="1"/>
  <c r="K135" i="4"/>
  <c r="G135" i="4" s="1"/>
  <c r="K182" i="4"/>
  <c r="G182" i="4" s="1"/>
  <c r="K9" i="4"/>
  <c r="G9" i="4" s="1"/>
  <c r="K98" i="4"/>
  <c r="G98" i="4" s="1"/>
  <c r="K126" i="4"/>
  <c r="G126" i="4" s="1"/>
  <c r="K56" i="4"/>
  <c r="G56" i="4" s="1"/>
  <c r="K95" i="4"/>
  <c r="G95" i="4" s="1"/>
  <c r="K112" i="4"/>
  <c r="G112" i="4" s="1"/>
  <c r="K36" i="4"/>
  <c r="G36" i="4" s="1"/>
  <c r="K161" i="4"/>
  <c r="G161" i="4" s="1"/>
  <c r="K65" i="4"/>
  <c r="G65" i="4" s="1"/>
  <c r="K20" i="4"/>
  <c r="G20" i="4" s="1"/>
  <c r="K123" i="4"/>
  <c r="G123" i="4" s="1"/>
  <c r="K152" i="4"/>
  <c r="G152" i="4" s="1"/>
  <c r="K184" i="4"/>
  <c r="G184" i="4" s="1"/>
  <c r="K60" i="4"/>
  <c r="G60" i="4" s="1"/>
  <c r="K177" i="4"/>
  <c r="G177" i="4" s="1"/>
  <c r="K33" i="4"/>
  <c r="G33" i="4" s="1"/>
  <c r="K28" i="4"/>
  <c r="G28" i="4" s="1"/>
  <c r="K5" i="4"/>
  <c r="G5" i="4" s="1"/>
  <c r="K179" i="4"/>
  <c r="G179" i="4" s="1"/>
  <c r="K159" i="4"/>
  <c r="G159" i="4" s="1"/>
  <c r="K63" i="4"/>
  <c r="G63" i="4" s="1"/>
  <c r="K29" i="4"/>
  <c r="G29" i="4" s="1"/>
  <c r="K136" i="4"/>
  <c r="G136" i="4" s="1"/>
  <c r="K110" i="4"/>
  <c r="G110" i="4" s="1"/>
  <c r="K175" i="4"/>
  <c r="G175" i="4" s="1"/>
  <c r="K17" i="4"/>
  <c r="G17" i="4" s="1"/>
  <c r="K8" i="4"/>
  <c r="G8" i="4" s="1"/>
  <c r="K104" i="4"/>
  <c r="G104" i="4" s="1"/>
  <c r="K131" i="4"/>
  <c r="G131" i="4" s="1"/>
  <c r="K58" i="4"/>
  <c r="G58" i="4" s="1"/>
  <c r="K130" i="4"/>
  <c r="G130" i="4" s="1"/>
  <c r="K48" i="4"/>
  <c r="G48" i="4" s="1"/>
  <c r="K166" i="4"/>
  <c r="G166" i="4" s="1"/>
  <c r="K185" i="4"/>
  <c r="G185" i="4" s="1"/>
  <c r="K39" i="4"/>
  <c r="G39" i="4" s="1"/>
  <c r="K149" i="4"/>
  <c r="G149" i="4" s="1"/>
  <c r="K79" i="4"/>
  <c r="G79" i="4" s="1"/>
  <c r="K100" i="4"/>
  <c r="G100" i="4" s="1"/>
  <c r="K172" i="4"/>
  <c r="G172" i="4" s="1"/>
  <c r="K141" i="4"/>
  <c r="G141" i="4" s="1"/>
  <c r="K51" i="4"/>
  <c r="G51" i="4" s="1"/>
  <c r="K46" i="4"/>
  <c r="G46" i="4" s="1"/>
  <c r="K116" i="4"/>
  <c r="G116" i="4" s="1"/>
  <c r="K18" i="4"/>
  <c r="G18" i="4" s="1"/>
  <c r="BV37" i="11"/>
  <c r="K164" i="4"/>
  <c r="G164" i="4" s="1"/>
  <c r="K180" i="4"/>
  <c r="G180" i="4" s="1"/>
  <c r="K97" i="4"/>
  <c r="G97" i="4" s="1"/>
  <c r="K167" i="4"/>
  <c r="G167" i="4" s="1"/>
  <c r="K31" i="4"/>
  <c r="G31" i="4" s="1"/>
  <c r="AC34" i="33"/>
  <c r="AJ34" i="33" s="1"/>
  <c r="AM116" i="19"/>
  <c r="O116" i="19"/>
  <c r="BE116" i="19"/>
  <c r="BH116" i="19"/>
  <c r="BK116" i="19"/>
  <c r="AJ116" i="19"/>
  <c r="AP116" i="19"/>
  <c r="BN116" i="19"/>
  <c r="K189" i="4"/>
  <c r="G189" i="4" s="1"/>
  <c r="K105" i="4"/>
  <c r="G105" i="4" s="1"/>
  <c r="K34" i="4"/>
  <c r="G34" i="4" s="1"/>
  <c r="K119" i="4"/>
  <c r="G119" i="4" s="1"/>
  <c r="K86" i="4"/>
  <c r="G86" i="4" s="1"/>
  <c r="K181" i="4"/>
  <c r="G181" i="4" s="1"/>
  <c r="K122" i="4"/>
  <c r="G122" i="4" s="1"/>
  <c r="K81" i="4"/>
  <c r="G81" i="4" s="1"/>
  <c r="K115" i="4"/>
  <c r="G115" i="4" s="1"/>
  <c r="K88" i="4"/>
  <c r="G88" i="4" s="1"/>
  <c r="K35" i="4"/>
  <c r="G35" i="4" s="1"/>
  <c r="K83" i="4"/>
  <c r="G83" i="4" s="1"/>
  <c r="K57" i="4"/>
  <c r="G57" i="4" s="1"/>
  <c r="K144" i="4"/>
  <c r="G144" i="4" s="1"/>
  <c r="K157" i="4"/>
  <c r="G157" i="4" s="1"/>
  <c r="K41" i="4"/>
  <c r="G41" i="4" s="1"/>
  <c r="K187" i="4"/>
  <c r="G187" i="4" s="1"/>
  <c r="K70" i="4"/>
  <c r="G70" i="4" s="1"/>
  <c r="K87" i="4"/>
  <c r="G87" i="4" s="1"/>
  <c r="K124" i="4"/>
  <c r="G124" i="4" s="1"/>
  <c r="K92" i="4"/>
  <c r="G92" i="4" s="1"/>
  <c r="K142" i="4"/>
  <c r="G142" i="4" s="1"/>
  <c r="K102" i="4"/>
  <c r="G102" i="4" s="1"/>
  <c r="K52" i="4"/>
  <c r="G52" i="4" s="1"/>
  <c r="M52" i="12"/>
  <c r="I7" i="11"/>
  <c r="H7" i="11"/>
  <c r="AV116" i="19"/>
  <c r="E7" i="11"/>
  <c r="BN8" i="11"/>
  <c r="BT42" i="11"/>
  <c r="K191" i="4"/>
  <c r="G191" i="4" s="1"/>
  <c r="K160" i="4"/>
  <c r="G160" i="4" s="1"/>
  <c r="K106" i="4"/>
  <c r="G106" i="4" s="1"/>
  <c r="K68" i="4"/>
  <c r="G68" i="4" s="1"/>
  <c r="K25" i="4"/>
  <c r="G25" i="4" s="1"/>
  <c r="K174" i="4"/>
  <c r="G174" i="4" s="1"/>
  <c r="BL36" i="11"/>
  <c r="AS116" i="19"/>
  <c r="AA116" i="19"/>
  <c r="X116" i="19"/>
  <c r="BL34" i="11"/>
  <c r="BV38" i="11"/>
  <c r="BL21" i="11"/>
  <c r="K183" i="4"/>
  <c r="G183" i="4" s="1"/>
  <c r="K155" i="4"/>
  <c r="G155" i="4" s="1"/>
  <c r="K66" i="4"/>
  <c r="G66" i="4" s="1"/>
  <c r="K23" i="4"/>
  <c r="G23" i="4" s="1"/>
  <c r="K140" i="4"/>
  <c r="G140" i="4" s="1"/>
  <c r="CM42" i="11"/>
  <c r="CM54" i="11"/>
  <c r="K173" i="4"/>
  <c r="G173" i="4" s="1"/>
  <c r="K153" i="4"/>
  <c r="G153" i="4" s="1"/>
  <c r="K64" i="4"/>
  <c r="G64" i="4" s="1"/>
  <c r="K21" i="4"/>
  <c r="G21" i="4" s="1"/>
  <c r="K120" i="4"/>
  <c r="G120" i="4" s="1"/>
  <c r="K85" i="4"/>
  <c r="G85" i="4" s="1"/>
  <c r="AG116" i="19"/>
  <c r="AD116" i="19"/>
  <c r="AE28" i="15"/>
  <c r="K158" i="4"/>
  <c r="G158" i="4" s="1"/>
  <c r="CM50" i="11"/>
  <c r="CM60" i="11"/>
  <c r="K171" i="4"/>
  <c r="G171" i="4" s="1"/>
  <c r="K145" i="4"/>
  <c r="G145" i="4" s="1"/>
  <c r="K62" i="4"/>
  <c r="G62" i="4" s="1"/>
  <c r="K75" i="4"/>
  <c r="G75" i="4" s="1"/>
  <c r="BV43" i="11"/>
  <c r="AY116" i="19"/>
  <c r="BQ116" i="19"/>
  <c r="BB116" i="19"/>
  <c r="E3" i="15"/>
  <c r="K163" i="4"/>
  <c r="G163" i="4" s="1"/>
  <c r="K89" i="4"/>
  <c r="G89" i="4" s="1"/>
  <c r="K44" i="4"/>
  <c r="G44" i="4" s="1"/>
  <c r="BL30" i="11"/>
  <c r="K169" i="4"/>
  <c r="G169" i="4" s="1"/>
  <c r="K137" i="4"/>
  <c r="G137" i="4" s="1"/>
  <c r="K54" i="4"/>
  <c r="G54" i="4" s="1"/>
  <c r="K15" i="4"/>
  <c r="G15" i="4" s="1"/>
  <c r="K151" i="4"/>
  <c r="G151" i="4" s="1"/>
  <c r="K16" i="4"/>
  <c r="G16" i="4" s="1"/>
  <c r="AE69" i="15"/>
  <c r="K82" i="4"/>
  <c r="G82" i="4" s="1"/>
  <c r="K24" i="4"/>
  <c r="G24" i="4" s="1"/>
  <c r="AF21" i="17"/>
  <c r="K154" i="4"/>
  <c r="G154" i="4" s="1"/>
  <c r="K53" i="4"/>
  <c r="G53" i="4" s="1"/>
  <c r="K134" i="4"/>
  <c r="G134" i="4" s="1"/>
  <c r="K74" i="4"/>
  <c r="G74" i="4" s="1"/>
  <c r="K12" i="4"/>
  <c r="G12" i="4" s="1"/>
  <c r="K42" i="4"/>
  <c r="G42" i="4" s="1"/>
  <c r="AA22" i="17"/>
  <c r="K117" i="4"/>
  <c r="G117" i="4" s="1"/>
  <c r="K84" i="4"/>
  <c r="G84" i="4" s="1"/>
  <c r="K26" i="4"/>
  <c r="G26" i="4" s="1"/>
  <c r="BL27" i="11"/>
  <c r="K146" i="4"/>
  <c r="G146" i="4" s="1"/>
  <c r="K45" i="4"/>
  <c r="G45" i="4" s="1"/>
  <c r="AJ319" i="26"/>
  <c r="AT149" i="34"/>
  <c r="AS149" i="34"/>
  <c r="AU149" i="34" s="1"/>
  <c r="CO57" i="11"/>
  <c r="CK49" i="11"/>
  <c r="CJ49" i="11"/>
  <c r="C120" i="30"/>
  <c r="E23" i="25"/>
  <c r="G23" i="25" s="1"/>
  <c r="DG55" i="19"/>
  <c r="CI55" i="19"/>
  <c r="BK55" i="19"/>
  <c r="AM55" i="19"/>
  <c r="O55" i="19"/>
  <c r="DY55" i="19"/>
  <c r="DA55" i="19"/>
  <c r="CC55" i="19"/>
  <c r="BE55" i="19"/>
  <c r="AG55" i="19"/>
  <c r="DD55" i="19"/>
  <c r="BW55" i="19"/>
  <c r="AS55" i="19"/>
  <c r="CX55" i="19"/>
  <c r="BT55" i="19"/>
  <c r="AP55" i="19"/>
  <c r="CU55" i="19"/>
  <c r="BQ55" i="19"/>
  <c r="AJ55" i="19"/>
  <c r="DV55" i="19"/>
  <c r="CR55" i="19"/>
  <c r="BN55" i="19"/>
  <c r="AD55" i="19"/>
  <c r="DS55" i="19"/>
  <c r="CO55" i="19"/>
  <c r="BH55" i="19"/>
  <c r="AA55" i="19"/>
  <c r="DP55" i="19"/>
  <c r="CL55" i="19"/>
  <c r="BB55" i="19"/>
  <c r="X55" i="19"/>
  <c r="DJ55" i="19"/>
  <c r="BZ55" i="19"/>
  <c r="AV55" i="19"/>
  <c r="R55" i="19"/>
  <c r="U55" i="19"/>
  <c r="AY55" i="19"/>
  <c r="DM55" i="19"/>
  <c r="CF55" i="19"/>
  <c r="CO50" i="11"/>
  <c r="AJ293" i="26"/>
  <c r="AJ173" i="22"/>
  <c r="AU148" i="34"/>
  <c r="BT41" i="11"/>
  <c r="BT37" i="11"/>
  <c r="O97" i="19"/>
  <c r="L115" i="19"/>
  <c r="CO49" i="11"/>
  <c r="CO59" i="11"/>
  <c r="BL37" i="11"/>
  <c r="CK60" i="11"/>
  <c r="CJ60" i="11"/>
  <c r="CK47" i="11"/>
  <c r="CJ47" i="11"/>
  <c r="CM57" i="11"/>
  <c r="CM46" i="11"/>
  <c r="K156" i="4"/>
  <c r="G156" i="4" s="1"/>
  <c r="K107" i="4"/>
  <c r="G107" i="4" s="1"/>
  <c r="K93" i="4"/>
  <c r="G93" i="4" s="1"/>
  <c r="K32" i="4"/>
  <c r="G32" i="4" s="1"/>
  <c r="K61" i="4"/>
  <c r="G61" i="4" s="1"/>
  <c r="K37" i="4"/>
  <c r="G37" i="4" s="1"/>
  <c r="E19" i="30"/>
  <c r="CO51" i="11"/>
  <c r="CK57" i="11"/>
  <c r="CJ57" i="11"/>
  <c r="AP10" i="11" s="1"/>
  <c r="CK59" i="11"/>
  <c r="CJ59" i="11"/>
  <c r="Z273" i="34"/>
  <c r="AH417" i="23"/>
  <c r="AL88" i="20"/>
  <c r="Z196" i="22"/>
  <c r="D18" i="20"/>
  <c r="AL11" i="21"/>
  <c r="X142" i="22"/>
  <c r="AL95" i="20"/>
  <c r="D19" i="20"/>
  <c r="K7" i="11"/>
  <c r="AL8" i="21" s="1"/>
  <c r="BT38" i="11"/>
  <c r="CO44" i="11"/>
  <c r="CO45" i="11"/>
  <c r="L25" i="19"/>
  <c r="O6" i="19"/>
  <c r="E34" i="14"/>
  <c r="CK42" i="11"/>
  <c r="CJ42" i="11"/>
  <c r="CK41" i="11"/>
  <c r="DM53" i="19"/>
  <c r="CO53" i="19"/>
  <c r="BQ53" i="19"/>
  <c r="AS53" i="19"/>
  <c r="U53" i="19"/>
  <c r="DG53" i="19"/>
  <c r="CI53" i="19"/>
  <c r="BK53" i="19"/>
  <c r="AM53" i="19"/>
  <c r="O53" i="19"/>
  <c r="CX53" i="19"/>
  <c r="BT53" i="19"/>
  <c r="AJ53" i="19"/>
  <c r="DY53" i="19"/>
  <c r="CU53" i="19"/>
  <c r="BN53" i="19"/>
  <c r="AG53" i="19"/>
  <c r="DV53" i="19"/>
  <c r="CR53" i="19"/>
  <c r="BH53" i="19"/>
  <c r="AD53" i="19"/>
  <c r="DS53" i="19"/>
  <c r="CL53" i="19"/>
  <c r="BE53" i="19"/>
  <c r="AA53" i="19"/>
  <c r="DP53" i="19"/>
  <c r="CF53" i="19"/>
  <c r="BB53" i="19"/>
  <c r="X53" i="19"/>
  <c r="DJ53" i="19"/>
  <c r="CC53" i="19"/>
  <c r="AY53" i="19"/>
  <c r="R53" i="19"/>
  <c r="DA53" i="19"/>
  <c r="BW53" i="19"/>
  <c r="AP53" i="19"/>
  <c r="BZ53" i="19"/>
  <c r="AV53" i="19"/>
  <c r="DD53" i="19"/>
  <c r="CM45" i="11"/>
  <c r="K190" i="4"/>
  <c r="G190" i="4" s="1"/>
  <c r="K138" i="4"/>
  <c r="G138" i="4" s="1"/>
  <c r="K73" i="4"/>
  <c r="G73" i="4" s="1"/>
  <c r="K11" i="4"/>
  <c r="G11" i="4" s="1"/>
  <c r="K38" i="4"/>
  <c r="G38" i="4" s="1"/>
  <c r="Z427" i="23"/>
  <c r="Z429" i="23" s="1"/>
  <c r="Z423" i="23"/>
  <c r="Z425" i="23" s="1"/>
  <c r="AR146" i="34"/>
  <c r="DP52" i="19"/>
  <c r="CR52" i="19"/>
  <c r="DJ52" i="19"/>
  <c r="CL52" i="19"/>
  <c r="BN52" i="19"/>
  <c r="DY52" i="19"/>
  <c r="CU52" i="19"/>
  <c r="BQ52" i="19"/>
  <c r="AP52" i="19"/>
  <c r="R52" i="19"/>
  <c r="DV52" i="19"/>
  <c r="CO52" i="19"/>
  <c r="BK52" i="19"/>
  <c r="AM52" i="19"/>
  <c r="O52" i="19"/>
  <c r="DS52" i="19"/>
  <c r="CI52" i="19"/>
  <c r="BH52" i="19"/>
  <c r="AJ52" i="19"/>
  <c r="DM52" i="19"/>
  <c r="CF52" i="19"/>
  <c r="BE52" i="19"/>
  <c r="AG52" i="19"/>
  <c r="DG52" i="19"/>
  <c r="CC52" i="19"/>
  <c r="BB52" i="19"/>
  <c r="AD52" i="19"/>
  <c r="DD52" i="19"/>
  <c r="BZ52" i="19"/>
  <c r="AY52" i="19"/>
  <c r="AA52" i="19"/>
  <c r="CX52" i="19"/>
  <c r="BT52" i="19"/>
  <c r="AS52" i="19"/>
  <c r="U52" i="19"/>
  <c r="DA52" i="19"/>
  <c r="X52" i="19"/>
  <c r="AV52" i="19"/>
  <c r="BW52" i="19"/>
  <c r="AJ22" i="18"/>
  <c r="AF22" i="18"/>
  <c r="AC43" i="33"/>
  <c r="AJ43" i="33" s="1"/>
  <c r="AC32" i="33"/>
  <c r="AJ32" i="33" s="1"/>
  <c r="BT39" i="11"/>
  <c r="BT43" i="11"/>
  <c r="BT22" i="11"/>
  <c r="BV16" i="11"/>
  <c r="BT14" i="11"/>
  <c r="BV21" i="11"/>
  <c r="BT19" i="11"/>
  <c r="BV18" i="11"/>
  <c r="BT16" i="11"/>
  <c r="BV23" i="11"/>
  <c r="BT21" i="11"/>
  <c r="BV15" i="11"/>
  <c r="BV20" i="11"/>
  <c r="BT18" i="11"/>
  <c r="BV19" i="11"/>
  <c r="BT17" i="11"/>
  <c r="BV14" i="11"/>
  <c r="BV17" i="11"/>
  <c r="BT23" i="11"/>
  <c r="BT15" i="11"/>
  <c r="BV22" i="11"/>
  <c r="BT20" i="11"/>
  <c r="E32" i="25"/>
  <c r="CO52" i="11"/>
  <c r="BV39" i="11"/>
  <c r="CK50" i="11"/>
  <c r="CJ50" i="11"/>
  <c r="CK44" i="11"/>
  <c r="CJ44" i="11"/>
  <c r="AJ23" i="18"/>
  <c r="AF23" i="18"/>
  <c r="CM48" i="11"/>
  <c r="K148" i="4"/>
  <c r="G148" i="4" s="1"/>
  <c r="AJ25" i="18"/>
  <c r="AF25" i="18"/>
  <c r="K186" i="4"/>
  <c r="G186" i="4" s="1"/>
  <c r="K132" i="4"/>
  <c r="G132" i="4" s="1"/>
  <c r="K71" i="4"/>
  <c r="G71" i="4" s="1"/>
  <c r="K165" i="4"/>
  <c r="G165" i="4" s="1"/>
  <c r="AJ26" i="18"/>
  <c r="AF26" i="18"/>
  <c r="L114" i="19"/>
  <c r="O96" i="19"/>
  <c r="L104" i="19"/>
  <c r="AU113" i="34"/>
  <c r="AS120" i="34"/>
  <c r="AU120" i="34" s="1"/>
  <c r="AT120" i="34"/>
  <c r="AT151" i="34"/>
  <c r="AS151" i="34"/>
  <c r="AU151" i="34" s="1"/>
  <c r="AT159" i="34"/>
  <c r="AS159" i="34"/>
  <c r="AU159" i="34" s="1"/>
  <c r="AR10" i="17"/>
  <c r="AA38" i="17"/>
  <c r="AF37" i="17"/>
  <c r="DD56" i="19"/>
  <c r="CF56" i="19"/>
  <c r="BH56" i="19"/>
  <c r="AJ56" i="19"/>
  <c r="DV56" i="19"/>
  <c r="CX56" i="19"/>
  <c r="BZ56" i="19"/>
  <c r="BB56" i="19"/>
  <c r="AD56" i="19"/>
  <c r="DJ56" i="19"/>
  <c r="CC56" i="19"/>
  <c r="AV56" i="19"/>
  <c r="R56" i="19"/>
  <c r="DG56" i="19"/>
  <c r="BW56" i="19"/>
  <c r="AS56" i="19"/>
  <c r="O56" i="19"/>
  <c r="DA56" i="19"/>
  <c r="BT56" i="19"/>
  <c r="AP56" i="19"/>
  <c r="CU56" i="19"/>
  <c r="BQ56" i="19"/>
  <c r="AM56" i="19"/>
  <c r="DY56" i="19"/>
  <c r="CR56" i="19"/>
  <c r="BN56" i="19"/>
  <c r="AG56" i="19"/>
  <c r="DS56" i="19"/>
  <c r="CO56" i="19"/>
  <c r="BK56" i="19"/>
  <c r="AA56" i="19"/>
  <c r="DM56" i="19"/>
  <c r="CI56" i="19"/>
  <c r="AY56" i="19"/>
  <c r="U56" i="19"/>
  <c r="DP56" i="19"/>
  <c r="CL56" i="19"/>
  <c r="BE56" i="19"/>
  <c r="X56" i="19"/>
  <c r="O17" i="19"/>
  <c r="BT45" i="11"/>
  <c r="L9" i="12"/>
  <c r="G9" i="12"/>
  <c r="L7" i="11"/>
  <c r="S7" i="11"/>
  <c r="T7" i="11"/>
  <c r="CO43" i="11"/>
  <c r="CK51" i="11"/>
  <c r="CZ16" i="11" s="1"/>
  <c r="CJ51" i="11"/>
  <c r="CZ10" i="11" s="1"/>
  <c r="CK52" i="11"/>
  <c r="CJ52" i="11"/>
  <c r="CM56" i="11"/>
  <c r="G7" i="11"/>
  <c r="K176" i="4"/>
  <c r="G176" i="4" s="1"/>
  <c r="K125" i="4"/>
  <c r="G125" i="4" s="1"/>
  <c r="K103" i="4"/>
  <c r="G103" i="4" s="1"/>
  <c r="K69" i="4"/>
  <c r="G69" i="4" s="1"/>
  <c r="K14" i="4"/>
  <c r="G14" i="4" s="1"/>
  <c r="AL65" i="31"/>
  <c r="G37" i="13"/>
  <c r="I37" i="13" s="1"/>
  <c r="CO42" i="11"/>
  <c r="CO41" i="11"/>
  <c r="AS116" i="34"/>
  <c r="AU116" i="34" s="1"/>
  <c r="AT116" i="34"/>
  <c r="AK56" i="23"/>
  <c r="X61" i="23"/>
  <c r="O7" i="19"/>
  <c r="E35" i="14"/>
  <c r="L26" i="19"/>
  <c r="BT40" i="11"/>
  <c r="E21" i="20"/>
  <c r="BL13" i="11"/>
  <c r="BL16" i="11"/>
  <c r="CO47" i="11"/>
  <c r="CM59" i="11"/>
  <c r="BL50" i="11"/>
  <c r="CK46" i="11"/>
  <c r="CJ46" i="11"/>
  <c r="CM55" i="11"/>
  <c r="AK266" i="26"/>
  <c r="E12" i="25"/>
  <c r="E10" i="20"/>
  <c r="AI4" i="18"/>
  <c r="AJ8" i="18" s="1"/>
  <c r="AJ9" i="18" s="1"/>
  <c r="AJ10" i="18" s="1"/>
  <c r="AB7" i="11"/>
  <c r="Z7" i="11"/>
  <c r="Y7" i="11"/>
  <c r="AC7" i="11"/>
  <c r="B221" i="7"/>
  <c r="L221" i="7" s="1"/>
  <c r="AD7" i="11"/>
  <c r="CM58" i="11"/>
  <c r="K50" i="4"/>
  <c r="G50" i="4" s="1"/>
  <c r="K118" i="4"/>
  <c r="G118" i="4" s="1"/>
  <c r="K101" i="4"/>
  <c r="G101" i="4" s="1"/>
  <c r="K55" i="4"/>
  <c r="G55" i="4" s="1"/>
  <c r="K7" i="4"/>
  <c r="G7" i="4" s="1"/>
  <c r="AK325" i="26"/>
  <c r="AK329" i="26"/>
  <c r="CK55" i="11"/>
  <c r="CJ55" i="11"/>
  <c r="AT119" i="34"/>
  <c r="AS119" i="34"/>
  <c r="AU119" i="34" s="1"/>
  <c r="Z45" i="34"/>
  <c r="X45" i="34"/>
  <c r="AD45" i="34" s="1"/>
  <c r="X46" i="34"/>
  <c r="AD46" i="34" s="1"/>
  <c r="X47" i="34"/>
  <c r="AD47" i="34" s="1"/>
  <c r="X48" i="34"/>
  <c r="AD48" i="34" s="1"/>
  <c r="X49" i="34"/>
  <c r="AD49" i="34" s="1"/>
  <c r="X50" i="34"/>
  <c r="AD50" i="34" s="1"/>
  <c r="AT115" i="34"/>
  <c r="AS115" i="34"/>
  <c r="AU115" i="34" s="1"/>
  <c r="AL27" i="30"/>
  <c r="DV98" i="19"/>
  <c r="BY68" i="11"/>
  <c r="CA68" i="11" s="1"/>
  <c r="BX69" i="11"/>
  <c r="L37" i="19"/>
  <c r="O37" i="19" s="1"/>
  <c r="R37" i="19" s="1"/>
  <c r="U37" i="19" s="1"/>
  <c r="X37" i="19" s="1"/>
  <c r="AA37" i="19" s="1"/>
  <c r="AD37" i="19" s="1"/>
  <c r="AG37" i="19" s="1"/>
  <c r="AJ37" i="19" s="1"/>
  <c r="AM37" i="19" s="1"/>
  <c r="AP37" i="19" s="1"/>
  <c r="AS37" i="19" s="1"/>
  <c r="AV37" i="19" s="1"/>
  <c r="AY37" i="19" s="1"/>
  <c r="BB37" i="19" s="1"/>
  <c r="BE37" i="19" s="1"/>
  <c r="BH37" i="19" s="1"/>
  <c r="BK37" i="19" s="1"/>
  <c r="BN37" i="19" s="1"/>
  <c r="BQ37" i="19" s="1"/>
  <c r="BT37" i="19" s="1"/>
  <c r="BW37" i="19" s="1"/>
  <c r="BZ37" i="19" s="1"/>
  <c r="CC37" i="19" s="1"/>
  <c r="CF37" i="19" s="1"/>
  <c r="CI37" i="19" s="1"/>
  <c r="CL37" i="19" s="1"/>
  <c r="CO37" i="19" s="1"/>
  <c r="CR37" i="19" s="1"/>
  <c r="CU37" i="19" s="1"/>
  <c r="CX37" i="19" s="1"/>
  <c r="DA37" i="19" s="1"/>
  <c r="DD37" i="19" s="1"/>
  <c r="DG37" i="19" s="1"/>
  <c r="DJ37" i="19" s="1"/>
  <c r="DM37" i="19" s="1"/>
  <c r="DP37" i="19" s="1"/>
  <c r="DS37" i="19" s="1"/>
  <c r="DV37" i="19" s="1"/>
  <c r="DY37" i="19" s="1"/>
  <c r="E24" i="20"/>
  <c r="E22" i="20"/>
  <c r="CO55" i="11"/>
  <c r="CK54" i="11"/>
  <c r="CJ54" i="11"/>
  <c r="CK43" i="11"/>
  <c r="CM49" i="11"/>
  <c r="CM51" i="11"/>
  <c r="K162" i="4"/>
  <c r="G162" i="4" s="1"/>
  <c r="K113" i="4"/>
  <c r="G113" i="4" s="1"/>
  <c r="K40" i="4"/>
  <c r="G40" i="4" s="1"/>
  <c r="K99" i="4"/>
  <c r="G99" i="4" s="1"/>
  <c r="K77" i="4"/>
  <c r="G77" i="4" s="1"/>
  <c r="AH45" i="32" l="1"/>
  <c r="AH8" i="32" s="1"/>
  <c r="AH9" i="32" s="1"/>
  <c r="E64" i="13"/>
  <c r="B5" i="44"/>
  <c r="B17" i="44" s="1"/>
  <c r="AC13" i="32"/>
  <c r="AS10" i="11"/>
  <c r="AP8" i="11"/>
  <c r="AI275" i="34"/>
  <c r="CZ14" i="11"/>
  <c r="CZ15" i="11"/>
  <c r="CZ13" i="11"/>
  <c r="L19" i="19"/>
  <c r="L20" i="19" s="1"/>
  <c r="L10" i="19"/>
  <c r="O10" i="19" s="1"/>
  <c r="R10" i="19" s="1"/>
  <c r="U10" i="19" s="1"/>
  <c r="X10" i="19" s="1"/>
  <c r="AA10" i="19" s="1"/>
  <c r="AD10" i="19" s="1"/>
  <c r="AG10" i="19" s="1"/>
  <c r="AJ10" i="19" s="1"/>
  <c r="AM10" i="19" s="1"/>
  <c r="AP10" i="19" s="1"/>
  <c r="AS10" i="19" s="1"/>
  <c r="AV10" i="19" s="1"/>
  <c r="AY10" i="19" s="1"/>
  <c r="BB10" i="19" s="1"/>
  <c r="BE10" i="19" s="1"/>
  <c r="BH10" i="19" s="1"/>
  <c r="BK10" i="19" s="1"/>
  <c r="BN10" i="19" s="1"/>
  <c r="BQ10" i="19" s="1"/>
  <c r="BT10" i="19" s="1"/>
  <c r="BW10" i="19" s="1"/>
  <c r="BZ10" i="19" s="1"/>
  <c r="CC10" i="19" s="1"/>
  <c r="CF10" i="19" s="1"/>
  <c r="CI10" i="19" s="1"/>
  <c r="CL10" i="19" s="1"/>
  <c r="CO10" i="19" s="1"/>
  <c r="CR10" i="19" s="1"/>
  <c r="CU10" i="19" s="1"/>
  <c r="CX10" i="19" s="1"/>
  <c r="DA10" i="19" s="1"/>
  <c r="DD10" i="19" s="1"/>
  <c r="DG10" i="19" s="1"/>
  <c r="DJ10" i="19" s="1"/>
  <c r="DM10" i="19" s="1"/>
  <c r="DP10" i="19" s="1"/>
  <c r="DS10" i="19" s="1"/>
  <c r="DV10" i="19" s="1"/>
  <c r="DY10" i="19" s="1"/>
  <c r="BR37" i="11"/>
  <c r="AE3" i="15"/>
  <c r="X256" i="34"/>
  <c r="AJ52" i="12" s="1"/>
  <c r="M53" i="12" s="1"/>
  <c r="AL239" i="34"/>
  <c r="AN194" i="39"/>
  <c r="AJ313" i="34"/>
  <c r="AL103" i="34"/>
  <c r="AL135" i="34"/>
  <c r="AL134" i="34"/>
  <c r="AL104" i="34"/>
  <c r="E150" i="14"/>
  <c r="F150" i="14" s="1"/>
  <c r="E149" i="14"/>
  <c r="F149" i="14" s="1"/>
  <c r="E148" i="14"/>
  <c r="F148" i="14" s="1"/>
  <c r="P14" i="18"/>
  <c r="AB14" i="18" s="1"/>
  <c r="AJ14" i="18" s="1"/>
  <c r="BR23" i="11"/>
  <c r="AE17" i="33"/>
  <c r="AI17" i="33" s="1"/>
  <c r="AJ61" i="12"/>
  <c r="AJ64" i="12" s="1"/>
  <c r="AJ67" i="12" s="1"/>
  <c r="N39" i="12" s="1"/>
  <c r="CS8" i="11"/>
  <c r="BU21" i="11"/>
  <c r="O9" i="19"/>
  <c r="AJ35" i="33"/>
  <c r="N35" i="12"/>
  <c r="R35" i="12" s="1"/>
  <c r="B28" i="12"/>
  <c r="AT146" i="34"/>
  <c r="AT111" i="34"/>
  <c r="BS18" i="11"/>
  <c r="BS20" i="11"/>
  <c r="AN16" i="11" s="1"/>
  <c r="AJ73" i="12"/>
  <c r="BL8" i="11"/>
  <c r="BL7" i="11" s="1"/>
  <c r="AB16" i="18"/>
  <c r="AU111" i="34"/>
  <c r="E21" i="25"/>
  <c r="G21" i="25" s="1"/>
  <c r="AC9" i="12"/>
  <c r="R17" i="19"/>
  <c r="O29" i="19"/>
  <c r="BU15" i="11"/>
  <c r="B9" i="12"/>
  <c r="E20" i="25" s="1"/>
  <c r="G20" i="25" s="1"/>
  <c r="AR3" i="12"/>
  <c r="AS111" i="34"/>
  <c r="F34" i="25" s="1"/>
  <c r="BS15" i="11"/>
  <c r="BS21" i="11"/>
  <c r="BR14" i="11"/>
  <c r="BR17" i="11"/>
  <c r="BR20" i="11"/>
  <c r="Z430" i="23"/>
  <c r="Z431" i="23" s="1"/>
  <c r="AS146" i="34"/>
  <c r="BU22" i="11"/>
  <c r="BU23" i="11"/>
  <c r="BS45" i="11"/>
  <c r="BS40" i="11"/>
  <c r="BS42" i="11"/>
  <c r="BS37" i="11"/>
  <c r="BS41" i="11"/>
  <c r="BS43" i="11"/>
  <c r="BS39" i="11"/>
  <c r="BS44" i="11"/>
  <c r="BS38" i="11"/>
  <c r="AD51" i="34"/>
  <c r="BU20" i="11"/>
  <c r="BS16" i="11"/>
  <c r="BS19" i="11"/>
  <c r="BS22" i="11"/>
  <c r="BV13" i="11"/>
  <c r="BV10" i="11"/>
  <c r="BV12" i="11"/>
  <c r="BV11" i="11"/>
  <c r="BU18" i="11"/>
  <c r="BT11" i="11"/>
  <c r="BT13" i="11"/>
  <c r="BT10" i="11"/>
  <c r="BT12" i="11"/>
  <c r="BU43" i="11"/>
  <c r="BU39" i="11"/>
  <c r="BU38" i="11"/>
  <c r="BU45" i="11"/>
  <c r="BU41" i="11"/>
  <c r="BU40" i="11"/>
  <c r="BU42" i="11"/>
  <c r="BU37" i="11"/>
  <c r="BU44" i="11"/>
  <c r="BR42" i="11"/>
  <c r="BT36" i="11"/>
  <c r="BR39" i="11"/>
  <c r="BR44" i="11"/>
  <c r="BR38" i="11"/>
  <c r="BU36" i="11"/>
  <c r="BR41" i="11"/>
  <c r="BR43" i="11"/>
  <c r="BR45" i="11"/>
  <c r="BV36" i="11"/>
  <c r="BR36" i="11"/>
  <c r="BS36" i="11"/>
  <c r="BR40" i="11"/>
  <c r="BU17" i="11"/>
  <c r="R7" i="19"/>
  <c r="O26" i="19"/>
  <c r="AR11" i="17"/>
  <c r="O114" i="19"/>
  <c r="O104" i="19"/>
  <c r="R96" i="19"/>
  <c r="BU14" i="11"/>
  <c r="BR16" i="11"/>
  <c r="AN15" i="11" s="1"/>
  <c r="BR19" i="11"/>
  <c r="BR22" i="11"/>
  <c r="AJ50" i="33"/>
  <c r="AJ39" i="33"/>
  <c r="CW44" i="11"/>
  <c r="CW50" i="11"/>
  <c r="CW48" i="11"/>
  <c r="CW42" i="11"/>
  <c r="CW41" i="11"/>
  <c r="CW38" i="11"/>
  <c r="CW27" i="11"/>
  <c r="CW17" i="11"/>
  <c r="CW47" i="11"/>
  <c r="CW45" i="11"/>
  <c r="CW39" i="11"/>
  <c r="CW35" i="11"/>
  <c r="CW32" i="11"/>
  <c r="CW30" i="11"/>
  <c r="CW24" i="11"/>
  <c r="CW22" i="11"/>
  <c r="CW14" i="11"/>
  <c r="CW19" i="11"/>
  <c r="CW11" i="11"/>
  <c r="CW49" i="11"/>
  <c r="CW37" i="11"/>
  <c r="CW28" i="11"/>
  <c r="CW16" i="11"/>
  <c r="CW34" i="11"/>
  <c r="CW31" i="11"/>
  <c r="CW25" i="11"/>
  <c r="CW21" i="11"/>
  <c r="CW13" i="11"/>
  <c r="CW46" i="11"/>
  <c r="CW33" i="11"/>
  <c r="CW26" i="11"/>
  <c r="CW20" i="11"/>
  <c r="CW12" i="11"/>
  <c r="CW29" i="11"/>
  <c r="CW23" i="11"/>
  <c r="CW18" i="11"/>
  <c r="CW10" i="11"/>
  <c r="CX10" i="11" s="1"/>
  <c r="DC10" i="11" s="1"/>
  <c r="DD10" i="11" s="1"/>
  <c r="DD8" i="11" s="1"/>
  <c r="DA3" i="11" s="1"/>
  <c r="CX5" i="11" s="1"/>
  <c r="CX6" i="11" s="1"/>
  <c r="CW43" i="11"/>
  <c r="CW40" i="11"/>
  <c r="CW36" i="11"/>
  <c r="CW15" i="11"/>
  <c r="G32" i="25"/>
  <c r="E94" i="19"/>
  <c r="BS23" i="11"/>
  <c r="BR15" i="11"/>
  <c r="BS14" i="11"/>
  <c r="BS17" i="11"/>
  <c r="O25" i="19"/>
  <c r="R6" i="19"/>
  <c r="O35" i="19"/>
  <c r="AJ52" i="33"/>
  <c r="BY69" i="11"/>
  <c r="BX70" i="11"/>
  <c r="DY98" i="19"/>
  <c r="BR21" i="11"/>
  <c r="BR18" i="11"/>
  <c r="AN14" i="11" s="1"/>
  <c r="BU16" i="11"/>
  <c r="BU19" i="11"/>
  <c r="O115" i="19"/>
  <c r="R97" i="19"/>
  <c r="AU146" i="34"/>
  <c r="AH10" i="32" l="1"/>
  <c r="Q275" i="34"/>
  <c r="M270" i="34"/>
  <c r="C49" i="44"/>
  <c r="D49" i="44" s="1"/>
  <c r="B28" i="44"/>
  <c r="D28" i="44" s="1"/>
  <c r="F30" i="44"/>
  <c r="B30" i="44" s="1"/>
  <c r="D30" i="44" s="1"/>
  <c r="B19" i="44"/>
  <c r="B24" i="44" s="1"/>
  <c r="E24" i="44" s="1" a="1"/>
  <c r="E24" i="44" s="1"/>
  <c r="B23" i="44"/>
  <c r="E23" i="44" s="1"/>
  <c r="L30" i="19"/>
  <c r="O19" i="19"/>
  <c r="O30" i="19" s="1"/>
  <c r="AN13" i="11"/>
  <c r="AV10" i="11"/>
  <c r="AV8" i="11" s="1"/>
  <c r="L5" i="19" s="1"/>
  <c r="L14" i="19" s="1"/>
  <c r="L21" i="19" s="1"/>
  <c r="AS8" i="11"/>
  <c r="L27" i="19"/>
  <c r="U24" i="12"/>
  <c r="R37" i="12" s="1"/>
  <c r="N43" i="12"/>
  <c r="B21" i="12"/>
  <c r="U21" i="12"/>
  <c r="AF14" i="18"/>
  <c r="AB19" i="34"/>
  <c r="E17" i="31"/>
  <c r="D19" i="24"/>
  <c r="AK290" i="34"/>
  <c r="AK291" i="34" s="1"/>
  <c r="AL91" i="34"/>
  <c r="AB17" i="34" s="1"/>
  <c r="AE18" i="33"/>
  <c r="AE19" i="33" s="1"/>
  <c r="R9" i="19"/>
  <c r="U9" i="19" s="1"/>
  <c r="O27" i="19"/>
  <c r="L21" i="30"/>
  <c r="AL22" i="30" s="1"/>
  <c r="B24" i="12"/>
  <c r="H28" i="12" s="1"/>
  <c r="AJ54" i="33"/>
  <c r="BX71" i="11"/>
  <c r="BY70" i="11"/>
  <c r="BT35" i="11"/>
  <c r="BT32" i="11"/>
  <c r="BT34" i="11"/>
  <c r="BT33" i="11"/>
  <c r="R115" i="19"/>
  <c r="U97" i="19"/>
  <c r="J94" i="19"/>
  <c r="DY116" i="19" s="1"/>
  <c r="U46" i="12"/>
  <c r="BV34" i="11"/>
  <c r="BV33" i="11"/>
  <c r="BV32" i="11"/>
  <c r="BV35" i="11"/>
  <c r="CA69" i="11"/>
  <c r="R19" i="19"/>
  <c r="BR12" i="11"/>
  <c r="BR11" i="11"/>
  <c r="BR10" i="11"/>
  <c r="BR13" i="11"/>
  <c r="BU34" i="11"/>
  <c r="BU33" i="11"/>
  <c r="BU35" i="11"/>
  <c r="BU32" i="11"/>
  <c r="BS11" i="11"/>
  <c r="BS13" i="11"/>
  <c r="BS12" i="11"/>
  <c r="BS10" i="11"/>
  <c r="BU11" i="11"/>
  <c r="BU13" i="11"/>
  <c r="BU10" i="11"/>
  <c r="BU12" i="11"/>
  <c r="U17" i="19"/>
  <c r="R29" i="19"/>
  <c r="R35" i="19"/>
  <c r="R114" i="19"/>
  <c r="R104" i="19"/>
  <c r="U96" i="19"/>
  <c r="AR12" i="17"/>
  <c r="BS35" i="11"/>
  <c r="BS32" i="11"/>
  <c r="BS34" i="11"/>
  <c r="BS33" i="11"/>
  <c r="AJ16" i="18"/>
  <c r="AF16" i="18"/>
  <c r="R26" i="19"/>
  <c r="U7" i="19"/>
  <c r="R25" i="19"/>
  <c r="U6" i="19"/>
  <c r="BR35" i="11"/>
  <c r="BR32" i="11"/>
  <c r="BR33" i="11"/>
  <c r="BR34" i="11"/>
  <c r="L38" i="19"/>
  <c r="E120" i="14"/>
  <c r="E17" i="44" l="1"/>
  <c r="O20" i="19"/>
  <c r="O5" i="19"/>
  <c r="L24" i="19"/>
  <c r="L31" i="19" s="1"/>
  <c r="L32" i="19" s="1"/>
  <c r="E33" i="14"/>
  <c r="AK268" i="34"/>
  <c r="AL266" i="34" s="1"/>
  <c r="AB20" i="34" s="1"/>
  <c r="B29" i="44"/>
  <c r="D29" i="44" s="1"/>
  <c r="R27" i="19"/>
  <c r="AL24" i="30"/>
  <c r="AL25" i="30"/>
  <c r="L128" i="19"/>
  <c r="O128" i="19" s="1"/>
  <c r="R128" i="19" s="1"/>
  <c r="U128" i="19" s="1"/>
  <c r="X128" i="19" s="1"/>
  <c r="AA128" i="19" s="1"/>
  <c r="AD128" i="19" s="1"/>
  <c r="AG128" i="19" s="1"/>
  <c r="AJ128" i="19" s="1"/>
  <c r="AM128" i="19" s="1"/>
  <c r="AP128" i="19" s="1"/>
  <c r="AS128" i="19" s="1"/>
  <c r="AV128" i="19" s="1"/>
  <c r="AY128" i="19" s="1"/>
  <c r="BB128" i="19" s="1"/>
  <c r="BE128" i="19" s="1"/>
  <c r="BH128" i="19" s="1"/>
  <c r="BK128" i="19" s="1"/>
  <c r="BN128" i="19" s="1"/>
  <c r="BQ128" i="19" s="1"/>
  <c r="BT128" i="19" s="1"/>
  <c r="BW128" i="19" s="1"/>
  <c r="BZ128" i="19" s="1"/>
  <c r="CC128" i="19" s="1"/>
  <c r="CF128" i="19" s="1"/>
  <c r="CI128" i="19" s="1"/>
  <c r="CL128" i="19" s="1"/>
  <c r="CO128" i="19" s="1"/>
  <c r="CR128" i="19" s="1"/>
  <c r="CU128" i="19" s="1"/>
  <c r="CX128" i="19" s="1"/>
  <c r="DA128" i="19" s="1"/>
  <c r="DD128" i="19" s="1"/>
  <c r="DG128" i="19" s="1"/>
  <c r="DJ128" i="19" s="1"/>
  <c r="DM128" i="19" s="1"/>
  <c r="DP128" i="19" s="1"/>
  <c r="DS128" i="19" s="1"/>
  <c r="DV128" i="19" s="1"/>
  <c r="DY128" i="19" s="1"/>
  <c r="O38" i="19"/>
  <c r="L44" i="19"/>
  <c r="AR13" i="17"/>
  <c r="X17" i="19"/>
  <c r="U29" i="19"/>
  <c r="U104" i="19"/>
  <c r="U114" i="19"/>
  <c r="X96" i="19"/>
  <c r="X7" i="19"/>
  <c r="U26" i="19"/>
  <c r="CA70" i="11"/>
  <c r="U115" i="19"/>
  <c r="X97" i="19"/>
  <c r="U19" i="19"/>
  <c r="U20" i="19" s="1"/>
  <c r="R30" i="19"/>
  <c r="U35" i="19"/>
  <c r="X9" i="19"/>
  <c r="U27" i="19"/>
  <c r="BY71" i="11"/>
  <c r="CA71" i="11" s="1"/>
  <c r="BX72" i="11"/>
  <c r="X6" i="19"/>
  <c r="U25" i="19"/>
  <c r="R20" i="19"/>
  <c r="L126" i="19"/>
  <c r="O126" i="19" s="1"/>
  <c r="R126" i="19" s="1"/>
  <c r="U126" i="19" s="1"/>
  <c r="X126" i="19" s="1"/>
  <c r="AA126" i="19" s="1"/>
  <c r="AD126" i="19" s="1"/>
  <c r="AG126" i="19" s="1"/>
  <c r="AJ126" i="19" s="1"/>
  <c r="AM126" i="19" s="1"/>
  <c r="AP126" i="19" s="1"/>
  <c r="AS126" i="19" s="1"/>
  <c r="AV126" i="19" s="1"/>
  <c r="AY126" i="19" s="1"/>
  <c r="BB126" i="19" s="1"/>
  <c r="BE126" i="19" s="1"/>
  <c r="BH126" i="19" s="1"/>
  <c r="BK126" i="19" s="1"/>
  <c r="BN126" i="19" s="1"/>
  <c r="BQ126" i="19" s="1"/>
  <c r="BT126" i="19" s="1"/>
  <c r="BW126" i="19" s="1"/>
  <c r="BZ126" i="19" s="1"/>
  <c r="CC126" i="19" s="1"/>
  <c r="CF126" i="19" s="1"/>
  <c r="CI126" i="19" s="1"/>
  <c r="CL126" i="19" s="1"/>
  <c r="CO126" i="19" s="1"/>
  <c r="CR126" i="19" s="1"/>
  <c r="CU126" i="19" s="1"/>
  <c r="CX126" i="19" s="1"/>
  <c r="DA126" i="19" s="1"/>
  <c r="DD126" i="19" s="1"/>
  <c r="DG126" i="19" s="1"/>
  <c r="DJ126" i="19" s="1"/>
  <c r="DM126" i="19" s="1"/>
  <c r="DP126" i="19" s="1"/>
  <c r="DS126" i="19" s="1"/>
  <c r="DV126" i="19" s="1"/>
  <c r="DY126" i="19" s="1"/>
  <c r="DV118" i="19"/>
  <c r="CX118" i="19"/>
  <c r="BZ118" i="19"/>
  <c r="DP118" i="19"/>
  <c r="CR118" i="19"/>
  <c r="BT118" i="19"/>
  <c r="DD118" i="19"/>
  <c r="DA117" i="19"/>
  <c r="CU118" i="19"/>
  <c r="CL118" i="19"/>
  <c r="CR117" i="19"/>
  <c r="CF118" i="19"/>
  <c r="BW118" i="19"/>
  <c r="DP117" i="19"/>
  <c r="CC117" i="19"/>
  <c r="DJ118" i="19"/>
  <c r="DJ117" i="19"/>
  <c r="BZ117" i="19"/>
  <c r="DS118" i="19"/>
  <c r="L108" i="19"/>
  <c r="O108" i="19" s="1"/>
  <c r="R108" i="19" s="1"/>
  <c r="U108" i="19" s="1"/>
  <c r="X108" i="19" s="1"/>
  <c r="AA108" i="19" s="1"/>
  <c r="AD108" i="19" s="1"/>
  <c r="AG108" i="19" s="1"/>
  <c r="AJ108" i="19" s="1"/>
  <c r="AM108" i="19" s="1"/>
  <c r="AP108" i="19" s="1"/>
  <c r="AS108" i="19" s="1"/>
  <c r="AV108" i="19" s="1"/>
  <c r="AY108" i="19" s="1"/>
  <c r="BB108" i="19" s="1"/>
  <c r="BE108" i="19" s="1"/>
  <c r="BH108" i="19" s="1"/>
  <c r="BK108" i="19" s="1"/>
  <c r="BN108" i="19" s="1"/>
  <c r="BQ108" i="19" s="1"/>
  <c r="BT108" i="19" s="1"/>
  <c r="CX116" i="19"/>
  <c r="DM117" i="19"/>
  <c r="BT116" i="19"/>
  <c r="CI116" i="19"/>
  <c r="L107" i="19"/>
  <c r="CF116" i="19"/>
  <c r="DD117" i="19"/>
  <c r="BZ116" i="19"/>
  <c r="DJ116" i="19"/>
  <c r="DD116" i="19"/>
  <c r="DM116" i="19"/>
  <c r="CO117" i="19"/>
  <c r="DY118" i="19"/>
  <c r="CL116" i="19"/>
  <c r="CO116" i="19"/>
  <c r="CC116" i="19"/>
  <c r="DG117" i="19"/>
  <c r="DG116" i="19"/>
  <c r="BT117" i="19"/>
  <c r="DS117" i="19"/>
  <c r="CF117" i="19"/>
  <c r="CL117" i="19"/>
  <c r="CX117" i="19"/>
  <c r="CI118" i="19"/>
  <c r="DA118" i="19"/>
  <c r="CI117" i="19"/>
  <c r="DP116" i="19"/>
  <c r="DA116" i="19"/>
  <c r="CU117" i="19"/>
  <c r="DV117" i="19"/>
  <c r="DY117" i="19"/>
  <c r="DM118" i="19"/>
  <c r="CC118" i="19"/>
  <c r="DG118" i="19"/>
  <c r="CO118" i="19"/>
  <c r="BW116" i="19"/>
  <c r="CU116" i="19"/>
  <c r="CR116" i="19"/>
  <c r="BW117" i="19"/>
  <c r="L125" i="19"/>
  <c r="L109" i="19"/>
  <c r="DS116" i="19"/>
  <c r="L127" i="19"/>
  <c r="O127" i="19" s="1"/>
  <c r="R127" i="19" s="1"/>
  <c r="U127" i="19" s="1"/>
  <c r="X127" i="19" s="1"/>
  <c r="AA127" i="19" s="1"/>
  <c r="AD127" i="19" s="1"/>
  <c r="AG127" i="19" s="1"/>
  <c r="AJ127" i="19" s="1"/>
  <c r="AM127" i="19" s="1"/>
  <c r="AP127" i="19" s="1"/>
  <c r="AS127" i="19" s="1"/>
  <c r="AV127" i="19" s="1"/>
  <c r="AY127" i="19" s="1"/>
  <c r="BB127" i="19" s="1"/>
  <c r="BE127" i="19" s="1"/>
  <c r="BH127" i="19" s="1"/>
  <c r="BK127" i="19" s="1"/>
  <c r="BN127" i="19" s="1"/>
  <c r="BQ127" i="19" s="1"/>
  <c r="BT127" i="19" s="1"/>
  <c r="BW127" i="19" s="1"/>
  <c r="BZ127" i="19" s="1"/>
  <c r="CC127" i="19" s="1"/>
  <c r="CF127" i="19" s="1"/>
  <c r="CI127" i="19" s="1"/>
  <c r="CL127" i="19" s="1"/>
  <c r="CO127" i="19" s="1"/>
  <c r="CR127" i="19" s="1"/>
  <c r="CU127" i="19" s="1"/>
  <c r="CX127" i="19" s="1"/>
  <c r="DA127" i="19" s="1"/>
  <c r="DD127" i="19" s="1"/>
  <c r="DG127" i="19" s="1"/>
  <c r="DJ127" i="19" s="1"/>
  <c r="DM127" i="19" s="1"/>
  <c r="DP127" i="19" s="1"/>
  <c r="DS127" i="19" s="1"/>
  <c r="DV127" i="19" s="1"/>
  <c r="DY127" i="19" s="1"/>
  <c r="DV116" i="19"/>
  <c r="E53" i="14" l="1"/>
  <c r="E45" i="14"/>
  <c r="O24" i="19"/>
  <c r="O31" i="19" s="1"/>
  <c r="R5" i="19"/>
  <c r="O14" i="19"/>
  <c r="O21" i="19" s="1"/>
  <c r="T5" i="7"/>
  <c r="AD60" i="34"/>
  <c r="AL57" i="34" s="1"/>
  <c r="L45" i="19"/>
  <c r="G36" i="13"/>
  <c r="I36" i="13" s="1"/>
  <c r="E133" i="14" s="1"/>
  <c r="AJ316" i="34"/>
  <c r="X27" i="19"/>
  <c r="AA9" i="19"/>
  <c r="X115" i="19"/>
  <c r="AA97" i="19"/>
  <c r="BT120" i="19"/>
  <c r="BW108" i="19"/>
  <c r="AR14" i="17"/>
  <c r="O125" i="19"/>
  <c r="L129" i="19"/>
  <c r="BX73" i="11"/>
  <c r="BY72" i="11"/>
  <c r="X35" i="19"/>
  <c r="X26" i="19"/>
  <c r="AA7" i="19"/>
  <c r="O109" i="19"/>
  <c r="L120" i="19"/>
  <c r="X25" i="19"/>
  <c r="AA6" i="19"/>
  <c r="X104" i="19"/>
  <c r="AA96" i="19"/>
  <c r="X114" i="19"/>
  <c r="L110" i="19"/>
  <c r="L111" i="19" s="1"/>
  <c r="O107" i="19"/>
  <c r="L119" i="19"/>
  <c r="X19" i="19"/>
  <c r="X20" i="19" s="1"/>
  <c r="U30" i="19"/>
  <c r="AA17" i="19"/>
  <c r="X29" i="19"/>
  <c r="R38" i="19"/>
  <c r="O44" i="19"/>
  <c r="AB16" i="34" l="1"/>
  <c r="AL54" i="34"/>
  <c r="E141" i="14"/>
  <c r="R40" i="13"/>
  <c r="R3" i="13" s="1"/>
  <c r="L54" i="19"/>
  <c r="AB24" i="18"/>
  <c r="L133" i="19"/>
  <c r="C36" i="13"/>
  <c r="B36" i="13" s="1"/>
  <c r="E54" i="14"/>
  <c r="E125" i="14" s="1"/>
  <c r="O32" i="19"/>
  <c r="O45" i="19" s="1"/>
  <c r="R24" i="19"/>
  <c r="R31" i="19" s="1"/>
  <c r="U5" i="19"/>
  <c r="R14" i="19"/>
  <c r="R21" i="19" s="1"/>
  <c r="L121" i="19"/>
  <c r="L122" i="19" s="1"/>
  <c r="L130" i="19" s="1"/>
  <c r="U38" i="19"/>
  <c r="R44" i="19"/>
  <c r="O110" i="19"/>
  <c r="O111" i="19" s="1"/>
  <c r="R107" i="19"/>
  <c r="O119" i="19"/>
  <c r="AR15" i="17"/>
  <c r="AA115" i="19"/>
  <c r="AD97" i="19"/>
  <c r="AA104" i="19"/>
  <c r="AD96" i="19"/>
  <c r="AA114" i="19"/>
  <c r="CA72" i="11"/>
  <c r="BZ108" i="19"/>
  <c r="BW120" i="19"/>
  <c r="R109" i="19"/>
  <c r="O120" i="19"/>
  <c r="BX74" i="11"/>
  <c r="BY73" i="11"/>
  <c r="CA73" i="11" s="1"/>
  <c r="AA27" i="19"/>
  <c r="AD9" i="19"/>
  <c r="AD6" i="19"/>
  <c r="AA25" i="19"/>
  <c r="AA29" i="19"/>
  <c r="AD17" i="19"/>
  <c r="AA19" i="19"/>
  <c r="AA20" i="19" s="1"/>
  <c r="X30" i="19"/>
  <c r="AA35" i="19"/>
  <c r="AD7" i="19"/>
  <c r="AA26" i="19"/>
  <c r="R125" i="19"/>
  <c r="O129" i="19"/>
  <c r="E142" i="14" l="1"/>
  <c r="L134" i="19"/>
  <c r="L137" i="19" s="1"/>
  <c r="BE133" i="19"/>
  <c r="BE134" i="19" s="1"/>
  <c r="BK133" i="19"/>
  <c r="BK134" i="19" s="1"/>
  <c r="CI133" i="19"/>
  <c r="CI134" i="19" s="1"/>
  <c r="DP133" i="19"/>
  <c r="DP134" i="19" s="1"/>
  <c r="DD133" i="19"/>
  <c r="DD134" i="19" s="1"/>
  <c r="AG133" i="19"/>
  <c r="AG134" i="19" s="1"/>
  <c r="O133" i="19"/>
  <c r="O134" i="19" s="1"/>
  <c r="AM133" i="19"/>
  <c r="AM134" i="19" s="1"/>
  <c r="BT133" i="19"/>
  <c r="BT134" i="19" s="1"/>
  <c r="DV133" i="19"/>
  <c r="DV134" i="19" s="1"/>
  <c r="CU133" i="19"/>
  <c r="CU134" i="19" s="1"/>
  <c r="DS133" i="19"/>
  <c r="DS134" i="19" s="1"/>
  <c r="X133" i="19"/>
  <c r="X134" i="19" s="1"/>
  <c r="BH133" i="19"/>
  <c r="BH134" i="19" s="1"/>
  <c r="CX133" i="19"/>
  <c r="CX134" i="19" s="1"/>
  <c r="AY133" i="19"/>
  <c r="AY134" i="19" s="1"/>
  <c r="BW133" i="19"/>
  <c r="BW134" i="19" s="1"/>
  <c r="AJ133" i="19"/>
  <c r="AJ134" i="19" s="1"/>
  <c r="BZ133" i="19"/>
  <c r="BZ134" i="19" s="1"/>
  <c r="AA133" i="19"/>
  <c r="AA134" i="19" s="1"/>
  <c r="DG133" i="19"/>
  <c r="DG134" i="19" s="1"/>
  <c r="CF133" i="19"/>
  <c r="CF134" i="19" s="1"/>
  <c r="AD133" i="19"/>
  <c r="AD134" i="19" s="1"/>
  <c r="R133" i="19"/>
  <c r="R134" i="19" s="1"/>
  <c r="U133" i="19"/>
  <c r="U134" i="19" s="1"/>
  <c r="DJ133" i="19"/>
  <c r="DJ134" i="19" s="1"/>
  <c r="BN133" i="19"/>
  <c r="BN134" i="19" s="1"/>
  <c r="DM133" i="19"/>
  <c r="DM134" i="19" s="1"/>
  <c r="AP133" i="19"/>
  <c r="AP134" i="19" s="1"/>
  <c r="DA133" i="19"/>
  <c r="DA134" i="19" s="1"/>
  <c r="CO133" i="19"/>
  <c r="CO134" i="19" s="1"/>
  <c r="BQ133" i="19"/>
  <c r="BQ134" i="19" s="1"/>
  <c r="CC133" i="19"/>
  <c r="CC134" i="19" s="1"/>
  <c r="AS133" i="19"/>
  <c r="AS134" i="19" s="1"/>
  <c r="CL133" i="19"/>
  <c r="CL134" i="19" s="1"/>
  <c r="CR133" i="19"/>
  <c r="CR134" i="19" s="1"/>
  <c r="DY133" i="19"/>
  <c r="DY134" i="19" s="1"/>
  <c r="BB133" i="19"/>
  <c r="BB134" i="19" s="1"/>
  <c r="AV133" i="19"/>
  <c r="AV134" i="19" s="1"/>
  <c r="AJ24" i="18"/>
  <c r="AJ32" i="18" s="1"/>
  <c r="AJ33" i="18" s="1"/>
  <c r="AF24" i="18"/>
  <c r="AF32" i="18" s="1"/>
  <c r="AF33" i="18" s="1"/>
  <c r="AB32" i="18"/>
  <c r="L62" i="19"/>
  <c r="L65" i="19" s="1"/>
  <c r="DJ54" i="19"/>
  <c r="DJ62" i="19" s="1"/>
  <c r="AJ54" i="19"/>
  <c r="AJ62" i="19" s="1"/>
  <c r="CU54" i="19"/>
  <c r="CU62" i="19" s="1"/>
  <c r="CO54" i="19"/>
  <c r="CO62" i="19" s="1"/>
  <c r="BZ54" i="19"/>
  <c r="BZ62" i="19" s="1"/>
  <c r="CL54" i="19"/>
  <c r="CL62" i="19" s="1"/>
  <c r="DA54" i="19"/>
  <c r="DA62" i="19" s="1"/>
  <c r="BE54" i="19"/>
  <c r="BE62" i="19" s="1"/>
  <c r="AV54" i="19"/>
  <c r="AV62" i="19" s="1"/>
  <c r="AP54" i="19"/>
  <c r="AP62" i="19" s="1"/>
  <c r="DP54" i="19"/>
  <c r="DP62" i="19" s="1"/>
  <c r="CR54" i="19"/>
  <c r="CR62" i="19" s="1"/>
  <c r="CI54" i="19"/>
  <c r="CI62" i="19" s="1"/>
  <c r="BB54" i="19"/>
  <c r="BB62" i="19" s="1"/>
  <c r="AM54" i="19"/>
  <c r="AM62" i="19" s="1"/>
  <c r="U54" i="19"/>
  <c r="U62" i="19" s="1"/>
  <c r="BQ54" i="19"/>
  <c r="BQ62" i="19" s="1"/>
  <c r="DV54" i="19"/>
  <c r="DV62" i="19" s="1"/>
  <c r="DD54" i="19"/>
  <c r="DD62" i="19" s="1"/>
  <c r="CF54" i="19"/>
  <c r="CF62" i="19" s="1"/>
  <c r="X54" i="19"/>
  <c r="X62" i="19" s="1"/>
  <c r="BN54" i="19"/>
  <c r="BN62" i="19" s="1"/>
  <c r="BW54" i="19"/>
  <c r="BW62" i="19" s="1"/>
  <c r="AG54" i="19"/>
  <c r="AG62" i="19" s="1"/>
  <c r="AA54" i="19"/>
  <c r="AA62" i="19" s="1"/>
  <c r="O54" i="19"/>
  <c r="O62" i="19" s="1"/>
  <c r="O65" i="19" s="1"/>
  <c r="AS54" i="19"/>
  <c r="AS62" i="19" s="1"/>
  <c r="DM54" i="19"/>
  <c r="DM62" i="19" s="1"/>
  <c r="CX54" i="19"/>
  <c r="CX62" i="19" s="1"/>
  <c r="BK54" i="19"/>
  <c r="BK62" i="19" s="1"/>
  <c r="AY54" i="19"/>
  <c r="AY62" i="19" s="1"/>
  <c r="AD54" i="19"/>
  <c r="AD62" i="19" s="1"/>
  <c r="BT54" i="19"/>
  <c r="BT62" i="19" s="1"/>
  <c r="R54" i="19"/>
  <c r="R62" i="19" s="1"/>
  <c r="CC54" i="19"/>
  <c r="CC62" i="19" s="1"/>
  <c r="BH54" i="19"/>
  <c r="BH62" i="19" s="1"/>
  <c r="DY54" i="19"/>
  <c r="DY62" i="19" s="1"/>
  <c r="DS54" i="19"/>
  <c r="DS62" i="19" s="1"/>
  <c r="DG54" i="19"/>
  <c r="DG62" i="19" s="1"/>
  <c r="G3" i="13"/>
  <c r="G2" i="13"/>
  <c r="I2" i="13"/>
  <c r="H2" i="13"/>
  <c r="H3" i="13"/>
  <c r="R32" i="19"/>
  <c r="R45" i="19" s="1"/>
  <c r="U14" i="19"/>
  <c r="U21" i="19" s="1"/>
  <c r="X5" i="19"/>
  <c r="U24" i="19"/>
  <c r="U31" i="19" s="1"/>
  <c r="AD29" i="19"/>
  <c r="AG17" i="19"/>
  <c r="BY74" i="11"/>
  <c r="CA74" i="11" s="1"/>
  <c r="BX75" i="11"/>
  <c r="X38" i="19"/>
  <c r="U44" i="19"/>
  <c r="R120" i="19"/>
  <c r="U109" i="19"/>
  <c r="AR16" i="17"/>
  <c r="AD104" i="19"/>
  <c r="AG96" i="19"/>
  <c r="AD114" i="19"/>
  <c r="AG6" i="19"/>
  <c r="AD25" i="19"/>
  <c r="AD27" i="19"/>
  <c r="AG9" i="19"/>
  <c r="O121" i="19"/>
  <c r="O122" i="19" s="1"/>
  <c r="O130" i="19" s="1"/>
  <c r="R129" i="19"/>
  <c r="U125" i="19"/>
  <c r="AD35" i="19"/>
  <c r="AD115" i="19"/>
  <c r="AG97" i="19"/>
  <c r="R110" i="19"/>
  <c r="R111" i="19" s="1"/>
  <c r="U107" i="19"/>
  <c r="R119" i="19"/>
  <c r="AD26" i="19"/>
  <c r="AG7" i="19"/>
  <c r="AD19" i="19"/>
  <c r="AA30" i="19"/>
  <c r="CC108" i="19"/>
  <c r="BZ120" i="19"/>
  <c r="O137" i="19" l="1"/>
  <c r="R65" i="19"/>
  <c r="R74" i="19" s="1"/>
  <c r="O74" i="19"/>
  <c r="O71" i="19"/>
  <c r="L74" i="19"/>
  <c r="L75" i="19" s="1"/>
  <c r="L76" i="19" s="1"/>
  <c r="L138" i="19"/>
  <c r="L71" i="19"/>
  <c r="X14" i="19"/>
  <c r="X21" i="19" s="1"/>
  <c r="X24" i="19"/>
  <c r="X31" i="19" s="1"/>
  <c r="AA5" i="19"/>
  <c r="U32" i="19"/>
  <c r="U45" i="19" s="1"/>
  <c r="U65" i="19" s="1"/>
  <c r="R121" i="19"/>
  <c r="R122" i="19" s="1"/>
  <c r="R130" i="19" s="1"/>
  <c r="R137" i="19" s="1"/>
  <c r="U110" i="19"/>
  <c r="U111" i="19" s="1"/>
  <c r="X107" i="19"/>
  <c r="U119" i="19"/>
  <c r="AA38" i="19"/>
  <c r="X44" i="19"/>
  <c r="AR17" i="17"/>
  <c r="AJ9" i="19"/>
  <c r="AG27" i="19"/>
  <c r="AG114" i="19"/>
  <c r="AG104" i="19"/>
  <c r="AJ96" i="19"/>
  <c r="CB74" i="11"/>
  <c r="AD30" i="19"/>
  <c r="AG19" i="19"/>
  <c r="AG20" i="19" s="1"/>
  <c r="AG26" i="19"/>
  <c r="AJ7" i="19"/>
  <c r="AG35" i="19"/>
  <c r="U120" i="19"/>
  <c r="X109" i="19"/>
  <c r="AD20" i="19"/>
  <c r="AJ6" i="19"/>
  <c r="AG25" i="19"/>
  <c r="AJ17" i="19"/>
  <c r="AG29" i="19"/>
  <c r="BY75" i="11"/>
  <c r="BX76" i="11"/>
  <c r="AJ97" i="19"/>
  <c r="AG115" i="19"/>
  <c r="CF108" i="19"/>
  <c r="CC120" i="19"/>
  <c r="U129" i="19"/>
  <c r="X125" i="19"/>
  <c r="R71" i="19" l="1"/>
  <c r="O138" i="19"/>
  <c r="L139" i="19"/>
  <c r="L80" i="19"/>
  <c r="L82" i="19"/>
  <c r="L81" i="19"/>
  <c r="L78" i="19"/>
  <c r="L77" i="19"/>
  <c r="L79" i="19"/>
  <c r="L85" i="19"/>
  <c r="O75" i="19"/>
  <c r="U71" i="19"/>
  <c r="U74" i="19"/>
  <c r="X32" i="19"/>
  <c r="X45" i="19" s="1"/>
  <c r="X65" i="19" s="1"/>
  <c r="AA14" i="19"/>
  <c r="AA21" i="19" s="1"/>
  <c r="AD5" i="19"/>
  <c r="AA24" i="19"/>
  <c r="AA31" i="19" s="1"/>
  <c r="X129" i="19"/>
  <c r="AA125" i="19"/>
  <c r="CI108" i="19"/>
  <c r="CF120" i="19"/>
  <c r="BX77" i="11"/>
  <c r="BY76" i="11"/>
  <c r="CA76" i="11" s="1"/>
  <c r="AG30" i="19"/>
  <c r="AJ19" i="19"/>
  <c r="AJ20" i="19" s="1"/>
  <c r="AJ27" i="19"/>
  <c r="AM9" i="19"/>
  <c r="CA75" i="11"/>
  <c r="AJ29" i="19"/>
  <c r="AM17" i="19"/>
  <c r="AJ35" i="19"/>
  <c r="AJ114" i="19"/>
  <c r="AM96" i="19"/>
  <c r="AJ104" i="19"/>
  <c r="AD38" i="19"/>
  <c r="AA44" i="19"/>
  <c r="X120" i="19"/>
  <c r="AA109" i="19"/>
  <c r="AJ26" i="19"/>
  <c r="AM7" i="19"/>
  <c r="U121" i="19"/>
  <c r="U122" i="19" s="1"/>
  <c r="U130" i="19" s="1"/>
  <c r="U137" i="19" s="1"/>
  <c r="AM97" i="19"/>
  <c r="AJ115" i="19"/>
  <c r="AJ25" i="19"/>
  <c r="AM6" i="19"/>
  <c r="AR18" i="17"/>
  <c r="AR19" i="17" s="1"/>
  <c r="AR20" i="17" s="1"/>
  <c r="AR21" i="17" s="1"/>
  <c r="X110" i="19"/>
  <c r="X111" i="19" s="1"/>
  <c r="AA107" i="19"/>
  <c r="X119" i="19"/>
  <c r="O85" i="19" l="1"/>
  <c r="R75" i="19"/>
  <c r="R76" i="19" s="1"/>
  <c r="O76" i="19"/>
  <c r="R138" i="19"/>
  <c r="O139" i="19"/>
  <c r="AA32" i="19"/>
  <c r="AA45" i="19" s="1"/>
  <c r="AA65" i="19" s="1"/>
  <c r="X74" i="19"/>
  <c r="X71" i="19"/>
  <c r="AD24" i="19"/>
  <c r="AD31" i="19" s="1"/>
  <c r="AG5" i="19"/>
  <c r="AD14" i="19"/>
  <c r="AD21" i="19" s="1"/>
  <c r="AF25" i="17"/>
  <c r="AI25" i="17" s="1"/>
  <c r="X121" i="19"/>
  <c r="X122" i="19" s="1"/>
  <c r="X130" i="19" s="1"/>
  <c r="X137" i="19" s="1"/>
  <c r="AP17" i="19"/>
  <c r="AM29" i="19"/>
  <c r="AA110" i="19"/>
  <c r="AA111" i="19" s="1"/>
  <c r="AD107" i="19"/>
  <c r="AA119" i="19"/>
  <c r="AM115" i="19"/>
  <c r="AP97" i="19"/>
  <c r="AG38" i="19"/>
  <c r="AD44" i="19"/>
  <c r="AM27" i="19"/>
  <c r="AP9" i="19"/>
  <c r="CL108" i="19"/>
  <c r="CI120" i="19"/>
  <c r="BY77" i="11"/>
  <c r="CA77" i="11" s="1"/>
  <c r="BX78" i="11"/>
  <c r="AF11" i="17"/>
  <c r="AI11" i="17" s="1"/>
  <c r="AF12" i="17"/>
  <c r="AI12" i="17" s="1"/>
  <c r="AF10" i="17"/>
  <c r="AI10" i="17" s="1"/>
  <c r="AF27" i="17"/>
  <c r="AI27" i="17" s="1"/>
  <c r="AF26" i="17"/>
  <c r="AI26" i="17" s="1"/>
  <c r="AF28" i="17"/>
  <c r="AI28" i="17" s="1"/>
  <c r="AA129" i="19"/>
  <c r="AD125" i="19"/>
  <c r="AM114" i="19"/>
  <c r="AM104" i="19"/>
  <c r="AP96" i="19"/>
  <c r="AM35" i="19"/>
  <c r="AJ30" i="19"/>
  <c r="AM19" i="19"/>
  <c r="AM20" i="19" s="1"/>
  <c r="AP7" i="19"/>
  <c r="AM26" i="19"/>
  <c r="AM25" i="19"/>
  <c r="AP6" i="19"/>
  <c r="AD109" i="19"/>
  <c r="AA120" i="19"/>
  <c r="O81" i="19" l="1"/>
  <c r="O77" i="19"/>
  <c r="O78" i="19"/>
  <c r="O82" i="19"/>
  <c r="O79" i="19"/>
  <c r="O80" i="19"/>
  <c r="R81" i="19"/>
  <c r="R80" i="19"/>
  <c r="R82" i="19"/>
  <c r="R77" i="19"/>
  <c r="R79" i="19"/>
  <c r="R78" i="19"/>
  <c r="U138" i="19"/>
  <c r="R139" i="19"/>
  <c r="R85" i="19"/>
  <c r="AA74" i="19"/>
  <c r="AA71" i="19"/>
  <c r="AD32" i="19"/>
  <c r="AD45" i="19" s="1"/>
  <c r="AD65" i="19" s="1"/>
  <c r="AG24" i="19"/>
  <c r="AG31" i="19" s="1"/>
  <c r="AG14" i="19"/>
  <c r="AG21" i="19" s="1"/>
  <c r="AJ5" i="19"/>
  <c r="AA121" i="19"/>
  <c r="AA122" i="19" s="1"/>
  <c r="AA130" i="19" s="1"/>
  <c r="AA137" i="19" s="1"/>
  <c r="AI29" i="17"/>
  <c r="AF38" i="17" s="1"/>
  <c r="BX79" i="11"/>
  <c r="BY78" i="11"/>
  <c r="AD110" i="19"/>
  <c r="AD111" i="19" s="1"/>
  <c r="AG107" i="19"/>
  <c r="AD119" i="19"/>
  <c r="AP114" i="19"/>
  <c r="AP104" i="19"/>
  <c r="AS96" i="19"/>
  <c r="CL120" i="19"/>
  <c r="CO108" i="19"/>
  <c r="AJ38" i="19"/>
  <c r="AG44" i="19"/>
  <c r="AD120" i="19"/>
  <c r="AG109" i="19"/>
  <c r="AP25" i="19"/>
  <c r="AS6" i="19"/>
  <c r="AP35" i="19"/>
  <c r="AI13" i="17"/>
  <c r="AF22" i="17" s="1"/>
  <c r="AS9" i="19"/>
  <c r="AP27" i="19"/>
  <c r="AS17" i="19"/>
  <c r="AP29" i="19"/>
  <c r="AS7" i="19"/>
  <c r="AP26" i="19"/>
  <c r="AP115" i="19"/>
  <c r="AS97" i="19"/>
  <c r="AD129" i="19"/>
  <c r="AG125" i="19"/>
  <c r="AP19" i="19"/>
  <c r="AP20" i="19" s="1"/>
  <c r="AM30" i="19"/>
  <c r="U75" i="19" l="1"/>
  <c r="U85" i="19" s="1"/>
  <c r="X138" i="19"/>
  <c r="U139" i="19"/>
  <c r="AG32" i="19"/>
  <c r="AG45" i="19" s="1"/>
  <c r="AG65" i="19" s="1"/>
  <c r="AG71" i="19" s="1"/>
  <c r="AD74" i="19"/>
  <c r="AD71" i="19"/>
  <c r="AJ24" i="19"/>
  <c r="AJ31" i="19" s="1"/>
  <c r="AM5" i="19"/>
  <c r="AJ14" i="19"/>
  <c r="AJ21" i="19" s="1"/>
  <c r="AD121" i="19"/>
  <c r="AD122" i="19" s="1"/>
  <c r="AD130" i="19" s="1"/>
  <c r="AD137" i="19" s="1"/>
  <c r="AG129" i="19"/>
  <c r="AJ125" i="19"/>
  <c r="AV6" i="19"/>
  <c r="AS25" i="19"/>
  <c r="AS114" i="19"/>
  <c r="AS104" i="19"/>
  <c r="AV96" i="19"/>
  <c r="AJ109" i="19"/>
  <c r="AG120" i="19"/>
  <c r="CC74" i="11"/>
  <c r="CA78" i="11"/>
  <c r="BY79" i="11"/>
  <c r="CA79" i="11" s="1"/>
  <c r="BX80" i="11"/>
  <c r="AS115" i="19"/>
  <c r="AV97" i="19"/>
  <c r="AV9" i="19"/>
  <c r="AS27" i="19"/>
  <c r="AJ107" i="19"/>
  <c r="AG110" i="19"/>
  <c r="AG111" i="19" s="1"/>
  <c r="AG119" i="19"/>
  <c r="AM38" i="19"/>
  <c r="AJ44" i="19"/>
  <c r="AS19" i="19"/>
  <c r="AS20" i="19" s="1"/>
  <c r="AP30" i="19"/>
  <c r="AV7" i="19"/>
  <c r="AS26" i="19"/>
  <c r="AS35" i="19"/>
  <c r="CO120" i="19"/>
  <c r="CR108" i="19"/>
  <c r="AV17" i="19"/>
  <c r="AS29" i="19"/>
  <c r="X75" i="19" l="1"/>
  <c r="U76" i="19"/>
  <c r="AA138" i="19"/>
  <c r="X139" i="19"/>
  <c r="AJ32" i="19"/>
  <c r="AJ45" i="19" s="1"/>
  <c r="AJ65" i="19" s="1"/>
  <c r="AG74" i="19"/>
  <c r="AP5" i="19"/>
  <c r="AM24" i="19"/>
  <c r="AM31" i="19" s="1"/>
  <c r="AM14" i="19"/>
  <c r="AM21" i="19" s="1"/>
  <c r="AG121" i="19"/>
  <c r="AG122" i="19" s="1"/>
  <c r="AG130" i="19" s="1"/>
  <c r="AG137" i="19" s="1"/>
  <c r="AY17" i="19"/>
  <c r="AV29" i="19"/>
  <c r="AY9" i="19"/>
  <c r="AV27" i="19"/>
  <c r="BX81" i="11"/>
  <c r="BY80" i="11"/>
  <c r="CA80" i="11" s="1"/>
  <c r="AV26" i="19"/>
  <c r="AY7" i="19"/>
  <c r="AJ120" i="19"/>
  <c r="AM109" i="19"/>
  <c r="AV104" i="19"/>
  <c r="AY96" i="19"/>
  <c r="AV114" i="19"/>
  <c r="CR120" i="19"/>
  <c r="CU108" i="19"/>
  <c r="AY97" i="19"/>
  <c r="AV115" i="19"/>
  <c r="AV19" i="19"/>
  <c r="AV20" i="19" s="1"/>
  <c r="AS30" i="19"/>
  <c r="AP38" i="19"/>
  <c r="AM44" i="19"/>
  <c r="AY6" i="19"/>
  <c r="AV25" i="19"/>
  <c r="AM125" i="19"/>
  <c r="AJ129" i="19"/>
  <c r="AV35" i="19"/>
  <c r="AJ110" i="19"/>
  <c r="AJ111" i="19" s="1"/>
  <c r="AM107" i="19"/>
  <c r="AJ119" i="19"/>
  <c r="U78" i="19" l="1"/>
  <c r="U82" i="19"/>
  <c r="U77" i="19"/>
  <c r="U81" i="19"/>
  <c r="U80" i="19"/>
  <c r="U79" i="19"/>
  <c r="X85" i="19"/>
  <c r="AA75" i="19" s="1"/>
  <c r="AA85" i="19" s="1"/>
  <c r="X76" i="19"/>
  <c r="AD138" i="19"/>
  <c r="AA139" i="19"/>
  <c r="AJ71" i="19"/>
  <c r="AJ74" i="19"/>
  <c r="AS5" i="19"/>
  <c r="AP14" i="19"/>
  <c r="AP21" i="19" s="1"/>
  <c r="AP24" i="19"/>
  <c r="AP31" i="19" s="1"/>
  <c r="AM32" i="19"/>
  <c r="AM45" i="19" s="1"/>
  <c r="AM65" i="19" s="1"/>
  <c r="AJ121" i="19"/>
  <c r="AJ122" i="19" s="1"/>
  <c r="AJ130" i="19" s="1"/>
  <c r="AJ137" i="19" s="1"/>
  <c r="AP109" i="19"/>
  <c r="AM120" i="19"/>
  <c r="BY81" i="11"/>
  <c r="BB6" i="19"/>
  <c r="AY25" i="19"/>
  <c r="AY104" i="19"/>
  <c r="BB96" i="19"/>
  <c r="AY114" i="19"/>
  <c r="BB7" i="19"/>
  <c r="AY26" i="19"/>
  <c r="AY27" i="19"/>
  <c r="BB9" i="19"/>
  <c r="AY115" i="19"/>
  <c r="BB97" i="19"/>
  <c r="AY35" i="19"/>
  <c r="CX108" i="19"/>
  <c r="CU120" i="19"/>
  <c r="AM110" i="19"/>
  <c r="AM111" i="19" s="1"/>
  <c r="AP107" i="19"/>
  <c r="AM119" i="19"/>
  <c r="AP125" i="19"/>
  <c r="AM129" i="19"/>
  <c r="AS38" i="19"/>
  <c r="AP44" i="19"/>
  <c r="AY19" i="19"/>
  <c r="AY20" i="19" s="1"/>
  <c r="AV30" i="19"/>
  <c r="AY29" i="19"/>
  <c r="BB17" i="19"/>
  <c r="AA76" i="19" l="1"/>
  <c r="AA81" i="19" s="1"/>
  <c r="X77" i="19"/>
  <c r="X81" i="19"/>
  <c r="X78" i="19"/>
  <c r="X82" i="19"/>
  <c r="X80" i="19"/>
  <c r="X79" i="19"/>
  <c r="AD75" i="19"/>
  <c r="AD76" i="19" s="1"/>
  <c r="AG138" i="19"/>
  <c r="AD139" i="19"/>
  <c r="AM71" i="19"/>
  <c r="AM74" i="19"/>
  <c r="AP32" i="19"/>
  <c r="AP45" i="19" s="1"/>
  <c r="AP65" i="19" s="1"/>
  <c r="AP74" i="19" s="1"/>
  <c r="AS14" i="19"/>
  <c r="AS21" i="19" s="1"/>
  <c r="AV5" i="19"/>
  <c r="AS24" i="19"/>
  <c r="AS31" i="19" s="1"/>
  <c r="AM121" i="19"/>
  <c r="AM122" i="19" s="1"/>
  <c r="AM130" i="19" s="1"/>
  <c r="AM137" i="19" s="1"/>
  <c r="BB27" i="19"/>
  <c r="BE9" i="19"/>
  <c r="CX120" i="19"/>
  <c r="DA108" i="19"/>
  <c r="AP120" i="19"/>
  <c r="AS109" i="19"/>
  <c r="BB19" i="19"/>
  <c r="AY30" i="19"/>
  <c r="BB26" i="19"/>
  <c r="BE7" i="19"/>
  <c r="BE6" i="19"/>
  <c r="BB25" i="19"/>
  <c r="AS125" i="19"/>
  <c r="AP129" i="19"/>
  <c r="BB29" i="19"/>
  <c r="BE17" i="19"/>
  <c r="BB35" i="19"/>
  <c r="BY85" i="11"/>
  <c r="BZ81" i="11" s="1"/>
  <c r="AV38" i="19"/>
  <c r="AS44" i="19"/>
  <c r="AP110" i="19"/>
  <c r="AP111" i="19" s="1"/>
  <c r="AS107" i="19"/>
  <c r="AP119" i="19"/>
  <c r="BE97" i="19"/>
  <c r="BB115" i="19"/>
  <c r="BB104" i="19"/>
  <c r="BE96" i="19"/>
  <c r="BB114" i="19"/>
  <c r="CA81" i="11"/>
  <c r="CA85" i="11" s="1"/>
  <c r="AA79" i="19" l="1"/>
  <c r="AA82" i="19"/>
  <c r="AA77" i="19"/>
  <c r="AA80" i="19"/>
  <c r="AA78" i="19"/>
  <c r="AD85" i="19"/>
  <c r="AG75" i="19" s="1"/>
  <c r="AG85" i="19" s="1"/>
  <c r="AJ138" i="19"/>
  <c r="AG139" i="19"/>
  <c r="AP71" i="19"/>
  <c r="AS32" i="19"/>
  <c r="AS45" i="19" s="1"/>
  <c r="AS65" i="19" s="1"/>
  <c r="AS74" i="19" s="1"/>
  <c r="AV14" i="19"/>
  <c r="AV21" i="19" s="1"/>
  <c r="AV24" i="19"/>
  <c r="AV31" i="19" s="1"/>
  <c r="AY5" i="19"/>
  <c r="AD81" i="19"/>
  <c r="AD78" i="19"/>
  <c r="AD77" i="19"/>
  <c r="AD80" i="19"/>
  <c r="AD79" i="19"/>
  <c r="AD82" i="19"/>
  <c r="AP121" i="19"/>
  <c r="AP122" i="19" s="1"/>
  <c r="AP130" i="19" s="1"/>
  <c r="AP137" i="19" s="1"/>
  <c r="AY38" i="19"/>
  <c r="AV44" i="19"/>
  <c r="BH9" i="19"/>
  <c r="BE27" i="19"/>
  <c r="DD108" i="19"/>
  <c r="DA120" i="19"/>
  <c r="BE114" i="19"/>
  <c r="BE104" i="19"/>
  <c r="BH96" i="19"/>
  <c r="BB30" i="19"/>
  <c r="BE19" i="19"/>
  <c r="BE20" i="19" s="1"/>
  <c r="BE26" i="19"/>
  <c r="BH7" i="19"/>
  <c r="BE35" i="19"/>
  <c r="AS129" i="19"/>
  <c r="AV125" i="19"/>
  <c r="BZ65" i="11"/>
  <c r="BZ83" i="11"/>
  <c r="BZ82" i="11"/>
  <c r="BZ66" i="11"/>
  <c r="BZ67" i="11"/>
  <c r="BZ68" i="11"/>
  <c r="BZ69" i="11"/>
  <c r="BZ70" i="11"/>
  <c r="T31" i="34" s="1"/>
  <c r="BZ71" i="11"/>
  <c r="BZ72" i="11"/>
  <c r="L31" i="34" s="1"/>
  <c r="BZ73" i="11"/>
  <c r="H31" i="34" s="1"/>
  <c r="BZ74" i="11"/>
  <c r="BZ75" i="11"/>
  <c r="BZ76" i="11"/>
  <c r="BZ77" i="11"/>
  <c r="BZ78" i="11"/>
  <c r="BZ79" i="11"/>
  <c r="BZ80" i="11"/>
  <c r="BH97" i="19"/>
  <c r="BE115" i="19"/>
  <c r="AS110" i="19"/>
  <c r="AS111" i="19" s="1"/>
  <c r="AV107" i="19"/>
  <c r="AS119" i="19"/>
  <c r="BB20" i="19"/>
  <c r="BH6" i="19"/>
  <c r="BE25" i="19"/>
  <c r="AS120" i="19"/>
  <c r="AV109" i="19"/>
  <c r="BH17" i="19"/>
  <c r="BE29" i="19"/>
  <c r="AG76" i="19" l="1"/>
  <c r="AG81" i="19" s="1"/>
  <c r="AM138" i="19"/>
  <c r="AJ139" i="19"/>
  <c r="AS71" i="19"/>
  <c r="AY14" i="19"/>
  <c r="AY21" i="19" s="1"/>
  <c r="BB5" i="19"/>
  <c r="AY24" i="19"/>
  <c r="AY31" i="19" s="1"/>
  <c r="AV32" i="19"/>
  <c r="AV45" i="19" s="1"/>
  <c r="AV65" i="19" s="1"/>
  <c r="AJ75" i="19"/>
  <c r="AJ85" i="19" s="1"/>
  <c r="AS121" i="19"/>
  <c r="AS122" i="19" s="1"/>
  <c r="AS130" i="19" s="1"/>
  <c r="AS137" i="19" s="1"/>
  <c r="BH27" i="19"/>
  <c r="BK9" i="19"/>
  <c r="AV120" i="19"/>
  <c r="AY109" i="19"/>
  <c r="P36" i="34"/>
  <c r="P35" i="34"/>
  <c r="P34" i="34"/>
  <c r="P33" i="34"/>
  <c r="P32" i="34"/>
  <c r="P39" i="34"/>
  <c r="P31" i="34"/>
  <c r="P37" i="34"/>
  <c r="P38" i="34"/>
  <c r="CA86" i="11"/>
  <c r="BZ85" i="11"/>
  <c r="BE30" i="19"/>
  <c r="BH19" i="19"/>
  <c r="BH20" i="19" s="1"/>
  <c r="X34" i="34"/>
  <c r="X33" i="34"/>
  <c r="X32" i="34"/>
  <c r="X39" i="34"/>
  <c r="X31" i="34"/>
  <c r="X38" i="34"/>
  <c r="X37" i="34"/>
  <c r="X36" i="34"/>
  <c r="X35" i="34"/>
  <c r="AY125" i="19"/>
  <c r="AV129" i="19"/>
  <c r="AB33" i="34"/>
  <c r="AB32" i="34"/>
  <c r="AB39" i="34"/>
  <c r="AB31" i="34"/>
  <c r="AB38" i="34"/>
  <c r="AB37" i="34"/>
  <c r="AB36" i="34"/>
  <c r="AB35" i="34"/>
  <c r="AB34" i="34"/>
  <c r="BH114" i="19"/>
  <c r="BK96" i="19"/>
  <c r="BH104" i="19"/>
  <c r="AV119" i="19"/>
  <c r="AV110" i="19"/>
  <c r="AV111" i="19" s="1"/>
  <c r="AY107" i="19"/>
  <c r="AF32" i="34"/>
  <c r="AF39" i="34"/>
  <c r="AF31" i="34"/>
  <c r="AF38" i="34"/>
  <c r="AF37" i="34"/>
  <c r="AF36" i="34"/>
  <c r="AF35" i="34"/>
  <c r="AF33" i="34"/>
  <c r="AF34" i="34"/>
  <c r="BH35" i="19"/>
  <c r="BB38" i="19"/>
  <c r="AY44" i="19"/>
  <c r="T35" i="34"/>
  <c r="T34" i="34"/>
  <c r="T33" i="34"/>
  <c r="T32" i="34"/>
  <c r="T39" i="34"/>
  <c r="T38" i="34"/>
  <c r="T36" i="34"/>
  <c r="T37" i="34"/>
  <c r="BH25" i="19"/>
  <c r="BK6" i="19"/>
  <c r="H38" i="34"/>
  <c r="H37" i="34"/>
  <c r="H36" i="34"/>
  <c r="H35" i="34"/>
  <c r="H34" i="34"/>
  <c r="H33" i="34"/>
  <c r="H32" i="34"/>
  <c r="H39" i="34"/>
  <c r="BH26" i="19"/>
  <c r="BK7" i="19"/>
  <c r="BK97" i="19"/>
  <c r="BH115" i="19"/>
  <c r="BH29" i="19"/>
  <c r="BK17" i="19"/>
  <c r="L32" i="34"/>
  <c r="L33" i="34" s="1"/>
  <c r="DD120" i="19"/>
  <c r="DG108" i="19"/>
  <c r="L35" i="34" l="1"/>
  <c r="L36" i="34"/>
  <c r="L34" i="34"/>
  <c r="L37" i="34"/>
  <c r="L38" i="34"/>
  <c r="L39" i="34"/>
  <c r="AG80" i="19"/>
  <c r="AG78" i="19"/>
  <c r="AG79" i="19"/>
  <c r="AG82" i="19"/>
  <c r="AG77" i="19"/>
  <c r="AP138" i="19"/>
  <c r="AM139" i="19"/>
  <c r="AV74" i="19"/>
  <c r="AV71" i="19"/>
  <c r="BB14" i="19"/>
  <c r="BB21" i="19" s="1"/>
  <c r="BE5" i="19"/>
  <c r="BB24" i="19"/>
  <c r="BB31" i="19" s="1"/>
  <c r="AY32" i="19"/>
  <c r="AY45" i="19" s="1"/>
  <c r="AY65" i="19" s="1"/>
  <c r="AY74" i="19" s="1"/>
  <c r="AM75" i="19"/>
  <c r="AJ76" i="19"/>
  <c r="AV121" i="19"/>
  <c r="AV122" i="19" s="1"/>
  <c r="AV130" i="19" s="1"/>
  <c r="AV137" i="19" s="1"/>
  <c r="BN7" i="19"/>
  <c r="BK26" i="19"/>
  <c r="AY110" i="19"/>
  <c r="AY111" i="19" s="1"/>
  <c r="BB107" i="19"/>
  <c r="AY119" i="19"/>
  <c r="AJ39" i="34"/>
  <c r="AJ31" i="34"/>
  <c r="AL31" i="34" s="1"/>
  <c r="AJ38" i="34"/>
  <c r="AJ37" i="34"/>
  <c r="AJ36" i="34"/>
  <c r="AJ35" i="34"/>
  <c r="AL35" i="34" s="1"/>
  <c r="AJ34" i="34"/>
  <c r="AJ32" i="34"/>
  <c r="AL32" i="34" s="1"/>
  <c r="AJ33" i="34"/>
  <c r="AL33" i="34" s="1"/>
  <c r="BE38" i="19"/>
  <c r="BB44" i="19"/>
  <c r="BB109" i="19"/>
  <c r="AY120" i="19"/>
  <c r="BK29" i="19"/>
  <c r="BN17" i="19"/>
  <c r="BK25" i="19"/>
  <c r="BN6" i="19"/>
  <c r="AY129" i="19"/>
  <c r="BB125" i="19"/>
  <c r="BK35" i="19"/>
  <c r="BK114" i="19"/>
  <c r="BK104" i="19"/>
  <c r="BN96" i="19"/>
  <c r="BK27" i="19"/>
  <c r="BN9" i="19"/>
  <c r="DJ108" i="19"/>
  <c r="DG120" i="19"/>
  <c r="BK115" i="19"/>
  <c r="BN97" i="19"/>
  <c r="BH30" i="19"/>
  <c r="BK19" i="19"/>
  <c r="BK20" i="19" s="1"/>
  <c r="AL37" i="34" l="1"/>
  <c r="AL34" i="34"/>
  <c r="AL38" i="34"/>
  <c r="AL36" i="34"/>
  <c r="AL39" i="34"/>
  <c r="AS138" i="19"/>
  <c r="AP139" i="19"/>
  <c r="BB32" i="19"/>
  <c r="BB45" i="19" s="1"/>
  <c r="BB65" i="19" s="1"/>
  <c r="BB74" i="19" s="1"/>
  <c r="AY71" i="19"/>
  <c r="BE24" i="19"/>
  <c r="BE31" i="19" s="1"/>
  <c r="BE14" i="19"/>
  <c r="BE21" i="19" s="1"/>
  <c r="BH5" i="19"/>
  <c r="AL24" i="34"/>
  <c r="AB15" i="34" s="1"/>
  <c r="AJ80" i="19"/>
  <c r="AJ81" i="19"/>
  <c r="AJ77" i="19"/>
  <c r="AJ79" i="19"/>
  <c r="AJ82" i="19"/>
  <c r="AJ78" i="19"/>
  <c r="AM76" i="19"/>
  <c r="AM85" i="19"/>
  <c r="AP75" i="19" s="1"/>
  <c r="DJ120" i="19"/>
  <c r="DM108" i="19"/>
  <c r="BN115" i="19"/>
  <c r="BQ97" i="19"/>
  <c r="BN114" i="19"/>
  <c r="BN104" i="19"/>
  <c r="BQ96" i="19"/>
  <c r="BB129" i="19"/>
  <c r="BE125" i="19"/>
  <c r="BE109" i="19"/>
  <c r="BB120" i="19"/>
  <c r="AY121" i="19"/>
  <c r="AY122" i="19" s="1"/>
  <c r="AY130" i="19" s="1"/>
  <c r="AY137" i="19" s="1"/>
  <c r="BH38" i="19"/>
  <c r="BE44" i="19"/>
  <c r="BB110" i="19"/>
  <c r="BB111" i="19" s="1"/>
  <c r="BE107" i="19"/>
  <c r="BB119" i="19"/>
  <c r="BN27" i="19"/>
  <c r="BQ9" i="19"/>
  <c r="BN26" i="19"/>
  <c r="BQ7" i="19"/>
  <c r="BN25" i="19"/>
  <c r="BQ6" i="19"/>
  <c r="BN29" i="19"/>
  <c r="BQ17" i="19"/>
  <c r="BN19" i="19"/>
  <c r="BN20" i="19" s="1"/>
  <c r="BK30" i="19"/>
  <c r="BN35" i="19"/>
  <c r="AB21" i="34" l="1"/>
  <c r="AE21" i="34" s="1"/>
  <c r="AV138" i="19"/>
  <c r="AS139" i="19"/>
  <c r="BB71" i="19"/>
  <c r="BE32" i="19"/>
  <c r="BE45" i="19" s="1"/>
  <c r="BE65" i="19" s="1"/>
  <c r="BE71" i="19" s="1"/>
  <c r="BH14" i="19"/>
  <c r="BH21" i="19" s="1"/>
  <c r="BK5" i="19"/>
  <c r="BH24" i="19"/>
  <c r="BH31" i="19" s="1"/>
  <c r="AK3" i="34"/>
  <c r="AP76" i="19"/>
  <c r="AP85" i="19"/>
  <c r="AM79" i="19"/>
  <c r="AM80" i="19"/>
  <c r="AM82" i="19"/>
  <c r="AM77" i="19"/>
  <c r="AM78" i="19"/>
  <c r="AM81" i="19"/>
  <c r="BQ115" i="19"/>
  <c r="BT97" i="19"/>
  <c r="BQ35" i="19"/>
  <c r="BT6" i="19"/>
  <c r="BQ25" i="19"/>
  <c r="BQ26" i="19"/>
  <c r="BT7" i="19"/>
  <c r="BN30" i="19"/>
  <c r="BQ19" i="19"/>
  <c r="BH109" i="19"/>
  <c r="BE120" i="19"/>
  <c r="BT9" i="19"/>
  <c r="BQ27" i="19"/>
  <c r="BT17" i="19"/>
  <c r="BQ29" i="19"/>
  <c r="BE129" i="19"/>
  <c r="BH125" i="19"/>
  <c r="BB121" i="19"/>
  <c r="BB122" i="19" s="1"/>
  <c r="BB130" i="19" s="1"/>
  <c r="BB137" i="19" s="1"/>
  <c r="BQ114" i="19"/>
  <c r="BQ104" i="19"/>
  <c r="BT96" i="19"/>
  <c r="BK38" i="19"/>
  <c r="BH44" i="19"/>
  <c r="BH107" i="19"/>
  <c r="BE110" i="19"/>
  <c r="BE111" i="19" s="1"/>
  <c r="BE119" i="19"/>
  <c r="DM120" i="19"/>
  <c r="DP108" i="19"/>
  <c r="AY138" i="19" l="1"/>
  <c r="AV139" i="19"/>
  <c r="BE74" i="19"/>
  <c r="BH32" i="19"/>
  <c r="BH45" i="19" s="1"/>
  <c r="BH65" i="19" s="1"/>
  <c r="BH74" i="19" s="1"/>
  <c r="BN5" i="19"/>
  <c r="BK14" i="19"/>
  <c r="BK21" i="19" s="1"/>
  <c r="BK24" i="19"/>
  <c r="BK31" i="19" s="1"/>
  <c r="AP82" i="19"/>
  <c r="AP78" i="19"/>
  <c r="AP80" i="19"/>
  <c r="AP77" i="19"/>
  <c r="AP79" i="19"/>
  <c r="AP81" i="19"/>
  <c r="AS75" i="19"/>
  <c r="BN38" i="19"/>
  <c r="BK44" i="19"/>
  <c r="DP120" i="19"/>
  <c r="DS108" i="19"/>
  <c r="BT114" i="19"/>
  <c r="BT104" i="19"/>
  <c r="BW96" i="19"/>
  <c r="BK109" i="19"/>
  <c r="BH120" i="19"/>
  <c r="BW6" i="19"/>
  <c r="BT25" i="19"/>
  <c r="BQ30" i="19"/>
  <c r="BT19" i="19"/>
  <c r="BT35" i="19"/>
  <c r="BE121" i="19"/>
  <c r="BE122" i="19" s="1"/>
  <c r="BE130" i="19" s="1"/>
  <c r="BE137" i="19" s="1"/>
  <c r="BW7" i="19"/>
  <c r="BT26" i="19"/>
  <c r="BT115" i="19"/>
  <c r="BW97" i="19"/>
  <c r="BQ20" i="19"/>
  <c r="BH110" i="19"/>
  <c r="BH111" i="19" s="1"/>
  <c r="BK107" i="19"/>
  <c r="BH119" i="19"/>
  <c r="BH129" i="19"/>
  <c r="BK125" i="19"/>
  <c r="BW17" i="19"/>
  <c r="BT29" i="19"/>
  <c r="BT27" i="19"/>
  <c r="BW9" i="19"/>
  <c r="BB138" i="19" l="1"/>
  <c r="AY139" i="19"/>
  <c r="BH71" i="19"/>
  <c r="BQ5" i="19"/>
  <c r="BN24" i="19"/>
  <c r="BN31" i="19" s="1"/>
  <c r="BN14" i="19"/>
  <c r="BN21" i="19" s="1"/>
  <c r="BK32" i="19"/>
  <c r="BK45" i="19" s="1"/>
  <c r="BK65" i="19" s="1"/>
  <c r="AS76" i="19"/>
  <c r="AS85" i="19"/>
  <c r="BH121" i="19"/>
  <c r="BH122" i="19" s="1"/>
  <c r="BH130" i="19" s="1"/>
  <c r="BH137" i="19" s="1"/>
  <c r="BW19" i="19"/>
  <c r="BW20" i="19" s="1"/>
  <c r="BT30" i="19"/>
  <c r="BN109" i="19"/>
  <c r="BK120" i="19"/>
  <c r="BZ7" i="19"/>
  <c r="BW26" i="19"/>
  <c r="BT20" i="19"/>
  <c r="BW35" i="19"/>
  <c r="BZ17" i="19"/>
  <c r="BW29" i="19"/>
  <c r="DV108" i="19"/>
  <c r="DS120" i="19"/>
  <c r="BQ38" i="19"/>
  <c r="BN44" i="19"/>
  <c r="BK110" i="19"/>
  <c r="BK111" i="19" s="1"/>
  <c r="BN107" i="19"/>
  <c r="BK119" i="19"/>
  <c r="BW104" i="19"/>
  <c r="BZ96" i="19"/>
  <c r="BW114" i="19"/>
  <c r="BZ9" i="19"/>
  <c r="BW27" i="19"/>
  <c r="BK129" i="19"/>
  <c r="BN125" i="19"/>
  <c r="BW115" i="19"/>
  <c r="BZ97" i="19"/>
  <c r="BZ6" i="19"/>
  <c r="BW25" i="19"/>
  <c r="BE138" i="19" l="1"/>
  <c r="BB139" i="19"/>
  <c r="BN32" i="19"/>
  <c r="BN45" i="19" s="1"/>
  <c r="BN65" i="19" s="1"/>
  <c r="BN71" i="19" s="1"/>
  <c r="BK74" i="19"/>
  <c r="BK71" i="19"/>
  <c r="BQ14" i="19"/>
  <c r="BQ21" i="19" s="1"/>
  <c r="BQ24" i="19"/>
  <c r="BQ31" i="19" s="1"/>
  <c r="BT5" i="19"/>
  <c r="AV75" i="19"/>
  <c r="AS81" i="19"/>
  <c r="AS79" i="19"/>
  <c r="AS82" i="19"/>
  <c r="AS80" i="19"/>
  <c r="AS78" i="19"/>
  <c r="AS77" i="19"/>
  <c r="BK121" i="19"/>
  <c r="BK122" i="19" s="1"/>
  <c r="BK130" i="19" s="1"/>
  <c r="BK137" i="19" s="1"/>
  <c r="BZ19" i="19"/>
  <c r="BZ20" i="19" s="1"/>
  <c r="BW30" i="19"/>
  <c r="CC17" i="19"/>
  <c r="BZ29" i="19"/>
  <c r="BN110" i="19"/>
  <c r="BN111" i="19" s="1"/>
  <c r="BQ107" i="19"/>
  <c r="BN119" i="19"/>
  <c r="BN120" i="19"/>
  <c r="BQ109" i="19"/>
  <c r="BZ115" i="19"/>
  <c r="CC97" i="19"/>
  <c r="BZ104" i="19"/>
  <c r="CC96" i="19"/>
  <c r="BZ114" i="19"/>
  <c r="DY108" i="19"/>
  <c r="DY120" i="19" s="1"/>
  <c r="DV120" i="19"/>
  <c r="BQ125" i="19"/>
  <c r="BN129" i="19"/>
  <c r="CC7" i="19"/>
  <c r="BZ26" i="19"/>
  <c r="CC9" i="19"/>
  <c r="BZ27" i="19"/>
  <c r="BZ25" i="19"/>
  <c r="CC6" i="19"/>
  <c r="BT38" i="19"/>
  <c r="BQ44" i="19"/>
  <c r="BZ35" i="19"/>
  <c r="BH138" i="19" l="1"/>
  <c r="BE139" i="19"/>
  <c r="BN74" i="19"/>
  <c r="BQ32" i="19"/>
  <c r="BQ45" i="19" s="1"/>
  <c r="BQ65" i="19" s="1"/>
  <c r="BT24" i="19"/>
  <c r="BT31" i="19" s="1"/>
  <c r="BT14" i="19"/>
  <c r="BT21" i="19" s="1"/>
  <c r="BW5" i="19"/>
  <c r="AV76" i="19"/>
  <c r="AV85" i="19"/>
  <c r="BW38" i="19"/>
  <c r="BT44" i="19"/>
  <c r="BQ129" i="19"/>
  <c r="BT125" i="19"/>
  <c r="CF17" i="19"/>
  <c r="CC29" i="19"/>
  <c r="CF6" i="19"/>
  <c r="CC25" i="19"/>
  <c r="CC19" i="19"/>
  <c r="BZ30" i="19"/>
  <c r="CF97" i="19"/>
  <c r="CC115" i="19"/>
  <c r="BT109" i="19"/>
  <c r="BW109" i="19" s="1"/>
  <c r="BZ109" i="19" s="1"/>
  <c r="CC109" i="19" s="1"/>
  <c r="CF109" i="19" s="1"/>
  <c r="CI109" i="19" s="1"/>
  <c r="CL109" i="19" s="1"/>
  <c r="CO109" i="19" s="1"/>
  <c r="CR109" i="19" s="1"/>
  <c r="CU109" i="19" s="1"/>
  <c r="CX109" i="19" s="1"/>
  <c r="DA109" i="19" s="1"/>
  <c r="DD109" i="19" s="1"/>
  <c r="DG109" i="19" s="1"/>
  <c r="DJ109" i="19" s="1"/>
  <c r="DM109" i="19" s="1"/>
  <c r="DP109" i="19" s="1"/>
  <c r="DS109" i="19" s="1"/>
  <c r="DV109" i="19" s="1"/>
  <c r="DY109" i="19" s="1"/>
  <c r="BQ120" i="19"/>
  <c r="CC35" i="19"/>
  <c r="CF9" i="19"/>
  <c r="CC27" i="19"/>
  <c r="CC114" i="19"/>
  <c r="CC104" i="19"/>
  <c r="CF96" i="19"/>
  <c r="BN121" i="19"/>
  <c r="BN122" i="19" s="1"/>
  <c r="BN130" i="19" s="1"/>
  <c r="BN137" i="19" s="1"/>
  <c r="BQ110" i="19"/>
  <c r="BQ111" i="19" s="1"/>
  <c r="BT107" i="19"/>
  <c r="BQ119" i="19"/>
  <c r="CF7" i="19"/>
  <c r="CC26" i="19"/>
  <c r="BK138" i="19" l="1"/>
  <c r="BH139" i="19"/>
  <c r="BQ74" i="19"/>
  <c r="BQ71" i="19"/>
  <c r="BW14" i="19"/>
  <c r="BW21" i="19" s="1"/>
  <c r="BZ5" i="19"/>
  <c r="BW24" i="19"/>
  <c r="BW31" i="19" s="1"/>
  <c r="BT32" i="19"/>
  <c r="BT45" i="19" s="1"/>
  <c r="BT65" i="19" s="1"/>
  <c r="BT71" i="19" s="1"/>
  <c r="AV79" i="19"/>
  <c r="AV82" i="19"/>
  <c r="AV78" i="19"/>
  <c r="AV81" i="19"/>
  <c r="AV80" i="19"/>
  <c r="AV77" i="19"/>
  <c r="AY75" i="19"/>
  <c r="AY85" i="19" s="1"/>
  <c r="BQ121" i="19"/>
  <c r="BQ122" i="19" s="1"/>
  <c r="BQ130" i="19" s="1"/>
  <c r="BQ137" i="19" s="1"/>
  <c r="CF19" i="19"/>
  <c r="CF20" i="19" s="1"/>
  <c r="CC30" i="19"/>
  <c r="CF29" i="19"/>
  <c r="CI17" i="19"/>
  <c r="CC20" i="19"/>
  <c r="CF35" i="19"/>
  <c r="BW125" i="19"/>
  <c r="BT129" i="19"/>
  <c r="CF114" i="19"/>
  <c r="CF104" i="19"/>
  <c r="CI96" i="19"/>
  <c r="CI9" i="19"/>
  <c r="CF27" i="19"/>
  <c r="BT110" i="19"/>
  <c r="BT111" i="19" s="1"/>
  <c r="BW107" i="19"/>
  <c r="BT119" i="19"/>
  <c r="BT121" i="19" s="1"/>
  <c r="CF26" i="19"/>
  <c r="CI7" i="19"/>
  <c r="BZ38" i="19"/>
  <c r="BW44" i="19"/>
  <c r="CF115" i="19"/>
  <c r="CI97" i="19"/>
  <c r="CI6" i="19"/>
  <c r="CF25" i="19"/>
  <c r="BN138" i="19" l="1"/>
  <c r="BK139" i="19"/>
  <c r="BW32" i="19"/>
  <c r="BW45" i="19" s="1"/>
  <c r="BW65" i="19" s="1"/>
  <c r="BW71" i="19" s="1"/>
  <c r="BT69" i="19"/>
  <c r="BT74" i="19" s="1"/>
  <c r="BT75" i="19" s="1"/>
  <c r="BZ24" i="19"/>
  <c r="BZ31" i="19" s="1"/>
  <c r="CC5" i="19"/>
  <c r="BZ14" i="19"/>
  <c r="BZ21" i="19" s="1"/>
  <c r="BB75" i="19"/>
  <c r="AY76" i="19"/>
  <c r="CI29" i="19"/>
  <c r="CL17" i="19"/>
  <c r="BW110" i="19"/>
  <c r="BW111" i="19" s="1"/>
  <c r="BZ107" i="19"/>
  <c r="BW119" i="19"/>
  <c r="BW121" i="19" s="1"/>
  <c r="CI114" i="19"/>
  <c r="CI104" i="19"/>
  <c r="CL96" i="19"/>
  <c r="CC38" i="19"/>
  <c r="BZ44" i="19"/>
  <c r="BT122" i="19"/>
  <c r="BT130" i="19" s="1"/>
  <c r="BT137" i="19" s="1"/>
  <c r="BZ125" i="19"/>
  <c r="BW129" i="19"/>
  <c r="CL6" i="19"/>
  <c r="CI25" i="19"/>
  <c r="CL7" i="19"/>
  <c r="CI26" i="19"/>
  <c r="CI115" i="19"/>
  <c r="CL97" i="19"/>
  <c r="CI27" i="19"/>
  <c r="CL9" i="19"/>
  <c r="CI35" i="19"/>
  <c r="CF30" i="19"/>
  <c r="CI19" i="19"/>
  <c r="CI20" i="19" s="1"/>
  <c r="BQ138" i="19" l="1"/>
  <c r="BN139" i="19"/>
  <c r="BZ32" i="19"/>
  <c r="BZ45" i="19" s="1"/>
  <c r="BZ65" i="19" s="1"/>
  <c r="BW69" i="19"/>
  <c r="BW74" i="19" s="1"/>
  <c r="BW75" i="19" s="1"/>
  <c r="BW76" i="19" s="1"/>
  <c r="CC24" i="19"/>
  <c r="CC31" i="19" s="1"/>
  <c r="CC14" i="19"/>
  <c r="CC21" i="19" s="1"/>
  <c r="CF5" i="19"/>
  <c r="BB76" i="19"/>
  <c r="AY78" i="19"/>
  <c r="AY82" i="19"/>
  <c r="AY80" i="19"/>
  <c r="AY77" i="19"/>
  <c r="AY79" i="19"/>
  <c r="AY81" i="19"/>
  <c r="BB85" i="19"/>
  <c r="BW122" i="19"/>
  <c r="BW130" i="19" s="1"/>
  <c r="BW137" i="19" s="1"/>
  <c r="BT76" i="19"/>
  <c r="CF38" i="19"/>
  <c r="CC44" i="19"/>
  <c r="CL29" i="19"/>
  <c r="CO17" i="19"/>
  <c r="CL26" i="19"/>
  <c r="CO7" i="19"/>
  <c r="CL25" i="19"/>
  <c r="CO6" i="19"/>
  <c r="CO97" i="19"/>
  <c r="CL115" i="19"/>
  <c r="CL19" i="19"/>
  <c r="CL20" i="19" s="1"/>
  <c r="CI30" i="19"/>
  <c r="CL35" i="19"/>
  <c r="CL114" i="19"/>
  <c r="CL104" i="19"/>
  <c r="CO96" i="19"/>
  <c r="CO9" i="19"/>
  <c r="CL27" i="19"/>
  <c r="BZ129" i="19"/>
  <c r="CC125" i="19"/>
  <c r="BZ110" i="19"/>
  <c r="BZ111" i="19" s="1"/>
  <c r="CC107" i="19"/>
  <c r="BZ119" i="19"/>
  <c r="BZ121" i="19" s="1"/>
  <c r="BT138" i="19" l="1"/>
  <c r="BQ139" i="19"/>
  <c r="U47" i="12" s="1"/>
  <c r="U50" i="12" s="1"/>
  <c r="G67" i="19" s="1"/>
  <c r="BZ71" i="19"/>
  <c r="BZ69" i="19"/>
  <c r="BZ74" i="19" s="1"/>
  <c r="BZ75" i="19" s="1"/>
  <c r="BZ76" i="19" s="1"/>
  <c r="CF14" i="19"/>
  <c r="CF21" i="19" s="1"/>
  <c r="CF24" i="19"/>
  <c r="CF31" i="19" s="1"/>
  <c r="CI5" i="19"/>
  <c r="CC32" i="19"/>
  <c r="CC45" i="19" s="1"/>
  <c r="CC65" i="19" s="1"/>
  <c r="BB77" i="19"/>
  <c r="BB79" i="19"/>
  <c r="BB78" i="19"/>
  <c r="BB81" i="19"/>
  <c r="BB80" i="19"/>
  <c r="BB82" i="19"/>
  <c r="BE75" i="19"/>
  <c r="CO114" i="19"/>
  <c r="CO104" i="19"/>
  <c r="CR96" i="19"/>
  <c r="CI38" i="19"/>
  <c r="CF44" i="19"/>
  <c r="CC129" i="19"/>
  <c r="CF125" i="19"/>
  <c r="CO35" i="19"/>
  <c r="CO115" i="19"/>
  <c r="CR97" i="19"/>
  <c r="BW82" i="19"/>
  <c r="BW80" i="19"/>
  <c r="BW77" i="19"/>
  <c r="BW79" i="19"/>
  <c r="BW78" i="19"/>
  <c r="BW81" i="19"/>
  <c r="BT78" i="19"/>
  <c r="BT80" i="19"/>
  <c r="BT77" i="19"/>
  <c r="BT82" i="19"/>
  <c r="BT79" i="19"/>
  <c r="BT81" i="19"/>
  <c r="CR6" i="19"/>
  <c r="CO25" i="19"/>
  <c r="CF107" i="19"/>
  <c r="CC110" i="19"/>
  <c r="CC111" i="19" s="1"/>
  <c r="CC119" i="19"/>
  <c r="CC121" i="19" s="1"/>
  <c r="BZ122" i="19"/>
  <c r="BZ130" i="19" s="1"/>
  <c r="BZ137" i="19" s="1"/>
  <c r="CL30" i="19"/>
  <c r="CO19" i="19"/>
  <c r="CO20" i="19" s="1"/>
  <c r="CR9" i="19"/>
  <c r="CO27" i="19"/>
  <c r="CR7" i="19"/>
  <c r="CO26" i="19"/>
  <c r="CR17" i="19"/>
  <c r="CO29" i="19"/>
  <c r="BW138" i="19" l="1"/>
  <c r="BT139" i="19"/>
  <c r="CC71" i="19"/>
  <c r="CC69" i="19"/>
  <c r="CC74" i="19" s="1"/>
  <c r="CC75" i="19" s="1"/>
  <c r="CC76" i="19" s="1"/>
  <c r="CL5" i="19"/>
  <c r="CI14" i="19"/>
  <c r="CI21" i="19" s="1"/>
  <c r="CI24" i="19"/>
  <c r="CI31" i="19" s="1"/>
  <c r="CF32" i="19"/>
  <c r="CF45" i="19" s="1"/>
  <c r="CF65" i="19" s="1"/>
  <c r="CF71" i="19" s="1"/>
  <c r="BE76" i="19"/>
  <c r="BE85" i="19"/>
  <c r="CC122" i="19"/>
  <c r="CC130" i="19" s="1"/>
  <c r="CC137" i="19" s="1"/>
  <c r="BZ80" i="19"/>
  <c r="BZ77" i="19"/>
  <c r="BZ82" i="19"/>
  <c r="BZ79" i="19"/>
  <c r="BZ81" i="19"/>
  <c r="BZ78" i="19"/>
  <c r="CR26" i="19"/>
  <c r="CU7" i="19"/>
  <c r="CR115" i="19"/>
  <c r="CU97" i="19"/>
  <c r="CL38" i="19"/>
  <c r="CI44" i="19"/>
  <c r="CR27" i="19"/>
  <c r="CU9" i="19"/>
  <c r="CR25" i="19"/>
  <c r="CU6" i="19"/>
  <c r="CO30" i="19"/>
  <c r="CR19" i="19"/>
  <c r="CR20" i="19" s="1"/>
  <c r="CR35" i="19"/>
  <c r="CR114" i="19"/>
  <c r="CR104" i="19"/>
  <c r="CU96" i="19"/>
  <c r="CR29" i="19"/>
  <c r="CU17" i="19"/>
  <c r="CF110" i="19"/>
  <c r="CF111" i="19" s="1"/>
  <c r="CI107" i="19"/>
  <c r="CF119" i="19"/>
  <c r="CF121" i="19" s="1"/>
  <c r="CF129" i="19"/>
  <c r="CI125" i="19"/>
  <c r="BZ138" i="19" l="1"/>
  <c r="BW139" i="19"/>
  <c r="CF69" i="19"/>
  <c r="CF74" i="19" s="1"/>
  <c r="CF75" i="19" s="1"/>
  <c r="CF76" i="19" s="1"/>
  <c r="CI32" i="19"/>
  <c r="CI45" i="19" s="1"/>
  <c r="CI65" i="19" s="1"/>
  <c r="CO5" i="19"/>
  <c r="CL24" i="19"/>
  <c r="CL31" i="19" s="1"/>
  <c r="CL14" i="19"/>
  <c r="CL21" i="19" s="1"/>
  <c r="BE82" i="19"/>
  <c r="BE79" i="19"/>
  <c r="BE81" i="19"/>
  <c r="BE78" i="19"/>
  <c r="BE77" i="19"/>
  <c r="BE80" i="19"/>
  <c r="BH75" i="19"/>
  <c r="CC82" i="19"/>
  <c r="CC77" i="19"/>
  <c r="CC79" i="19"/>
  <c r="CC81" i="19"/>
  <c r="CC78" i="19"/>
  <c r="CC80" i="19"/>
  <c r="CU25" i="19"/>
  <c r="CX6" i="19"/>
  <c r="CO38" i="19"/>
  <c r="CL44" i="19"/>
  <c r="CX7" i="19"/>
  <c r="CU26" i="19"/>
  <c r="CU29" i="19"/>
  <c r="CX17" i="19"/>
  <c r="CU114" i="19"/>
  <c r="CU104" i="19"/>
  <c r="CX96" i="19"/>
  <c r="CI129" i="19"/>
  <c r="CL125" i="19"/>
  <c r="CU115" i="19"/>
  <c r="CX97" i="19"/>
  <c r="CI110" i="19"/>
  <c r="CI111" i="19" s="1"/>
  <c r="CL107" i="19"/>
  <c r="CI119" i="19"/>
  <c r="CI121" i="19" s="1"/>
  <c r="CU35" i="19"/>
  <c r="CR30" i="19"/>
  <c r="CU19" i="19"/>
  <c r="CU20" i="19" s="1"/>
  <c r="CF122" i="19"/>
  <c r="CF130" i="19" s="1"/>
  <c r="CF137" i="19" s="1"/>
  <c r="CU27" i="19"/>
  <c r="CX9" i="19"/>
  <c r="CC138" i="19" l="1"/>
  <c r="BZ139" i="19"/>
  <c r="CI71" i="19"/>
  <c r="CI69" i="19"/>
  <c r="CI74" i="19" s="1"/>
  <c r="CL32" i="19"/>
  <c r="CL45" i="19" s="1"/>
  <c r="CL65" i="19" s="1"/>
  <c r="CR5" i="19"/>
  <c r="CO14" i="19"/>
  <c r="CO21" i="19" s="1"/>
  <c r="CO24" i="19"/>
  <c r="CO31" i="19" s="1"/>
  <c r="BH76" i="19"/>
  <c r="BH85" i="19"/>
  <c r="CI122" i="19"/>
  <c r="CI130" i="19" s="1"/>
  <c r="CI137" i="19" s="1"/>
  <c r="CX27" i="19"/>
  <c r="DA9" i="19"/>
  <c r="CX29" i="19"/>
  <c r="DA17" i="19"/>
  <c r="CR38" i="19"/>
  <c r="CO44" i="19"/>
  <c r="DA6" i="19"/>
  <c r="CX25" i="19"/>
  <c r="CL129" i="19"/>
  <c r="CO125" i="19"/>
  <c r="CX26" i="19"/>
  <c r="DA7" i="19"/>
  <c r="CX35" i="19"/>
  <c r="CF82" i="19"/>
  <c r="CF79" i="19"/>
  <c r="CF81" i="19"/>
  <c r="CF78" i="19"/>
  <c r="CF77" i="19"/>
  <c r="CF80" i="19"/>
  <c r="CL110" i="19"/>
  <c r="CL111" i="19" s="1"/>
  <c r="CO107" i="19"/>
  <c r="CL119" i="19"/>
  <c r="CL121" i="19" s="1"/>
  <c r="CX19" i="19"/>
  <c r="CX20" i="19" s="1"/>
  <c r="CU30" i="19"/>
  <c r="DA97" i="19"/>
  <c r="CX115" i="19"/>
  <c r="CX104" i="19"/>
  <c r="DA96" i="19"/>
  <c r="CX114" i="19"/>
  <c r="CF138" i="19" l="1"/>
  <c r="CC139" i="19"/>
  <c r="CO32" i="19"/>
  <c r="CO45" i="19" s="1"/>
  <c r="CO65" i="19" s="1"/>
  <c r="CL69" i="19"/>
  <c r="CL74" i="19" s="1"/>
  <c r="CL75" i="19" s="1"/>
  <c r="CL71" i="19"/>
  <c r="CR14" i="19"/>
  <c r="CR21" i="19" s="1"/>
  <c r="CU5" i="19"/>
  <c r="CR24" i="19"/>
  <c r="CR31" i="19" s="1"/>
  <c r="BH82" i="19"/>
  <c r="BH79" i="19"/>
  <c r="BH81" i="19"/>
  <c r="BH78" i="19"/>
  <c r="BH77" i="19"/>
  <c r="BH80" i="19"/>
  <c r="BK75" i="19"/>
  <c r="CL122" i="19"/>
  <c r="CL130" i="19" s="1"/>
  <c r="CL137" i="19" s="1"/>
  <c r="CO129" i="19"/>
  <c r="CR125" i="19"/>
  <c r="CU38" i="19"/>
  <c r="CR44" i="19"/>
  <c r="DA35" i="19"/>
  <c r="DD17" i="19"/>
  <c r="DA29" i="19"/>
  <c r="DD7" i="19"/>
  <c r="DA26" i="19"/>
  <c r="DD6" i="19"/>
  <c r="DA25" i="19"/>
  <c r="CX30" i="19"/>
  <c r="DA19" i="19"/>
  <c r="CI75" i="19"/>
  <c r="DD9" i="19"/>
  <c r="DA27" i="19"/>
  <c r="DA104" i="19"/>
  <c r="DD96" i="19"/>
  <c r="DA114" i="19"/>
  <c r="CO110" i="19"/>
  <c r="CO111" i="19" s="1"/>
  <c r="CR107" i="19"/>
  <c r="CO119" i="19"/>
  <c r="CO121" i="19" s="1"/>
  <c r="DD97" i="19"/>
  <c r="DA115" i="19"/>
  <c r="CI138" i="19" l="1"/>
  <c r="CF139" i="19"/>
  <c r="CO69" i="19"/>
  <c r="CO74" i="19" s="1"/>
  <c r="CO75" i="19" s="1"/>
  <c r="CO76" i="19" s="1"/>
  <c r="CO71" i="19"/>
  <c r="CU14" i="19"/>
  <c r="CU21" i="19" s="1"/>
  <c r="CX5" i="19"/>
  <c r="CU24" i="19"/>
  <c r="CU31" i="19" s="1"/>
  <c r="CR32" i="19"/>
  <c r="CR45" i="19" s="1"/>
  <c r="CR65" i="19" s="1"/>
  <c r="CR71" i="19" s="1"/>
  <c r="BK76" i="19"/>
  <c r="BK85" i="19"/>
  <c r="CO122" i="19"/>
  <c r="CO130" i="19" s="1"/>
  <c r="CO137" i="19" s="1"/>
  <c r="DD114" i="19"/>
  <c r="DD104" i="19"/>
  <c r="DG96" i="19"/>
  <c r="DD29" i="19"/>
  <c r="DG17" i="19"/>
  <c r="DD19" i="19"/>
  <c r="DD20" i="19" s="1"/>
  <c r="DA30" i="19"/>
  <c r="DA20" i="19"/>
  <c r="CI76" i="19"/>
  <c r="CL76" i="19"/>
  <c r="DD35" i="19"/>
  <c r="DG97" i="19"/>
  <c r="DD115" i="19"/>
  <c r="DG6" i="19"/>
  <c r="DD25" i="19"/>
  <c r="CR119" i="19"/>
  <c r="CR121" i="19" s="1"/>
  <c r="CR110" i="19"/>
  <c r="CR111" i="19" s="1"/>
  <c r="CU107" i="19"/>
  <c r="DG9" i="19"/>
  <c r="DD27" i="19"/>
  <c r="DG7" i="19"/>
  <c r="DD26" i="19"/>
  <c r="CX38" i="19"/>
  <c r="CU44" i="19"/>
  <c r="CR129" i="19"/>
  <c r="CU125" i="19"/>
  <c r="CL138" i="19" l="1"/>
  <c r="CI139" i="19"/>
  <c r="CR69" i="19"/>
  <c r="CR74" i="19" s="1"/>
  <c r="CU32" i="19"/>
  <c r="CU45" i="19" s="1"/>
  <c r="CU65" i="19" s="1"/>
  <c r="CX14" i="19"/>
  <c r="CX21" i="19" s="1"/>
  <c r="DA5" i="19"/>
  <c r="CX24" i="19"/>
  <c r="CX31" i="19" s="1"/>
  <c r="BK82" i="19"/>
  <c r="BK81" i="19"/>
  <c r="BK78" i="19"/>
  <c r="BK80" i="19"/>
  <c r="BK77" i="19"/>
  <c r="BK79" i="19"/>
  <c r="BN75" i="19"/>
  <c r="CR122" i="19"/>
  <c r="CR130" i="19" s="1"/>
  <c r="CR137" i="19" s="1"/>
  <c r="CO82" i="19"/>
  <c r="CO81" i="19"/>
  <c r="CO80" i="19"/>
  <c r="CO79" i="19"/>
  <c r="CO78" i="19"/>
  <c r="CO77" i="19"/>
  <c r="DG35" i="19"/>
  <c r="CX125" i="19"/>
  <c r="CU129" i="19"/>
  <c r="DG27" i="19"/>
  <c r="DJ9" i="19"/>
  <c r="CL81" i="19"/>
  <c r="CL82" i="19"/>
  <c r="CL78" i="19"/>
  <c r="CL80" i="19"/>
  <c r="CL77" i="19"/>
  <c r="CL79" i="19"/>
  <c r="CI82" i="19"/>
  <c r="CI79" i="19"/>
  <c r="CI81" i="19"/>
  <c r="CI78" i="19"/>
  <c r="CI80" i="19"/>
  <c r="CI77" i="19"/>
  <c r="CX107" i="19"/>
  <c r="CU110" i="19"/>
  <c r="CU111" i="19" s="1"/>
  <c r="CU119" i="19"/>
  <c r="CU121" i="19" s="1"/>
  <c r="DG114" i="19"/>
  <c r="DG104" i="19"/>
  <c r="DJ96" i="19"/>
  <c r="DA38" i="19"/>
  <c r="CX44" i="19"/>
  <c r="DG115" i="19"/>
  <c r="DJ97" i="19"/>
  <c r="DD30" i="19"/>
  <c r="DG19" i="19"/>
  <c r="DG20" i="19" s="1"/>
  <c r="DJ7" i="19"/>
  <c r="DG26" i="19"/>
  <c r="DJ6" i="19"/>
  <c r="DG25" i="19"/>
  <c r="DJ17" i="19"/>
  <c r="DG29" i="19"/>
  <c r="CO138" i="19" l="1"/>
  <c r="CL139" i="19"/>
  <c r="CU71" i="19"/>
  <c r="CU69" i="19"/>
  <c r="CU74" i="19" s="1"/>
  <c r="DA14" i="19"/>
  <c r="DA21" i="19" s="1"/>
  <c r="DD5" i="19"/>
  <c r="DA24" i="19"/>
  <c r="DA31" i="19" s="1"/>
  <c r="CX32" i="19"/>
  <c r="CX45" i="19" s="1"/>
  <c r="CX65" i="19" s="1"/>
  <c r="BN76" i="19"/>
  <c r="BN85" i="19"/>
  <c r="CR75" i="19"/>
  <c r="CR76" i="19" s="1"/>
  <c r="DJ19" i="19"/>
  <c r="DJ20" i="19" s="1"/>
  <c r="DG30" i="19"/>
  <c r="DJ114" i="19"/>
  <c r="DM96" i="19"/>
  <c r="DJ104" i="19"/>
  <c r="DJ115" i="19"/>
  <c r="DM97" i="19"/>
  <c r="DM6" i="19"/>
  <c r="DJ25" i="19"/>
  <c r="CU122" i="19"/>
  <c r="CU130" i="19" s="1"/>
  <c r="CU137" i="19" s="1"/>
  <c r="DA125" i="19"/>
  <c r="CX129" i="19"/>
  <c r="DD38" i="19"/>
  <c r="DA44" i="19"/>
  <c r="CX110" i="19"/>
  <c r="CX111" i="19" s="1"/>
  <c r="DA107" i="19"/>
  <c r="CX119" i="19"/>
  <c r="CX121" i="19" s="1"/>
  <c r="DM17" i="19"/>
  <c r="DJ29" i="19"/>
  <c r="DM9" i="19"/>
  <c r="DJ27" i="19"/>
  <c r="DJ35" i="19"/>
  <c r="DM7" i="19"/>
  <c r="DJ26" i="19"/>
  <c r="CR138" i="19" l="1"/>
  <c r="CO139" i="19"/>
  <c r="CX71" i="19"/>
  <c r="CX69" i="19"/>
  <c r="CX74" i="19" s="1"/>
  <c r="CX75" i="19" s="1"/>
  <c r="CX76" i="19" s="1"/>
  <c r="DG5" i="19"/>
  <c r="DD24" i="19"/>
  <c r="DD31" i="19" s="1"/>
  <c r="DD14" i="19"/>
  <c r="DD21" i="19" s="1"/>
  <c r="DA32" i="19"/>
  <c r="DA45" i="19" s="1"/>
  <c r="DA65" i="19" s="1"/>
  <c r="BN80" i="19"/>
  <c r="BN77" i="19"/>
  <c r="BN82" i="19"/>
  <c r="BN81" i="19"/>
  <c r="BN79" i="19"/>
  <c r="BN78" i="19"/>
  <c r="BQ75" i="19"/>
  <c r="BQ76" i="19" s="1"/>
  <c r="CR79" i="19"/>
  <c r="CR80" i="19"/>
  <c r="CR77" i="19"/>
  <c r="CR81" i="19"/>
  <c r="CR82" i="19"/>
  <c r="CR78" i="19"/>
  <c r="CU75" i="19"/>
  <c r="CU76" i="19" s="1"/>
  <c r="DM19" i="19"/>
  <c r="DM20" i="19" s="1"/>
  <c r="DJ30" i="19"/>
  <c r="DP9" i="19"/>
  <c r="DM27" i="19"/>
  <c r="DM115" i="19"/>
  <c r="DP97" i="19"/>
  <c r="DD107" i="19"/>
  <c r="DA110" i="19"/>
  <c r="DA111" i="19" s="1"/>
  <c r="DA119" i="19"/>
  <c r="DA121" i="19" s="1"/>
  <c r="CX122" i="19"/>
  <c r="CX130" i="19" s="1"/>
  <c r="CX137" i="19" s="1"/>
  <c r="DP7" i="19"/>
  <c r="DM26" i="19"/>
  <c r="DP6" i="19"/>
  <c r="DM25" i="19"/>
  <c r="DP17" i="19"/>
  <c r="DM29" i="19"/>
  <c r="DG38" i="19"/>
  <c r="DD44" i="19"/>
  <c r="DM114" i="19"/>
  <c r="DM104" i="19"/>
  <c r="DP96" i="19"/>
  <c r="DM35" i="19"/>
  <c r="DA129" i="19"/>
  <c r="DD125" i="19"/>
  <c r="CU138" i="19" l="1"/>
  <c r="CR139" i="19"/>
  <c r="DD32" i="19"/>
  <c r="DD45" i="19" s="1"/>
  <c r="DD65" i="19" s="1"/>
  <c r="DA69" i="19"/>
  <c r="DA74" i="19" s="1"/>
  <c r="DA75" i="19" s="1"/>
  <c r="DA76" i="19" s="1"/>
  <c r="DA71" i="19"/>
  <c r="DJ5" i="19"/>
  <c r="DG14" i="19"/>
  <c r="DG21" i="19" s="1"/>
  <c r="DG24" i="19"/>
  <c r="DG31" i="19" s="1"/>
  <c r="BQ82" i="19"/>
  <c r="BQ81" i="19"/>
  <c r="BQ79" i="19"/>
  <c r="BQ80" i="19"/>
  <c r="BQ78" i="19"/>
  <c r="BQ77" i="19"/>
  <c r="BQ85" i="19"/>
  <c r="BT85" i="19" s="1"/>
  <c r="BW85" i="19" s="1"/>
  <c r="BZ85" i="19" s="1"/>
  <c r="CC85" i="19" s="1"/>
  <c r="CF85" i="19" s="1"/>
  <c r="CI85" i="19" s="1"/>
  <c r="CL85" i="19" s="1"/>
  <c r="CO85" i="19" s="1"/>
  <c r="CR85" i="19" s="1"/>
  <c r="CU85" i="19" s="1"/>
  <c r="CX85" i="19" s="1"/>
  <c r="DA122" i="19"/>
  <c r="DA130" i="19" s="1"/>
  <c r="DA137" i="19" s="1"/>
  <c r="CU80" i="19"/>
  <c r="CU81" i="19"/>
  <c r="CU77" i="19"/>
  <c r="CU79" i="19"/>
  <c r="CU82" i="19"/>
  <c r="CU78" i="19"/>
  <c r="CX82" i="19"/>
  <c r="CX80" i="19"/>
  <c r="CX77" i="19"/>
  <c r="CX79" i="19"/>
  <c r="CX81" i="19"/>
  <c r="CX78" i="19"/>
  <c r="DP26" i="19"/>
  <c r="DS7" i="19"/>
  <c r="DP35" i="19"/>
  <c r="DS17" i="19"/>
  <c r="DP29" i="19"/>
  <c r="DP114" i="19"/>
  <c r="DP104" i="19"/>
  <c r="DS96" i="19"/>
  <c r="DP115" i="19"/>
  <c r="DS97" i="19"/>
  <c r="DS6" i="19"/>
  <c r="DP25" i="19"/>
  <c r="DD110" i="19"/>
  <c r="DD111" i="19" s="1"/>
  <c r="DG107" i="19"/>
  <c r="DD119" i="19"/>
  <c r="DD121" i="19" s="1"/>
  <c r="DD129" i="19"/>
  <c r="DG125" i="19"/>
  <c r="DP27" i="19"/>
  <c r="DS9" i="19"/>
  <c r="DJ38" i="19"/>
  <c r="DG44" i="19"/>
  <c r="DP19" i="19"/>
  <c r="DP20" i="19" s="1"/>
  <c r="DM30" i="19"/>
  <c r="CX138" i="19" l="1"/>
  <c r="CU139" i="19"/>
  <c r="DD71" i="19"/>
  <c r="DD69" i="19"/>
  <c r="DD74" i="19" s="1"/>
  <c r="DD75" i="19" s="1"/>
  <c r="DD76" i="19" s="1"/>
  <c r="DJ14" i="19"/>
  <c r="DJ21" i="19" s="1"/>
  <c r="DM5" i="19"/>
  <c r="DJ24" i="19"/>
  <c r="DJ31" i="19" s="1"/>
  <c r="DG32" i="19"/>
  <c r="DG45" i="19" s="1"/>
  <c r="DG65" i="19" s="1"/>
  <c r="DD122" i="19"/>
  <c r="DD130" i="19" s="1"/>
  <c r="DD137" i="19" s="1"/>
  <c r="DA82" i="19"/>
  <c r="DA81" i="19"/>
  <c r="DA80" i="19"/>
  <c r="DA77" i="19"/>
  <c r="DA79" i="19"/>
  <c r="DA78" i="19"/>
  <c r="DA85" i="19"/>
  <c r="DS25" i="19"/>
  <c r="DV6" i="19"/>
  <c r="DS19" i="19"/>
  <c r="DP30" i="19"/>
  <c r="DG129" i="19"/>
  <c r="DJ125" i="19"/>
  <c r="DS29" i="19"/>
  <c r="DV17" i="19"/>
  <c r="DS115" i="19"/>
  <c r="DV97" i="19"/>
  <c r="DS35" i="19"/>
  <c r="DM38" i="19"/>
  <c r="DJ44" i="19"/>
  <c r="DS27" i="19"/>
  <c r="DV9" i="19"/>
  <c r="DG119" i="19"/>
  <c r="DG121" i="19" s="1"/>
  <c r="DG110" i="19"/>
  <c r="DG111" i="19" s="1"/>
  <c r="DJ107" i="19"/>
  <c r="DS114" i="19"/>
  <c r="DS104" i="19"/>
  <c r="DV96" i="19"/>
  <c r="DV7" i="19"/>
  <c r="DS26" i="19"/>
  <c r="DA138" i="19" l="1"/>
  <c r="CX139" i="19"/>
  <c r="DJ32" i="19"/>
  <c r="DJ45" i="19" s="1"/>
  <c r="DJ65" i="19" s="1"/>
  <c r="DJ71" i="19" s="1"/>
  <c r="DG69" i="19"/>
  <c r="DG74" i="19" s="1"/>
  <c r="DG75" i="19" s="1"/>
  <c r="DG71" i="19"/>
  <c r="DP5" i="19"/>
  <c r="DM14" i="19"/>
  <c r="DM21" i="19" s="1"/>
  <c r="DM24" i="19"/>
  <c r="DM31" i="19" s="1"/>
  <c r="DD85" i="19"/>
  <c r="DD82" i="19"/>
  <c r="DD81" i="19"/>
  <c r="DD77" i="19"/>
  <c r="DD79" i="19"/>
  <c r="DD78" i="19"/>
  <c r="DD80" i="19"/>
  <c r="DG122" i="19"/>
  <c r="DG130" i="19" s="1"/>
  <c r="DG137" i="19" s="1"/>
  <c r="DV29" i="19"/>
  <c r="DY17" i="19"/>
  <c r="DV25" i="19"/>
  <c r="DY6" i="19"/>
  <c r="DY25" i="19" s="1"/>
  <c r="DV19" i="19"/>
  <c r="DV20" i="19" s="1"/>
  <c r="DS30" i="19"/>
  <c r="DV26" i="19"/>
  <c r="DY7" i="19"/>
  <c r="DY26" i="19" s="1"/>
  <c r="DV27" i="19"/>
  <c r="DY9" i="19"/>
  <c r="DY27" i="19" s="1"/>
  <c r="DS20" i="19"/>
  <c r="DV114" i="19"/>
  <c r="DV104" i="19"/>
  <c r="DY96" i="19"/>
  <c r="DY97" i="19"/>
  <c r="DY115" i="19" s="1"/>
  <c r="DV115" i="19"/>
  <c r="DV35" i="19"/>
  <c r="DJ129" i="19"/>
  <c r="DM125" i="19"/>
  <c r="DJ110" i="19"/>
  <c r="DJ111" i="19" s="1"/>
  <c r="DM107" i="19"/>
  <c r="DJ119" i="19"/>
  <c r="DJ121" i="19" s="1"/>
  <c r="DP38" i="19"/>
  <c r="DM44" i="19"/>
  <c r="DD138" i="19" l="1"/>
  <c r="DA139" i="19"/>
  <c r="DJ69" i="19"/>
  <c r="DJ74" i="19" s="1"/>
  <c r="DM32" i="19"/>
  <c r="DM45" i="19" s="1"/>
  <c r="DM65" i="19" s="1"/>
  <c r="DS5" i="19"/>
  <c r="DP24" i="19"/>
  <c r="DP31" i="19" s="1"/>
  <c r="DP14" i="19"/>
  <c r="DP21" i="19" s="1"/>
  <c r="DG85" i="19"/>
  <c r="DJ122" i="19"/>
  <c r="DJ130" i="19" s="1"/>
  <c r="DJ137" i="19" s="1"/>
  <c r="DG76" i="19"/>
  <c r="DM129" i="19"/>
  <c r="DP125" i="19"/>
  <c r="DY29" i="19"/>
  <c r="DY114" i="19"/>
  <c r="DY104" i="19"/>
  <c r="DS38" i="19"/>
  <c r="DP44" i="19"/>
  <c r="DV30" i="19"/>
  <c r="DY19" i="19"/>
  <c r="DY30" i="19" s="1"/>
  <c r="DM110" i="19"/>
  <c r="DM111" i="19" s="1"/>
  <c r="DP107" i="19"/>
  <c r="DM119" i="19"/>
  <c r="DM121" i="19" s="1"/>
  <c r="DY35" i="19"/>
  <c r="DG138" i="19" l="1"/>
  <c r="DD139" i="19"/>
  <c r="DM69" i="19"/>
  <c r="DM74" i="19" s="1"/>
  <c r="DM71" i="19"/>
  <c r="DP32" i="19"/>
  <c r="DP45" i="19" s="1"/>
  <c r="DP65" i="19" s="1"/>
  <c r="DS24" i="19"/>
  <c r="DS31" i="19" s="1"/>
  <c r="DS14" i="19"/>
  <c r="DS21" i="19" s="1"/>
  <c r="DV5" i="19"/>
  <c r="DJ75" i="19"/>
  <c r="DJ85" i="19" s="1"/>
  <c r="DG82" i="19"/>
  <c r="DG81" i="19"/>
  <c r="DG79" i="19"/>
  <c r="DG78" i="19"/>
  <c r="DG77" i="19"/>
  <c r="DG80" i="19"/>
  <c r="DV38" i="19"/>
  <c r="DS44" i="19"/>
  <c r="DY20" i="19"/>
  <c r="DP110" i="19"/>
  <c r="DP111" i="19" s="1"/>
  <c r="DS107" i="19"/>
  <c r="DP119" i="19"/>
  <c r="DP121" i="19" s="1"/>
  <c r="DP129" i="19"/>
  <c r="DS125" i="19"/>
  <c r="DM122" i="19"/>
  <c r="DM130" i="19" s="1"/>
  <c r="DM137" i="19" s="1"/>
  <c r="DJ138" i="19" l="1"/>
  <c r="DG139" i="19"/>
  <c r="DS32" i="19"/>
  <c r="DS45" i="19" s="1"/>
  <c r="DS65" i="19" s="1"/>
  <c r="DS71" i="19" s="1"/>
  <c r="DP69" i="19"/>
  <c r="DP74" i="19" s="1"/>
  <c r="DP71" i="19"/>
  <c r="DY5" i="19"/>
  <c r="DV24" i="19"/>
  <c r="DV31" i="19" s="1"/>
  <c r="DV14" i="19"/>
  <c r="DV21" i="19" s="1"/>
  <c r="DJ76" i="19"/>
  <c r="DM75" i="19"/>
  <c r="DM85" i="19" s="1"/>
  <c r="DS110" i="19"/>
  <c r="DS111" i="19" s="1"/>
  <c r="DV107" i="19"/>
  <c r="DS119" i="19"/>
  <c r="DS121" i="19" s="1"/>
  <c r="DP122" i="19"/>
  <c r="DP130" i="19" s="1"/>
  <c r="DP137" i="19" s="1"/>
  <c r="DS129" i="19"/>
  <c r="DV125" i="19"/>
  <c r="DY38" i="19"/>
  <c r="DY44" i="19" s="1"/>
  <c r="DV44" i="19"/>
  <c r="DM138" i="19" l="1"/>
  <c r="DJ139" i="19"/>
  <c r="DV32" i="19"/>
  <c r="DV45" i="19" s="1"/>
  <c r="DV65" i="19" s="1"/>
  <c r="DV69" i="19" s="1"/>
  <c r="DS69" i="19"/>
  <c r="DS74" i="19" s="1"/>
  <c r="DS75" i="19" s="1"/>
  <c r="DY14" i="19"/>
  <c r="DY21" i="19" s="1"/>
  <c r="DY24" i="19"/>
  <c r="DY31" i="19" s="1"/>
  <c r="DS122" i="19"/>
  <c r="DS130" i="19" s="1"/>
  <c r="DS137" i="19" s="1"/>
  <c r="DJ80" i="19"/>
  <c r="DJ81" i="19"/>
  <c r="DJ79" i="19"/>
  <c r="DJ78" i="19"/>
  <c r="DJ82" i="19"/>
  <c r="DJ77" i="19"/>
  <c r="DP75" i="19"/>
  <c r="DP76" i="19" s="1"/>
  <c r="DM76" i="19"/>
  <c r="DV129" i="19"/>
  <c r="DY125" i="19"/>
  <c r="DY129" i="19" s="1"/>
  <c r="DY107" i="19"/>
  <c r="DV110" i="19"/>
  <c r="DV111" i="19" s="1"/>
  <c r="DV119" i="19"/>
  <c r="DV121" i="19" s="1"/>
  <c r="DP138" i="19" l="1"/>
  <c r="DM139" i="19"/>
  <c r="DV71" i="19"/>
  <c r="DY32" i="19"/>
  <c r="DY45" i="19" s="1"/>
  <c r="DY65" i="19" s="1"/>
  <c r="DY71" i="19" s="1"/>
  <c r="DV122" i="19"/>
  <c r="DV130" i="19" s="1"/>
  <c r="DV137" i="19" s="1"/>
  <c r="DP78" i="19"/>
  <c r="DP80" i="19"/>
  <c r="DP81" i="19"/>
  <c r="DP77" i="19"/>
  <c r="DP79" i="19"/>
  <c r="DP82" i="19"/>
  <c r="DV74" i="19"/>
  <c r="DV75" i="19" s="1"/>
  <c r="DV76" i="19" s="1"/>
  <c r="DM82" i="19"/>
  <c r="DM81" i="19"/>
  <c r="DM80" i="19"/>
  <c r="DM79" i="19"/>
  <c r="DM78" i="19"/>
  <c r="DM77" i="19"/>
  <c r="DY110" i="19"/>
  <c r="DY111" i="19" s="1"/>
  <c r="DY119" i="19"/>
  <c r="DY121" i="19" s="1"/>
  <c r="DS76" i="19"/>
  <c r="DP85" i="19"/>
  <c r="DS85" i="19" s="1"/>
  <c r="DS138" i="19" l="1"/>
  <c r="DP139" i="19"/>
  <c r="DY69" i="19"/>
  <c r="DY74" i="19" s="1"/>
  <c r="DY75" i="19" s="1"/>
  <c r="DY76" i="19" s="1"/>
  <c r="DY80" i="19" s="1"/>
  <c r="DV78" i="19"/>
  <c r="DV80" i="19"/>
  <c r="DV77" i="19"/>
  <c r="DV81" i="19"/>
  <c r="DV82" i="19"/>
  <c r="DV79" i="19"/>
  <c r="DY122" i="19"/>
  <c r="DY130" i="19" s="1"/>
  <c r="DY137" i="19" s="1"/>
  <c r="DV85" i="19"/>
  <c r="DS82" i="19"/>
  <c r="DS81" i="19"/>
  <c r="DS78" i="19"/>
  <c r="DS80" i="19"/>
  <c r="DS77" i="19"/>
  <c r="DS79" i="19"/>
  <c r="DV138" i="19" l="1"/>
  <c r="DS139" i="19"/>
  <c r="DY82" i="19"/>
  <c r="DY81" i="19"/>
  <c r="DY79" i="19"/>
  <c r="DY85" i="19"/>
  <c r="DY78" i="19"/>
  <c r="DY77" i="19"/>
  <c r="I3" i="13"/>
  <c r="E65" i="13" s="1"/>
  <c r="E66" i="13" s="1"/>
  <c r="B7" i="44" l="1"/>
  <c r="B20" i="44" s="1"/>
  <c r="E20" i="44" s="1" a="1"/>
  <c r="E20" i="44" s="1"/>
  <c r="DY138" i="19"/>
  <c r="DY139" i="19" s="1"/>
  <c r="DV139" i="19"/>
  <c r="AJ293" i="34"/>
  <c r="AJ311" i="34" s="1"/>
  <c r="AJ312" i="34" s="1"/>
  <c r="AJ281" i="34" s="1"/>
  <c r="AL114" i="31" l="1"/>
  <c r="C130" i="25"/>
  <c r="AL115" i="31"/>
  <c r="C107" i="30"/>
  <c r="C153" i="2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Gutierrez, Alfredo@HCD</author>
    <author>Agutierrez</author>
    <author>hcdadmin</author>
    <author>Ferguson, Gina@HCD</author>
    <author>eabdala</author>
    <author>rschmunk</author>
    <author>Debra Starbuck</author>
    <author>Russ Schmunk</author>
    <author>Hervey, Dylan@HCD</author>
    <author>mpope</author>
  </authors>
  <commentList>
    <comment ref="B2" authorId="0" shapeId="0" xr:uid="{00000000-0006-0000-0600-000001000000}">
      <text>
        <r>
          <rPr>
            <sz val="10"/>
            <rFont val="Arial"/>
            <family val="2"/>
          </rPr>
          <t>Applicants will receive an application number
once they sign up to the HCD portal to
upload all necessary documents.</t>
        </r>
      </text>
    </comment>
    <comment ref="B87" authorId="0" shapeId="0" xr:uid="{00000000-0006-0000-0600-000002000000}">
      <text>
        <r>
          <rPr>
            <sz val="10"/>
            <rFont val="Arial"/>
            <family val="2"/>
          </rPr>
          <t>Community-Based Developer – means a nonprofit entity
(including a Tribal Entity) and/or a for-profit entity AND
satisfies the definition of "Community-Based Developer".</t>
        </r>
      </text>
    </comment>
    <comment ref="AL145" authorId="0" shapeId="0" xr:uid="{00000000-0006-0000-0600-000003000000}">
      <text>
        <r>
          <rPr>
            <sz val="10"/>
            <rFont val="Arial"/>
            <family val="2"/>
          </rPr>
          <t>Please comple Unit Mix,
then verify this requirement.</t>
        </r>
      </text>
    </comment>
    <comment ref="B169" authorId="0" shapeId="0" xr:uid="{00000000-0006-0000-0600-000004000000}">
      <text>
        <r>
          <rPr>
            <sz val="10"/>
            <rFont val="Arial"/>
            <family val="2"/>
          </rPr>
          <t>Describe the distinct infrastructure improvements
related to utilities, surface improvements, landscape
and amenities, environmental mitigation and
remediation, etc. §203</t>
        </r>
      </text>
    </comment>
    <comment ref="B195" authorId="1" shapeId="0" xr:uid="{00000000-0006-0000-0600-000005000000}">
      <text>
        <r>
          <rPr>
            <sz val="10"/>
            <rFont val="Arial"/>
            <family val="2"/>
          </rPr>
          <t>Spell out complete HCD program name.</t>
        </r>
      </text>
    </comment>
    <comment ref="AA195" authorId="0" shapeId="0" xr:uid="{00000000-0006-0000-0600-000007000000}">
      <text>
        <r>
          <rPr>
            <sz val="10"/>
            <rFont val="Arial"/>
            <family val="2"/>
          </rPr>
          <t>Section 7317 (b)
Substituting previously awarded Department funds is prohibited.
Substitutions based solely upon Sponsor preference or
convenience will not be permitted. Department approval
of the withdrawal is required prior to the application due date
without assurance of receiving a new award.</t>
        </r>
      </text>
    </comment>
    <comment ref="AF208" authorId="2" shapeId="0" xr:uid="{00000000-0006-0000-0600-000008000000}">
      <text>
        <r>
          <rPr>
            <sz val="10"/>
            <rFont val="Arial"/>
            <family val="2"/>
          </rPr>
          <t>See TCAC Staff Report or Tax
Credit Reservation letter.</t>
        </r>
      </text>
    </comment>
    <comment ref="AF209" authorId="2" shapeId="0" xr:uid="{00000000-0006-0000-0600-000009000000}">
      <text>
        <r>
          <rPr>
            <sz val="10"/>
            <rFont val="Arial"/>
            <family val="2"/>
          </rPr>
          <t>See TCAC Staff Report or Tax
Credit Reservation letter.</t>
        </r>
      </text>
    </comment>
    <comment ref="B220" authorId="1" shapeId="0" xr:uid="{00000000-0006-0000-0600-00000A000000}">
      <text>
        <r>
          <rPr>
            <sz val="10"/>
            <rFont val="Arial"/>
            <family val="2"/>
          </rPr>
          <t>Proposed # of residential units</t>
        </r>
      </text>
    </comment>
    <comment ref="F220" authorId="1" shapeId="0" xr:uid="{00000000-0006-0000-0600-00000B000000}">
      <text>
        <r>
          <rPr>
            <sz val="10"/>
            <rFont val="Arial"/>
            <family val="2"/>
          </rPr>
          <t>Proposed # of Low Income Housing
Tax Credit Units (80% AMI or less).</t>
        </r>
      </text>
    </comment>
    <comment ref="H220" authorId="1" shapeId="0" xr:uid="{00000000-0006-0000-0600-00000C000000}">
      <text>
        <r>
          <rPr>
            <sz val="10"/>
            <rFont val="Arial"/>
            <family val="2"/>
          </rPr>
          <t>Land area of  developed project,
after any planned subdivision.</t>
        </r>
      </text>
    </comment>
    <comment ref="AC225" authorId="0" shapeId="0" xr:uid="{00000000-0006-0000-0600-00000E000000}">
      <text>
        <r>
          <rPr>
            <sz val="10"/>
            <rFont val="Arial"/>
            <family val="2"/>
          </rPr>
          <t>Use link to determine Rural status.</t>
        </r>
      </text>
    </comment>
    <comment ref="I256" authorId="0" shapeId="0" xr:uid="{00000000-0006-0000-0600-00000F000000}">
      <text>
        <r>
          <rPr>
            <sz val="10"/>
            <rFont val="Arial"/>
            <family val="2"/>
          </rPr>
          <t>"Entity Name (exactly as listed with Secretary of State)"</t>
        </r>
      </text>
    </comment>
    <comment ref="B266" authorId="3" shapeId="0" xr:uid="{00000000-0006-0000-0600-000010000000}">
      <text>
        <r>
          <rPr>
            <sz val="10"/>
            <rFont val="Arial"/>
            <family val="2"/>
          </rPr>
          <t>Project Name and Address of the Sponsor’s
Rental Housing Development(s) demonstrating
equivalent unit type, size, and occupancy.</t>
        </r>
      </text>
    </comment>
    <comment ref="E274" authorId="0" shapeId="0" xr:uid="{00000000-0006-0000-0600-000011000000}">
      <text>
        <r>
          <rPr>
            <sz val="10"/>
            <rFont val="Arial"/>
            <family val="2"/>
          </rPr>
          <t>When naming this file name, please replace the words "OrgDoc1"
with the name of the Organization Document name. 
Example, 21b. Spon1 Articles of Incorporation
Example, 21b. Spon1 Certificate of Amendment of Articles of Incorporation</t>
        </r>
      </text>
    </comment>
    <comment ref="L280" authorId="0" shapeId="0" xr:uid="{00000000-0006-0000-0600-000012000000}">
      <text>
        <r>
          <rPr>
            <sz val="10"/>
            <rFont val="Arial"/>
            <family val="2"/>
          </rPr>
          <t>"Entity Name (exactly as listed with Secretary of State)"
If Not Applicable, type N/A</t>
        </r>
      </text>
    </comment>
    <comment ref="E283" authorId="0" shapeId="0" xr:uid="{00000000-0006-0000-0600-000013000000}">
      <text>
        <r>
          <rPr>
            <sz val="10"/>
            <rFont val="Arial"/>
            <family val="2"/>
          </rPr>
          <t>When naming this file name, please replace the words "OrgDoc1"
with the name of the Organization Document name. 
Example, 22b. Spon2 Articles of Incorporation
Example, 22b. Spon2 Certificate of Amendment of Articles of Incorporation</t>
        </r>
      </text>
    </comment>
    <comment ref="L289" authorId="0" shapeId="0" xr:uid="{00000000-0006-0000-0600-000014000000}">
      <text>
        <r>
          <rPr>
            <sz val="10"/>
            <rFont val="Arial"/>
            <family val="2"/>
          </rPr>
          <t>"Entity Name (exactly as listed with Secretary of State)"
If Not Applicable, type N/A</t>
        </r>
      </text>
    </comment>
    <comment ref="E292" authorId="0" shapeId="0" xr:uid="{00000000-0006-0000-0600-000015000000}">
      <text>
        <r>
          <rPr>
            <sz val="10"/>
            <rFont val="Arial"/>
            <family val="2"/>
          </rPr>
          <t>When naming this file name, please replace the words "OrgDoc1"
with the name of the Organization Document name. 
Example, 23b. Spon3 Articles of Incorporation
Example, 23b. Spon3 Certificate of Amendment of Articles of Incorporation</t>
        </r>
      </text>
    </comment>
    <comment ref="B299" authorId="0" shapeId="0" xr:uid="{00000000-0006-0000-0600-000016000000}">
      <text>
        <r>
          <rPr>
            <sz val="10"/>
            <rFont val="Arial"/>
            <family val="2"/>
          </rPr>
          <t>"Entity Name (exactly as listed with Secretary of State)"</t>
        </r>
      </text>
    </comment>
    <comment ref="E301" authorId="0" shapeId="0" xr:uid="{00000000-0006-0000-0600-000017000000}">
      <text>
        <r>
          <rPr>
            <sz val="10"/>
            <rFont val="Arial"/>
            <family val="2"/>
          </rPr>
          <t>When naming this file name, please replace the words "OrgDoc1"
with the name of the Organization Document name. 
Example, 24b. BWR Articles of Incorporation
Example, 24b. BWR Certificate of Amendment of Articles of Incorporation</t>
        </r>
      </text>
    </comment>
    <comment ref="L310" authorId="0" shapeId="0" xr:uid="{00000000-0006-0000-0600-000018000000}">
      <text>
        <r>
          <rPr>
            <sz val="10"/>
            <rFont val="Arial"/>
            <family val="2"/>
          </rPr>
          <t>"Entity Name (exactly as listed with Secretary of State)"
If Not Applicable, type N/A</t>
        </r>
      </text>
    </comment>
    <comment ref="E312" authorId="0" shapeId="0" xr:uid="{00000000-0006-0000-0600-000019000000}">
      <text>
        <r>
          <rPr>
            <sz val="10"/>
            <rFont val="Arial"/>
            <family val="2"/>
          </rPr>
          <t>When naming this file name, please replace the words "OrgDoc1"
with the name of the Organization Document name. 
Example, 25b. MGP Articles of Incorporation
Example, 25b. MGP Certificate of Amendment of Articles of Incorporation</t>
        </r>
      </text>
    </comment>
    <comment ref="L318" authorId="0" shapeId="0" xr:uid="{00000000-0006-0000-0600-00001A000000}">
      <text>
        <r>
          <rPr>
            <sz val="10"/>
            <rFont val="Arial"/>
            <family val="2"/>
          </rPr>
          <t>"Entity Name (exactly as listed with Secretary of State)"
If Not Applicable, type N/A</t>
        </r>
      </text>
    </comment>
    <comment ref="E320" authorId="0" shapeId="0" xr:uid="{00000000-0006-0000-0600-00001B000000}">
      <text>
        <r>
          <rPr>
            <sz val="10"/>
            <rFont val="Arial"/>
            <family val="2"/>
          </rPr>
          <t>When naming this file name, please replace the words "OrgDoc1"
with the name of the Organization Document name. 
Example, 26b. AGP1 Articles of Incorporation
Example, 26b. AGP1 Certificate of Amendment of Articles of Incorporation</t>
        </r>
      </text>
    </comment>
    <comment ref="L326" authorId="0" shapeId="0" xr:uid="{00000000-0006-0000-0600-00001C000000}">
      <text>
        <r>
          <rPr>
            <sz val="10"/>
            <rFont val="Arial"/>
            <family val="2"/>
          </rPr>
          <t>"Entity Name (exactly as listed with Secretary of State)"
If Not Applicable, type N/A</t>
        </r>
      </text>
    </comment>
    <comment ref="E328" authorId="0" shapeId="0" xr:uid="{00000000-0006-0000-0600-00001D000000}">
      <text>
        <r>
          <rPr>
            <sz val="10"/>
            <rFont val="Arial"/>
            <family val="2"/>
          </rPr>
          <t>When naming this file name, please replace the words "OrgDoc1"
with the name of the Organization Document name. 
Example, 27b. AGP2 Articles of Incorporation
Example, 27b. AGP2 Certificate of Amendment of Articles of Incorporation</t>
        </r>
      </text>
    </comment>
    <comment ref="L334" authorId="0" shapeId="0" xr:uid="{00000000-0006-0000-0600-00001E000000}">
      <text>
        <r>
          <rPr>
            <sz val="10"/>
            <rFont val="Arial"/>
            <family val="2"/>
          </rPr>
          <t>"Entity Name (exactly as listed with Secretary of State)"
If Not Applicable, type N/A</t>
        </r>
      </text>
    </comment>
    <comment ref="E338" authorId="0" shapeId="0" xr:uid="{00000000-0006-0000-0600-00001F000000}">
      <text>
        <r>
          <rPr>
            <sz val="10"/>
            <rFont val="Arial"/>
            <family val="2"/>
          </rPr>
          <t>When naming this file name, please replace the words "OrgDoc1"
with the name of the Organization Document name. 
Example, 28d. MLLC Articles of Incorporation
Example, 28d. MLLC Certificate of Amendment of Articles of Incorporation</t>
        </r>
      </text>
    </comment>
    <comment ref="B342" authorId="0" shapeId="0" xr:uid="{00000000-0006-0000-0600-000020000000}">
      <text>
        <r>
          <rPr>
            <sz val="10"/>
            <rFont val="Arial"/>
            <family val="2"/>
          </rPr>
          <t>At time of application, a Sponsor must have
site control of the proposed Project property,
in the name of the Sponsor or an entity
controlled by the Sponsor.</t>
        </r>
      </text>
    </comment>
    <comment ref="Q346" authorId="1" shapeId="0" xr:uid="{00000000-0006-0000-0600-000021000000}">
      <text>
        <r>
          <rPr>
            <sz val="10"/>
            <rFont val="Arial"/>
            <family val="2"/>
          </rPr>
          <t xml:space="preserve">Indicate the date the site was acquired,
leased or the date you entered into a
purchase option or other agreement for
control of the site. </t>
        </r>
      </text>
    </comment>
    <comment ref="T346" authorId="1" shapeId="0" xr:uid="{00000000-0006-0000-0600-000022000000}">
      <text>
        <r>
          <rPr>
            <sz val="10"/>
            <rFont val="Arial"/>
            <family val="2"/>
          </rPr>
          <t>Indicate the date site control lapses,
under your current agreement.</t>
        </r>
      </text>
    </comment>
    <comment ref="W346" authorId="1" shapeId="0" xr:uid="{00000000-0006-0000-0600-000023000000}">
      <text>
        <r>
          <rPr>
            <sz val="10"/>
            <rFont val="Arial"/>
            <family val="2"/>
          </rPr>
          <t xml:space="preserve">e.g.  two 30-day extensions;
one 60-day extension; etc. </t>
        </r>
      </text>
    </comment>
    <comment ref="E360" authorId="0" shapeId="0" xr:uid="{00000000-0006-0000-0600-000024000000}">
      <text>
        <r>
          <rPr>
            <sz val="10"/>
            <rFont val="Arial"/>
            <family val="2"/>
          </rPr>
          <t>If multiple, please add multiple and
label as same number #xx Site Control 1, 2, 3 etc.</t>
        </r>
      </text>
    </comment>
    <comment ref="B366" authorId="0" shapeId="0" xr:uid="{00000000-0006-0000-0600-000025000000}">
      <text>
        <r>
          <rPr>
            <sz val="10"/>
            <rFont val="Arial"/>
            <family val="2"/>
          </rPr>
          <t>If not applicable, please type N/A</t>
        </r>
      </text>
    </comment>
    <comment ref="AF369" authorId="0" shapeId="0" xr:uid="{00000000-0006-0000-0600-000026000000}">
      <text>
        <r>
          <rPr>
            <sz val="10"/>
            <rFont val="Arial"/>
            <family val="2"/>
          </rPr>
          <t>If not applicable, please type N/A</t>
        </r>
      </text>
    </comment>
    <comment ref="B373" authorId="4" shapeId="0" xr:uid="{00000000-0006-0000-0600-000027000000}">
      <text>
        <r>
          <rPr>
            <sz val="10"/>
            <rFont val="Arial"/>
            <family val="2"/>
          </rPr>
          <t>e.g. Vacant City Lot</t>
        </r>
      </text>
    </comment>
    <comment ref="N373" authorId="4" shapeId="0" xr:uid="{00000000-0006-0000-0600-000028000000}">
      <text>
        <r>
          <rPr>
            <sz val="10"/>
            <rFont val="Arial"/>
            <family val="2"/>
          </rPr>
          <t>Once the development is approved. 
E.g.. RD4 - Unlimited Residence.</t>
        </r>
      </text>
    </comment>
    <comment ref="B375" authorId="4" shapeId="0" xr:uid="{00000000-0006-0000-0600-000029000000}">
      <text>
        <r>
          <rPr>
            <sz val="10"/>
            <rFont val="Arial"/>
            <family val="2"/>
          </rPr>
          <t>Will the developed project be subject
to a local rent control ordinance?</t>
        </r>
      </text>
    </comment>
    <comment ref="F375" authorId="4" shapeId="0" xr:uid="{00000000-0006-0000-0600-00002A000000}">
      <text>
        <r>
          <rPr>
            <sz val="10"/>
            <rFont val="Arial"/>
            <family val="2"/>
          </rPr>
          <t xml:space="preserve">Direct access to public road required. 
Indicate whether or not the road
maintenance is Public or Private. </t>
        </r>
      </text>
    </comment>
    <comment ref="D380" authorId="5" shapeId="0" xr:uid="{00000000-0006-0000-0600-00002B000000}">
      <text>
        <r>
          <rPr>
            <sz val="10"/>
            <rFont val="Arial"/>
            <family val="2"/>
          </rPr>
          <t>a.k.a. Special Flood Hazard Zone</t>
        </r>
      </text>
    </comment>
    <comment ref="E392" authorId="6" shapeId="0" xr:uid="{00000000-0006-0000-0600-00002C000000}">
      <text>
        <r>
          <rPr>
            <sz val="10"/>
            <rFont val="Arial"/>
            <family val="2"/>
          </rPr>
          <t>Applicable Programs only:
 list the number of beds if rent is
charged by the bed rather than by the unit.</t>
        </r>
      </text>
    </comment>
    <comment ref="Y392" authorId="7" shapeId="0" xr:uid="{00000000-0006-0000-0600-00002D000000}">
      <text>
        <r>
          <rPr>
            <sz val="10"/>
            <rFont val="Arial"/>
            <family val="2"/>
          </rPr>
          <t>Include manager's units.</t>
        </r>
      </text>
    </comment>
    <comment ref="E393" authorId="6" shapeId="0" xr:uid="{00000000-0006-0000-0600-00002E000000}">
      <text>
        <r>
          <rPr>
            <sz val="10"/>
            <rFont val="Arial"/>
            <family val="2"/>
          </rPr>
          <t>Applicable Programs only:
 list the number of beds if rent is
charged by the bed rather than by the unit.</t>
        </r>
      </text>
    </comment>
    <comment ref="Y393" authorId="7" shapeId="0" xr:uid="{00000000-0006-0000-0600-00002F000000}">
      <text>
        <r>
          <rPr>
            <sz val="10"/>
            <rFont val="Arial"/>
            <family val="2"/>
          </rPr>
          <t>Include manager's units.</t>
        </r>
      </text>
    </comment>
    <comment ref="AD395" authorId="1" shapeId="0" xr:uid="{00000000-0006-0000-0600-000030000000}">
      <text>
        <r>
          <rPr>
            <sz val="10"/>
            <rFont val="Arial"/>
            <family val="2"/>
          </rPr>
          <t>Must be completed for
max loan amount to calculate.</t>
        </r>
      </text>
    </comment>
    <comment ref="AH395" authorId="0" shapeId="0" xr:uid="{00000000-0006-0000-0600-000031000000}">
      <text>
        <r>
          <rPr>
            <sz val="10"/>
            <rFont val="Arial"/>
            <family val="2"/>
          </rPr>
          <t>Populates from "Unit Mix"</t>
        </r>
      </text>
    </comment>
    <comment ref="AK395" authorId="0" shapeId="0" xr:uid="{00000000-0006-0000-0600-000032000000}">
      <text>
        <r>
          <rPr>
            <sz val="10"/>
            <rFont val="Arial"/>
            <family val="2"/>
          </rPr>
          <t>All Restricted, populates from "Unit Mix"</t>
        </r>
      </text>
    </comment>
    <comment ref="T414" authorId="0" shapeId="0" xr:uid="{00000000-0006-0000-0600-000033000000}">
      <text>
        <r>
          <rPr>
            <sz val="10"/>
            <rFont val="Arial"/>
            <family val="2"/>
          </rPr>
          <t>List additional unit amenity.</t>
        </r>
      </text>
    </comment>
    <comment ref="AB414" authorId="0" shapeId="0" xr:uid="{00000000-0006-0000-0600-000034000000}">
      <text>
        <r>
          <rPr>
            <sz val="10"/>
            <rFont val="Arial"/>
            <family val="2"/>
          </rPr>
          <t>List additional unit amenity.</t>
        </r>
      </text>
    </comment>
    <comment ref="AJ414" authorId="0" shapeId="0" xr:uid="{00000000-0006-0000-0600-000035000000}">
      <text>
        <r>
          <rPr>
            <sz val="10"/>
            <rFont val="Arial"/>
            <family val="2"/>
          </rPr>
          <t>List additional unit amenity.</t>
        </r>
      </text>
    </comment>
    <comment ref="G417" authorId="1" shapeId="0" xr:uid="{00000000-0006-0000-0600-000036000000}">
      <text>
        <r>
          <rPr>
            <sz val="10"/>
            <rFont val="Arial"/>
            <family val="2"/>
          </rPr>
          <t>Number of Elevators on site.</t>
        </r>
      </text>
    </comment>
    <comment ref="Q417" authorId="1" shapeId="0" xr:uid="{00000000-0006-0000-0600-000037000000}">
      <text>
        <r>
          <rPr>
            <sz val="10"/>
            <rFont val="Arial"/>
            <family val="2"/>
          </rPr>
          <t>Enter the number of laundry rooms on site.</t>
        </r>
      </text>
    </comment>
    <comment ref="Y417" authorId="1" shapeId="0" xr:uid="{00000000-0006-0000-0600-000038000000}">
      <text>
        <r>
          <rPr>
            <sz val="10"/>
            <rFont val="Arial"/>
            <family val="2"/>
          </rPr>
          <t>Total Number of Washers in the
community laundry facilities?</t>
        </r>
      </text>
    </comment>
    <comment ref="AF417" authorId="1" shapeId="0" xr:uid="{00000000-0006-0000-0600-000039000000}">
      <text>
        <r>
          <rPr>
            <sz val="10"/>
            <rFont val="Arial"/>
            <family val="2"/>
          </rPr>
          <t>Total Number of dryers in the
community laundry buildings?</t>
        </r>
      </text>
    </comment>
    <comment ref="D422" authorId="0" shapeId="0" xr:uid="{00000000-0006-0000-0600-00003A000000}">
      <text>
        <r>
          <rPr>
            <sz val="10"/>
            <rFont val="Arial"/>
            <family val="2"/>
          </rPr>
          <t>List additional unit amenity.</t>
        </r>
      </text>
    </comment>
    <comment ref="N422" authorId="0" shapeId="0" xr:uid="{00000000-0006-0000-0600-00003B000000}">
      <text>
        <r>
          <rPr>
            <sz val="10"/>
            <rFont val="Arial"/>
            <family val="2"/>
          </rPr>
          <t>List additional unit amenity.</t>
        </r>
      </text>
    </comment>
    <comment ref="X422" authorId="0" shapeId="0" xr:uid="{00000000-0006-0000-0600-00003C000000}">
      <text>
        <r>
          <rPr>
            <sz val="10"/>
            <rFont val="Arial"/>
            <family val="2"/>
          </rPr>
          <t>List additional unit amenity.</t>
        </r>
      </text>
    </comment>
    <comment ref="AH422" authorId="0" shapeId="0" xr:uid="{00000000-0006-0000-0600-00003D000000}">
      <text>
        <r>
          <rPr>
            <sz val="10"/>
            <rFont val="Arial"/>
            <family val="2"/>
          </rPr>
          <t>List additional project amenity.</t>
        </r>
      </text>
    </comment>
    <comment ref="B430" authorId="0" shapeId="0" xr:uid="{00000000-0006-0000-0600-00003E000000}">
      <text>
        <r>
          <rPr>
            <sz val="10"/>
            <rFont val="Arial"/>
            <family val="2"/>
          </rPr>
          <t>Provide a general description
of other on-site services.</t>
        </r>
      </text>
    </comment>
    <comment ref="B434" authorId="0" shapeId="0" xr:uid="{00000000-0006-0000-0600-00003F000000}">
      <text>
        <r>
          <rPr>
            <sz val="10"/>
            <rFont val="Arial"/>
            <family val="2"/>
          </rPr>
          <t>Gross building floor area (SF).  Measure from
exterior face of exterior studs to
centerline of interior walls. Exclude
porches and similar unheated spaces.</t>
        </r>
      </text>
    </comment>
    <comment ref="M435" authorId="0" shapeId="0" xr:uid="{00000000-0006-0000-0600-000040000000}">
      <text>
        <r>
          <rPr>
            <sz val="10"/>
            <rFont val="Arial"/>
            <family val="2"/>
          </rPr>
          <t>Includes purely residential common areas
(interior corridors and stairwells, lobbies,
janitorial rooms, mechanical and electrical
rooms, utility chases, and elevator shafts).</t>
        </r>
      </text>
    </comment>
    <comment ref="AK435" authorId="7" shapeId="0" xr:uid="{00000000-0006-0000-0600-000041000000}">
      <text>
        <r>
          <rPr>
            <sz val="10"/>
            <rFont val="Arial"/>
            <family val="2"/>
          </rPr>
          <t>Show as residential only if available to
project tenants without  charge, beyond rent.</t>
        </r>
      </text>
    </comment>
    <comment ref="P438" authorId="6" shapeId="0" xr:uid="{00000000-0006-0000-0600-000042000000}">
      <text>
        <r>
          <rPr>
            <sz val="10"/>
            <rFont val="Arial"/>
            <family val="2"/>
          </rPr>
          <t>Show as residential only if includable in basis.</t>
        </r>
      </text>
    </comment>
    <comment ref="X438" authorId="7" shapeId="0" xr:uid="{00000000-0006-0000-0600-000043000000}">
      <text>
        <r>
          <rPr>
            <sz val="10"/>
            <rFont val="Arial"/>
            <family val="2"/>
          </rPr>
          <t>Include here only if space primarily
serves project tenants.</t>
        </r>
      </text>
    </comment>
    <comment ref="AA448" authorId="0" shapeId="0" xr:uid="{00000000-0006-0000-0600-000044000000}">
      <text>
        <r>
          <rPr>
            <sz val="10"/>
            <rFont val="Arial"/>
            <family val="2"/>
          </rPr>
          <t>(included within total
parking spaces)</t>
        </r>
      </text>
    </comment>
    <comment ref="P452" authorId="7" shapeId="0" xr:uid="{00000000-0006-0000-0600-000045000000}">
      <text>
        <r>
          <rPr>
            <sz val="10"/>
            <rFont val="Arial"/>
            <family val="2"/>
          </rPr>
          <t>Gross building floor area.  Measure from exterior
face of exterior studs to centerline of interior walls. 
Exclude porches and similar unheated space.</t>
        </r>
      </text>
    </comment>
    <comment ref="G453" authorId="6" shapeId="0" xr:uid="{00000000-0006-0000-0600-000046000000}">
      <text>
        <r>
          <rPr>
            <sz val="10"/>
            <rFont val="Arial"/>
            <family val="2"/>
          </rPr>
          <t>Income producing commercial space.</t>
        </r>
      </text>
    </comment>
    <comment ref="M453" authorId="7" shapeId="0" xr:uid="{00000000-0006-0000-0600-000047000000}">
      <text>
        <r>
          <rPr>
            <sz val="10"/>
            <rFont val="Arial"/>
            <family val="2"/>
          </rPr>
          <t>E.g. administrative offices of sponsor.</t>
        </r>
      </text>
    </comment>
    <comment ref="U453" authorId="6" shapeId="0" xr:uid="{00000000-0006-0000-0600-000048000000}">
      <text>
        <r>
          <rPr>
            <sz val="10"/>
            <rFont val="Arial"/>
            <family val="2"/>
          </rPr>
          <t>Childcare that is not includable in tax credit basis.</t>
        </r>
      </text>
    </comment>
    <comment ref="AC453" authorId="6" shapeId="0" xr:uid="{00000000-0006-0000-0600-000049000000}">
      <text>
        <r>
          <rPr>
            <sz val="10"/>
            <rFont val="Arial"/>
            <family val="2"/>
          </rPr>
          <t>Include any space here that you will be able
to rent to tenants for an extra monthly fee.</t>
        </r>
      </text>
    </comment>
    <comment ref="K465" authorId="0" shapeId="0" xr:uid="{00000000-0006-0000-0600-00004A000000}">
      <text>
        <r>
          <rPr>
            <sz val="10"/>
            <rFont val="Arial"/>
            <family val="2"/>
          </rPr>
          <t>Please be sure to only type up to two decimal places.</t>
        </r>
      </text>
    </comment>
    <comment ref="P465" authorId="7" shapeId="0" xr:uid="{00000000-0006-0000-0600-00004B000000}">
      <text>
        <r>
          <rPr>
            <sz val="10"/>
            <rFont val="Arial"/>
            <family val="2"/>
          </rPr>
          <t>Tenant Name and/or Use</t>
        </r>
      </text>
    </comment>
    <comment ref="Y465" authorId="7" shapeId="0" xr:uid="{00000000-0006-0000-0600-00004C000000}">
      <text>
        <r>
          <rPr>
            <sz val="10"/>
            <rFont val="Arial"/>
            <family val="2"/>
          </rPr>
          <t>NNN = tenant pays rent + taxes,
insurance, utilities, etc.</t>
        </r>
      </text>
    </comment>
    <comment ref="P466" authorId="7" shapeId="0" xr:uid="{00000000-0006-0000-0600-00004D000000}">
      <text>
        <r>
          <rPr>
            <sz val="10"/>
            <rFont val="Arial"/>
            <family val="2"/>
          </rPr>
          <t>Tenant Name and/or Use</t>
        </r>
      </text>
    </comment>
    <comment ref="Y466" authorId="7" shapeId="0" xr:uid="{00000000-0006-0000-0600-00004E000000}">
      <text>
        <r>
          <rPr>
            <sz val="10"/>
            <rFont val="Arial"/>
            <family val="2"/>
          </rPr>
          <t>NNN = tenant pays rent + taxes,
insurance, utilities, etc.</t>
        </r>
      </text>
    </comment>
    <comment ref="P467" authorId="7" shapeId="0" xr:uid="{00000000-0006-0000-0600-00004F000000}">
      <text>
        <r>
          <rPr>
            <sz val="10"/>
            <rFont val="Arial"/>
            <family val="2"/>
          </rPr>
          <t>Tenant Name and/or Use</t>
        </r>
      </text>
    </comment>
    <comment ref="Y467" authorId="7" shapeId="0" xr:uid="{00000000-0006-0000-0600-000050000000}">
      <text>
        <r>
          <rPr>
            <sz val="10"/>
            <rFont val="Arial"/>
            <family val="2"/>
          </rPr>
          <t>NNN = tenant pays rent + taxes,
insurance, utilities, etc.</t>
        </r>
      </text>
    </comment>
    <comment ref="K468" authorId="8" shapeId="0" xr:uid="{161FD324-1E6B-46A4-8520-27CC6FA90A23}">
      <text>
        <r>
          <rPr>
            <b/>
            <sz val="9"/>
            <color indexed="81"/>
            <rFont val="Tahoma"/>
            <family val="2"/>
          </rPr>
          <t>Hervey, Dylan@HCD:</t>
        </r>
        <r>
          <rPr>
            <sz val="9"/>
            <color indexed="81"/>
            <rFont val="Tahoma"/>
            <family val="2"/>
          </rPr>
          <t xml:space="preserve">
Make these two white spaces manual or hide all this and make these manual entries on OB</t>
        </r>
      </text>
    </comment>
    <comment ref="P468" authorId="7" shapeId="0" xr:uid="{00000000-0006-0000-0600-000051000000}">
      <text>
        <r>
          <rPr>
            <sz val="10"/>
            <rFont val="Arial"/>
            <family val="2"/>
          </rPr>
          <t>Tenant Name and/or Use</t>
        </r>
      </text>
    </comment>
    <comment ref="Y468" authorId="7" shapeId="0" xr:uid="{00000000-0006-0000-0600-000052000000}">
      <text>
        <r>
          <rPr>
            <sz val="10"/>
            <rFont val="Arial"/>
            <family val="2"/>
          </rPr>
          <t>NNN = tenant pays rent + taxes,
insurance, utilities, etc.</t>
        </r>
      </text>
    </comment>
    <comment ref="P470" authorId="7" shapeId="0" xr:uid="{00000000-0006-0000-0600-000053000000}">
      <text>
        <r>
          <rPr>
            <sz val="10"/>
            <rFont val="Arial"/>
            <family val="2"/>
          </rPr>
          <t>Tenant Name and/or Use</t>
        </r>
      </text>
    </comment>
    <comment ref="Y470" authorId="7" shapeId="0" xr:uid="{00000000-0006-0000-0600-000054000000}">
      <text>
        <r>
          <rPr>
            <sz val="10"/>
            <rFont val="Arial"/>
            <family val="2"/>
          </rPr>
          <t>NNN = tenant pays rent + taxes,
insurance, utilities, etc.</t>
        </r>
      </text>
    </comment>
    <comment ref="P471" authorId="7" shapeId="0" xr:uid="{00000000-0006-0000-0600-000055000000}">
      <text>
        <r>
          <rPr>
            <sz val="10"/>
            <rFont val="Arial"/>
            <family val="2"/>
          </rPr>
          <t>Tenant Name and/or Use</t>
        </r>
      </text>
    </comment>
    <comment ref="Y471" authorId="7" shapeId="0" xr:uid="{00000000-0006-0000-0600-000056000000}">
      <text>
        <r>
          <rPr>
            <sz val="10"/>
            <rFont val="Arial"/>
            <family val="2"/>
          </rPr>
          <t>NNN = tenant pays rent + taxes,
insurance, utilities, etc.</t>
        </r>
      </text>
    </comment>
    <comment ref="P472" authorId="7" shapeId="0" xr:uid="{00000000-0006-0000-0600-000057000000}">
      <text>
        <r>
          <rPr>
            <sz val="10"/>
            <rFont val="Arial"/>
            <family val="2"/>
          </rPr>
          <t>Tenant Name and/or Use</t>
        </r>
      </text>
    </comment>
    <comment ref="Y472" authorId="7" shapeId="0" xr:uid="{00000000-0006-0000-0600-000058000000}">
      <text>
        <r>
          <rPr>
            <sz val="10"/>
            <rFont val="Arial"/>
            <family val="2"/>
          </rPr>
          <t>NNN = tenant pays rent + taxes,
insurance, utilities, etc.</t>
        </r>
      </text>
    </comment>
    <comment ref="P473" authorId="7" shapeId="0" xr:uid="{00000000-0006-0000-0600-000059000000}">
      <text>
        <r>
          <rPr>
            <sz val="10"/>
            <rFont val="Arial"/>
            <family val="2"/>
          </rPr>
          <t>Tenant Name and/or Use</t>
        </r>
      </text>
    </comment>
    <comment ref="Y473" authorId="7" shapeId="0" xr:uid="{00000000-0006-0000-0600-00005A000000}">
      <text>
        <r>
          <rPr>
            <sz val="10"/>
            <rFont val="Arial"/>
            <family val="2"/>
          </rPr>
          <t>NNN = tenant pays rent + taxes,
insurance, utilities, etc.</t>
        </r>
      </text>
    </comment>
    <comment ref="G487" authorId="9" shapeId="0" xr:uid="{00000000-0006-0000-0600-00005B000000}">
      <text>
        <r>
          <rPr>
            <sz val="10"/>
            <rFont val="Arial"/>
            <family val="2"/>
          </rPr>
          <t>Specify</t>
        </r>
      </text>
    </comment>
    <comment ref="G491" authorId="0" shapeId="0" xr:uid="{00000000-0006-0000-0600-00005C000000}">
      <text>
        <r>
          <rPr>
            <sz val="10"/>
            <rFont val="Arial"/>
            <family val="2"/>
          </rPr>
          <t>Name of local PHA</t>
        </r>
      </text>
    </comment>
    <comment ref="AA492" authorId="1" shapeId="0" xr:uid="{00000000-0006-0000-0600-00005D000000}">
      <text>
        <r>
          <rPr>
            <sz val="10"/>
            <rFont val="Arial"/>
            <family val="2"/>
          </rPr>
          <t>If other, indicate the name of the
Agency that provided the Utility
Allowance Schedule.</t>
        </r>
      </text>
    </comment>
    <comment ref="B497" authorId="0" shapeId="0" xr:uid="{00000000-0006-0000-0600-00005E000000}">
      <text>
        <r>
          <rPr>
            <sz val="10"/>
            <rFont val="Arial"/>
            <family val="2"/>
          </rPr>
          <t>Environmental Reports are required as
set forth in the application checklist
and the Notice of Funding Availability.</t>
        </r>
      </text>
    </comment>
    <comment ref="AJ553" authorId="1" shapeId="0" xr:uid="{00000000-0006-0000-0600-00005F000000}">
      <text>
        <r>
          <rPr>
            <sz val="10"/>
            <rFont val="Arial"/>
            <family val="2"/>
          </rPr>
          <t xml:space="preserve">Date completed or
Date expected for completion.
Do not leave blank, if not
applicable type N/A.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Gutierrez, Alfredo@HCD</author>
    <author>rschmunk</author>
    <author>Hervey, Dylan@HCD</author>
  </authors>
  <commentList>
    <comment ref="E2" authorId="0" shapeId="0" xr:uid="{00000000-0006-0000-0C00-000001000000}">
      <text>
        <r>
          <rPr>
            <sz val="10"/>
            <rFont val="Arial"/>
            <family val="2"/>
          </rPr>
          <t>Construction Sources Totals</t>
        </r>
      </text>
    </comment>
    <comment ref="E3" authorId="0" shapeId="0" xr:uid="{00000000-0006-0000-0C00-000002000000}">
      <text>
        <r>
          <rPr>
            <sz val="10"/>
            <rFont val="Arial"/>
            <family val="2"/>
          </rPr>
          <t>Permanent Sources Totals</t>
        </r>
      </text>
    </comment>
    <comment ref="C4" authorId="0" shapeId="0" xr:uid="{00000000-0006-0000-0C00-000003000000}">
      <text>
        <r>
          <rPr>
            <sz val="10"/>
            <rFont val="Arial"/>
            <family val="2"/>
          </rPr>
          <t>Funding Committed by Application Due Date?</t>
        </r>
      </text>
    </comment>
    <comment ref="D4" authorId="0" shapeId="0" xr:uid="{00000000-0006-0000-0C00-000004000000}">
      <text>
        <r>
          <rPr>
            <sz val="10"/>
            <rFont val="Arial"/>
            <family val="2"/>
          </rPr>
          <t>1)  Do not show deferred costs as a source. 
2) Include any locality fee waivers as a source and show that
    there are no repayment requirements by entering "None"
    in the "Required Payment" column.</t>
        </r>
      </text>
    </comment>
    <comment ref="F4" authorId="0" shapeId="0" xr:uid="{00000000-0006-0000-0C00-000005000000}">
      <text>
        <r>
          <rPr>
            <sz val="10"/>
            <rFont val="Arial"/>
            <family val="2"/>
          </rPr>
          <t>If no lien position, type
 "N/A".</t>
        </r>
      </text>
    </comment>
    <comment ref="J4" authorId="0" shapeId="0" xr:uid="{00000000-0006-0000-0C00-000006000000}">
      <text>
        <r>
          <rPr>
            <sz val="10"/>
            <rFont val="Arial"/>
            <family val="2"/>
          </rPr>
          <t>Actual or projected rate during construction period.</t>
        </r>
      </text>
    </comment>
    <comment ref="N4" authorId="0" shapeId="0" xr:uid="{00000000-0006-0000-0C00-000007000000}">
      <text>
        <r>
          <rPr>
            <sz val="10"/>
            <rFont val="Arial"/>
            <family val="2"/>
          </rPr>
          <t>Select the amortization period that the interest rate is based
on; i.e.., fixed, variable, fixed with reset, etc.</t>
        </r>
      </text>
    </comment>
    <comment ref="P4" authorId="0" shapeId="0" xr:uid="{00000000-0006-0000-0C00-000008000000}">
      <text>
        <r>
          <rPr>
            <sz val="10"/>
            <rFont val="Arial"/>
            <family val="2"/>
          </rPr>
          <t>FAM = Fully Amortized; AWC = Amortized with Call;
RR = Residual Receipts; DEF= Deferred;
IO = Interest Only;
F2FL = Fixed to Float;
MHP = Partial Interest Only</t>
        </r>
      </text>
    </comment>
    <comment ref="R4" authorId="0" shapeId="0" xr:uid="{00000000-0006-0000-0C00-000009000000}">
      <text>
        <r>
          <rPr>
            <sz val="10"/>
            <rFont val="Arial"/>
            <family val="2"/>
          </rPr>
          <t>Do not include residual receipts payments. 
Show only "must pay" residential debt service.</t>
        </r>
      </text>
    </comment>
    <comment ref="S4" authorId="0" shapeId="0" xr:uid="{00000000-0006-0000-0C00-00000A000000}">
      <text>
        <r>
          <rPr>
            <sz val="10"/>
            <rFont val="Arial"/>
            <family val="2"/>
          </rPr>
          <t>Do not include residual receipts payments.
Show only "must pay" commercial debt service.</t>
        </r>
      </text>
    </comment>
    <comment ref="T4" authorId="1" shapeId="0" xr:uid="{00000000-0006-0000-0C00-00000B000000}">
      <text>
        <r>
          <rPr>
            <sz val="10"/>
            <rFont val="Arial"/>
            <family val="2"/>
          </rPr>
          <t>Amount of tax-exempt bond proceeds.</t>
        </r>
      </text>
    </comment>
    <comment ref="D32" authorId="0" shapeId="0" xr:uid="{00000000-0006-0000-0C00-00000C000000}">
      <text>
        <r>
          <rPr>
            <sz val="10"/>
            <rFont val="Arial"/>
            <family val="2"/>
          </rPr>
          <t>Overwrite only if Investor
or syndicator name is known.</t>
        </r>
      </text>
    </comment>
    <comment ref="B33" authorId="0" shapeId="0" xr:uid="{00000000-0006-0000-0C00-00000D000000}">
      <text>
        <r>
          <rPr>
            <sz val="10"/>
            <rFont val="Arial"/>
            <family val="2"/>
          </rPr>
          <t>HCD programs must take second position
on lien priority. See UMR section 8315
for subordination exemptions.</t>
        </r>
      </text>
    </comment>
    <comment ref="D36" authorId="2" shapeId="0" xr:uid="{9CAE378F-7C98-4FF7-96C7-0A1C9D2C29AD}">
      <text>
        <r>
          <rPr>
            <sz val="9"/>
            <color indexed="81"/>
            <rFont val="Tahoma"/>
            <family val="2"/>
          </rPr>
          <t>Gap Eligibility tab Cell B24</t>
        </r>
      </text>
    </comment>
    <comment ref="G37" authorId="0" shapeId="0" xr:uid="{00000000-0006-0000-0C00-00000E000000}">
      <text>
        <r>
          <rPr>
            <sz val="10"/>
            <rFont val="Arial"/>
            <family val="2"/>
          </rPr>
          <t>Populates from "Dev Budget SU" tab.</t>
        </r>
      </text>
    </comment>
    <comment ref="G38" authorId="0" shapeId="0" xr:uid="{00000000-0006-0000-0C00-00000F000000}">
      <text>
        <r>
          <rPr>
            <sz val="10"/>
            <rFont val="Arial"/>
            <family val="2"/>
          </rPr>
          <t>Populates from "Dev Budget SU" tab.</t>
        </r>
      </text>
    </comment>
    <comment ref="G39" authorId="0" shapeId="0" xr:uid="{00000000-0006-0000-0C00-000010000000}">
      <text>
        <r>
          <rPr>
            <sz val="10"/>
            <rFont val="Arial"/>
            <family val="2"/>
          </rPr>
          <t>Populates from "Dev Budget SU" tab.</t>
        </r>
      </text>
    </comment>
    <comment ref="G40" authorId="0" shapeId="0" xr:uid="{00000000-0006-0000-0C00-000011000000}">
      <text>
        <r>
          <rPr>
            <sz val="10"/>
            <rFont val="Arial"/>
            <family val="2"/>
          </rPr>
          <t>Populates from "Dev Budget SU" tab.</t>
        </r>
      </text>
    </comment>
    <comment ref="G41" authorId="0" shapeId="0" xr:uid="{00000000-0006-0000-0C00-000012000000}">
      <text>
        <r>
          <rPr>
            <sz val="10"/>
            <rFont val="Arial"/>
            <family val="2"/>
          </rPr>
          <t>Populates from "Dev Budget SU" tab.</t>
        </r>
      </text>
    </comment>
    <comment ref="G42" authorId="0" shapeId="0" xr:uid="{00000000-0006-0000-0C00-000013000000}">
      <text>
        <r>
          <rPr>
            <sz val="10"/>
            <rFont val="Arial"/>
            <family val="2"/>
          </rPr>
          <t>Populates from "Dev Budget SU" tab.</t>
        </r>
      </text>
    </comment>
    <comment ref="G43" authorId="0" shapeId="0" xr:uid="{00000000-0006-0000-0C00-000014000000}">
      <text>
        <r>
          <rPr>
            <sz val="10"/>
            <rFont val="Arial"/>
            <family val="2"/>
          </rPr>
          <t>Section 7313(f) Sponsors may establish a Supportive Services Reserve to cover unexpected shortfalls in
revenues to pay for resident services coordination and on-site case management costs.
This reserve may be funded through project cash flow available after funding Operating
Expenses and other required reserves, or through development sources. The maximum
balance shall not exceed three times the per-Unit, per-year limits.</t>
        </r>
      </text>
    </comment>
    <comment ref="D61" authorId="0" shapeId="0" xr:uid="{00000000-0006-0000-0C00-000015000000}">
      <text>
        <r>
          <rPr>
            <sz val="10"/>
            <rFont val="Arial"/>
            <family val="2"/>
          </rPr>
          <t>Overwrite only if Investor
or syndicator name is known.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Gutierrez, Alfredo@HCD</author>
    <author>George Rodine</author>
    <author>fhl4a</author>
  </authors>
  <commentList>
    <comment ref="H2" authorId="0" shapeId="0" xr:uid="{00000000-0006-0000-0E00-000001000000}">
      <text>
        <r>
          <rPr>
            <sz val="10"/>
            <rFont val="Arial"/>
            <family val="2"/>
          </rPr>
          <t>if Permanent sources is shaded red,
amount does not equal the same as
amount entered at "Dev Sources" sheet.</t>
        </r>
      </text>
    </comment>
    <comment ref="F4" authorId="1" shapeId="0" xr:uid="{00000000-0006-0000-0E00-000002000000}">
      <text>
        <r>
          <rPr>
            <sz val="10"/>
            <rFont val="Arial"/>
            <family val="2"/>
          </rPr>
          <t xml:space="preserve">PVC - Present Value Credit 
</t>
        </r>
      </text>
    </comment>
    <comment ref="G4" authorId="1" shapeId="0" xr:uid="{00000000-0006-0000-0E00-000003000000}">
      <text>
        <r>
          <rPr>
            <sz val="10"/>
            <rFont val="Arial"/>
            <family val="2"/>
          </rPr>
          <t xml:space="preserve">PVC - Present Value Credit 
</t>
        </r>
      </text>
    </comment>
    <comment ref="C55" authorId="0" shapeId="0" xr:uid="{00000000-0006-0000-0E00-000004000000}">
      <text>
        <r>
          <rPr>
            <sz val="10"/>
            <rFont val="Arial"/>
            <family val="2"/>
          </rPr>
          <t>Provide eligible AHD Employment Benefits
and Outcomes Reporting costs (as defined
in the Guidelines) not including other HRI
Soft Costs.</t>
        </r>
      </text>
    </comment>
    <comment ref="F119" authorId="0" shapeId="0" xr:uid="{00000000-0006-0000-0E00-000005000000}">
      <text>
        <r>
          <rPr>
            <sz val="10"/>
            <rFont val="Arial"/>
            <family val="2"/>
          </rPr>
          <t>IIG is a "Grant" Program and therefore,
please, consult with your CPA or seek
legal counsel in regards to "Eligible Basis" for
"Grant" proceeds.</t>
        </r>
      </text>
    </comment>
    <comment ref="B120" authorId="0" shapeId="0" xr:uid="{00000000-0006-0000-0E00-000006000000}">
      <text>
        <r>
          <rPr>
            <sz val="10"/>
            <rFont val="Arial"/>
            <family val="2"/>
          </rPr>
          <t>Total Site Acquisition (not parking)</t>
        </r>
      </text>
    </comment>
    <comment ref="B167" authorId="2" shapeId="0" xr:uid="{00000000-0006-0000-0E00-000007000000}">
      <text>
        <r>
          <rPr>
            <sz val="10"/>
            <rFont val="Arial"/>
            <family val="2"/>
          </rPr>
          <t>§203(b)(4) (4) Structured Parking that serves a Transit Station,
so long as they are required to replace existing parking spaces
displaced by construction of new housing identified in the Application.
Awarded funds may not exceed $50,000 per space and may not
exceed 30 percent of the total Award amount.</t>
        </r>
      </text>
    </comment>
    <comment ref="B174" authorId="2" shapeId="0" xr:uid="{00000000-0006-0000-0E00-000008000000}">
      <text>
        <r>
          <rPr>
            <sz val="10"/>
            <rFont val="Arial"/>
            <family val="2"/>
          </rPr>
          <t xml:space="preserve">§304(a)(4)(B) Residential Structured Parking and mechanical parking lifts.
The minimum residential per unit parking spaces in Structured Parking,
as required by local land-use entitlement approval, not to exceed one
parking space per residential unit, and not to exceed $50,000 per permitted space.
</t>
        </r>
      </text>
    </comment>
    <comment ref="C189" authorId="1" shapeId="0" xr:uid="{00000000-0006-0000-0E00-000009000000}">
      <text>
        <r>
          <rPr>
            <sz val="10"/>
            <rFont val="Arial"/>
            <family val="2"/>
          </rPr>
          <t>Impact fees required by local ordinance are eligible for funding only if used for the identified eligible Capital Project not to exceed 5% of the CIP Program award.</t>
        </r>
      </text>
    </comment>
    <comment ref="C190" authorId="1" shapeId="0" xr:uid="{00000000-0006-0000-0E00-00000A000000}">
      <text>
        <r>
          <rPr>
            <sz val="10"/>
            <rFont val="Arial"/>
            <family val="2"/>
          </rPr>
          <t>Impact fees required by local ordinance are eligible for funding only if used for the identified eligible Capital Project not to exceed 5% of the CIP Program award.</t>
        </r>
      </text>
    </comment>
    <comment ref="C191" authorId="1" shapeId="0" xr:uid="{00000000-0006-0000-0E00-00000B000000}">
      <text>
        <r>
          <rPr>
            <sz val="10"/>
            <rFont val="Arial"/>
            <family val="2"/>
          </rPr>
          <t>Impact fees required by local ordinance are eligible for funding only if used for the identified eligible Capital Project not to exceed 5% of the CIP Program award.</t>
        </r>
      </text>
    </comment>
    <comment ref="C192" authorId="1" shapeId="0" xr:uid="{00000000-0006-0000-0E00-00000C000000}">
      <text>
        <r>
          <rPr>
            <sz val="10"/>
            <rFont val="Arial"/>
            <family val="2"/>
          </rPr>
          <t>Impact fees required by local ordinance are eligible for funding only if used for the identified eligible Capital Project not to exceed 5% of the CIP Program award.</t>
        </r>
      </text>
    </comment>
    <comment ref="C193" authorId="1" shapeId="0" xr:uid="{00000000-0006-0000-0E00-00000D000000}">
      <text>
        <r>
          <rPr>
            <sz val="10"/>
            <rFont val="Arial"/>
            <family val="2"/>
          </rPr>
          <t>Impact fees required by local ordinance are eligible for funding only if used for the identified eligible Capital Project not to exceed 5% of the CIP Program award.</t>
        </r>
      </text>
    </comment>
    <comment ref="C194" authorId="1" shapeId="0" xr:uid="{00000000-0006-0000-0E00-00000E000000}">
      <text>
        <r>
          <rPr>
            <sz val="10"/>
            <rFont val="Arial"/>
            <family val="2"/>
          </rPr>
          <t>Impact fees required by local ordinance are eligible for funding only if used for the identified eligible Capital Project not to exceed 5% of the CIP Program award.</t>
        </r>
      </text>
    </comment>
    <comment ref="B203" authorId="0" shapeId="0" xr:uid="{00000000-0006-0000-0E00-00000F000000}">
      <text>
        <r>
          <rPr>
            <sz val="10"/>
            <rFont val="Arial"/>
            <family val="2"/>
          </rPr>
          <t>Total Other Asset Costs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Hervey, Dylan@HCD</author>
  </authors>
  <commentList>
    <comment ref="B2" authorId="0" shapeId="0" xr:uid="{D329E06B-014A-475A-90F0-ECC5836EC12A}">
      <text>
        <r>
          <rPr>
            <b/>
            <sz val="9"/>
            <color indexed="81"/>
            <rFont val="Tahoma"/>
            <family val="2"/>
          </rPr>
          <t>Hervey, Dylan@HCD:</t>
        </r>
        <r>
          <rPr>
            <sz val="9"/>
            <color indexed="81"/>
            <rFont val="Tahoma"/>
            <family val="2"/>
          </rPr>
          <t xml:space="preserve">
See if tab can hide or unhide</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Gutierrez, Alfredo@HCD</author>
  </authors>
  <commentList>
    <comment ref="G8" authorId="0" shapeId="0" xr:uid="{00000000-0006-0000-0B00-000001000000}">
      <text>
        <r>
          <rPr>
            <sz val="10"/>
            <rFont val="Arial"/>
            <family val="2"/>
          </rPr>
          <t xml:space="preserve">Large Family Project Requirements,
7302(e)(1). Restricted Units at least
25% have 3 or more bedrooms and
at least an additional 25% have 2 or
more bedrooms. </t>
        </r>
      </text>
    </comment>
    <comment ref="B9" authorId="0" shapeId="0" xr:uid="{00000000-0006-0000-0B00-000002000000}">
      <text>
        <r>
          <rPr>
            <sz val="10"/>
            <rFont val="Arial"/>
            <family val="2"/>
          </rPr>
          <t>Section 7302(e)(1)
Large Family, where of the Restricted
Units at least 25 percent have three
or more bedrooms, and at least an
additional 25 percent have two or
more bedrooms.</t>
        </r>
      </text>
    </comment>
    <comment ref="Q9" authorId="0" shapeId="0" xr:uid="{00000000-0006-0000-0B00-000003000000}">
      <text>
        <r>
          <rPr>
            <sz val="10"/>
            <rFont val="Arial"/>
            <family val="2"/>
          </rPr>
          <t>as designated in the most recently updated
TCAC/HCD Opportunity Area Maps or such
other map as federal designations may issue
that has been approved by the Department
for this purpose.</t>
        </r>
      </text>
    </comment>
    <comment ref="X9" authorId="0" shapeId="0" xr:uid="{00000000-0006-0000-0B00-000004000000}">
      <text>
        <r>
          <rPr>
            <sz val="10"/>
            <rFont val="Arial"/>
            <family val="2"/>
          </rPr>
          <t>“Rural Area” has the meaning set
forth in Health and Safety Code
section 50199.21.</t>
        </r>
      </text>
    </comment>
    <comment ref="U22" authorId="0" shapeId="0" xr:uid="{00000000-0006-0000-0B00-000005000000}">
      <text>
        <r>
          <rPr>
            <sz val="10"/>
            <rFont val="Arial"/>
            <family val="2"/>
          </rPr>
          <t>No more than $50,000,000 in total
rental housing development loans
may be used per Project.</t>
        </r>
      </text>
    </comment>
    <comment ref="B26" authorId="0" shapeId="0" xr:uid="{00000000-0006-0000-0B00-000006000000}">
      <text>
        <r>
          <rPr>
            <sz val="10"/>
            <rFont val="Arial"/>
            <family val="2"/>
          </rPr>
          <t>TDC = Total Development Cost</t>
        </r>
      </text>
    </comment>
    <comment ref="B38" authorId="0" shapeId="0" xr:uid="{00000000-0006-0000-0B00-000007000000}">
      <text>
        <r>
          <rPr>
            <sz val="10"/>
            <rFont val="Arial"/>
            <family val="2"/>
          </rPr>
          <t>FWHG
maximum Allowable
Loan Amount, complete (II and III)
tables below.</t>
        </r>
      </text>
    </comment>
    <comment ref="B39" authorId="0" shapeId="0" xr:uid="{00000000-0006-0000-0B00-000008000000}">
      <text>
        <r>
          <rPr>
            <sz val="10"/>
            <rFont val="Arial"/>
            <family val="2"/>
          </rPr>
          <t>MHP
maximum Allowable
Loan Amount, complete (II and III)
table below.</t>
        </r>
      </text>
    </comment>
    <comment ref="B40" authorId="0" shapeId="0" xr:uid="{00000000-0006-0000-0B00-000009000000}">
      <text>
        <r>
          <rPr>
            <sz val="10"/>
            <rFont val="Arial"/>
            <family val="2"/>
          </rPr>
          <t>SHMHP
maximum Allowable
Loan Amount, complete (II and III)
table below.</t>
        </r>
      </text>
    </comment>
    <comment ref="B41" authorId="0" shapeId="0" xr:uid="{00000000-0006-0000-0B00-00000A000000}">
      <text>
        <r>
          <rPr>
            <sz val="10"/>
            <rFont val="Arial"/>
            <family val="2"/>
          </rPr>
          <t>TOD
maximum Allowable
Loan Amount, complete (II and III)
table below.</t>
        </r>
      </text>
    </comment>
    <comment ref="B42" authorId="0" shapeId="0" xr:uid="{00000000-0006-0000-0B00-00000B000000}">
      <text>
        <r>
          <rPr>
            <sz val="10"/>
            <rFont val="Arial"/>
            <family val="2"/>
          </rPr>
          <t>VHHP
maximum Allowable
Loan Amount, complete (II and III)
table below.</t>
        </r>
      </text>
    </comment>
    <comment ref="B46" authorId="0" shapeId="0" xr:uid="{00000000-0006-0000-0B00-00000C000000}">
      <text>
        <r>
          <rPr>
            <sz val="10"/>
            <rFont val="Arial"/>
            <family val="2"/>
          </rPr>
          <t>(1) The amount calculated pursuant to the current COSR per unit subsidy limit</t>
        </r>
      </text>
    </comment>
    <comment ref="B47" authorId="0" shapeId="0" xr:uid="{00000000-0006-0000-0B00-00000D000000}">
      <text>
        <r>
          <rPr>
            <sz val="10"/>
            <rFont val="Arial"/>
            <family val="2"/>
          </rPr>
          <t>(2) The amount necessary to bring to zero the operating deficit attributable to the COSR Assisted Units</t>
        </r>
      </text>
    </comment>
    <comment ref="B49" authorId="0" shapeId="0" xr:uid="{00000000-0006-0000-0B00-00000E000000}">
      <text>
        <r>
          <rPr>
            <sz val="10"/>
            <rFont val="Arial"/>
            <family val="2"/>
          </rPr>
          <t>Section 7304.1(b)</t>
        </r>
      </text>
    </comment>
    <comment ref="B50" authorId="0" shapeId="0" xr:uid="{00000000-0006-0000-0B00-00000F000000}">
      <text>
        <r>
          <rPr>
            <sz val="10"/>
            <rFont val="Arial"/>
            <family val="2"/>
          </rPr>
          <t>Capitalized Operating Subsidy Reserves (“COSRs”).</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Hervey, Dylan@HCD</author>
  </authors>
  <commentList>
    <comment ref="B46" authorId="0" shapeId="0" xr:uid="{3A18B493-3006-45D6-8252-3F97B90E9D69}">
      <text>
        <r>
          <rPr>
            <b/>
            <sz val="9"/>
            <color indexed="81"/>
            <rFont val="Tahoma"/>
            <family val="2"/>
          </rPr>
          <t>Hervey, Dylan@HCD:</t>
        </r>
        <r>
          <rPr>
            <sz val="9"/>
            <color indexed="81"/>
            <rFont val="Tahoma"/>
            <family val="2"/>
          </rPr>
          <t xml:space="preserve">
Total Federal 4% Credit Amount used on original HCD application that was previously underwritten and awarded.
</t>
        </r>
      </text>
    </comment>
    <comment ref="B47" authorId="0" shapeId="0" xr:uid="{127D8DBD-CA52-4900-AA1C-50357874104E}">
      <text>
        <r>
          <rPr>
            <b/>
            <sz val="9"/>
            <color indexed="81"/>
            <rFont val="Tahoma"/>
            <family val="2"/>
          </rPr>
          <t>Hervey, Dylan@HCD:</t>
        </r>
        <r>
          <rPr>
            <sz val="9"/>
            <color indexed="81"/>
            <rFont val="Tahoma"/>
            <family val="2"/>
          </rPr>
          <t xml:space="preserve">
Total State 4% Credit Amount used on original HCD application that was previously underwritten and awarded.
</t>
        </r>
      </text>
    </comment>
    <comment ref="B48" authorId="0" shapeId="0" xr:uid="{6B416F16-97EF-46DB-96EF-ECA6FB197F6C}">
      <text>
        <r>
          <rPr>
            <b/>
            <sz val="9"/>
            <color indexed="81"/>
            <rFont val="Tahoma"/>
            <family val="2"/>
          </rPr>
          <t>Hervey, Dylan@HCD:</t>
        </r>
        <r>
          <rPr>
            <sz val="9"/>
            <color indexed="81"/>
            <rFont val="Tahoma"/>
            <family val="2"/>
          </rPr>
          <t xml:space="preserve">
Total Federal 4% credit amount used in this application. Must match Syndication Letter</t>
        </r>
      </text>
    </comment>
    <comment ref="B49" authorId="0" shapeId="0" xr:uid="{42A8FC99-5448-4A7C-BEDC-7C0A389CF6BA}">
      <text>
        <r>
          <rPr>
            <b/>
            <sz val="9"/>
            <color indexed="81"/>
            <rFont val="Tahoma"/>
            <family val="2"/>
          </rPr>
          <t>Hervey, Dylan@HCD:</t>
        </r>
        <r>
          <rPr>
            <sz val="9"/>
            <color indexed="81"/>
            <rFont val="Tahoma"/>
            <family val="2"/>
          </rPr>
          <t xml:space="preserve">
Total Statel 4% credit amount used in this application. Must match Syndication Letter</t>
        </r>
      </text>
    </comment>
    <comment ref="B50" authorId="0" shapeId="0" xr:uid="{C393C9D1-5A3A-4B46-BE41-2728DDD6765E}">
      <text>
        <r>
          <rPr>
            <b/>
            <sz val="9"/>
            <color indexed="81"/>
            <rFont val="Tahoma"/>
            <family val="2"/>
          </rPr>
          <t>Hervey, Dylan@HCD:</t>
        </r>
        <r>
          <rPr>
            <sz val="9"/>
            <color indexed="81"/>
            <rFont val="Tahoma"/>
            <family val="2"/>
          </rPr>
          <t xml:space="preserve">
Federal Tax Credit Factorused on original HCD application that was previously underwritten and awarded.</t>
        </r>
      </text>
    </comment>
    <comment ref="B51" authorId="0" shapeId="0" xr:uid="{EEC480FC-AB27-4F26-BDBB-ADFFFEB0EE1B}">
      <text>
        <r>
          <rPr>
            <b/>
            <sz val="9"/>
            <color indexed="81"/>
            <rFont val="Tahoma"/>
            <family val="2"/>
          </rPr>
          <t>Hervey, Dylan@HCD:</t>
        </r>
        <r>
          <rPr>
            <sz val="9"/>
            <color indexed="81"/>
            <rFont val="Tahoma"/>
            <family val="2"/>
          </rPr>
          <t xml:space="preserve">
State Tax Credit Factor used on original HCD application that was previously underwritten and awarded.</t>
        </r>
      </text>
    </comment>
    <comment ref="B52" authorId="0" shapeId="0" xr:uid="{3D8649B0-29FF-4418-9604-DFBD875B9906}">
      <text>
        <r>
          <rPr>
            <b/>
            <sz val="9"/>
            <color indexed="81"/>
            <rFont val="Tahoma"/>
            <family val="2"/>
          </rPr>
          <t>Hervey, Dylan@HCD:</t>
        </r>
        <r>
          <rPr>
            <sz val="9"/>
            <color indexed="81"/>
            <rFont val="Tahoma"/>
            <family val="2"/>
          </rPr>
          <t xml:space="preserve">
New Federal Tax Credit Factor inputted in Cell AF208 on Project Overview tab</t>
        </r>
      </text>
    </comment>
    <comment ref="B53" authorId="0" shapeId="0" xr:uid="{8BD4F82C-9F95-46A5-97A3-4E7C9AE0D5DB}">
      <text>
        <r>
          <rPr>
            <b/>
            <sz val="9"/>
            <color indexed="81"/>
            <rFont val="Tahoma"/>
            <family val="2"/>
          </rPr>
          <t>Hervey, Dylan@HCD:</t>
        </r>
        <r>
          <rPr>
            <sz val="9"/>
            <color indexed="81"/>
            <rFont val="Tahoma"/>
            <family val="2"/>
          </rPr>
          <t xml:space="preserve">
New State Tax Credit Factor inputted in Cell AF209 on Project Overview tab</t>
        </r>
      </text>
    </comment>
    <comment ref="B54" authorId="0" shapeId="0" xr:uid="{A74C838F-BAA2-4FA0-9FF7-B0C96BAECE71}">
      <text>
        <r>
          <rPr>
            <b/>
            <sz val="9"/>
            <color indexed="81"/>
            <rFont val="Tahoma"/>
            <family val="2"/>
          </rPr>
          <t>Hervey, Dylan@HCD:</t>
        </r>
        <r>
          <rPr>
            <sz val="9"/>
            <color indexed="81"/>
            <rFont val="Tahoma"/>
            <family val="2"/>
          </rPr>
          <t xml:space="preserve">
Previous Net Equity. Original Total Credit should remain the same.</t>
        </r>
      </text>
    </comment>
    <comment ref="C55" authorId="0" shapeId="0" xr:uid="{91F684E0-50E2-4F37-8794-78482510E3BD}">
      <text>
        <r>
          <rPr>
            <b/>
            <sz val="9"/>
            <color indexed="81"/>
            <rFont val="Tahoma"/>
            <family val="2"/>
          </rPr>
          <t>Hervey, Dylan@HCD:</t>
        </r>
        <r>
          <rPr>
            <sz val="9"/>
            <color indexed="81"/>
            <rFont val="Tahoma"/>
            <family val="2"/>
          </rPr>
          <t xml:space="preserve">
Total Federal and State net equity as listed in application</t>
        </r>
      </text>
    </comment>
    <comment ref="B59" authorId="0" shapeId="0" xr:uid="{8123CEE5-2ED1-42EB-82D1-453ED7E991FE}">
      <text>
        <r>
          <rPr>
            <b/>
            <sz val="9"/>
            <color indexed="81"/>
            <rFont val="Tahoma"/>
            <family val="2"/>
          </rPr>
          <t>Hervey, Dylan@HCD:</t>
        </r>
        <r>
          <rPr>
            <sz val="9"/>
            <color indexed="81"/>
            <rFont val="Tahoma"/>
            <family val="2"/>
          </rPr>
          <t xml:space="preserve">
Provide supporting documentation</t>
        </r>
      </text>
    </comment>
    <comment ref="B60" authorId="0" shapeId="0" xr:uid="{833BFB29-3908-4368-9F2F-E15AE8EAE176}">
      <text>
        <r>
          <rPr>
            <b/>
            <sz val="9"/>
            <color indexed="81"/>
            <rFont val="Tahoma"/>
            <family val="2"/>
          </rPr>
          <t>Hervey, Dylan@HCD:</t>
        </r>
        <r>
          <rPr>
            <sz val="9"/>
            <color indexed="81"/>
            <rFont val="Tahoma"/>
            <family val="2"/>
          </rPr>
          <t xml:space="preserve">
Total 9% net equity used on original HCD application that was previously underwritten and awarded.</t>
        </r>
      </text>
    </comment>
    <comment ref="B61" authorId="0" shapeId="0" xr:uid="{612D5A3C-D0D1-48A6-94D8-AB3013F5E40C}">
      <text>
        <r>
          <rPr>
            <b/>
            <sz val="9"/>
            <color indexed="81"/>
            <rFont val="Tahoma"/>
            <family val="2"/>
          </rPr>
          <t>Hervey, Dylan@HCD:</t>
        </r>
        <r>
          <rPr>
            <sz val="9"/>
            <color indexed="81"/>
            <rFont val="Tahoma"/>
            <family val="2"/>
          </rPr>
          <t xml:space="preserve">
Should match the current application
</t>
        </r>
      </text>
    </comment>
    <comment ref="B63" authorId="0" shapeId="0" xr:uid="{B70E941F-307D-47FC-A927-7053D7628B6A}">
      <text>
        <r>
          <rPr>
            <b/>
            <sz val="9"/>
            <color indexed="81"/>
            <rFont val="Tahoma"/>
            <family val="2"/>
          </rPr>
          <t>Hervey, Dylan@HCD:</t>
        </r>
        <r>
          <rPr>
            <sz val="9"/>
            <color indexed="81"/>
            <rFont val="Tahoma"/>
            <family val="2"/>
          </rPr>
          <t xml:space="preserve">
Provide supporting documentation</t>
        </r>
      </text>
    </comment>
    <comment ref="B64" authorId="0" shapeId="0" xr:uid="{9FDC79DF-0DA7-4727-A69B-95A1DA1F63BD}">
      <text>
        <r>
          <rPr>
            <b/>
            <sz val="9"/>
            <color indexed="81"/>
            <rFont val="Tahoma"/>
            <family val="2"/>
          </rPr>
          <t>Hervey, Dylan@HCD:</t>
        </r>
        <r>
          <rPr>
            <sz val="9"/>
            <color indexed="81"/>
            <rFont val="Tahoma"/>
            <family val="2"/>
          </rPr>
          <t xml:space="preserve">
change macros to remove row 47 from visibility</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Gutierrez, Alfredo@HCD</author>
    <author>Russ Schmunk</author>
    <author>rschmunk</author>
  </authors>
  <commentList>
    <comment ref="AO3" authorId="0" shapeId="0" xr:uid="{00000000-0006-0000-0A00-000001000000}">
      <text>
        <r>
          <rPr>
            <sz val="10"/>
            <rFont val="Arial"/>
            <family val="2"/>
          </rPr>
          <t>Tax Credit Income Limits per Hud Notice 04/01/2021
CTCAC, CDLAC, MHP, and CalHFA rent limits are calculated
based on the below income limits, and are automatically
shown below.</t>
        </r>
      </text>
    </comment>
    <comment ref="AW4" authorId="0" shapeId="0" xr:uid="{00000000-0006-0000-0A00-000002000000}">
      <text>
        <r>
          <rPr>
            <sz val="10"/>
            <rFont val="Arial"/>
            <family val="2"/>
          </rPr>
          <t xml:space="preserve">Incremental Income from Rent/Operating Subsidies
Based on Contract Rents
The chart below estimates incremental income from rent
subsidy contracts, such as Section 8, above and beyond
Maximum restricted rents.
Complete this part only if the Project will have a rent
subsidy based on contract rents. </t>
        </r>
      </text>
    </comment>
    <comment ref="B6" authorId="0" shapeId="0" xr:uid="{00000000-0006-0000-0A00-000003000000}">
      <text>
        <r>
          <rPr>
            <sz val="10"/>
            <rFont val="Arial"/>
            <family val="2"/>
          </rPr>
          <t>Use a separate line items for Units
that are not "Population Assisted Units".</t>
        </r>
      </text>
    </comment>
    <comment ref="AE6" authorId="0" shapeId="0" xr:uid="{00000000-0006-0000-0A00-000004000000}">
      <text>
        <r>
          <rPr>
            <sz val="10"/>
            <rFont val="Arial"/>
            <family val="2"/>
          </rPr>
          <t>For a project required to be constructed
as a condition of approval of one or more
market rate developments pursuant to an
inclusionary housing ordinance, or similar local
requirement, Units required under the ordinance
or other requirements shall not be counted in
determining applicable loan limits, except for the following:
Section 7307(d)(1)-(2)</t>
        </r>
      </text>
    </comment>
    <comment ref="AH6" authorId="0" shapeId="0" xr:uid="{00000000-0006-0000-0A00-000005000000}">
      <text>
        <r>
          <rPr>
            <sz val="10"/>
            <rFont val="Arial"/>
            <family val="2"/>
          </rPr>
          <t xml:space="preserve">MHP per Unit loan limit calculations may be additionally increased
for Projects meeting the requirements of MHP Guidelines Section 7310.1,
Medi-Cal Funded Supportive Services. The per Unit loan amount may be
increased by $25,000 per Qualifying Unit (MHP Guidelines Section 7310.1(c)(1)). </t>
        </r>
      </text>
    </comment>
    <comment ref="AI6" authorId="0" shapeId="0" xr:uid="{00000000-0006-0000-0A00-000006000000}">
      <text>
        <r>
          <rPr>
            <sz val="10"/>
            <rFont val="Arial"/>
            <family val="2"/>
          </rPr>
          <t>A Manager's Unit will be considered
to be a Restricted Unit in qualifying
for a grant amount up to the 60%
AMI level.</t>
        </r>
      </text>
    </comment>
    <comment ref="R7" authorId="0" shapeId="0" xr:uid="{00000000-0006-0000-0A00-000007000000}">
      <text>
        <r>
          <rPr>
            <sz val="10"/>
            <rFont val="Arial"/>
            <family val="2"/>
          </rPr>
          <t>Number of SH Units</t>
        </r>
      </text>
    </comment>
    <comment ref="X7" authorId="0" shapeId="0" xr:uid="{00000000-0006-0000-0A00-000008000000}">
      <text>
        <r>
          <rPr>
            <sz val="10"/>
            <rFont val="Arial"/>
            <family val="2"/>
          </rPr>
          <t>Number of SH Units</t>
        </r>
      </text>
    </comment>
    <comment ref="BA7" authorId="0" shapeId="0" xr:uid="{00000000-0006-0000-0A00-000009000000}">
      <text>
        <r>
          <rPr>
            <sz val="10"/>
            <rFont val="Arial"/>
            <family val="2"/>
          </rPr>
          <t>Must answer.</t>
        </r>
      </text>
    </comment>
    <comment ref="BF7" authorId="0" shapeId="0" xr:uid="{00000000-0006-0000-0A00-00000A000000}">
      <text>
        <r>
          <rPr>
            <sz val="10"/>
            <rFont val="Arial"/>
            <family val="2"/>
          </rPr>
          <t>Must answer.</t>
        </r>
      </text>
    </comment>
    <comment ref="R8" authorId="0" shapeId="0" xr:uid="{00000000-0006-0000-0A00-00000B000000}">
      <text>
        <r>
          <rPr>
            <sz val="10"/>
            <rFont val="Arial"/>
            <family val="2"/>
          </rPr>
          <t>Number of TH Units</t>
        </r>
      </text>
    </comment>
    <comment ref="X8" authorId="0" shapeId="0" xr:uid="{00000000-0006-0000-0A00-00000C000000}">
      <text>
        <r>
          <rPr>
            <sz val="10"/>
            <rFont val="Arial"/>
            <family val="2"/>
          </rPr>
          <t>Number of TH Units</t>
        </r>
      </text>
    </comment>
    <comment ref="C9" authorId="0" shapeId="0" xr:uid="{00000000-0006-0000-0A00-00000D000000}">
      <text>
        <r>
          <rPr>
            <sz val="10"/>
            <rFont val="Arial"/>
            <family val="2"/>
          </rPr>
          <t>For purposes of calculating a Manager Unit LOAN amount,
please type the number of Manager unit(s)
 at one of the
three loan programs as "Assisted Units".</t>
        </r>
      </text>
    </comment>
    <comment ref="L9" authorId="0" shapeId="0" xr:uid="{00000000-0006-0000-0A00-00000E000000}">
      <text>
        <r>
          <rPr>
            <sz val="10"/>
            <rFont val="Arial"/>
            <family val="2"/>
          </rPr>
          <t xml:space="preserve">The below also applies for DEVELOPER FEE CALCULATIONS.
Per MHP definition, “Special Needs Population(s)" means:
(1) people with disabilities;
(2) At Risk of Homelessness, as defined above in Appendix A;
(3) individuals with substance use disorders;
(4) frequent users of public health or mental health services, as identified by a public health or mental health agency;
(5) individuals who are fleeing domestic violence, sexual assault, and human trafficking;
(6) individuals who are experiencing Homelessness and individuals experiencing Chronic Homelessness as defined above in Appendix A;
(7) homeless youth as defined in Government Code Section 12957, subdivision (e)(2);
(8) families in the child welfare system for whom the absence of housing is a barrier to family reunification, as certified by a county;
(9) individuals exiting from institutional settings or at risk of placement in an institutional setting;
(10) Older Adults in Need of Supportive Services; or
(11) other specific groups with unique housing needs as determined by the Department.
Special Needs Populations does not include “seniors or veterans” unless they otherwise qualify as a “Special Needs Population” as required by other statutory laws.
Per TCAC, Special Needs mean: Populations that meet one of the following: are individuals living with physical or sensory disabilities and transitioning from hospitals,
nursing homes, development centers, or other care facilities; individuals living with developmental or mental health disabilities; individuals who are survivors of
physical abuse; individuals who are homeless as described in Section 10315(b); individuals with chronic illness, including HIV; homeless youth as defined in
Government Code Section 12957(e)(2); families in the child welfare system for whom the absence of housing is a barrier to family reunification, as certified by a county
</t>
        </r>
      </text>
    </comment>
    <comment ref="M9" authorId="0" shapeId="0" xr:uid="{00000000-0006-0000-0A00-00000F000000}">
      <text>
        <r>
          <rPr>
            <sz val="10"/>
            <rFont val="Arial"/>
            <family val="2"/>
          </rPr>
          <t xml:space="preserve">“Chronic Homelessness or Chronically Homeless” means the condition experienced by people defined as “Chronically
Homeless” under the federal Continuum of Care Program, at 24 Code of Federal Regulations (CFR)
578.3.
It also includes the condition of individuals and families:
(1) Residing in a place not meant for human habitation, emergency shelter, or safe haven, after
experiencing Chronic Homelessness as, defined in 24 CFR Section 578.3, and subsequently
residing in a permanent housing project within the last year.
(2) Residing in transitional housing who were experiencing chronic homelessness as defined in
24 CFR Section 578.3 prior to entering the transitional housing; or
(3) Residing in an existing supportive housing project receiving MHP funding for Rehabilitation or being
replaced by an MHP-funded project, provided that, upon initial occupancy, the individuals were
experiencing chronic homelessness as defined in 24 CFR Section 578.3 or qualified under Section 7303(f).
</t>
        </r>
      </text>
    </comment>
    <comment ref="O9" authorId="0" shapeId="0" xr:uid="{00000000-0006-0000-0A00-000010000000}">
      <text>
        <r>
          <rPr>
            <sz val="10"/>
            <rFont val="Arial"/>
            <family val="2"/>
          </rPr>
          <t xml:space="preserve">“Homelessness” means the condition
of individuals and households who meet
the definition of “homeless” in 24 CFR
Section 578.3. “Homelessness” includes
“Chronic Homelessness”. </t>
        </r>
      </text>
    </comment>
    <comment ref="P9" authorId="0" shapeId="0" xr:uid="{00000000-0006-0000-0A00-000011000000}">
      <text>
        <r>
          <rPr>
            <sz val="10"/>
            <rFont val="Arial"/>
            <family val="2"/>
          </rPr>
          <t>Homeless youth as defined in
Government Code Section 12957,
subdivision (e)(2).</t>
        </r>
      </text>
    </comment>
    <comment ref="R9" authorId="0" shapeId="0" xr:uid="{00000000-0006-0000-0A00-000012000000}">
      <text>
        <r>
          <rPr>
            <sz val="10"/>
            <rFont val="Arial"/>
            <family val="2"/>
          </rPr>
          <t>SH = Supportive Housing
TH = Transitional Housing</t>
        </r>
      </text>
    </comment>
    <comment ref="S9" authorId="0" shapeId="0" xr:uid="{00000000-0006-0000-0A00-000013000000}">
      <text>
        <r>
          <rPr>
            <sz val="10"/>
            <rFont val="Arial"/>
            <family val="2"/>
          </rPr>
          <t>VHHP Population Only - “Veteran” means any person who actively served
within one or more of the military services of the United States who was
called to and released from active duty or active service, for a period of not
less than 90 consecutive days or was discharged from the service due to a
service-connected disability within that 90-day period. This includes all
Veterans regardless of discharge status.</t>
        </r>
      </text>
    </comment>
    <comment ref="T9" authorId="0" shapeId="0" xr:uid="{00000000-0006-0000-0A00-000014000000}">
      <text>
        <r>
          <rPr>
            <sz val="10"/>
            <rFont val="Arial"/>
            <family val="2"/>
          </rPr>
          <t>FOR DEVELOPER FEE CALCULATIONS
Per MHP definition, “Special Needs Population(s)" means:
(1) people with disabilities;
(2) At Risk of Homelessness, as defined above in Appendix A;
(3) individuals with substance use disorders;
(4) frequent users of public health or mental health services, as identified by a public health or mental health agency;
(5) individuals who are fleeing domestic violence, sexual assault, and human trafficking;
(6) individuals who are experiencing Homelessness and individuals experiencing Chronic Homelessness as defined above in Appendix A;
(7) homeless youth as defined in Government Code Section 12957, subdivision (e)(2);
(8) families in the child welfare system for whom the absence of housing is a barrier to family reunification, as certified by a county;
(9) individuals exiting from institutional settings or at risk of placement in an institutional setting;
(10) Older Adults in Need of Supportive Services; or
(11) other specific groups with unique housing needs as determined by the Department.
Special Needs Populations does not include “seniors or veterans” unless they otherwise qualify as a “Special Needs Population” as required by other statutory laws.
Per TCAC, Special Needs mean: Populations that meet one of the following: are individuals living with physical or sensory disabilities and transitioning from hospitals,
nursing homes, development centers, or other care facilities; individuals living with developmental or mental health disabilities; individuals who are survivors of
physical abuse; individuals who are homeless as described in Section 10315(b); individuals with chronic illness, including HIV; homeless youth as defined in
Government Code Section 12957(e)(2); families in the child welfare system for whom the absence of housing is a barrier to family reunification, as certified by a county</t>
        </r>
      </text>
    </comment>
    <comment ref="U9" authorId="0" shapeId="0" xr:uid="{00000000-0006-0000-0A00-000015000000}">
      <text>
        <r>
          <rPr>
            <sz val="10"/>
            <rFont val="Arial"/>
            <family val="2"/>
          </rPr>
          <t>VHHP Population Only
“Chronic Homelessness” means the condition experienced by people defined as “Chronically
Homeless” under the federal Continuum of Care Program, at 24 Code of Federal Regulations (CFR)
578.3.
It also includes the condition of individuals and families:
(1) Residing in a place not meant for human habitation, emergency shelter, or safe haven, after
experiencing Chronic Homelessness as, defined in 24 CFR Section 578.3, and subsequently
residing in a permanent housing project within the last year.
(2) Residing in transitional housing who were experiencing chronic homelessness as defined in
24 CFR Section 578.3 prior to entering the transitional housing; or
(3) Residing in an existing supportive housing project receiving MHP funding for Rehabilitation or being
replaced by an MHP-funded project, provided that, upon initial occupancy, the individuals were
experiencing chronic homelessness as defined in 24 CFR Section 578.3 or qualified under Section 7303(f)</t>
        </r>
      </text>
    </comment>
    <comment ref="V9" authorId="0" shapeId="0" xr:uid="{00000000-0006-0000-0A00-000016000000}">
      <text>
        <r>
          <rPr>
            <sz val="10"/>
            <rFont val="Arial"/>
            <family val="2"/>
          </rPr>
          <t>VHHP Population Only.</t>
        </r>
      </text>
    </comment>
    <comment ref="W9" authorId="0" shapeId="0" xr:uid="{00000000-0006-0000-0A00-000017000000}">
      <text>
        <r>
          <rPr>
            <sz val="10"/>
            <rFont val="Arial"/>
            <family val="2"/>
          </rPr>
          <t xml:space="preserve">VHHP Population Only - “Homelessness” means the
condition of individuals and households who meet the
definition of “homeless” in 24 CFR Section 578.3.
“Homelessness” includes “Chronic Homelessness”. </t>
        </r>
      </text>
    </comment>
    <comment ref="X9" authorId="0" shapeId="0" xr:uid="{00000000-0006-0000-0A00-000018000000}">
      <text>
        <r>
          <rPr>
            <sz val="10"/>
            <rFont val="Arial"/>
            <family val="2"/>
          </rPr>
          <t>SH = Supportive Housing
TH = Transitional Housing</t>
        </r>
      </text>
    </comment>
    <comment ref="Y9" authorId="0" shapeId="0" xr:uid="{00000000-0006-0000-0A00-000019000000}">
      <text>
        <r>
          <rPr>
            <sz val="10"/>
            <rFont val="Arial"/>
            <family val="2"/>
          </rPr>
          <t>Section 7301(h) “At Risk of Homelessness” means the condition
of individuals or households who meet the definition of at risk of
homelessness in 24 CFR 578.3.</t>
        </r>
      </text>
    </comment>
    <comment ref="Z9" authorId="0" shapeId="0" xr:uid="{00000000-0006-0000-0A00-00001A000000}">
      <text>
        <r>
          <rPr>
            <sz val="10"/>
            <rFont val="Arial"/>
            <family val="2"/>
          </rPr>
          <t>“Senior” refers to a housing type meeting
the requirements of MHP Section 7302(e)(2).</t>
        </r>
      </text>
    </comment>
    <comment ref="AA9" authorId="0" shapeId="0" xr:uid="{00000000-0006-0000-0A00-00001B000000}">
      <text>
        <r>
          <rPr>
            <sz val="10"/>
            <rFont val="Arial"/>
            <family val="2"/>
          </rPr>
          <t>Farmworker Housing - "Agricultural Household" means an Agricultural Worker
or workers and other persons who reside or will reside
with an Agricultural Worker in an Assisted Unit.</t>
        </r>
      </text>
    </comment>
    <comment ref="AB9" authorId="0" shapeId="0" xr:uid="{00000000-0006-0000-0A00-00001C000000}">
      <text>
        <r>
          <rPr>
            <sz val="10"/>
            <rFont val="Arial"/>
            <family val="2"/>
          </rPr>
          <t>UMR Section 8301(q) 
“Restricted Unit” means any Assisted Unit and any Unit that is 
subject to Rent and occupancy restrictions that are comparable to 
those applicable to Assisted Units. Restricted Units include Units 
subject to a TCAC regulatory agreement, and all Units subject to 
similar long-term, low-income or occupancy restrictions imposed by 
other public agencies.</t>
        </r>
      </text>
    </comment>
    <comment ref="AF9" authorId="0" shapeId="0" xr:uid="{00000000-0006-0000-0A00-00001D000000}">
      <text>
        <r>
          <rPr>
            <sz val="10"/>
            <rFont val="Arial"/>
            <family val="2"/>
          </rPr>
          <t xml:space="preserve">Are Units restricted under the Program
at a lower rent level than required
by the ordinance?
</t>
        </r>
      </text>
    </comment>
    <comment ref="AG9" authorId="0" shapeId="0" xr:uid="{00000000-0006-0000-0A00-00001E000000}">
      <text>
        <r>
          <rPr>
            <sz val="10"/>
            <rFont val="Arial"/>
            <family val="2"/>
          </rPr>
          <t xml:space="preserve">Are Units developed under a land dedication
to the local government agency in which the
project is located?
</t>
        </r>
      </text>
    </comment>
    <comment ref="AJ9" authorId="0" shapeId="0" xr:uid="{00000000-0006-0000-0A00-00001F000000}">
      <text>
        <r>
          <rPr>
            <sz val="10"/>
            <rFont val="Arial"/>
            <family val="2"/>
          </rPr>
          <t>The initial base per Unit loan limit is inclusive of all requested Multifamily Finance Super NOFA program
loan funds and all Department loan awards made prior to the Multifamily Finance Super NOFA award date.
Total prior Department loan awards will be deducted from the total per Unit calculation in the aggregate
(rather than individually on each Unit).</t>
        </r>
      </text>
    </comment>
    <comment ref="AM9" authorId="0" shapeId="0" xr:uid="{00000000-0006-0000-0A00-000020000000}">
      <text>
        <r>
          <rPr>
            <sz val="10"/>
            <rFont val="Arial"/>
            <family val="2"/>
          </rPr>
          <t>The initial base per Unit loan limit is inclusive of all requested Multifamily Finance Super NOFA program
loan funds and all Department loan awards made prior to the Multifamily Finance Super NOFA award date.
Total prior Department loan awards will be deducted from the total per Unit calculation in the aggregate
(rather than individually on each Unit).</t>
        </r>
      </text>
    </comment>
    <comment ref="AN9" authorId="0" shapeId="0" xr:uid="{00000000-0006-0000-0A00-000021000000}">
      <text>
        <r>
          <rPr>
            <sz val="10"/>
            <rFont val="Arial"/>
            <family val="2"/>
          </rPr>
          <t>The initial base per Unit loan limit is inclusive of all requested Multifamily Finance Super NOFA program
loan funds and all Department loan awards made prior to the Multifamily Finance Super NOFA award date.
Total prior Department loan awards will be deducted from the total per Unit calculation in the aggregate
(rather than individually on each Unit).</t>
        </r>
      </text>
    </comment>
    <comment ref="AR9" authorId="0" shapeId="0" xr:uid="{00000000-0006-0000-0A00-000022000000}">
      <text>
        <r>
          <rPr>
            <sz val="10"/>
            <rFont val="Arial"/>
            <family val="2"/>
          </rPr>
          <t>Scatter Sites only, if don’t have a scatter
site with a separate allowance schedule,
do not use this column.</t>
        </r>
      </text>
    </comment>
    <comment ref="AT9" authorId="0" shapeId="0" xr:uid="{00000000-0006-0000-0A00-000023000000}">
      <text>
        <r>
          <rPr>
            <sz val="10"/>
            <rFont val="Arial"/>
            <family val="2"/>
          </rPr>
          <t>HCD and CDLAC cash flow analysis will be based on restricted rents, not proposed lower levels.
Maximum restricted rents will be used in the HCD cash flow analysis;  however per 7303.1 (g)
or 7304.1 (i) lower proposed rents may be used for Restricted Units limited to occupancy by
Special Needs Populations targeted at rent levels 30% AMI or below that are designated for
households eligible for public cash assistance (for example, Supplemental Security Income,
Social Security Disability Insurance, CalWORKs, or county General Assistance) if all of the following
conditions are met:
(1) These Units cannot also be receiving any project-based rental assistance or project-based
operating assistance;
(2) The proposed rent cannot be less than 50 percent (50%) of the maximum restricted rent
for the Units rent and income limit(s) submitted in the application; and
(3) Third-party documentation of anticipated public cash assistance payment levels shall be
provided in the application and prior to permanent loan closing which supports the need for
the proposed rents;</t>
        </r>
      </text>
    </comment>
    <comment ref="AW9" authorId="0" shapeId="0" xr:uid="{00000000-0006-0000-0A00-000024000000}">
      <text>
        <r>
          <rPr>
            <sz val="10"/>
            <rFont val="Arial"/>
            <family val="2"/>
          </rPr>
          <t xml:space="preserve">Net = less utilities allowance.
If using Proposed Rents, then
(1) These Units cannot also be
receiving any project-based rental
assistance or project-based operating
assistance;
</t>
        </r>
      </text>
    </comment>
    <comment ref="BB9" authorId="0" shapeId="0" xr:uid="{00000000-0006-0000-0A00-000025000000}">
      <text>
        <r>
          <rPr>
            <sz val="10"/>
            <rFont val="Arial"/>
            <family val="2"/>
          </rPr>
          <t>Net = less utilities allowance.
If using Proposed Rents, then
(1) These Units cannot also be
receiving any project-based rental
assistance or project-based operating
assistance;</t>
        </r>
      </text>
    </comment>
    <comment ref="BC53" authorId="1" shapeId="0" xr:uid="{00000000-0006-0000-0A00-000026000000}">
      <text>
        <r>
          <rPr>
            <sz val="10"/>
            <rFont val="Arial"/>
            <family val="2"/>
          </rPr>
          <t>E.g. Shelter Plus Care, Section 8</t>
        </r>
      </text>
    </comment>
    <comment ref="BE53" authorId="1" shapeId="0" xr:uid="{00000000-0006-0000-0A00-000027000000}">
      <text>
        <r>
          <rPr>
            <sz val="10"/>
            <rFont val="Arial"/>
            <family val="2"/>
          </rPr>
          <t>E.g. Shelter Plus Care, Section 8</t>
        </r>
      </text>
    </comment>
    <comment ref="BC54" authorId="2" shapeId="0" xr:uid="{00000000-0006-0000-0A00-000028000000}">
      <text>
        <r>
          <rPr>
            <sz val="10"/>
            <rFont val="Arial"/>
            <family val="2"/>
          </rPr>
          <t>e.g. Project Based Vouchers, Sponsor Based Rental Assistance</t>
        </r>
      </text>
    </comment>
    <comment ref="BE54" authorId="2" shapeId="0" xr:uid="{00000000-0006-0000-0A00-000029000000}">
      <text>
        <r>
          <rPr>
            <sz val="10"/>
            <rFont val="Arial"/>
            <family val="2"/>
          </rPr>
          <t>e.g. Project Based Vouchers, Sponsor Based Rental Assistance</t>
        </r>
      </text>
    </comment>
    <comment ref="BC63" authorId="2" shapeId="0" xr:uid="{00000000-0006-0000-0A00-00002A000000}">
      <text>
        <r>
          <rPr>
            <sz val="10"/>
            <rFont val="Arial"/>
            <family val="2"/>
          </rPr>
          <t>If existing contract, remaining term.  If new contract, initial term.</t>
        </r>
      </text>
    </comment>
    <comment ref="BE63" authorId="2" shapeId="0" xr:uid="{00000000-0006-0000-0A00-00002B000000}">
      <text>
        <r>
          <rPr>
            <sz val="10"/>
            <rFont val="Arial"/>
            <family val="2"/>
          </rPr>
          <t>If existing contract, remaining term.  If new contract, initial term.</t>
        </r>
      </text>
    </comment>
    <comment ref="BX82" authorId="0" shapeId="0" xr:uid="{00000000-0006-0000-0A00-00002C000000}">
      <text>
        <r>
          <rPr>
            <sz val="10"/>
            <rFont val="Arial"/>
            <family val="2"/>
          </rPr>
          <t>Included at 60% above for purposes only.</t>
        </r>
      </text>
    </comment>
    <comment ref="BX83" authorId="0" shapeId="0" xr:uid="{00000000-0006-0000-0A00-00002D000000}">
      <text>
        <r>
          <rPr>
            <sz val="10"/>
            <rFont val="Arial"/>
            <family val="2"/>
          </rPr>
          <t>100% for Scoring purposes only</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Richard</author>
    <author>rschmunk</author>
    <author>Debra Starbuck</author>
    <author>Russ Schmunk</author>
    <author>grodine</author>
    <author>mpope</author>
    <author>Gutierrez, Alfredo@HCD</author>
    <author>George Rodine</author>
    <author>Administrator</author>
  </authors>
  <commentList>
    <comment ref="B5" authorId="0" shapeId="0" xr:uid="{00000000-0006-0000-0D00-000001000000}">
      <text>
        <r>
          <rPr>
            <sz val="10"/>
            <rFont val="Arial"/>
            <family val="2"/>
          </rPr>
          <t>Number of employees.</t>
        </r>
      </text>
    </comment>
    <comment ref="C5" authorId="1" shapeId="0" xr:uid="{00000000-0006-0000-0D00-000002000000}">
      <text>
        <r>
          <rPr>
            <sz val="10"/>
            <rFont val="Arial"/>
            <family val="2"/>
          </rPr>
          <t>Number of full-time equivalent employees.
E.g. 3 people working 0.5 time = 1.5 FTE.</t>
        </r>
      </text>
    </comment>
    <comment ref="E6" authorId="1" shapeId="0" xr:uid="{00000000-0006-0000-0D00-000003000000}">
      <text>
        <r>
          <rPr>
            <sz val="10"/>
            <rFont val="Arial"/>
            <family val="2"/>
          </rPr>
          <t>Rolls to Account No. 6330 below.</t>
        </r>
      </text>
    </comment>
    <comment ref="F6" authorId="2" shapeId="0" xr:uid="{00000000-0006-0000-0D00-000004000000}">
      <text>
        <r>
          <rPr>
            <sz val="10"/>
            <rFont val="Arial"/>
            <family val="2"/>
          </rPr>
          <t>Rolls  to Account No. 6331 below.</t>
        </r>
      </text>
    </comment>
    <comment ref="E7" authorId="1" shapeId="0" xr:uid="{00000000-0006-0000-0D00-000005000000}">
      <text>
        <r>
          <rPr>
            <sz val="10"/>
            <rFont val="Arial"/>
            <family val="2"/>
          </rPr>
          <t>Rolls to Account No. 6330 below.</t>
        </r>
      </text>
    </comment>
    <comment ref="F7" authorId="2" shapeId="0" xr:uid="{00000000-0006-0000-0D00-000006000000}">
      <text>
        <r>
          <rPr>
            <sz val="10"/>
            <rFont val="Arial"/>
            <family val="2"/>
          </rPr>
          <t>Rolls  to Account No. 6331 below.</t>
        </r>
      </text>
    </comment>
    <comment ref="E8" authorId="1" shapeId="0" xr:uid="{00000000-0006-0000-0D00-000007000000}">
      <text>
        <r>
          <rPr>
            <sz val="10"/>
            <rFont val="Arial"/>
            <family val="2"/>
          </rPr>
          <t>Rolls to Account No. 6990 below.</t>
        </r>
      </text>
    </comment>
    <comment ref="E9" authorId="1" shapeId="0" xr:uid="{00000000-0006-0000-0D00-000008000000}">
      <text>
        <r>
          <rPr>
            <sz val="10"/>
            <rFont val="Arial"/>
            <family val="2"/>
          </rPr>
          <t>Rolls to Account No. 6990 below.</t>
        </r>
      </text>
    </comment>
    <comment ref="E10" authorId="1" shapeId="0" xr:uid="{00000000-0006-0000-0D00-000009000000}">
      <text>
        <r>
          <rPr>
            <sz val="10"/>
            <rFont val="Arial"/>
            <family val="2"/>
          </rPr>
          <t>Rolls to Account No. 6990 below.</t>
        </r>
      </text>
    </comment>
    <comment ref="E11" authorId="1" shapeId="0" xr:uid="{00000000-0006-0000-0D00-00000A000000}">
      <text>
        <r>
          <rPr>
            <sz val="10"/>
            <rFont val="Arial"/>
            <family val="2"/>
          </rPr>
          <t>Rolls to Account No. 6510 below.</t>
        </r>
      </text>
    </comment>
    <comment ref="F11" authorId="2" shapeId="0" xr:uid="{00000000-0006-0000-0D00-00000B000000}">
      <text>
        <r>
          <rPr>
            <sz val="10"/>
            <rFont val="Arial"/>
            <family val="2"/>
          </rPr>
          <t>Rolls  to Account No. 6521 below.</t>
        </r>
      </text>
    </comment>
    <comment ref="E12" authorId="3" shapeId="0" xr:uid="{00000000-0006-0000-0D00-00000C000000}">
      <text>
        <r>
          <rPr>
            <sz val="10"/>
            <rFont val="Arial"/>
            <family val="2"/>
          </rPr>
          <t>Rolls to Account No. 6310 below.</t>
        </r>
      </text>
    </comment>
    <comment ref="F12" authorId="2" shapeId="0" xr:uid="{00000000-0006-0000-0D00-00000D000000}">
      <text>
        <r>
          <rPr>
            <sz val="10"/>
            <rFont val="Arial"/>
            <family val="2"/>
          </rPr>
          <t>Rolls to Account No. 6331 below.</t>
        </r>
      </text>
    </comment>
    <comment ref="E13" authorId="1" shapeId="0" xr:uid="{00000000-0006-0000-0D00-00000E000000}">
      <text>
        <r>
          <rPr>
            <sz val="10"/>
            <rFont val="Arial"/>
            <family val="2"/>
          </rPr>
          <t>Rolls to Account No. 6510 below.</t>
        </r>
      </text>
    </comment>
    <comment ref="F13" authorId="1" shapeId="0" xr:uid="{00000000-0006-0000-0D00-00000F000000}">
      <text>
        <r>
          <rPr>
            <sz val="10"/>
            <rFont val="Arial"/>
            <family val="2"/>
          </rPr>
          <t>Rolls to Account No. 6531 below.</t>
        </r>
      </text>
    </comment>
    <comment ref="D14" authorId="2" shapeId="0" xr:uid="{00000000-0006-0000-0D00-000010000000}">
      <text>
        <r>
          <rPr>
            <sz val="10"/>
            <rFont val="Arial"/>
            <family val="2"/>
          </rPr>
          <t xml:space="preserve">List any other employees positions
included in project operating expenses. </t>
        </r>
      </text>
    </comment>
    <comment ref="E14" authorId="4" shapeId="0" xr:uid="{00000000-0006-0000-0D00-000011000000}">
      <text>
        <r>
          <rPr>
            <sz val="10"/>
            <rFont val="Arial"/>
            <family val="2"/>
          </rPr>
          <t>Rolls to Account No. 6510 below.</t>
        </r>
      </text>
    </comment>
    <comment ref="F14" authorId="4" shapeId="0" xr:uid="{00000000-0006-0000-0D00-000012000000}">
      <text>
        <r>
          <rPr>
            <sz val="10"/>
            <rFont val="Arial"/>
            <family val="2"/>
          </rPr>
          <t>Rolls to Account No. 6521 below.</t>
        </r>
      </text>
    </comment>
    <comment ref="D15" authorId="2" shapeId="0" xr:uid="{00000000-0006-0000-0D00-000013000000}">
      <text>
        <r>
          <rPr>
            <sz val="10"/>
            <rFont val="Arial"/>
            <family val="2"/>
          </rPr>
          <t xml:space="preserve">List any other employees positions
included in project operating expenses. </t>
        </r>
      </text>
    </comment>
    <comment ref="E15" authorId="4" shapeId="0" xr:uid="{00000000-0006-0000-0D00-000014000000}">
      <text>
        <r>
          <rPr>
            <sz val="10"/>
            <rFont val="Arial"/>
            <family val="2"/>
          </rPr>
          <t>Rolls to Account No. 6510 below.</t>
        </r>
      </text>
    </comment>
    <comment ref="F15" authorId="4" shapeId="0" xr:uid="{00000000-0006-0000-0D00-000015000000}">
      <text>
        <r>
          <rPr>
            <sz val="10"/>
            <rFont val="Arial"/>
            <family val="2"/>
          </rPr>
          <t>Rolls to Account No. 6521 below.</t>
        </r>
      </text>
    </comment>
    <comment ref="E17" authorId="4" shapeId="0" xr:uid="{00000000-0006-0000-0D00-000016000000}">
      <text>
        <r>
          <rPr>
            <sz val="10"/>
            <rFont val="Arial"/>
            <family val="2"/>
          </rPr>
          <t>Rolls to Account No. 6711 below.</t>
        </r>
      </text>
    </comment>
    <comment ref="E18" authorId="4" shapeId="0" xr:uid="{00000000-0006-0000-0D00-000017000000}">
      <text>
        <r>
          <rPr>
            <sz val="10"/>
            <rFont val="Arial"/>
            <family val="2"/>
          </rPr>
          <t>Rolls to Account No. 6722 below.</t>
        </r>
      </text>
    </comment>
    <comment ref="E19" authorId="4" shapeId="0" xr:uid="{00000000-0006-0000-0D00-000018000000}">
      <text>
        <r>
          <rPr>
            <sz val="10"/>
            <rFont val="Arial"/>
            <family val="2"/>
          </rPr>
          <t>Rolls to Account No. 6723 below.</t>
        </r>
      </text>
    </comment>
    <comment ref="B24" authorId="5" shapeId="0" xr:uid="{00000000-0006-0000-0D00-000019000000}">
      <text>
        <r>
          <rPr>
            <sz val="10"/>
            <rFont val="Arial"/>
            <family val="2"/>
          </rPr>
          <t xml:space="preserve">Income restriction level, expressed as a % of AMI.  </t>
        </r>
      </text>
    </comment>
    <comment ref="E24" authorId="6" shapeId="0" xr:uid="{00000000-0006-0000-0D00-00001A000000}">
      <text>
        <r>
          <rPr>
            <sz val="10"/>
            <rFont val="Arial"/>
            <family val="2"/>
          </rPr>
          <t>Number of bedrooms by Unit.</t>
        </r>
      </text>
    </comment>
    <comment ref="F24" authorId="6" shapeId="0" xr:uid="{00000000-0006-0000-0D00-00001B000000}">
      <text>
        <r>
          <rPr>
            <sz val="10"/>
            <rFont val="Arial"/>
            <family val="2"/>
          </rPr>
          <t>Square Footage.</t>
        </r>
      </text>
    </comment>
    <comment ref="E33" authorId="4" shapeId="0" xr:uid="{00000000-0006-0000-0D00-00001D000000}">
      <text>
        <r>
          <rPr>
            <sz val="10"/>
            <rFont val="Arial"/>
            <family val="2"/>
          </rPr>
          <t>Rolls from Cash Flow sheet.</t>
        </r>
      </text>
    </comment>
    <comment ref="E34" authorId="4" shapeId="0" xr:uid="{00000000-0006-0000-0D00-00001E000000}">
      <text>
        <r>
          <rPr>
            <sz val="10"/>
            <rFont val="Arial"/>
            <family val="2"/>
          </rPr>
          <t>Rolls from Cash Flow sheet.</t>
        </r>
      </text>
    </comment>
    <comment ref="E35" authorId="4" shapeId="0" xr:uid="{00000000-0006-0000-0D00-00001F000000}">
      <text>
        <r>
          <rPr>
            <sz val="10"/>
            <rFont val="Arial"/>
            <family val="2"/>
          </rPr>
          <t>Rolls from Cash Flow sheet.</t>
        </r>
      </text>
    </comment>
    <comment ref="D37" authorId="6" shapeId="0" xr:uid="{00000000-0006-0000-0D00-000020000000}">
      <text>
        <r>
          <rPr>
            <sz val="10"/>
            <rFont val="Arial"/>
            <family val="2"/>
          </rPr>
          <t>Subsidy Program Name 1
From "Unit Mix" tab.</t>
        </r>
      </text>
    </comment>
    <comment ref="E37" authorId="4" shapeId="0" xr:uid="{00000000-0006-0000-0D00-000021000000}">
      <text>
        <r>
          <rPr>
            <sz val="10"/>
            <rFont val="Arial"/>
            <family val="2"/>
          </rPr>
          <t>From Unit Mix, subsidies section.
Even though at Unit Mix, we ask for Net (minus utility allowance) and since
utility allowance is already subtracted from Restricted Rents and for
cash flow purposes we are showing GROSS tenant assistance payments.</t>
        </r>
      </text>
    </comment>
    <comment ref="D38" authorId="6" shapeId="0" xr:uid="{00000000-0006-0000-0D00-000022000000}">
      <text>
        <r>
          <rPr>
            <sz val="10"/>
            <rFont val="Arial"/>
            <family val="2"/>
          </rPr>
          <t>Subsidy Program Name 2
From "Unit Mix" tab.</t>
        </r>
      </text>
    </comment>
    <comment ref="E38" authorId="4" shapeId="0" xr:uid="{00000000-0006-0000-0D00-000023000000}">
      <text>
        <r>
          <rPr>
            <sz val="10"/>
            <rFont val="Arial"/>
            <family val="2"/>
          </rPr>
          <t>From Unit Mix, subsidies section.
Even though at Unit Mix, we ask for Net (minus utility allowance) and since
utility allowance is already subtracted from Restricted Rents and for
cash flow purposes we are showing GROSS tenant assistance payments.</t>
        </r>
      </text>
    </comment>
    <comment ref="D40" authorId="7" shapeId="0" xr:uid="{00000000-0006-0000-0D00-000024000000}">
      <text>
        <r>
          <rPr>
            <sz val="10"/>
            <rFont val="Arial"/>
            <family val="2"/>
          </rPr>
          <t>Use Comments cells as needed to provide details.</t>
        </r>
      </text>
    </comment>
    <comment ref="D41" authorId="7" shapeId="0" xr:uid="{00000000-0006-0000-0D00-000025000000}">
      <text>
        <r>
          <rPr>
            <sz val="10"/>
            <rFont val="Arial"/>
            <family val="2"/>
          </rPr>
          <t>Use Comments cells as needed to provide details.</t>
        </r>
      </text>
    </comment>
    <comment ref="E46" authorId="4" shapeId="0" xr:uid="{00000000-0006-0000-0D00-000029000000}">
      <text>
        <r>
          <rPr>
            <sz val="10"/>
            <rFont val="Arial"/>
            <family val="2"/>
          </rPr>
          <t>For projects that serve multiple tenant types or include multiple unit types
(SRO, Special Needs, Family, etc.), TCAC will allow the use of a weighted
average vacancy rate for the project based on the underwriting vacancy
rates required under TCAC regulation section 10327(g)(3).</t>
        </r>
      </text>
    </comment>
    <comment ref="E47" authorId="4" shapeId="0" xr:uid="{00000000-0006-0000-0D00-00002A000000}">
      <text>
        <r>
          <rPr>
            <sz val="10"/>
            <rFont val="Arial"/>
            <family val="2"/>
          </rPr>
          <t>For projects that serve multiple tenant types or include multiple unit types
(SRO, Special Needs, Family, etc.), TCAC will allow the use of a weighted
average vacancy rate for the project based on the underwriting vacancy
rates required under TCAC regulation section 10327(g)(3).</t>
        </r>
      </text>
    </comment>
    <comment ref="E48" authorId="4" shapeId="0" xr:uid="{00000000-0006-0000-0D00-00002B000000}">
      <text>
        <r>
          <rPr>
            <sz val="10"/>
            <rFont val="Arial"/>
            <family val="2"/>
          </rPr>
          <t>For projects that serve multiple tenant types or include multiple unit types
(SRO, Special Needs, Family, etc.), TCAC will allow the use of a weighted
average vacancy rate for the project based on the underwriting vacancy
rates required under TCAC regulation section 10327(g)(3).</t>
        </r>
      </text>
    </comment>
    <comment ref="E49" authorId="4" shapeId="0" xr:uid="{00000000-0006-0000-0D00-00002C000000}">
      <text>
        <r>
          <rPr>
            <sz val="10"/>
            <rFont val="Arial"/>
            <family val="2"/>
          </rPr>
          <t>For projects that serve multiple tenant types or include multiple unit types
(SRO, Special Needs, Family, etc.), TCAC will allow the use of a weighted
average vacancy rate for the project based on the underwriting vacancy
rates required under TCAC regulation section 10327(g)(3).</t>
        </r>
      </text>
    </comment>
    <comment ref="E50" authorId="4" shapeId="0" xr:uid="{00000000-0006-0000-0D00-00002D000000}">
      <text>
        <r>
          <rPr>
            <sz val="10"/>
            <rFont val="Arial"/>
            <family val="2"/>
          </rPr>
          <t>For projects that serve multiple tenant types or include multiple unit types
(SRO, Special Needs, Family, etc.), TCAC will allow the use of a weighted
average vacancy rate for the project based on the underwriting vacancy
rates required under TCAC regulation section 10327(g)(3).</t>
        </r>
      </text>
    </comment>
    <comment ref="E51" authorId="4" shapeId="0" xr:uid="{00000000-0006-0000-0D00-00002E000000}">
      <text>
        <r>
          <rPr>
            <sz val="10"/>
            <rFont val="Arial"/>
            <family val="2"/>
          </rPr>
          <t>For projects that serve multiple tenant types or include multiple unit types
(SRO, Special Needs, Family, etc.), TCAC will allow the use of a weighted
average vacancy rate for the project based on the underwriting vacancy
rates required under TCAC regulation section 10327(g)(3).</t>
        </r>
      </text>
    </comment>
    <comment ref="D69" authorId="7" shapeId="0" xr:uid="{00000000-0006-0000-0D00-00002F000000}">
      <text>
        <r>
          <rPr>
            <sz val="10"/>
            <rFont val="Arial"/>
            <family val="2"/>
          </rPr>
          <t>Use Comments cells to provide expense details.</t>
        </r>
      </text>
    </comment>
    <comment ref="D77" authorId="7" shapeId="0" xr:uid="{00000000-0006-0000-0D00-000030000000}">
      <text>
        <r>
          <rPr>
            <sz val="10"/>
            <rFont val="Arial"/>
            <family val="2"/>
          </rPr>
          <t>Use Comments cells as needed
to provide details.</t>
        </r>
      </text>
    </comment>
    <comment ref="D91" authorId="7" shapeId="0" xr:uid="{00000000-0006-0000-0D00-000031000000}">
      <text>
        <r>
          <rPr>
            <sz val="10"/>
            <rFont val="Arial"/>
            <family val="2"/>
          </rPr>
          <t>Use Comments cells to provide expense details.</t>
        </r>
      </text>
    </comment>
    <comment ref="E95" authorId="3" shapeId="0" xr:uid="{00000000-0006-0000-0D00-000032000000}">
      <text>
        <r>
          <rPr>
            <sz val="10"/>
            <rFont val="Arial"/>
            <family val="2"/>
          </rPr>
          <t>Including assessments.</t>
        </r>
      </text>
    </comment>
    <comment ref="F95" authorId="3" shapeId="0" xr:uid="{00000000-0006-0000-0D00-000033000000}">
      <text>
        <r>
          <rPr>
            <sz val="10"/>
            <rFont val="Arial"/>
            <family val="2"/>
          </rPr>
          <t>Including assessments.</t>
        </r>
      </text>
    </comment>
    <comment ref="D102" authorId="7" shapeId="0" xr:uid="{00000000-0006-0000-0D00-000034000000}">
      <text>
        <r>
          <rPr>
            <sz val="10"/>
            <rFont val="Arial"/>
            <family val="2"/>
          </rPr>
          <t>Use Comments cells to provide
expense details.</t>
        </r>
      </text>
    </comment>
    <comment ref="E106" authorId="7" shapeId="0" xr:uid="{00000000-0006-0000-0D00-000035000000}">
      <text>
        <r>
          <rPr>
            <sz val="10"/>
            <rFont val="Arial"/>
            <family val="2"/>
          </rPr>
          <t>If shaded red, amount exceeds maximum allowable
HCD UMRs 8314(f)(1)</t>
        </r>
      </text>
    </comment>
    <comment ref="E109" authorId="7" shapeId="0" xr:uid="{00000000-0006-0000-0D00-000036000000}">
      <text>
        <r>
          <rPr>
            <sz val="10"/>
            <rFont val="Arial"/>
            <family val="2"/>
          </rPr>
          <t>If shaded red, amount exceeds maximum allowable
HCD UMRs 8314(f)(2)</t>
        </r>
      </text>
    </comment>
    <comment ref="D110" authorId="7" shapeId="0" xr:uid="{00000000-0006-0000-0D00-000037000000}">
      <text>
        <r>
          <rPr>
            <sz val="10"/>
            <rFont val="Arial"/>
            <family val="2"/>
          </rPr>
          <t>Use Comments cells as needed to provide details.</t>
        </r>
      </text>
    </comment>
    <comment ref="D111" authorId="7" shapeId="0" xr:uid="{00000000-0006-0000-0D00-000038000000}">
      <text>
        <r>
          <rPr>
            <sz val="10"/>
            <rFont val="Arial"/>
            <family val="2"/>
          </rPr>
          <t>Use Comments cells as needed to provide details.</t>
        </r>
      </text>
    </comment>
    <comment ref="E112" authorId="7" shapeId="0" xr:uid="{00000000-0006-0000-0D00-000039000000}">
      <text>
        <r>
          <rPr>
            <sz val="10"/>
            <rFont val="Arial"/>
            <family val="2"/>
          </rPr>
          <t>If shaded red, amount exceeds maximum allowable
HCD UMRs 8314(e)</t>
        </r>
      </text>
    </comment>
    <comment ref="D115" authorId="5" shapeId="0" xr:uid="{00000000-0006-0000-0D00-00003A000000}">
      <text>
        <r>
          <rPr>
            <sz val="10"/>
            <rFont val="Arial"/>
            <family val="2"/>
          </rPr>
          <t>Reserves funded from operating cash flow only. 
Do not include capitalized reserves.</t>
        </r>
      </text>
    </comment>
    <comment ref="D117" authorId="6" shapeId="0" xr:uid="{00000000-0006-0000-0D00-00003C000000}">
      <text>
        <r>
          <rPr>
            <sz val="10"/>
            <rFont val="Arial"/>
            <family val="2"/>
          </rPr>
          <t xml:space="preserve">Include portion of this reserve
funded through cash flow. </t>
        </r>
      </text>
    </comment>
    <comment ref="D118" authorId="6" shapeId="0" xr:uid="{00000000-0006-0000-0D00-00003D000000}">
      <text>
        <r>
          <rPr>
            <sz val="10"/>
            <rFont val="Arial"/>
            <family val="2"/>
          </rPr>
          <t>Per  7312.1 (b)  (2)  The minimum amount of the transition reserve for COSR
shall be the amount sufficient to prevent rent increases for one year following
the exhaustion of the COSR. Transition reserves may be capitalized or funded
from annual Project cash flow in amounts to be approved by the Department.
Include the Capitalized  portion in the  development budget and the amount
to be funded through cash flow  in the Operating Budget.</t>
        </r>
      </text>
    </comment>
    <comment ref="D128" authorId="8" shapeId="0" xr:uid="{00000000-0006-0000-0D00-00003E000000}">
      <text>
        <r>
          <rPr>
            <sz val="10"/>
            <rFont val="Arial"/>
            <family val="2"/>
          </rPr>
          <t>Required Residential Debt Service: Do not include
residual receipts payments.  Show only "must pay"
residential debt service.</t>
        </r>
      </text>
    </comment>
    <comment ref="D129" authorId="8" shapeId="0" xr:uid="{00000000-0006-0000-0D00-00003F000000}">
      <text>
        <r>
          <rPr>
            <sz val="10"/>
            <rFont val="Arial"/>
            <family val="2"/>
          </rPr>
          <t>Required Residential Debt Service: Do not include
residual receipts payments.  Show only "must pay"
residential debt service.</t>
        </r>
      </text>
    </comment>
    <comment ref="D130" authorId="8" shapeId="0" xr:uid="{00000000-0006-0000-0D00-000040000000}">
      <text>
        <r>
          <rPr>
            <sz val="10"/>
            <rFont val="Arial"/>
            <family val="2"/>
          </rPr>
          <t>Required Residential Debt Service: Do not include
residual receipts payments.  Show only "must pay"
residential debt service.</t>
        </r>
      </text>
    </comment>
    <comment ref="E145" authorId="4" shapeId="0" xr:uid="{00000000-0006-0000-0D00-000041000000}">
      <text>
        <r>
          <rPr>
            <sz val="10"/>
            <rFont val="Arial"/>
            <family val="2"/>
          </rPr>
          <t>Use of Operating Income.
(a)(2)(A) An amount for the current year, equal to $40,888 for 2025
and increased at the rate of 3.5 percent for each subsequent yea.</t>
        </r>
      </text>
    </comment>
    <comment ref="H159" authorId="6" shapeId="0" xr:uid="{00000000-0006-0000-0D00-000042000000}">
      <text>
        <r>
          <rPr>
            <sz val="10"/>
            <rFont val="Arial"/>
            <family val="2"/>
          </rPr>
          <t>if "N/A", please explain.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Rodine, George@HCD</author>
    <author>George Rodine</author>
    <author>Christina DiFrancesco</author>
  </authors>
  <commentList>
    <comment ref="AD13" authorId="0" shapeId="0" xr:uid="{00000000-0006-0000-1000-000001000000}">
      <text>
        <r>
          <rPr>
            <sz val="10"/>
            <rFont val="Arial"/>
            <family val="2"/>
          </rPr>
          <t>If shaded red, total units exceed total units above in cell N9</t>
        </r>
      </text>
    </comment>
    <comment ref="AA22" authorId="1" shapeId="0" xr:uid="{00000000-0006-0000-1000-000002000000}">
      <text>
        <r>
          <rPr>
            <sz val="10"/>
            <rFont val="Arial"/>
            <family val="2"/>
          </rPr>
          <t>If shaded red, budgeted supportive services costs exceed maximum costs.</t>
        </r>
      </text>
    </comment>
    <comment ref="B26" authorId="2" shapeId="0" xr:uid="{00000000-0006-0000-1000-000003000000}">
      <text>
        <r>
          <rPr>
            <sz val="10"/>
            <rFont val="Arial"/>
            <family val="2"/>
          </rPr>
          <t xml:space="preserve">This includes NPLH units targeted to Homeless or At Risk of Chronic Homelessness
</t>
        </r>
      </text>
    </comment>
    <comment ref="AD29" authorId="0" shapeId="0" xr:uid="{00000000-0006-0000-1000-000004000000}">
      <text>
        <r>
          <rPr>
            <sz val="10"/>
            <rFont val="Arial"/>
            <family val="2"/>
          </rPr>
          <t>If shaded red, total units exceed total units above in cell N24</t>
        </r>
      </text>
    </comment>
    <comment ref="AA38" authorId="1" shapeId="0" xr:uid="{00000000-0006-0000-1000-000005000000}">
      <text>
        <r>
          <rPr>
            <sz val="10"/>
            <rFont val="Arial"/>
            <family val="2"/>
          </rPr>
          <t xml:space="preserve">If shaded red, budgeted supportive services costs exceed maximum costs.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grodine</author>
  </authors>
  <commentList>
    <comment ref="AF7" authorId="0" shapeId="0" xr:uid="{00000000-0006-0000-1100-000001000000}">
      <text>
        <r>
          <rPr>
            <sz val="10"/>
            <rFont val="Arial"/>
            <family val="2"/>
          </rPr>
          <t>For new construction or conversion Projects, the initial amount
of annual deposits to the replacement reserve account shall be
equal to at least the lesser of 0.6% of estimated construction
costs associated with structures in the Project, excluding
construction contingency and general contractor profit,
overhead and general requirements.</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Information Technology</author>
    <author>rschmunk</author>
    <author>Gutierrez, Alfredo@HCD</author>
    <author>eabdala</author>
    <author>Debra Starbuck</author>
    <author>Agutierrez</author>
    <author>grodine</author>
  </authors>
  <commentList>
    <comment ref="B5" authorId="0" shapeId="0" xr:uid="{00000000-0006-0000-1200-000001000000}">
      <text>
        <r>
          <rPr>
            <sz val="10"/>
            <rFont val="Arial"/>
            <family val="2"/>
          </rPr>
          <t>This should represent income from all
regulated and income restricted rental units.</t>
        </r>
      </text>
    </comment>
    <comment ref="B6" authorId="0" shapeId="0" xr:uid="{00000000-0006-0000-1200-000002000000}">
      <text>
        <r>
          <rPr>
            <sz val="10"/>
            <rFont val="Arial"/>
            <family val="2"/>
          </rPr>
          <t>This should represent income from all
regulated and income restricted rental units.</t>
        </r>
      </text>
    </comment>
    <comment ref="B7" authorId="0" shapeId="0" xr:uid="{00000000-0006-0000-1200-000003000000}">
      <text>
        <r>
          <rPr>
            <sz val="10"/>
            <rFont val="Arial"/>
            <family val="2"/>
          </rPr>
          <t>This may include manager's units that aren't
regulated by income restrictions - or market rate units.</t>
        </r>
      </text>
    </comment>
    <comment ref="B8" authorId="1" shapeId="0" xr:uid="{00000000-0006-0000-1200-000004000000}">
      <text>
        <r>
          <rPr>
            <sz val="10"/>
            <rFont val="Arial"/>
            <family val="2"/>
          </rPr>
          <t>Aka rent subsidies. Calculated as the contract
rent amount minus the restricted amount.
actual subsidies will likely be greater</t>
        </r>
      </text>
    </comment>
    <comment ref="B9" authorId="2" shapeId="0" xr:uid="{00000000-0006-0000-1200-000005000000}">
      <text>
        <r>
          <rPr>
            <sz val="10"/>
            <rFont val="Arial"/>
            <family val="2"/>
          </rPr>
          <t>Subsidy Program Name 1
From "Unit Mix" tab.</t>
        </r>
      </text>
    </comment>
    <comment ref="B10" authorId="2" shapeId="0" xr:uid="{00000000-0006-0000-1200-000006000000}">
      <text>
        <r>
          <rPr>
            <sz val="10"/>
            <rFont val="Arial"/>
            <family val="2"/>
          </rPr>
          <t>Subsidy Program Name 2
From "Unit Mix" tab.</t>
        </r>
      </text>
    </comment>
    <comment ref="B18" authorId="3" shapeId="0" xr:uid="{00000000-0006-0000-1200-000007000000}">
      <text>
        <r>
          <rPr>
            <sz val="10"/>
            <rFont val="Arial"/>
            <family val="2"/>
          </rPr>
          <t>Garage &amp; Parking Spaces and
Other Miscellaneous Rent Revenue</t>
        </r>
      </text>
    </comment>
    <comment ref="J30" authorId="4" shapeId="0" xr:uid="{00000000-0006-0000-1200-000008000000}">
      <text>
        <r>
          <rPr>
            <sz val="10"/>
            <rFont val="Arial"/>
            <family val="2"/>
          </rPr>
          <t>CalHFA does not consider Commercial income
for purposes of establishing debt service
coverage ratios.  Change this number to
100% for CalHFA loan requests.</t>
        </r>
      </text>
    </comment>
    <comment ref="B49" authorId="5" shapeId="0" xr:uid="{00000000-0006-0000-1200-000009000000}">
      <text>
        <r>
          <rPr>
            <sz val="10"/>
            <rFont val="Arial"/>
            <family val="2"/>
          </rPr>
          <t xml:space="preserve">Bridge Loan - This figure
is excluded from Total Debt Service </t>
        </r>
      </text>
    </comment>
    <comment ref="L84" authorId="6" shapeId="0" xr:uid="{00000000-0006-0000-1200-00000A000000}">
      <text>
        <r>
          <rPr>
            <sz val="10"/>
            <rFont val="Arial"/>
            <family val="2"/>
          </rPr>
          <t>Rolls from "Operating Budget" which
is below the Cash Flow line on the
Operating Budget sheet.</t>
        </r>
      </text>
    </comment>
    <comment ref="L87" authorId="6" shapeId="0" xr:uid="{00000000-0006-0000-1200-00000B000000}">
      <text>
        <r>
          <rPr>
            <sz val="10"/>
            <rFont val="Arial"/>
            <family val="2"/>
          </rPr>
          <t>Deferred Developer Fee budgeted for payment
from cash flow prior to Distributions and residual
receipts loan payments. See Dev Sources worksheet.</t>
        </r>
      </text>
    </comment>
    <comment ref="B93" authorId="2" shapeId="0" xr:uid="{00000000-0006-0000-1200-00000C000000}">
      <text>
        <r>
          <rPr>
            <sz val="10"/>
            <rFont val="Arial"/>
            <family val="2"/>
          </rPr>
          <t>Section 7304.1 (a) COSRs shall be made available by the Department
in the form of a grant for Special Needs Projects to assist units at
30 percent AMI and below in accordance with the requirements of
the MHP guidelines.</t>
        </r>
      </text>
    </comment>
    <comment ref="H94" authorId="2" shapeId="0" xr:uid="{00000000-0006-0000-1200-00000D000000}">
      <text>
        <r>
          <rPr>
            <sz val="10"/>
            <rFont val="Arial"/>
            <family val="2"/>
          </rPr>
          <t>Prorate applied to MHP COSR units for some of
the items below, (i.e. Other Income, Expenses).</t>
        </r>
      </text>
    </comment>
    <comment ref="B98" authorId="0" shapeId="0" xr:uid="{00000000-0006-0000-1200-00000E000000}">
      <text>
        <r>
          <rPr>
            <sz val="10"/>
            <rFont val="Arial"/>
            <family val="2"/>
          </rPr>
          <t>This may include manager's units that aren't
regulated by income restrictions - or market rate units.</t>
        </r>
      </text>
    </comment>
    <comment ref="B99" authorId="1" shapeId="0" xr:uid="{00000000-0006-0000-1200-00000F000000}">
      <text>
        <r>
          <rPr>
            <sz val="10"/>
            <rFont val="Arial"/>
            <family val="2"/>
          </rPr>
          <t>Aka rent subsidies. Calculated as the contract
rent amount minus the restricted amount.
actual subsidies will likely be greater</t>
        </r>
      </text>
    </comment>
    <comment ref="B100" authorId="2" shapeId="0" xr:uid="{00000000-0006-0000-1200-000010000000}">
      <text>
        <r>
          <rPr>
            <sz val="10"/>
            <rFont val="Arial"/>
            <family val="2"/>
          </rPr>
          <t>Subsidy Program Name 1
From "Unit Mix" tab.</t>
        </r>
      </text>
    </comment>
    <comment ref="B101" authorId="2" shapeId="0" xr:uid="{00000000-0006-0000-1200-000011000000}">
      <text>
        <r>
          <rPr>
            <sz val="10"/>
            <rFont val="Arial"/>
            <family val="2"/>
          </rPr>
          <t>Subsidy Program Name 2
From "Unit Mix" tab.</t>
        </r>
      </text>
    </comment>
    <comment ref="B108" authorId="3" shapeId="0" xr:uid="{00000000-0006-0000-1200-000012000000}">
      <text>
        <r>
          <rPr>
            <sz val="10"/>
            <rFont val="Arial"/>
            <family val="2"/>
          </rPr>
          <t>Garage &amp; Parking Spaces and
Other Miscellaneous Rent Revenue</t>
        </r>
      </text>
    </comment>
    <comment ref="J120" authorId="4" shapeId="0" xr:uid="{00000000-0006-0000-1200-000013000000}">
      <text>
        <r>
          <rPr>
            <sz val="10"/>
            <rFont val="Arial"/>
            <family val="2"/>
          </rPr>
          <t>CalHFA does not consider Commercial income
for purposes of establishing debt service
coverage ratios.  Change this number to
100% for CalHFA loan requests.</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Gutierrez, Alfredo@HCD</author>
    <author>George Rodine</author>
  </authors>
  <commentList>
    <comment ref="B114" authorId="0" shapeId="0" xr:uid="{00000000-0006-0000-1600-000001000000}">
      <text>
        <r>
          <rPr>
            <sz val="10"/>
            <rFont val="Arial"/>
            <family val="2"/>
          </rPr>
          <t>Utilize a LSP with at least four years of experience.</t>
        </r>
      </text>
    </comment>
    <comment ref="B115" authorId="0" shapeId="0" xr:uid="{00000000-0006-0000-1600-000002000000}">
      <text>
        <r>
          <rPr>
            <sz val="10"/>
            <rFont val="Arial"/>
            <family val="2"/>
          </rPr>
          <t>This experience must include two (2) years of experience</t>
        </r>
      </text>
    </comment>
    <comment ref="H446" authorId="0" shapeId="0" xr:uid="{00000000-0006-0000-1600-000003000000}">
      <text>
        <r>
          <rPr>
            <sz val="10"/>
            <rFont val="Arial"/>
            <family val="2"/>
          </rPr>
          <t>(Name of LSP)</t>
        </r>
      </text>
    </comment>
    <comment ref="O459" authorId="1" shapeId="0" xr:uid="{00000000-0006-0000-1600-000004000000}">
      <text>
        <r>
          <rPr>
            <sz val="10"/>
            <rFont val="Arial"/>
            <family val="2"/>
          </rPr>
          <t>Tenants will maintain affordable housing with needed services.</t>
        </r>
      </text>
    </comment>
    <comment ref="O460" authorId="1" shapeId="0" xr:uid="{00000000-0006-0000-1600-000005000000}">
      <text>
        <r>
          <rPr>
            <sz val="10"/>
            <rFont val="Arial"/>
            <family val="2"/>
          </rPr>
          <t>Tenants will gain employment.
Tenants will improve their ability to be self supportive.</t>
        </r>
      </text>
    </comment>
    <comment ref="O461" authorId="1" shapeId="0" xr:uid="{00000000-0006-0000-1600-000006000000}">
      <text>
        <r>
          <rPr>
            <sz val="10"/>
            <rFont val="Arial"/>
            <family val="2"/>
          </rPr>
          <t>Tenants will exercise more control over their lives.
Tenants will improve their quality of life and ability
to live independently.</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Gutierrez, Alfredo@HCD</author>
  </authors>
  <commentList>
    <comment ref="D19" authorId="0" shapeId="0" xr:uid="{00000000-0006-0000-1700-000001000000}">
      <text>
        <r>
          <rPr>
            <sz val="10"/>
            <rFont val="Arial"/>
            <family val="2"/>
          </rPr>
          <t>Please complete Scoring section at the
Scoring sheet, then verify this requirement.</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Gutierrez, Alfredo@HCD</author>
  </authors>
  <commentList>
    <comment ref="AJ24" authorId="0" shapeId="0" xr:uid="{00000000-0006-0000-1800-000001000000}">
      <text>
        <r>
          <rPr>
            <sz val="10"/>
            <rFont val="Arial"/>
            <family val="2"/>
          </rPr>
          <t>Complete Unit Mix sheet.
Total Units restricted to
Agricultural Households.</t>
        </r>
      </text>
    </comment>
    <comment ref="AJ25" authorId="0" shapeId="0" xr:uid="{00000000-0006-0000-1800-000002000000}">
      <text>
        <r>
          <rPr>
            <sz val="10"/>
            <rFont val="Arial"/>
            <family val="2"/>
          </rPr>
          <t>Agricultural Households Units
at or below 30% AMI.</t>
        </r>
      </text>
    </comment>
    <comment ref="AV78" authorId="0" shapeId="0" xr:uid="{00000000-0006-0000-1800-000003000000}">
      <text>
        <r>
          <rPr>
            <sz val="10"/>
            <rFont val="Arial"/>
            <family val="2"/>
          </rPr>
          <t>If Fail, the Sponsor/Applicant did not answer or answered "No"
to "Will the Sponsor/Applicant be the Recipient/co-Recipient
of the Department’s Award of funds?" at the
"Project Overview" sheet.</t>
        </r>
      </text>
    </comment>
    <comment ref="AV79" authorId="0" shapeId="0" xr:uid="{00000000-0006-0000-1800-000004000000}">
      <text>
        <r>
          <rPr>
            <sz val="10"/>
            <rFont val="Arial"/>
            <family val="2"/>
          </rPr>
          <t>If Fail, the Sponsor/Applicant did not answer or answered "No"
to "Will the Sponsor/Applicant be organized on a for-profit,
limited-profit, or non-profit basis?" at the "Project Overview"
sheet.</t>
        </r>
      </text>
    </comment>
    <comment ref="BA80" authorId="0" shapeId="0" xr:uid="{00000000-0006-0000-1800-000005000000}">
      <text>
        <r>
          <rPr>
            <sz val="10"/>
            <rFont val="Arial"/>
            <family val="2"/>
          </rPr>
          <t>Is the Project being proposed by a Community-Based Developer? 
If "Yes"
then review upload "Emerging Developer Experience"
and verify the ED experience.</t>
        </r>
      </text>
    </comment>
    <comment ref="BE80" authorId="0" shapeId="0" xr:uid="{00000000-0006-0000-1800-000006000000}">
      <text>
        <r>
          <rPr>
            <sz val="10"/>
            <rFont val="Arial"/>
            <family val="2"/>
          </rPr>
          <t>Is the Project being proposed by an Emerging Developer?
If "Yes"
then review upload "Emerging Developer Experience"
and verify the ED experience.</t>
        </r>
      </text>
    </comment>
    <comment ref="BL80" authorId="0" shapeId="0" xr:uid="{00000000-0006-0000-1800-000007000000}">
      <text>
        <r>
          <rPr>
            <sz val="10"/>
            <rFont val="Arial"/>
            <family val="2"/>
          </rPr>
          <t>Does the Sponsor/Applicant rely on the experience of
its controlled affiliated entities or its principals (e.g.,
employed by, and under the control of the Sponsor
and responsible for managing development, operational,
and ownership activities)?
If, "Yes, Sponsor principal",
then verify that documentation has been provided and
Review attachments, "Resume Principal", "SOQ Principal",
and "Cert of Employment" to make sure the Sponsor
principal holds the experience required.
If, "Yes, Sponsor affiliated entity", then verify that all the
experience is in the name of the Co-applicant
entity qualifying for experience.</t>
        </r>
      </text>
    </comment>
    <comment ref="W81" authorId="0" shapeId="0" xr:uid="{00000000-0006-0000-1800-000008000000}">
      <text>
        <r>
          <rPr>
            <sz val="10"/>
            <rFont val="Arial"/>
            <family val="2"/>
          </rPr>
          <t>Project Address of the Sponsor’s largest Rental Housing Development.</t>
        </r>
      </text>
    </comment>
    <comment ref="AL81" authorId="0" shapeId="0" xr:uid="{00000000-0006-0000-1800-000009000000}">
      <text>
        <r>
          <rPr>
            <sz val="10"/>
            <rFont val="Arial"/>
            <family val="2"/>
          </rPr>
          <t>If red, the proposed number of units exceed the
Sponsor's largest rental housing development by
200% or more. (7303(d))</t>
        </r>
      </text>
    </comment>
    <comment ref="BB83" authorId="0" shapeId="0" xr:uid="{00000000-0006-0000-1800-00000A000000}">
      <text>
        <r>
          <rPr>
            <sz val="10"/>
            <rFont val="Arial"/>
            <family val="2"/>
          </rPr>
          <t>Nummer of RHDs listed for experience at Scoring sheet.
Review upload "Farmworker Housing Experience"
and make sure that at least one of the RHDs
listed for experience at Scoring sheet,
or proposed Project,
includes occupancy restrictions for Agricultural Households.</t>
        </r>
      </text>
    </comment>
    <comment ref="C130" authorId="0" shapeId="0" xr:uid="{00000000-0006-0000-1800-00000B000000}">
      <text>
        <r>
          <rPr>
            <sz val="10"/>
            <rFont val="Arial"/>
            <family val="2"/>
          </rPr>
          <t>Sponsors/Applicants must achieve a minimum
point score of 80 points in Universal Scoring
Criteria to be considered for a funding award
(65 points for ranking within the Emerging
Developer target).</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Gutierrez, Alfredo@HCD</author>
    <author>George Rodine</author>
  </authors>
  <commentList>
    <comment ref="AI16" authorId="0" shapeId="0" xr:uid="{00000000-0006-0000-1900-000001000000}">
      <text>
        <r>
          <rPr>
            <sz val="10"/>
            <rFont val="Arial"/>
            <family val="2"/>
          </rPr>
          <t>Enter the total number of SNP units</t>
        </r>
      </text>
    </comment>
    <comment ref="AK16" authorId="0" shapeId="0" xr:uid="{00000000-0006-0000-1900-000002000000}">
      <text>
        <r>
          <rPr>
            <sz val="10"/>
            <rFont val="Arial"/>
            <family val="2"/>
          </rPr>
          <t>Enter the total number
of MHP Assisted SNP units</t>
        </r>
      </text>
    </comment>
    <comment ref="N360" authorId="1" shapeId="0" xr:uid="{00000000-0006-0000-1900-000003000000}">
      <text>
        <r>
          <rPr>
            <sz val="10"/>
            <rFont val="Arial"/>
            <family val="2"/>
          </rPr>
          <t>Tenants will maintain affordable
housing with needed services.</t>
        </r>
      </text>
    </comment>
    <comment ref="AA360" authorId="1" shapeId="0" xr:uid="{00000000-0006-0000-1900-000004000000}">
      <text>
        <r>
          <rPr>
            <sz val="10"/>
            <rFont val="Arial"/>
            <family val="2"/>
          </rPr>
          <t>xx# (representing xx%) of tenants will maintain housing
w/ needed services for three months, six months or one
year etc. with the assistance of case management and
community outreach and access to supportive services.</t>
        </r>
      </text>
    </comment>
    <comment ref="N361" authorId="1" shapeId="0" xr:uid="{00000000-0006-0000-1900-000005000000}">
      <text>
        <r>
          <rPr>
            <sz val="10"/>
            <rFont val="Arial"/>
            <family val="2"/>
          </rPr>
          <t>Tenants will gain employment.
Tenants will improve their ability
to be self supportive.</t>
        </r>
      </text>
    </comment>
    <comment ref="AA361" authorId="1" shapeId="0" xr:uid="{00000000-0006-0000-1900-000006000000}">
      <text>
        <r>
          <rPr>
            <sz val="10"/>
            <rFont val="Arial"/>
            <family val="2"/>
          </rPr>
          <t>xx# (representing xx%) of tenants will improve their ability
to maintain housing. This may include applying for and
receiving eligible benefits, participating in employment
opportunities or enrolling in education courses. xx# of
tenants will gain some form of employment within xx
months of becoming housed.</t>
        </r>
      </text>
    </comment>
    <comment ref="N362" authorId="1" shapeId="0" xr:uid="{00000000-0006-0000-1900-000007000000}">
      <text>
        <r>
          <rPr>
            <sz val="10"/>
            <rFont val="Arial"/>
            <family val="2"/>
          </rPr>
          <t>Tenants will exercise more control over their lives.
Tenants will improve their quality of life and ability
to live independently.</t>
        </r>
      </text>
    </comment>
    <comment ref="AA362" authorId="1" shapeId="0" xr:uid="{00000000-0006-0000-1900-000008000000}">
      <text>
        <r>
          <rPr>
            <sz val="10"/>
            <rFont val="Arial"/>
            <family val="2"/>
          </rPr>
          <t>xx# (representing xx%) of tenants will report increased
confidence and enhanced skills in advocating for their
own needs, improving self care, socialization and
independent living skills.</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Montoya, Elizabeth@HCD</author>
  </authors>
  <commentList>
    <comment ref="AK16" authorId="0" shapeId="0" xr:uid="{00000000-0006-0000-1B00-000001000000}">
      <text>
        <r>
          <rPr>
            <sz val="10"/>
            <rFont val="Arial"/>
            <family val="2"/>
          </rPr>
          <t>Enter the years the experience occurred (ex. 2020 to 2024)</t>
        </r>
      </text>
    </comment>
    <comment ref="AH28" authorId="0" shapeId="0" xr:uid="{00000000-0006-0000-1B00-000002000000}">
      <text>
        <r>
          <rPr>
            <sz val="10"/>
            <rFont val="Arial"/>
            <family val="2"/>
          </rPr>
          <t>VHHP Projects: Enter the years the experience occurred (ex. 2020 to 2024)</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Gutierrez, Alfredo@HCD</author>
  </authors>
  <commentList>
    <comment ref="W59" authorId="0" shapeId="0" xr:uid="{00000000-0006-0000-1D00-000001000000}">
      <text>
        <r>
          <rPr>
            <sz val="10"/>
            <rFont val="Arial"/>
            <family val="2"/>
          </rPr>
          <t>Project Address of the Sponsor’s largest Rental Housing Development.</t>
        </r>
      </text>
    </comment>
    <comment ref="AL59" authorId="0" shapeId="0" xr:uid="{00000000-0006-0000-1D00-000002000000}">
      <text>
        <r>
          <rPr>
            <sz val="10"/>
            <rFont val="Arial"/>
            <family val="2"/>
          </rPr>
          <t>If red, the proposed number of units exceed the
Sponsor's largest rental housing development by
200% or more. (7303(d))</t>
        </r>
      </text>
    </comment>
    <comment ref="C107" authorId="0" shapeId="0" xr:uid="{00000000-0006-0000-1D00-000004000000}">
      <text>
        <r>
          <rPr>
            <sz val="10"/>
            <rFont val="Arial"/>
            <family val="2"/>
          </rPr>
          <t>Sponsors/Applicants must achieve a minimum
point score of 80 points in Universal Scoring
Criteria to be considered for a funding award
(65 points for ranking within the Emerging
Developer target).</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Gutierrez, Alfredo@HCD</author>
  </authors>
  <commentList>
    <comment ref="E17" authorId="0" shapeId="0" xr:uid="{00000000-0006-0000-1E00-000001000000}">
      <text>
        <r>
          <rPr>
            <sz val="10"/>
            <rFont val="Arial"/>
            <family val="2"/>
          </rPr>
          <t>Please complete Scoring section at the
Scoring sheet, then verify this requirement.</t>
        </r>
      </text>
    </comment>
    <comment ref="C60" authorId="0" shapeId="0" xr:uid="{00000000-0006-0000-1E00-000002000000}">
      <text>
        <r>
          <rPr>
            <sz val="10"/>
            <rFont val="Arial"/>
            <family val="2"/>
          </rPr>
          <t>Please provide a description of how the Applicant
plan to make use of the IIG funds based on §203(b)(1-18)</t>
        </r>
      </text>
    </comment>
    <comment ref="AL61" authorId="0" shapeId="0" xr:uid="{00000000-0006-0000-1E00-000003000000}">
      <text>
        <r>
          <rPr>
            <sz val="10"/>
            <rFont val="Arial"/>
            <family val="2"/>
          </rPr>
          <t>If applicable, enter the number of Structured Parking
that serves a Transit Station, so long as they are
required to replace existing parking spaces displaced
by construction of new housing identified in the Application.</t>
        </r>
      </text>
    </comment>
    <comment ref="AL62" authorId="0" shapeId="0" xr:uid="{00000000-0006-0000-1E00-000004000000}">
      <text>
        <r>
          <rPr>
            <sz val="10"/>
            <rFont val="Arial"/>
            <family val="2"/>
          </rPr>
          <t>Complete "Dev Budget SU" sheet,
then verify this requirements.</t>
        </r>
      </text>
    </comment>
    <comment ref="C114" authorId="0" shapeId="0" xr:uid="{00000000-0006-0000-1E00-000005000000}">
      <text>
        <r>
          <rPr>
            <sz val="10"/>
            <rFont val="Arial"/>
            <family val="2"/>
          </rPr>
          <t>Please complete the "Scoring" sheet,
then verify this requirement.</t>
        </r>
      </text>
    </comment>
    <comment ref="C115" authorId="0" shapeId="0" xr:uid="{00000000-0006-0000-1E00-000006000000}">
      <text>
        <r>
          <rPr>
            <sz val="10"/>
            <rFont val="Arial"/>
            <family val="2"/>
          </rPr>
          <t>Please complete the "Scoring" sheet,
then verify this requirement.</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George Rodine</author>
  </authors>
  <commentList>
    <comment ref="AI16" authorId="0" shapeId="0" xr:uid="{00000000-0006-0000-2000-000001000000}">
      <text>
        <r>
          <rPr>
            <sz val="10"/>
            <rFont val="Arial"/>
            <family val="2"/>
          </rPr>
          <t>Red indicates developer fee payments in excess
of the HCD Maximum Total Developer Fee
Limit - must be paid from Sponsor distributions.</t>
        </r>
      </text>
    </comment>
    <comment ref="AI17" authorId="0" shapeId="0" xr:uid="{00000000-0006-0000-2000-000002000000}">
      <text>
        <r>
          <rPr>
            <sz val="10"/>
            <rFont val="Arial"/>
            <family val="2"/>
          </rPr>
          <t>Red indicates the developer is not deferring
enough fee to comply with the regulations
(increase deferred developer fee by this
amount).</t>
        </r>
      </text>
    </comment>
    <comment ref="Y22" authorId="0" shapeId="0" xr:uid="{00000000-0006-0000-2000-000003000000}">
      <text>
        <r>
          <rPr>
            <sz val="10"/>
            <rFont val="Arial"/>
            <family val="2"/>
          </rPr>
          <t>Sponsor or sponsor affiliate contributions of developer
fee as equity or deferred sponsor loan.
Counts as collected developer fee but does not count against
HCD limits from development sources or priority cash flow.
Examples: GP equity, cash contribution, deferred sponsor loans
paid from owner distributions.</t>
        </r>
      </text>
    </comment>
    <comment ref="AI22" authorId="0" shapeId="0" xr:uid="{00000000-0006-0000-2000-000004000000}">
      <text>
        <r>
          <rPr>
            <sz val="10"/>
            <rFont val="Arial"/>
            <family val="2"/>
          </rPr>
          <t>The portion of Developer Fee currently
estimated to be paid from cash flow
rather than from development funding
sources.</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Gutierrez, Alfredo@HCD</author>
    <author>grodine</author>
    <author>Agutierrez</author>
  </authors>
  <commentList>
    <comment ref="T9" authorId="0" shapeId="0" xr:uid="{00000000-0006-0000-1F00-000001000000}">
      <text>
        <r>
          <rPr>
            <sz val="10"/>
            <rFont val="Arial"/>
            <family val="2"/>
          </rPr>
          <t>Note: Applicants who are awarded points under
the scoring category and received tie breaker
score for cost containment may be subject to
future performance penalties. Negative points
may be assessed if the project’s total eligible basis
determined upon construction completion
exceeds the revised total adjusted threshold
basis limits for the year the Project completes
construction (or the original total eligible
threshold basis limit if higher) by 40percent.</t>
        </r>
      </text>
    </comment>
    <comment ref="B16" authorId="1" shapeId="0" xr:uid="{00000000-0006-0000-1F00-000002000000}">
      <text>
        <r>
          <rPr>
            <sz val="10"/>
            <rFont val="Arial"/>
            <family val="2"/>
          </rPr>
          <t>If this analysis is being done at construction or loan closing,
check your conclusions against the TCAC Staff Report -
the Basis Limit amount should be very close to the
TCAC amount.</t>
        </r>
      </text>
    </comment>
    <comment ref="AF22" authorId="2" shapeId="0" xr:uid="{00000000-0006-0000-1F00-000003000000}">
      <text>
        <r>
          <rPr>
            <sz val="10"/>
            <rFont val="Arial"/>
            <family val="2"/>
          </rPr>
          <t>If yes, please answer yes
or no to 1-9. no blanks.</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Gutierrez, Alfredo@HCD</author>
    <author>Hervey, Dylan@HCD</author>
  </authors>
  <commentList>
    <comment ref="AB18" authorId="0" shapeId="0" xr:uid="{00000000-0006-0000-2100-000002000000}">
      <text>
        <r>
          <rPr>
            <sz val="10"/>
            <rFont val="Arial"/>
            <family val="2"/>
          </rPr>
          <t>** Note: All applications must achieve at least
20 points in this category to be considered for funding.</t>
        </r>
      </text>
    </comment>
    <comment ref="AB21" authorId="0" shapeId="0" xr:uid="{00000000-0006-0000-2100-000003000000}">
      <text>
        <r>
          <rPr>
            <sz val="10"/>
            <rFont val="Arial"/>
            <family val="2"/>
          </rPr>
          <t>Sponsors/Applicants must achieve a point score of greater than 55.0 points in the Scoring Criteria, including at least (20) Readiness to Proceed points, to be considered for a funding award.</t>
        </r>
      </text>
    </comment>
    <comment ref="B111" authorId="0" shapeId="0" xr:uid="{00000000-0006-0000-2100-000004000000}">
      <text>
        <r>
          <rPr>
            <sz val="10"/>
            <rFont val="Arial"/>
            <family val="2"/>
          </rPr>
          <t>Please arrange projects by
earliest completion date.</t>
        </r>
      </text>
    </comment>
    <comment ref="X111" authorId="0" shapeId="0" xr:uid="{00000000-0006-0000-2100-000005000000}">
      <text>
        <r>
          <rPr>
            <sz val="10"/>
            <rFont val="Arial"/>
            <family val="2"/>
          </rPr>
          <t>Do not leave blank,
must answer True or
False.</t>
        </r>
      </text>
    </comment>
    <comment ref="AH111" authorId="0" shapeId="0" xr:uid="{00000000-0006-0000-2100-000006000000}">
      <text>
        <r>
          <rPr>
            <sz val="10"/>
            <rFont val="Arial"/>
            <family val="2"/>
          </rPr>
          <t>To obtain points for projects previously
owned, the ending date of ownership or
participation must be no more than 10
years</t>
        </r>
      </text>
    </comment>
    <comment ref="AK111" authorId="0" shapeId="0" xr:uid="{00000000-0006-0000-2100-000007000000}">
      <text>
        <r>
          <rPr>
            <sz val="10"/>
            <rFont val="Arial"/>
            <family val="2"/>
          </rPr>
          <t>Do not type a date if
ownership remains in
place.</t>
        </r>
      </text>
    </comment>
    <comment ref="B146" authorId="0" shapeId="0" xr:uid="{00000000-0006-0000-2100-000008000000}">
      <text>
        <r>
          <rPr>
            <sz val="10"/>
            <rFont val="Arial"/>
            <family val="2"/>
          </rPr>
          <t>Please arrange projects by
earliest completion date.</t>
        </r>
      </text>
    </comment>
    <comment ref="W146" authorId="0" shapeId="0" xr:uid="{00000000-0006-0000-2100-000009000000}">
      <text>
        <r>
          <rPr>
            <sz val="10"/>
            <rFont val="Arial"/>
            <family val="2"/>
          </rPr>
          <t>Do not leave blank,
must answer True or
False.</t>
        </r>
      </text>
    </comment>
    <comment ref="Z146" authorId="0" shapeId="0" xr:uid="{00000000-0006-0000-2100-00000A000000}">
      <text>
        <r>
          <rPr>
            <sz val="10"/>
            <rFont val="Arial"/>
            <family val="2"/>
          </rPr>
          <t>Do not leave blank,
please type Project's
Construction Completion
Date</t>
        </r>
      </text>
    </comment>
    <comment ref="AC146" authorId="0" shapeId="0" xr:uid="{00000000-0006-0000-2100-00000B000000}">
      <text>
        <r>
          <rPr>
            <sz val="10"/>
            <rFont val="Arial"/>
            <family val="2"/>
          </rPr>
          <t>The property management
experience with a project shall not
pre-date the project’s construction
completion date.</t>
        </r>
      </text>
    </comment>
    <comment ref="AH146" authorId="0" shapeId="0" xr:uid="{00000000-0006-0000-2100-00000C000000}">
      <text>
        <r>
          <rPr>
            <sz val="10"/>
            <rFont val="Arial"/>
            <family val="2"/>
          </rPr>
          <t>To obtain points for projects previously
managed, the ending date of property
management managed role must be no
more than 10 years</t>
        </r>
      </text>
    </comment>
    <comment ref="AK146" authorId="0" shapeId="0" xr:uid="{00000000-0006-0000-2100-00000D000000}">
      <text>
        <r>
          <rPr>
            <sz val="10"/>
            <rFont val="Arial"/>
            <family val="2"/>
          </rPr>
          <t>Do not type a date if
property management
remains in place.</t>
        </r>
      </text>
    </comment>
    <comment ref="E178" authorId="0" shapeId="0" xr:uid="{00000000-0006-0000-2100-00000E000000}">
      <text>
        <r>
          <rPr>
            <sz val="10"/>
            <rFont val="Arial"/>
            <family val="2"/>
          </rPr>
          <t>EFC = Enforceable Funding Commitment - a letter or other document evidencing,
to the satisfaction of the Department, a commitment of funds or a reservation of
funds by a Project funding source for construction or permanent financing, including,
but not limited to, the following: See Appendix A – Defined Terms</t>
        </r>
      </text>
    </comment>
    <comment ref="E183" authorId="0" shapeId="0" xr:uid="{00000000-0006-0000-2100-00000F000000}">
      <text>
        <r>
          <rPr>
            <sz val="10"/>
            <rFont val="Arial"/>
            <family val="2"/>
          </rPr>
          <t>EFC = Enforceable Funding Commitment - a letter or other document evidencing,
to the satisfaction of the Department, a commitment of funds or a reservation of
funds by a Project funding source for construction or permanent financing, including,
but not limited to, the following: See Appendix A – Defined Terms</t>
        </r>
      </text>
    </comment>
    <comment ref="E209" authorId="1" shapeId="0" xr:uid="{1E235B27-4496-4BC3-91B4-056DBE6549CE}">
      <text>
        <r>
          <rPr>
            <sz val="9"/>
            <color indexed="81"/>
            <rFont val="Tahoma"/>
            <family val="2"/>
          </rPr>
          <t>EFC = Enforceable Funding Commitment - a letter or other document evidencing,
to the satisfaction of the Department, a commitment of funds or a reservation of
funds by a Project funding source for construction or permanent financing, including,
but not limited to, the following: See Appendix A – Defined Terms</t>
        </r>
      </text>
    </comment>
    <comment ref="F216" authorId="0" shapeId="0" xr:uid="{00000000-0006-0000-2100-000010000000}">
      <text>
        <r>
          <rPr>
            <sz val="10"/>
            <rFont val="Arial"/>
            <family val="2"/>
          </rPr>
          <t>Complete Tab/sheet "Local Enviro Verification" herein the Application.</t>
        </r>
      </text>
    </comment>
    <comment ref="AL229" authorId="0" shapeId="0" xr:uid="{00000000-0006-0000-2100-000011000000}">
      <text>
        <r>
          <rPr>
            <sz val="10"/>
            <rFont val="Arial"/>
            <family val="2"/>
          </rPr>
          <t>Applies only if project is within
or outside a FEMA Major
Disaster Declaration as
described above.</t>
        </r>
      </text>
    </comment>
    <comment ref="AR236" authorId="1" shapeId="0" xr:uid="{64EE5186-B8BF-4CF8-B2BD-4E8CDDDF9BFF}">
      <text>
        <r>
          <rPr>
            <b/>
            <sz val="9"/>
            <color indexed="81"/>
            <rFont val="Tahoma"/>
            <family val="2"/>
          </rPr>
          <t>Hervey, Dylan@HCD:</t>
        </r>
        <r>
          <rPr>
            <sz val="9"/>
            <color indexed="81"/>
            <rFont val="Tahoma"/>
            <family val="2"/>
          </rPr>
          <t xml:space="preserve">
hide it’s a reduction of 5 points so doesn’t matter
</t>
        </r>
      </text>
    </comment>
    <comment ref="AL248" authorId="0" shapeId="0" xr:uid="{00000000-0006-0000-2100-000012000000}">
      <text>
        <r>
          <rPr>
            <sz val="10"/>
            <rFont val="Arial"/>
            <family val="2"/>
          </rPr>
          <t>Per Scoring criteria,
minimum units per acre.</t>
        </r>
      </text>
    </comment>
    <comment ref="B251" authorId="0" shapeId="0" xr:uid="{00000000-0006-0000-2100-000013000000}">
      <text>
        <r>
          <rPr>
            <sz val="10"/>
            <rFont val="Arial"/>
            <family val="2"/>
          </rPr>
          <t xml:space="preserve">Non-qualified site deductions: utility easements,
setbacks, private drives/walkways, general landscaping,
common areas and facilities, off street parking,
Traditional drainage facilities exclusive to a development
project. Mitigations required for development will not
be included in the allowed deductible areas. </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George, Ryan@HCD</author>
  </authors>
  <commentList>
    <comment ref="B15" authorId="0" shapeId="0" xr:uid="{00000000-0006-0000-2200-000001000000}">
      <text>
        <r>
          <rPr>
            <sz val="10"/>
            <rFont val="Arial"/>
            <family val="2"/>
          </rPr>
          <t>A “nondiscretionary local approval process” is one that includes little or
no subjective judgement by the public official and is limited to ensuring
that the proposed development meets a set of objective zoning, design
review and/or subdivision standards in effect at the time the application
is submitted to the local government. A “nondiscretionary local approval
process” includes Streamlined Ministerial Approval Processing under to
Chapter 366, Statutes of 2017 (SB 35), By-Right Processing for Permanent
Supportive Housing under Chapter 753, Statutes of 2018 (AB 2162)),
housing element law (Government Code Section 65583.2(i), or other
local process that meets the definition of non-discretionary approval process.</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kweber</author>
  </authors>
  <commentList>
    <comment ref="B8" authorId="0" shapeId="0" xr:uid="{00000000-0006-0000-2300-000001000000}">
      <text>
        <r>
          <rPr>
            <sz val="10"/>
            <rFont val="Arial"/>
            <family val="2"/>
          </rPr>
          <t>List All Disclosures Here</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RICHVALUE" minSupportedVersion="120000" copy="1" pasteAll="1" pasteValues="1" merge="1" splitFirst="1" rowColShift="1" clearFormats="1" clearComments="1" assign="1" coerce="1"/>
    <metadataType name="XLDAPR" minSupportedVersion="120000" copy="1" pasteAll="1" pasteValues="1" merge="1" splitFirst="1" rowColShift="1" clearFormats="1" clearComments="1" assign="1" coerce="1" cellMeta="1"/>
  </metadataTypes>
  <futureMetadata name="XLRICHVALUE" count="1">
    <bk>
      <extLst>
        <ext uri="{3e2802c4-a4d2-4d8b-9148-e3be6c30e623}">
          <xlrd:rvb i="0"/>
        </ext>
      </extLst>
    </bk>
  </futureMetadata>
  <futureMetadata name="XLDAPR" count="1">
    <bk>
      <extLst>
        <ext uri="{bdbb8cdc-fa1e-496e-a857-3c3f30c029c3}">
          <xda:dynamicArrayProperties fDynamic="1" fCollapsed="0"/>
        </ext>
      </extLst>
    </bk>
  </futureMetadata>
  <cellMetadata count="1">
    <bk>
      <rc t="2" v="0"/>
    </bk>
  </cellMetadata>
  <valueMetadata count="1">
    <bk>
      <rc t="1" v="0"/>
    </bk>
  </valueMetadata>
</metadata>
</file>

<file path=xl/sharedStrings.xml><?xml version="1.0" encoding="utf-8"?>
<sst xmlns="http://schemas.openxmlformats.org/spreadsheetml/2006/main" count="7145" uniqueCount="4084">
  <si>
    <t>Cooperative</t>
  </si>
  <si>
    <t>For-profit</t>
  </si>
  <si>
    <t>Alameda</t>
  </si>
  <si>
    <t>Northern</t>
  </si>
  <si>
    <t>no</t>
  </si>
  <si>
    <t>Projects located in jurisdictions permitting missing middle housing uses (e.g., duplexes, triplexes, and fourplexes) by right in existing low-density, single-family residential zones.</t>
  </si>
  <si>
    <t>Corporation</t>
  </si>
  <si>
    <t>non-profit</t>
  </si>
  <si>
    <t>Alpine</t>
  </si>
  <si>
    <t>Rural</t>
  </si>
  <si>
    <t>(A) A general plan, or general plan amendment, adopted per Gov. Code §65300.</t>
  </si>
  <si>
    <t>Projects located in jurisdictions with density bonus programs which exceed statutory requirements by 10 percent or more.</t>
  </si>
  <si>
    <t>Individual</t>
  </si>
  <si>
    <t>Amador</t>
  </si>
  <si>
    <t>(B) A project area redevelopment plan adopted pursuant to the Health and Safety Code §33330.</t>
  </si>
  <si>
    <t>Projects located in jurisdictions that are increasing allowable density in low-density, single-family residential areas beyond the requirements of state Accessory Dwelling Unit law (e.g., permitting more than one ADU or JADU per single-family lot). These policies shall be separate from any qualifying policies under category (ii) above.</t>
  </si>
  <si>
    <t>Limited Liability Corporation</t>
  </si>
  <si>
    <t>Butte</t>
  </si>
  <si>
    <t>(C) A regional blueprint plan as defined in the California Regional Blueprint Planning Program administered by the Business, Transportation and Housing Agency, or a regional plan as defined in the Government Code section §65060.7.</t>
  </si>
  <si>
    <t>Projects located in jurisdictions that are reducing or eliminating parking requirements for residential development as authorized by Government Code sections 65852.2; adopting vehicular parking ratios that are less than the relevant ratio thresholds at subparagraphs (A), (B), and (C) of Government Code section 65915, subdivision (p)(1); or adopting maximum parking requirements at or less than ratios pursuant to Government Code section 65915, subdivision (p).</t>
  </si>
  <si>
    <t>Limited Partnership</t>
  </si>
  <si>
    <t>Calaveras</t>
  </si>
  <si>
    <t>Projects located in jurisdictions that are zoning to allow for residential or mixed uses in one or more non-residential zones (e.g., commercial, light industrial). Qualifying non-residential zones do not include open space or substantially similar zones.</t>
  </si>
  <si>
    <t>Local Public Entity</t>
  </si>
  <si>
    <t xml:space="preserve">For-profit Corporation </t>
  </si>
  <si>
    <t>Colusa</t>
  </si>
  <si>
    <t>Accelerator</t>
  </si>
  <si>
    <t>Projects located in jurisdictions that are modifying development standards and other applicable zoning provisions to promote greater development intensity. Potential areas of focus include floor area ratio; height limits; minimum lot or unit sizes; setbacks; and allowable dwelling units per acre. These policies must be separate from any qualifying policies under Category (ii) above.</t>
  </si>
  <si>
    <t>Other Legal Entity</t>
  </si>
  <si>
    <t>Joint Powers Authority</t>
  </si>
  <si>
    <t>Contra Costa</t>
  </si>
  <si>
    <t>AHSC-Loan</t>
  </si>
  <si>
    <t>Projects located in jurisdictions that have adopted a Nondiscretionary Local Approval Process for residential and mixed-use development in all zones permitting multifamily housing, established a Workforce Housing Opportunity Zone, as defined in Government Code section 65620, or a housing sustainability district, as defined in Government Code section 66200.</t>
  </si>
  <si>
    <t>Partnership</t>
  </si>
  <si>
    <t>Limited Profit Corporation</t>
  </si>
  <si>
    <t>Del Norte</t>
  </si>
  <si>
    <t>CalHome</t>
  </si>
  <si>
    <t>Projects located in jurisdictions that zone more sites for residential development or zoning sites at higher densities than is required to accommodate 150 percent of the minimum regional housing need allocation for the Lower-Income allocation in the current housing element cycle.</t>
  </si>
  <si>
    <t>Joint Venture</t>
  </si>
  <si>
    <t>Non-profit Corporation</t>
  </si>
  <si>
    <t>El Dorado</t>
  </si>
  <si>
    <t>Fresno</t>
  </si>
  <si>
    <t>CDBG-DR</t>
  </si>
  <si>
    <t>Projects in jurisdictions that have priority permit processing or reduced plan check times for Accessory Dwelling Units (ADUs)/Junior Accessory Dwelling Units (JADUs), multifamily housing, or homes affordable to Lower- or Moderate-Income households.</t>
  </si>
  <si>
    <t>Tribal Entity</t>
  </si>
  <si>
    <t>Non-profit Public Benefit Corporation</t>
  </si>
  <si>
    <t>Kern</t>
  </si>
  <si>
    <t>FWHG</t>
  </si>
  <si>
    <t>Projects located in jurisdictions that have adopted ordinances or implemented other mechanisms that result in less restrictive requirements than Government Code sections 65852.2 and 65852.22 to reduce barriers for property owners to create ADUs/JADUs. Examples of qualifying policies include, but are not limited to, development standards improvements, permit processing improvements, dedicated ADU/JADU staff, technical assistance programs, and pre-approved ADU/JADU design packages.</t>
  </si>
  <si>
    <t>Trust</t>
  </si>
  <si>
    <t>Private/Public Partnership</t>
  </si>
  <si>
    <t>Glenn</t>
  </si>
  <si>
    <t>Monterey</t>
  </si>
  <si>
    <t>HHC</t>
  </si>
  <si>
    <t>Projects located in jurisdictions with measures that reduce costs for transportation-related infrastructure or programs that encourage active modes of transportation or other alternatives to automobiles. Qualifying policies include, but are not limited to, publicly funded programs to expand sidewalks or protect bike/micro-mobility lanes; creation of on-street parking for bikes; transit-related improvements; or establishment of carshare programs.</t>
  </si>
  <si>
    <t>N/A</t>
  </si>
  <si>
    <t>Public Agency</t>
  </si>
  <si>
    <t>Humboldt</t>
  </si>
  <si>
    <t>San Joaquin</t>
  </si>
  <si>
    <t>HOME</t>
  </si>
  <si>
    <t>Projects located in jurisdictions that have established pre-approved or prototype plans for missing middle housing types (e.g., duplexes, triplexes, and fourplexes) in low-density, single-family residential areas.</t>
  </si>
  <si>
    <t>U.S. Green Building Council 
LEED Certification - Gold</t>
  </si>
  <si>
    <t>Sole Proprietorship</t>
  </si>
  <si>
    <t>Imperial</t>
  </si>
  <si>
    <t>Southern</t>
  </si>
  <si>
    <t>Santa Barbara</t>
  </si>
  <si>
    <t>Homekey</t>
  </si>
  <si>
    <t>Projects located in jurisdictions that have documented practice of streamlining housing development at the project level, such as by enabling a by-right approval process or by utilizing statutory and categorical exemptions as authorized by applicable law (Pub. Resources Code, sections 21155.1, 21155.4, 21159.24, 21159.25; Gov. Code, section 65457; Cal Code Regs., tit. 14, sections 15303, 15332; Pub. Resources Code, sections 21094.5, 21099, 21155.2, 21159.28).</t>
  </si>
  <si>
    <t>GreenPointRated  - New Construction: Gold - Rehabilitation: Whole Building</t>
  </si>
  <si>
    <t>Inyo</t>
  </si>
  <si>
    <t>Tulare</t>
  </si>
  <si>
    <t>LHTH</t>
  </si>
  <si>
    <t>Projects located in jurisdictions that have policy that represents one element of a unified, multi-faceted strategy to promote multiple planning objectives, such as efficient land use, access to public transportation, affordable housing, climate change solutions, and/or hazard mitigation.</t>
  </si>
  <si>
    <t>ENERGY STAR - Certified Home</t>
  </si>
  <si>
    <t>Ventura</t>
  </si>
  <si>
    <t>MHP</t>
  </si>
  <si>
    <t>Projects located in jurisdictions that have policies that promote development consistent with the state planning priorities pursuant to Government Code section 65041.1.</t>
  </si>
  <si>
    <t>Living Future Challenge - Living Building</t>
  </si>
  <si>
    <t>Kings</t>
  </si>
  <si>
    <t>Madera</t>
  </si>
  <si>
    <t>NHTF</t>
  </si>
  <si>
    <t>Projects located in jurisdictions that have rezoning and other policies that support high-density development in Location Efficient Communities.</t>
  </si>
  <si>
    <t>Lake</t>
  </si>
  <si>
    <t>Merced</t>
  </si>
  <si>
    <t>NPLH-AHD Loan</t>
  </si>
  <si>
    <t>Lassen</t>
  </si>
  <si>
    <t>Riverside</t>
  </si>
  <si>
    <t>PLHA</t>
  </si>
  <si>
    <t>Los Angeles</t>
  </si>
  <si>
    <t>San Diego</t>
  </si>
  <si>
    <t>SHMHP</t>
  </si>
  <si>
    <t>Highest Resource</t>
  </si>
  <si>
    <t>Federal</t>
  </si>
  <si>
    <t>San Luis Obispo</t>
  </si>
  <si>
    <t>THP</t>
  </si>
  <si>
    <t>High Resource</t>
  </si>
  <si>
    <t>4% tax credits</t>
  </si>
  <si>
    <t>Marin</t>
  </si>
  <si>
    <t>Santa Cruz</t>
  </si>
  <si>
    <t>Manager</t>
  </si>
  <si>
    <t>TOD</t>
  </si>
  <si>
    <t>Moderate Resource (Rapidly Changing)</t>
  </si>
  <si>
    <t>9% tax credits</t>
  </si>
  <si>
    <t>Mariposa</t>
  </si>
  <si>
    <t>Sonoma</t>
  </si>
  <si>
    <t>Market</t>
  </si>
  <si>
    <t>VHHP</t>
  </si>
  <si>
    <t>Moderate Resource</t>
  </si>
  <si>
    <t>Local</t>
  </si>
  <si>
    <t>Mendocino</t>
  </si>
  <si>
    <t>Stanislaus</t>
  </si>
  <si>
    <t>Low Resource</t>
  </si>
  <si>
    <t>Local Fee Waiver</t>
  </si>
  <si>
    <t>High Segregation &amp; Poverty</t>
  </si>
  <si>
    <t>Local Land Donation</t>
  </si>
  <si>
    <t>Modoc</t>
  </si>
  <si>
    <t>Missing / Insufficient Data</t>
  </si>
  <si>
    <t>Other</t>
  </si>
  <si>
    <t>Mono</t>
  </si>
  <si>
    <t>National &amp; State Park / Forest / Rec Area</t>
  </si>
  <si>
    <t>Private</t>
  </si>
  <si>
    <t>State-General</t>
  </si>
  <si>
    <t>Napa</t>
  </si>
  <si>
    <t>State-GGRF</t>
  </si>
  <si>
    <t>Nevada</t>
  </si>
  <si>
    <t>State-HCD</t>
  </si>
  <si>
    <t>Orange</t>
  </si>
  <si>
    <t>Placer</t>
  </si>
  <si>
    <t>Fixed for Term</t>
  </si>
  <si>
    <t>Plumas</t>
  </si>
  <si>
    <t>Fixed with Reset</t>
  </si>
  <si>
    <t>Disposition and Development Agreement</t>
  </si>
  <si>
    <t>Fixed, then Variable</t>
  </si>
  <si>
    <t>Encroachment Permit</t>
  </si>
  <si>
    <t>Sacramento</t>
  </si>
  <si>
    <t>Variable</t>
  </si>
  <si>
    <t>Enforceable Option to Lease or Purchase</t>
  </si>
  <si>
    <t>San Benito</t>
  </si>
  <si>
    <t>Exclusive Right to Negotiate</t>
  </si>
  <si>
    <t>San Bernardino</t>
  </si>
  <si>
    <t>None</t>
  </si>
  <si>
    <t>Fee Title</t>
  </si>
  <si>
    <t>Land Sales Contract</t>
  </si>
  <si>
    <t>San Francisco</t>
  </si>
  <si>
    <t>Leasehold Interest</t>
  </si>
  <si>
    <t>San Mateo</t>
  </si>
  <si>
    <t>ACC</t>
  </si>
  <si>
    <t>Acquisition/Rehabilitation</t>
  </si>
  <si>
    <t>AHSC</t>
  </si>
  <si>
    <t>Rehabilitation</t>
  </si>
  <si>
    <t>Santa Clara</t>
  </si>
  <si>
    <t>Conversion of Nonresidential Structures</t>
  </si>
  <si>
    <t>HKT</t>
  </si>
  <si>
    <t>New Construction</t>
  </si>
  <si>
    <t>Shasta</t>
  </si>
  <si>
    <t>New Construction &amp; Acquisition/Rehabilitation</t>
  </si>
  <si>
    <t>Sierra</t>
  </si>
  <si>
    <t>IIGC</t>
  </si>
  <si>
    <t>Siskiyou</t>
  </si>
  <si>
    <t>MORE</t>
  </si>
  <si>
    <t>Solano</t>
  </si>
  <si>
    <t>NPLH</t>
  </si>
  <si>
    <t>Townhouse/Row House</t>
  </si>
  <si>
    <t>One or Two Story Walk-Up</t>
  </si>
  <si>
    <t>Mid-Rise (3-5 stories)</t>
  </si>
  <si>
    <t>Sutter</t>
  </si>
  <si>
    <t>High-Rise (6+stories)</t>
  </si>
  <si>
    <t>Tehama</t>
  </si>
  <si>
    <t>Detached Single Family</t>
  </si>
  <si>
    <t>Trinity</t>
  </si>
  <si>
    <t>Duplex/4-Plex</t>
  </si>
  <si>
    <t>Non-Residential Building(s)</t>
  </si>
  <si>
    <t>Tuolumne</t>
  </si>
  <si>
    <t>Uncovered</t>
  </si>
  <si>
    <t>Yolo</t>
  </si>
  <si>
    <t>Covered</t>
  </si>
  <si>
    <t>Yuba</t>
  </si>
  <si>
    <t>Enclosed</t>
  </si>
  <si>
    <t>Subterranean</t>
  </si>
  <si>
    <t>Covered &amp; Uncovered</t>
  </si>
  <si>
    <t>&lt;=1 Point for Full 5% point increments above 100%</t>
  </si>
  <si>
    <t>&lt;=1 Point for Full 5% point increments above 50%</t>
  </si>
  <si>
    <t>&lt;=2 Points for Full 5% point increments above 100%</t>
  </si>
  <si>
    <t>&lt;=1 Point for Full 5% point increments above 50% X (% of Restricted SH Units X 2 + % of Restricted Non SH Units)</t>
  </si>
  <si>
    <t xml:space="preserve">Leadership in Energy &amp; Environmental Design (LEED) </t>
  </si>
  <si>
    <t>GreenPoint Program</t>
  </si>
  <si>
    <t>Passive House Institute US (PHIUS)</t>
  </si>
  <si>
    <t>Passive House</t>
  </si>
  <si>
    <t>Living Building Challenge</t>
  </si>
  <si>
    <t>National Green Building Standard ICC / ASRAE – 700 silver or higher rating</t>
  </si>
  <si>
    <t>2011 Enterprise Green Communities</t>
  </si>
  <si>
    <t>WELL (when not combined with the programs listed)</t>
  </si>
  <si>
    <t>Affordable Housing and Sustainable Communities Program</t>
  </si>
  <si>
    <t>Community Development Block Grant Program – Disaster Recovery</t>
  </si>
  <si>
    <t>HOME Investment Partnerships Program</t>
  </si>
  <si>
    <t>Housing for a Healthy California Program</t>
  </si>
  <si>
    <t>Infill Incentive Grant Program of 2007 or 2019</t>
  </si>
  <si>
    <t>Joe Serna, Jr. Farmworker Housing Grant Program</t>
  </si>
  <si>
    <t>No</t>
  </si>
  <si>
    <t>Multifamily Housing Program</t>
  </si>
  <si>
    <t>National Housing Trust Fund</t>
  </si>
  <si>
    <t>Yes</t>
  </si>
  <si>
    <t>No Place Like Home Program</t>
  </si>
  <si>
    <t>Competitive Permanent Local Housing Allocation Program</t>
  </si>
  <si>
    <t>Supportive Housing Multifamily Housing Program</t>
  </si>
  <si>
    <t>Transit-Oriented Development Implementation Program</t>
  </si>
  <si>
    <t>Veterans Housing and Homelessness Prevention Program</t>
  </si>
  <si>
    <t>Don’t Delete</t>
  </si>
  <si>
    <t>ListSiteControlMethods</t>
  </si>
  <si>
    <t>ListAmiLevels</t>
  </si>
  <si>
    <t>ListBuildingTypes</t>
  </si>
  <si>
    <t>ListSqFtTypes</t>
  </si>
  <si>
    <t>ListObligationTypes</t>
  </si>
  <si>
    <t>ListSourceTypes</t>
  </si>
  <si>
    <t>Order</t>
  </si>
  <si>
    <t>ListFlowTypes</t>
  </si>
  <si>
    <t>ListFlowSigns</t>
  </si>
  <si>
    <t>ListFlowLabels</t>
  </si>
  <si>
    <t>ListOpportunityAreas</t>
  </si>
  <si>
    <t>ListCounties</t>
  </si>
  <si>
    <t>ListRestrictionTypes</t>
  </si>
  <si>
    <t>ListAgencies</t>
  </si>
  <si>
    <t>ListPercentOfTypes</t>
  </si>
  <si>
    <t>ListEligibleSponsorTypes</t>
  </si>
  <si>
    <t>Walk up (1-2 story)</t>
  </si>
  <si>
    <t>Commercial</t>
  </si>
  <si>
    <t>Deferred</t>
  </si>
  <si>
    <t>Accrued Interest</t>
  </si>
  <si>
    <t>Rental Income</t>
  </si>
  <si>
    <t>Total Revenue</t>
  </si>
  <si>
    <t>ALAMEDA</t>
  </si>
  <si>
    <t>Accessibility</t>
  </si>
  <si>
    <t>CalHFA</t>
  </si>
  <si>
    <t>Assisted Units</t>
  </si>
  <si>
    <t>Fee Title, General Partner</t>
  </si>
  <si>
    <t>Community Service Facility</t>
  </si>
  <si>
    <t>Equity</t>
  </si>
  <si>
    <t>Costs Deferral</t>
  </si>
  <si>
    <t>Rental Subsidy</t>
  </si>
  <si>
    <t>CF After Expenses</t>
  </si>
  <si>
    <t>ALPINE</t>
  </si>
  <si>
    <t>Income and Rent</t>
  </si>
  <si>
    <t>CDLAC</t>
  </si>
  <si>
    <t>Low-Income Units</t>
  </si>
  <si>
    <t>Duly Constituted Governing Body of an Indian Reservation or Rancheria</t>
  </si>
  <si>
    <t>Fee Title, Partnership</t>
  </si>
  <si>
    <t>High-Rise (6+ stories)</t>
  </si>
  <si>
    <t>Exempt Common</t>
  </si>
  <si>
    <t>Interest Only</t>
  </si>
  <si>
    <t>Dev. Fee, Deferral</t>
  </si>
  <si>
    <t>Operating Subsidy</t>
  </si>
  <si>
    <t>CF Before Debt Service</t>
  </si>
  <si>
    <t>AMADOR</t>
  </si>
  <si>
    <t>CTCAC</t>
  </si>
  <si>
    <t>Residential Units</t>
  </si>
  <si>
    <t>Fee Title, Sponsor</t>
  </si>
  <si>
    <t>Townhouse</t>
  </si>
  <si>
    <t>Exempt Community</t>
  </si>
  <si>
    <t>Mandatory</t>
  </si>
  <si>
    <t>Dev. Fee, GP Contribution</t>
  </si>
  <si>
    <t>Miscellaneous Income</t>
  </si>
  <si>
    <t>CF After Debt Service</t>
  </si>
  <si>
    <t>BUTTE</t>
  </si>
  <si>
    <t>Population, Preferences</t>
  </si>
  <si>
    <t>HCD</t>
  </si>
  <si>
    <t>Tax-Credit Units</t>
  </si>
  <si>
    <t>Lease Option</t>
  </si>
  <si>
    <t>Row House</t>
  </si>
  <si>
    <t>Residential Unit</t>
  </si>
  <si>
    <t>Equity, Conventional</t>
  </si>
  <si>
    <t>Commercial Income</t>
  </si>
  <si>
    <t>CF After Fees</t>
  </si>
  <si>
    <t>Lowest Resource</t>
  </si>
  <si>
    <t>CALAVERAS</t>
  </si>
  <si>
    <t>Population, Reserved</t>
  </si>
  <si>
    <t>Housing Authority</t>
  </si>
  <si>
    <t>Total Units</t>
  </si>
  <si>
    <t>Limited Liability Company</t>
  </si>
  <si>
    <t>Duplex</t>
  </si>
  <si>
    <t>Structured Parking</t>
  </si>
  <si>
    <t>Residual</t>
  </si>
  <si>
    <t>Equity, Solar Investor</t>
  </si>
  <si>
    <t>In Kind Services</t>
  </si>
  <si>
    <t>Advertising</t>
  </si>
  <si>
    <t>COLUSA</t>
  </si>
  <si>
    <t>HUD</t>
  </si>
  <si>
    <t>Option to Purchase</t>
  </si>
  <si>
    <t>Four-Plex</t>
  </si>
  <si>
    <t>Equity, TC Investor</t>
  </si>
  <si>
    <t>Interest Income</t>
  </si>
  <si>
    <t>Legal</t>
  </si>
  <si>
    <t>CONTRA COSTA</t>
  </si>
  <si>
    <t>Local Agency</t>
  </si>
  <si>
    <t>Owner Participation Agreement</t>
  </si>
  <si>
    <t>Detached SF</t>
  </si>
  <si>
    <t>Grant</t>
  </si>
  <si>
    <t>Draw on Reserves</t>
  </si>
  <si>
    <t>Accounting/Audit</t>
  </si>
  <si>
    <t>DEL NORTE</t>
  </si>
  <si>
    <t>Other legal entity</t>
  </si>
  <si>
    <t>Purchase and Sale Agreement</t>
  </si>
  <si>
    <t>IIG CIP Grant</t>
  </si>
  <si>
    <t>Reimbursement</t>
  </si>
  <si>
    <t>Security</t>
  </si>
  <si>
    <t>EL DORADO</t>
  </si>
  <si>
    <t>Loan, Conventional</t>
  </si>
  <si>
    <t>Expense</t>
  </si>
  <si>
    <t>Office</t>
  </si>
  <si>
    <t>FRESNO</t>
  </si>
  <si>
    <t>Loan, Equity Bridge</t>
  </si>
  <si>
    <t>Real Estate Taxes</t>
  </si>
  <si>
    <t>Management</t>
  </si>
  <si>
    <t>GLENN</t>
  </si>
  <si>
    <t>Loan, Residual Receipts</t>
  </si>
  <si>
    <t>Supportive Services</t>
  </si>
  <si>
    <t>Fuel</t>
  </si>
  <si>
    <t>HUMBOLDT</t>
  </si>
  <si>
    <t>Loan, Seller Carryback</t>
  </si>
  <si>
    <t>Reserve Funding</t>
  </si>
  <si>
    <t>Gas</t>
  </si>
  <si>
    <t>IMPERIAL</t>
  </si>
  <si>
    <t>Loan, Taxable Tail</t>
  </si>
  <si>
    <t>Monitoring Fee</t>
  </si>
  <si>
    <t>Electricity</t>
  </si>
  <si>
    <t>INYO</t>
  </si>
  <si>
    <t>Loan, Tax-Exempt</t>
  </si>
  <si>
    <t>Mandatory Debt Service</t>
  </si>
  <si>
    <t>Water/Sewer</t>
  </si>
  <si>
    <t>KERN</t>
  </si>
  <si>
    <t>Loan, Tax-Exempt, Recycled</t>
  </si>
  <si>
    <t>Asset Management Fee</t>
  </si>
  <si>
    <t>On-site Manager</t>
  </si>
  <si>
    <t>KINGS</t>
  </si>
  <si>
    <t>NOI Before Conversion</t>
  </si>
  <si>
    <t>Deferred Dev. Fee Payment</t>
  </si>
  <si>
    <t>Maintenance Personnel</t>
  </si>
  <si>
    <t>LAKE</t>
  </si>
  <si>
    <t>Other Source</t>
  </si>
  <si>
    <t>Residual Receipts Payment</t>
  </si>
  <si>
    <t>Staff Benefits</t>
  </si>
  <si>
    <t>LASSEN</t>
  </si>
  <si>
    <t>Return of Deposit</t>
  </si>
  <si>
    <t>Distributions</t>
  </si>
  <si>
    <t>Insurance</t>
  </si>
  <si>
    <t>LOS ANGELES</t>
  </si>
  <si>
    <t>Value of Donation</t>
  </si>
  <si>
    <t>Cumulative Total</t>
  </si>
  <si>
    <t>Painting</t>
  </si>
  <si>
    <t>MADERA</t>
  </si>
  <si>
    <t>Value of Lease</t>
  </si>
  <si>
    <t>Repairs</t>
  </si>
  <si>
    <t>MARIN</t>
  </si>
  <si>
    <t>Waived Fee</t>
  </si>
  <si>
    <t>Trash Removal</t>
  </si>
  <si>
    <t>MARIPOSA</t>
  </si>
  <si>
    <t>Exterminating</t>
  </si>
  <si>
    <t>MENDOCINO</t>
  </si>
  <si>
    <t>Grounds</t>
  </si>
  <si>
    <t>MERCED</t>
  </si>
  <si>
    <t>Elevator</t>
  </si>
  <si>
    <t>MODOC</t>
  </si>
  <si>
    <t>MONO</t>
  </si>
  <si>
    <t>Internet</t>
  </si>
  <si>
    <t>MONTEREY</t>
  </si>
  <si>
    <t>Transit Passes</t>
  </si>
  <si>
    <t>NAPA</t>
  </si>
  <si>
    <t>Social Services</t>
  </si>
  <si>
    <t>NEVADA</t>
  </si>
  <si>
    <t>ORANGE</t>
  </si>
  <si>
    <t>PLACER</t>
  </si>
  <si>
    <t>PLUMAS</t>
  </si>
  <si>
    <t>RIVERSIDE</t>
  </si>
  <si>
    <t>SACRAMENTO</t>
  </si>
  <si>
    <t>SAN BENITO</t>
  </si>
  <si>
    <t>SAN BERNARDINO</t>
  </si>
  <si>
    <t>SAN DIEGO</t>
  </si>
  <si>
    <t>SAN FRANCISCO</t>
  </si>
  <si>
    <t>SAN JOAQUIN</t>
  </si>
  <si>
    <t>SAN LUIS OBISPO</t>
  </si>
  <si>
    <t>SAN MATEO</t>
  </si>
  <si>
    <t>SANTA BARBARA</t>
  </si>
  <si>
    <t>SANTA CLARA</t>
  </si>
  <si>
    <t>SANTA CRUZ</t>
  </si>
  <si>
    <t>SHASTA</t>
  </si>
  <si>
    <t>SIERRA</t>
  </si>
  <si>
    <t>SISKIYOU</t>
  </si>
  <si>
    <t>SOLANO</t>
  </si>
  <si>
    <t>SONOMA</t>
  </si>
  <si>
    <t>STANISLAUS</t>
  </si>
  <si>
    <t>SUTTER</t>
  </si>
  <si>
    <t>TEHAMA</t>
  </si>
  <si>
    <t>TRINITY</t>
  </si>
  <si>
    <t>TULARE</t>
  </si>
  <si>
    <t>TUOLUMNE</t>
  </si>
  <si>
    <t>VENTURA</t>
  </si>
  <si>
    <t>YOLO</t>
  </si>
  <si>
    <t>YUBA</t>
  </si>
  <si>
    <t>Hide Based on Characteristic</t>
  </si>
  <si>
    <t>Hide / Unhide Based program</t>
  </si>
  <si>
    <t>ComponentVisibility</t>
  </si>
  <si>
    <t>Hide Row(s)</t>
  </si>
  <si>
    <t>Hide Colum(s)</t>
  </si>
  <si>
    <t>IsPrograms</t>
  </si>
  <si>
    <t>SheetName</t>
  </si>
  <si>
    <t>StartRow</t>
  </si>
  <si>
    <t>EndRow</t>
  </si>
  <si>
    <t>StartCol</t>
  </si>
  <si>
    <t>EndCol</t>
  </si>
  <si>
    <t>Visible</t>
  </si>
  <si>
    <t>Description</t>
  </si>
  <si>
    <t>Force True</t>
  </si>
  <si>
    <t>Force False</t>
  </si>
  <si>
    <t>Program True</t>
  </si>
  <si>
    <t>IIG</t>
  </si>
  <si>
    <t>Serna</t>
  </si>
  <si>
    <t>At High Risk Req</t>
  </si>
  <si>
    <t>Vissible if true</t>
  </si>
  <si>
    <t>Cash Flow</t>
  </si>
  <si>
    <t>FWHG Threshold Requirements</t>
  </si>
  <si>
    <t>Contact List</t>
  </si>
  <si>
    <t>IIG Threshold Requirements</t>
  </si>
  <si>
    <t>MHP - Supportive Services Plan</t>
  </si>
  <si>
    <t>MHP Supportive Services Costs</t>
  </si>
  <si>
    <t>MHP Threshold Requirements</t>
  </si>
  <si>
    <t>Special Needs Exp</t>
  </si>
  <si>
    <t>Supportive Housing Exp</t>
  </si>
  <si>
    <t>Development Budget</t>
  </si>
  <si>
    <t>VHHP Resident Services Coord</t>
  </si>
  <si>
    <t>Development Sources</t>
  </si>
  <si>
    <t>Developer Fee</t>
  </si>
  <si>
    <t>HCD Reserves Calculator</t>
  </si>
  <si>
    <t>High-Cost Verification</t>
  </si>
  <si>
    <t>Max Loan and Grant Amounts</t>
  </si>
  <si>
    <t>Supportive Services Costs</t>
  </si>
  <si>
    <t>Operating Budget</t>
  </si>
  <si>
    <t>Project Overview</t>
  </si>
  <si>
    <t>Scoring</t>
  </si>
  <si>
    <t>SHMHP or TOD Requirements</t>
  </si>
  <si>
    <t>Sponsor Certification</t>
  </si>
  <si>
    <t>SH &amp; SNP Exp</t>
  </si>
  <si>
    <t>Supportive Services Verif</t>
  </si>
  <si>
    <t>Unit Mix</t>
  </si>
  <si>
    <t>VHHP - Supportive Services Plan</t>
  </si>
  <si>
    <t>VHHP Program Requirements</t>
  </si>
  <si>
    <t>VHHP Threshold Requirements</t>
  </si>
  <si>
    <t>Sponsor History</t>
  </si>
  <si>
    <t>Vissible sheet if true</t>
  </si>
  <si>
    <t>Multifamily Finance Super NOFA
 2026 MHP Gap Funding
Notice of Funding Availability
April 20, 2026</t>
  </si>
  <si>
    <t>Application</t>
  </si>
  <si>
    <t>State of California</t>
  </si>
  <si>
    <t xml:space="preserve">Gavin Newsom, Governor </t>
  </si>
  <si>
    <t>Business, Consumer Services and Housing Agency</t>
  </si>
  <si>
    <t>Tomiquia Moss, Secretary</t>
  </si>
  <si>
    <t>https://www.bcsh.ca.gov/</t>
  </si>
  <si>
    <t>Department of Housing and Community Development (HCD)</t>
  </si>
  <si>
    <t>Gustavo Velasquez, Director</t>
  </si>
  <si>
    <t>651 Bannon Street, Sacramento, CA  95811 Telephone: (916) 263-2771</t>
  </si>
  <si>
    <t xml:space="preserve">Email: </t>
  </si>
  <si>
    <t>SuperNOFA@hcd.ca.gov</t>
  </si>
  <si>
    <t>Multifamily Finance Super NOFA</t>
  </si>
  <si>
    <t>https://www.hcd.ca.gov</t>
  </si>
  <si>
    <t>End of Document</t>
  </si>
  <si>
    <t>MHP Gap Funding NOFA Application 05/04/2026</t>
  </si>
  <si>
    <t>Instructions</t>
  </si>
  <si>
    <t>When opening this file, a yellow banner at the top may appear with a button that says, "Enable Editing", and/or "Enable Macros". It is essential that you click this box(es) so that the macros are enabled. Enabling macros is necessary for full workbook/application functionality.
WARNING: Partial functionality of this application/workbook WILL BE LOST when using Apple Mac Computers. The Department highly recommends using PC Computers and Microsoft Office 2013 or newer to complete the application.</t>
  </si>
  <si>
    <t>Microsoft has recently added blocking of macros by default, if this happens when you open the application, please follow the instructions in the Word document added as an icon to the right (double-click to open).</t>
  </si>
  <si>
    <t xml:space="preserve">Application materials must be submitted electronically via HCD portal system. Requirements for uploading the Application Workbook and required supporting </t>
  </si>
  <si>
    <t xml:space="preserve">documentation, including naming conventions, are described in the application instructions available at  </t>
  </si>
  <si>
    <t>https://www.hcd.ca.gov/funding/supernofa</t>
  </si>
  <si>
    <t>Update website address</t>
  </si>
  <si>
    <t>Sponsor/Applicant must upload all application materials to HCD portal no later than 4:00 p.m. Pacific Daylight Time on June 5, 2026.</t>
  </si>
  <si>
    <t>TBD</t>
  </si>
  <si>
    <t xml:space="preserve">Application must be on the Department’s forms and cannot be altered or modified by the Sponsor/Applicant. Excel forms must be in Excel format, not a PDF document. </t>
  </si>
  <si>
    <t>If the Sponsor/Applicant discover any errors within application, use the Application Support tab and email the entire workbook to the following
Please include "MHP Gap NOFA" in the subject line.</t>
  </si>
  <si>
    <t>AppSupport@hcd.ca.gov</t>
  </si>
  <si>
    <t>Additional instructions and guidance are given throughout the Application in "red" text and in cell comments. Cell Notes/Comments are very important to read as some of these will provide direction on completing your application.</t>
  </si>
  <si>
    <t xml:space="preserve">"Yellow" cells </t>
  </si>
  <si>
    <t>are for Sponsor or Applicant input. It is very important that you answer ALL yellow cells, failure to provide all information may disqualify your application from consideration or may negatively impact your point score.</t>
  </si>
  <si>
    <t>"Orange" cells</t>
  </si>
  <si>
    <t>are required attachments. Failure to provide the required attachments and documentation may disqualify your application from consideration or may negatively impact your point score. Electronically attached files must use the naming convention in the Application.</t>
  </si>
  <si>
    <t>"Blue" cells</t>
  </si>
  <si>
    <t xml:space="preserve">are self-score points awarded in the "Scoring" worksheet. These are automated calculations based on the inputs provided by the Sponsor/Applicant. </t>
  </si>
  <si>
    <t>"Red" cells</t>
  </si>
  <si>
    <t>indicate the Sponsor/Applicant has failed to meet a requirement of the program, threshold, scoring, upload, or certification.</t>
  </si>
  <si>
    <t>Disclosure of Application: Information provided in the application will become a public record available for review by the public, pursuant to the California Public Records Act (PRA) (Gov. Code § 7920.000 et seq.). As such, any materials provided are subject to disclosure to any person making a request under the PRA. The Department cautions Applicants to use discretion in providing information not specifically requested, including but not limited to, bank account numbers, Social Security numbers, personal phone numbers, and home addresses. By providing this information to the Department, the Applicant is waiving any claim of confidentiality and consents to the disclosure of submitted material upon request.</t>
  </si>
  <si>
    <t>MHP Gap Funding NOFA 
Certifications</t>
  </si>
  <si>
    <t>*Changes to the conditions documented by these previously submitted documents must be disclosed in the application and supported by updated documents*</t>
  </si>
  <si>
    <t>MHP §7302</t>
  </si>
  <si>
    <t>The Sponsor/Applicant certifies that the project includes one of the following eligible MHP Project Types.</t>
  </si>
  <si>
    <t xml:space="preserve">MHP §7302(b)    </t>
  </si>
  <si>
    <t>The Sponsor/Applicant certifies that other development funding sources, including all tax credit equity generated by the Project, are insufficient to cover Project development costs.</t>
  </si>
  <si>
    <t xml:space="preserve">MHP §7302(c)      </t>
  </si>
  <si>
    <t>The Sponsor/Applicant certifies that at the time of the application due date, the construction or Rehabilitation work has not commenced, except for emergency repairs to existing structures required to eliminate hazards or threats to health and safety.</t>
  </si>
  <si>
    <t xml:space="preserve">MHP §7302(l)      </t>
  </si>
  <si>
    <t>The Sponsor/Applicant acknowledges that once a Project is awarded Department funds, the Sponsor/Recipient/Awardee acceptance of these Department funds is acknowledging that the Project as submitted to and approved by the Department is the Project that is to be funded and built. Any bifurcation of the Project would make that Award null and void, as the awarded Project is no longer feasible as originally submitted and approved and because the awarded funds are unable to be assumed or assigned.</t>
  </si>
  <si>
    <t xml:space="preserve">MHP §7303(d) and §7303(f)	</t>
  </si>
  <si>
    <t>The Sponsor/Applicant certifies that the Sponsor experience and capacity and property management experience remains consistent since the most recent HCD award.</t>
  </si>
  <si>
    <t>MHP §7318(b)(4)</t>
  </si>
  <si>
    <t>The Sponsor/Applicant certifies that the organizational documents for each entity remain in compliance since the most recent HCD award.</t>
  </si>
  <si>
    <t xml:space="preserve">MHP §7303.1(o)      </t>
  </si>
  <si>
    <t>The Sponsor/Applicant certifies that valid site control has been continuously maintained since the most recent HCD award was made and site control will remain through permanent financing close of escrow, in accordance with MHP Guidelines Section 7303.1(o) and UMR Sections 8303 and 8316.</t>
  </si>
  <si>
    <t>MHP §7303.1(h) </t>
  </si>
  <si>
    <t>The Sponsor/Applicant acknowledges that the status of local land use approvals has been maintained since the most recent HCD award.</t>
  </si>
  <si>
    <r>
      <t xml:space="preserve"> </t>
    </r>
    <r>
      <rPr>
        <sz val="12"/>
        <color theme="3" tint="0.39997558519241921"/>
        <rFont val="Arial"/>
        <family val="2"/>
      </rPr>
      <t>MHP §7303.1(i)</t>
    </r>
    <r>
      <rPr>
        <b/>
        <sz val="12"/>
        <color theme="3" tint="0.39997558519241921"/>
        <rFont val="Arial"/>
        <family val="2"/>
      </rPr>
      <t xml:space="preserve">      </t>
    </r>
  </si>
  <si>
    <t>The Sponsor/Applicant certifies that a Phase I Environmental Site Assessment (ESA) and a Phase II Environmental Site Assessment (if applicable), has been completed and previously submitted to HCD.</t>
  </si>
  <si>
    <t xml:space="preserve">The Sponsor/Applicant certifies that since the previous HCD award, there are no new known environmental hazards on the project site. </t>
  </si>
  <si>
    <t xml:space="preserve">MHP §7303.1(k)      </t>
  </si>
  <si>
    <t>The Sponsor/Applicant acknowledges and certifies that Projects must be constructed in a manner to accommodate broadband service with at least a speed of 25 megabits per second for downloading and 3 megabits per second for uploading (25/3). Sponsor is not required to provide free internet service to the tenants.</t>
  </si>
  <si>
    <t xml:space="preserve">MHP §7303.1(l)  </t>
  </si>
  <si>
    <t>Sponsor/Applicant acknowledges and certifies that Projects with Special Needs Units shall continue to provide a supportive service plan suitable to the needs of the project target population consistent with the existing HCD award that was made.</t>
  </si>
  <si>
    <t xml:space="preserve">MHP §7303.1(r)      </t>
  </si>
  <si>
    <t>The Sponsor/Applicant certifies that the Project satisfies all readiness representations made in the Application including evidence of Enforceable Funding Commitments for all permanent financing, and evidence of commitments for project-based rental assistance and operating subsidies.</t>
  </si>
  <si>
    <t xml:space="preserve">MHP §7305(b)      </t>
  </si>
  <si>
    <t>The Sponsor/Applicant certifies that the Developer Fee amount entered in this application reflects the Developer Fee approved in connection with the existing HCD award(s), and that, where multiple HCD awards apply to the Project, the most conservative (lowest) allowable Developer Fee rate and/or amount has been used consistent with Department requirements; Sponsor/Applicant further certifies that the entered amount is true and correct and acknowledges that any discrepancy may result in application adjustment, point reduction, or other remedies available to the Department.</t>
  </si>
  <si>
    <t>Developer Fee:</t>
  </si>
  <si>
    <t>MHP §7314(b)(1)</t>
  </si>
  <si>
    <t xml:space="preserve">The Sponsor/Applicant acknowledges that the recipient shall comply generally with all applicable state and federal building codes and standards, as well as with all design and accessibility laws. For Projects within Indian Country, Sponsor shall comply with (i) tribal building codes that meet or exceed the requirements of state or local building codes; or (ii) the International Building Code. </t>
  </si>
  <si>
    <t>MHP §7314(b)(4)-(12)</t>
  </si>
  <si>
    <t>The Sponsor/Applicant certifies that the Project will comply with the Accessible Housing Unit requirements §7314(b)(4)-(12).</t>
  </si>
  <si>
    <t xml:space="preserve">MHP §7314(c)    </t>
  </si>
  <si>
    <t xml:space="preserve">The Sponsor/Applicant certifies that where applicable, Sponsors shall ensure individuals are not denied assistance, evicted, or have their assistance terminated because of their status as survivors of domestic violence, dating violence, sexual assault, or stalking, or for being affiliated with a victim, pursuant to §34 USC §12491. </t>
  </si>
  <si>
    <t xml:space="preserve">MHP §7314(e)      </t>
  </si>
  <si>
    <t xml:space="preserve">The Sponsor/Applicant certifies that the Project will comply with California’s prevailing wage law (Lab. Code, §1720 et seq.). Recipient is urged to consider all applicable prevailing wage law requirements and seek legal advice on compliance with said law. </t>
  </si>
  <si>
    <t xml:space="preserve">MHP §7314(a)(2)(F)      </t>
  </si>
  <si>
    <t xml:space="preserve">The Sponsor/Applicant certifies that if the Department is the public agency providing the most funding on the Project, the Recipient has examined the requirements of a shared parking agreement pursuant to Government Code §65863.1. </t>
  </si>
  <si>
    <t xml:space="preserve">MHP §7314(d)    </t>
  </si>
  <si>
    <t>The Sponsor/Applicant certifies to authorize residents of the housing development to own or otherwise maintain one or more common household pets pursuant to the Pet Friendly Housing Act of 2017 (HSC §50466).</t>
  </si>
  <si>
    <t>HCD APP#:</t>
  </si>
  <si>
    <t>MHP Gap Funding NOFA</t>
  </si>
  <si>
    <t>IsSerna</t>
  </si>
  <si>
    <t>Sponsor/Applicant Gap Funding Request:</t>
  </si>
  <si>
    <t>Original Sponsor/Applicant Information:</t>
  </si>
  <si>
    <t>Number of Original Sponsor/Applicant(s)</t>
  </si>
  <si>
    <t>IsIig</t>
  </si>
  <si>
    <t>Sponsor/Applicant 1:</t>
  </si>
  <si>
    <t>Sponsor/Applicant 2:</t>
  </si>
  <si>
    <t>Sponsor/Applicant 3:</t>
  </si>
  <si>
    <t>Program(s) of Original Award:</t>
  </si>
  <si>
    <t>NOTE: TOD and SHMHP program funds will be administered consistent with MHP loan terms and thereby, if Applicant/Sponsor is contemplating appying for TOD or SHMP funds, please make sure to also apply for MHP funding.</t>
  </si>
  <si>
    <t>IsMhp</t>
  </si>
  <si>
    <t>Select HCD program(s)
Please select HCD programs, yes or no; do not leave blank.</t>
  </si>
  <si>
    <t>IsTod</t>
  </si>
  <si>
    <t>IsVhhp</t>
  </si>
  <si>
    <t>IsShmhp</t>
  </si>
  <si>
    <t>Multifamily Housing Program (MHP)</t>
  </si>
  <si>
    <t>Infill Infrastructure Grant Program of 2019 (IIG-2019)</t>
  </si>
  <si>
    <t>Transit-Oriented Development (TOD) Housing Program</t>
  </si>
  <si>
    <t>Supportive Housing Multifamily Housing Program (SHMHP)</t>
  </si>
  <si>
    <t>Joe Serna, Jr. Farmworker Housing Grant (FWHG) Program</t>
  </si>
  <si>
    <t xml:space="preserve">Veterans Housing and Homelessness Prevention (VHHP) Program </t>
  </si>
  <si>
    <t>“Optional Answer" will not affect application review or ranking. Sponsor(s)/Applicant(s) or Joint Venture Entity meets CDLAC Definition of BIPOC Organization? per CDLAC 523(f)(1)(B), TCAC 10327(c)(2)(E)?</t>
  </si>
  <si>
    <t>Select Eligible Project Type(s)</t>
  </si>
  <si>
    <t>Capital Improvement Project - with Qualifying Infill Project(s) (IIG)</t>
  </si>
  <si>
    <t>IsCIP</t>
  </si>
  <si>
    <t xml:space="preserve">IIG §200(a) Sponsor/Applicant certifies that the Project meets the requirements for Eligible Capital Improvement Projects? </t>
  </si>
  <si>
    <t>Is the CIP an integral part of, or necessary for the development of, a QIP?</t>
  </si>
  <si>
    <t>Appendix A – Defined Terms Is QIP located in an Urbanized Area?</t>
  </si>
  <si>
    <t>Sponsor/Applicant acknowledges that all Capital Assets as defined in Appendix A that are proposed to be funded with IIG program funds have an expected useful life of 15 years or more.</t>
  </si>
  <si>
    <t>File Name:</t>
  </si>
  <si>
    <t>Uploaded to HCD Portal?</t>
  </si>
  <si>
    <t>Appendix A – Defined Terms Is the QIP on a vacant site where at least 75 percent of the perimeter of the site adjoins parcels that are developed with Urban Uses?</t>
  </si>
  <si>
    <t>IsFarmworker</t>
  </si>
  <si>
    <t>FWHG §504(e) Sponsor/Applicant acknowledges that the Awardee shall provide linguistically appropriate services and publications to the occupants of the Rental Housing Development.</t>
  </si>
  <si>
    <t>At High Risk (MHP)</t>
  </si>
  <si>
    <t>IsAtHighRisk</t>
  </si>
  <si>
    <t>At High Risk Projects must complete the "At High Risk Req" Worksheet/tab.</t>
  </si>
  <si>
    <t>MHP §7302(e)(4) Sponsor/Applicant certifies that the Project meets these requirements?</t>
  </si>
  <si>
    <t>Large Family (MHP)</t>
  </si>
  <si>
    <t>IsLargeFamily</t>
  </si>
  <si>
    <t>MHP §7302(e)(1) Sponsor/Applicant certifies that the Project meets these requirements?</t>
  </si>
  <si>
    <t>Senior (MHP)</t>
  </si>
  <si>
    <t>IsSenior</t>
  </si>
  <si>
    <t xml:space="preserve">MHP §7302(e)(2) Sponsor/Applicant certifies that the Project meets these requirements? </t>
  </si>
  <si>
    <t>Special Needs (MHP)</t>
  </si>
  <si>
    <t>IsSpecialNeeds</t>
  </si>
  <si>
    <t>All Projects with at least one Special Needs Unit must complete the "MHP Supportive Services Plan", "MHP Supportive Services Costs","SH &amp; SNP Exp", and  "Supportive Services Verif"  Worksheets / tabs.</t>
  </si>
  <si>
    <t>MHP §7302(d)(5) &amp; as applicable §7302(e&amp;f) Sponsor/Applicant certifies that the Project meets all MHP Special Needs Project requirements?</t>
  </si>
  <si>
    <t>Sponsor/Applicant certifies that Projects with Special Needs Units will ensure integration of targeted populations with the general public by physically integrating Restricted Units for people with disabilities with other Units, to the maximum extent feasible and subject to reasonable health and safety requirements, consistent with 24 Code of Federal Regulations (CFR) §8.26.</t>
  </si>
  <si>
    <t>New construction non-targeted population (MHP)</t>
  </si>
  <si>
    <t>where at least 20 percent of the Units are restricted to 60 percent of AMI and below.</t>
  </si>
  <si>
    <t>IsNcNonTargetP</t>
  </si>
  <si>
    <t>Supportive Housing (VHHP)</t>
  </si>
  <si>
    <t>IsSH</t>
  </si>
  <si>
    <t>Supportive Housing Projects must complete the "VHHP Supportive Services Plan", VHHP Resident Services Coord, "VHHP Supportive Services Costs", "SH &amp; SNP Exp","Supportive Services Costs", and  "Supportive Services Verif"  Worksheets / tabs.</t>
  </si>
  <si>
    <t>Transitional Housing (VHHP)</t>
  </si>
  <si>
    <t>IsTH</t>
  </si>
  <si>
    <t>For Transitional Housing, Sponsor/Applicant acknowledges that these are not congregate facilities and that each unit is a separate apartment.</t>
  </si>
  <si>
    <t>NOFA  §II(A) &amp; (B)</t>
  </si>
  <si>
    <t>MHP Guidelines requirements in red text are applicable to SHMHP and TOD programs, with additional SHMHP and TOD program-specific requirements. TOD and SHMHP program funds will be administered consistent with MHP loan terms.</t>
  </si>
  <si>
    <t>Applicant/Sponsor acknowlwdges that the TOD and SHMHP program funds will be administered consistent with MHP loan terms?</t>
  </si>
  <si>
    <t>Make a selection for the Program(s) for which funds to possibly replace MHP loan funds.</t>
  </si>
  <si>
    <t>Is Project being proposed by an Emerging Developer?</t>
  </si>
  <si>
    <t>Does the Emerging Developer plan to apply on its own as a Sponsor/Applicant?</t>
  </si>
  <si>
    <t>Does the Emerging Developer meet the experience requirements "Appendix A – Defined Terms"?</t>
  </si>
  <si>
    <t xml:space="preserve">Name of Entity Claiming Emerging Developer Experience </t>
  </si>
  <si>
    <t xml:space="preserve">Entity Description </t>
  </si>
  <si>
    <t>Name of Subsidized Rental Housing Dev. (including tax credit Projects)</t>
  </si>
  <si>
    <t>Complete Project Address</t>
  </si>
  <si>
    <t>Housing Type</t>
  </si>
  <si>
    <t>Project regulated by?</t>
  </si>
  <si>
    <t># of Units</t>
  </si>
  <si>
    <t>Date Development began</t>
  </si>
  <si>
    <t>Date Ownership ended</t>
  </si>
  <si>
    <t>Is Project being proposed by a Community-Based Developer?</t>
  </si>
  <si>
    <t>Is Project located in Indian Country, or located on fee or trust land within the state of California?</t>
  </si>
  <si>
    <t>The Applicant meets the following conditions of award funding to the extent applicable, and, subject to any modifications or waivers as provided for in HSC §50406, subdivision (p) (Assembly Bill 1010 (Chapter 660, Statutes of 2019) that shall be set forth in a Standard Agreement. It is noted that these same conditions do not need to be satisfied initially to engage in the competitive award process.</t>
  </si>
  <si>
    <t>Does the Community-Based Developer plan to apply on its own as a Sponsor/Applicant?</t>
  </si>
  <si>
    <t>Does the Community-Based Developer meet the experience requirements per "Appendix A – Defined Terms"? Refer to Guidelines Appendix A – Defined Terms for experience requirements.</t>
  </si>
  <si>
    <t>(a)</t>
  </si>
  <si>
    <t>Sponsor/Applicant certifies that the entity shall have been operating in the community to be served by the Project described in the application for a period of at least twenty-four (24) consecutive months immediately preceding application submittal</t>
  </si>
  <si>
    <t>Provide the date the entity started operating in the community to be serve by the project.</t>
  </si>
  <si>
    <t>(b)</t>
  </si>
  <si>
    <t>The entity shall reasonably define the community to be served by specifying and delineating the applicable neighborhood geographic area on a map showing, among other things, the boundaries thereof and the number of square miles contained therein, not to exceed ten (10) square miles for non-Rural Areas or twenty (20) square miles for Rural Areas; and such defined community shall:</t>
  </si>
  <si>
    <t>(1)</t>
  </si>
  <si>
    <t>be primarily or exclusively located in a Moderate and/or Low Resource area or in a High Segregation &amp; Poverty area, as designated in the most recently updated TCAC/HCD Opportunity Area Map or in such comparable federal map(s) as approved by the Department;</t>
  </si>
  <si>
    <t>(2)</t>
  </si>
  <si>
    <t xml:space="preserve">include the Project to be funded by the award; and </t>
  </si>
  <si>
    <t>(3)</t>
  </si>
  <si>
    <t>subject to subsection (c) immediately following, include the entity’s corporate office within its boundaries.</t>
  </si>
  <si>
    <t>(c)</t>
  </si>
  <si>
    <t>The entity satisfies either of the following geographic requirements, as applicable:</t>
  </si>
  <si>
    <t xml:space="preserve">Where the proposed Project is located in a non-Rural Area, either: (A) the entity maintains a corporate office within five (5) miles of the proposed Project, or (B) the entity has developed, owned, or operated at least three (3) deed-restricted affordable housing projects located within ten (10) miles of the proposed Project; or </t>
  </si>
  <si>
    <t>Where the proposed Project is located in a Rural Area, either: (A) the entity maintains a corporate office within ten (10) miles of the proposed Project, or (B) the entity has developed, owned, or operated at least three (3) deed-restricted affordable housing projects located within twenty (20) miles of the proposed Project.</t>
  </si>
  <si>
    <t>(d)</t>
  </si>
  <si>
    <t xml:space="preserve">The entity satisfies both of the following experience requirements: </t>
  </si>
  <si>
    <t xml:space="preserve">The entity has developed, owned, or operated at least one (1) Rental Housing Development that is equivalent to the proposed Project in size, scale, level of amenities, and occupancy. The Department may determine experience by evaluating the experience of the entity itself or the experience of the principal(s) within the organization. If the experience requirement is satisfied by one or more of the Community-Based Developer’s principals, then the Standard Agreement and the loan documents shall include a Sponsor obligation to provide the Department with immediate written notice in the event of such member’s or members’ departure from or termination by the entity. </t>
  </si>
  <si>
    <t>The entity has at least five (5) years’ experience in the delivery of Culturally Competent Services and/or Community Benefit Programs to Very Low Income and/or Lower Income households in the communities served by the entity. This experience must include direct, in-person delivery of at least two (2) Culturally Competent Services and/or Community Benefit Programs to the general public within ten (10) miles of the proposed Project. Such services or programs must have been provided on an ongoing basis and during core business hours, and they cannot have been provided at an existing affordable housing project.</t>
  </si>
  <si>
    <t>(e)</t>
  </si>
  <si>
    <t>The entity serves no more than three (3) distinct geographic communities, as demonstrated by the location or delivery site of corporate offices, affordable housing projects, Culturally Competent Services, and/or Community Benefit Programs.</t>
  </si>
  <si>
    <t>(f)</t>
  </si>
  <si>
    <t>The entity has community knowledge, commitment to long-term community investment, and population-specific cultural competency, as demonstrated by evidence of at least two (2) of the following:</t>
  </si>
  <si>
    <t>Receipt of grant funds for services within the relevant community.</t>
  </si>
  <si>
    <t>Bilingual staff members that provide daily language assistance during the entity’s delivery of services to the relevant community.</t>
  </si>
  <si>
    <t>A record of hiring within the community.</t>
  </si>
  <si>
    <t>(4)</t>
  </si>
  <si>
    <t>Membership in or recruitment from a local Urban League (or substantially equivalent) organization.</t>
  </si>
  <si>
    <t>Per NOFA II§D(5)</t>
  </si>
  <si>
    <t>To the extent possible, approximately 21 percent of total MHP funds (capital and COSR) will be awarded for Senior housing Projects in accordance with MHP Guidelines Section 7317(g). The statutory set-aside percentage may also be met in the aggregate with MHP awards made pursuant to the February 2025 MFSN NOFA.</t>
  </si>
  <si>
    <t>§7313(f) Sponsors may establish a Supportive Services Reserve to cover unexpected shortfalls in revenues to pay for resident services coordination and on-site case management costs. This reserve may be funded through project cash flow available after funding Operating Expenses and other required reserves, or through development sources. The maximum balance shall not exceed three times the per-Unit, per-year limits.</t>
  </si>
  <si>
    <t>Will the Sponsor(s) be requesting a Supportive Services Reserve to cover unexpected shortfalls in revenues to pay for resident services coordination and on-site case management costs.</t>
  </si>
  <si>
    <t>Is Sponsor/Applicant applying for MHP COSR?</t>
  </si>
  <si>
    <t>MHP §7304.1. Capitalized Operating Subsidy Reserves (“COSRs”).</t>
  </si>
  <si>
    <t>Will the Sponsor/Applicant be requesting a COSR for Special Needs Projects to assist units at 30 percent AMI and below in accordance with the requirements of the MHP guidelines?</t>
  </si>
  <si>
    <t>Sponsor/Applicant acknowledges that in order to be eligible to receive a COSR, the application must include documentation as listed below. The Department must verify this requirement for COSR eligibility prior to issuing an award letter for the Project, and also prior to permanent loan closing.</t>
  </si>
  <si>
    <t>Identified all available federal, state, and local sources of rental assistance and other operating assistance to support the COSR Assisted Units, such as project-based Section 8, and locally administered affordable housing operating subsidy funds; and</t>
  </si>
  <si>
    <t>submitted unfunded applications or other written requests to the appropriate entity to secure project-based rental or other operating assistance to support the COSR Assisted Units; or</t>
  </si>
  <si>
    <t>can provide other evidence from the appropriate entities that rental assistance and other operating assistance is not available to support the COSR Assisted Units, or is insufficient based on the COSR calculation performed pursuant to the requirements of this section.</t>
  </si>
  <si>
    <t>The Sponsor certifies to notify the Department immediately if it receives an award of rental assistance or operating subsidies following submission of the application that will be used to support the COSR Assisted Units.</t>
  </si>
  <si>
    <t>(i)</t>
  </si>
  <si>
    <t>COSRs that will be used to support Assisted Units restricted at 30% AMI or below to Chronically Homeless, Homeless, or other Special Needs Populations that are likely to be eligible for public cash assistance (for example, Supplemental Security Income, Social Security Disability Income, CAPI, CalWORKs, CAPI, or county General Assistance) may be sized using proposed rents for the COSR Assisted Units, rather than maximum restricted rents if all of the conditions in 7304.1 (i) (1) -(3) are met.</t>
  </si>
  <si>
    <t>Third-party documentation of anticipated public cash assistance payment levels shall be provided in the application and prior to permanent loan closing which supports the need for the proposed rents.</t>
  </si>
  <si>
    <t>(t)</t>
  </si>
  <si>
    <t xml:space="preserve">Sponsor/Recipient certifies that it will not use MHP COSR funds for any ineligible expenses set forth in MHP Guidelines §7304.1(t). </t>
  </si>
  <si>
    <t>MHP §7310.1 Medi-Cal-Funded Supportive Services</t>
  </si>
  <si>
    <t>Is Sponsor/Recipient setting aside units for supportive services to be provided for "Eligible individuals" Experiencing Homelessness, as defined under MHP Guideline §7310.1 (A-C), under one or more of the following:</t>
  </si>
  <si>
    <t>Program for All-Inclusive Care for the Elderly (PACE)</t>
  </si>
  <si>
    <t>Program of All-Inclusive Care for the Elderly</t>
  </si>
  <si>
    <t>Home and Based Alternatives (HCBA) Waiver</t>
  </si>
  <si>
    <t>HCBA Waiver</t>
  </si>
  <si>
    <t>Assisted Living Waiver</t>
  </si>
  <si>
    <t>ALW</t>
  </si>
  <si>
    <t>Does the Sponsor/Applicant certify to do all of the following at MHP §7310.1(b) to be eligible for the incentives set forth in MHP §7310.1(c ) and further explained in the NOFA §II(D)(1)(b)?</t>
  </si>
  <si>
    <t>Does Project meet the set aside of at least 20 percent of the Project’s units for Eligible Individuals. If the Project includes more than 100 units, the Applicant shall agree to set aside no more than 50 percent of the Project’s units for Eligible Individuals.</t>
  </si>
  <si>
    <t>HCD sample written agreement available at "Document Checklist-Full List" sheet next to this upload.</t>
  </si>
  <si>
    <t>NOFA §II(D)(1)(b) The MHP loan amount may be increased by $100,000 per qualifying Project for on-site supportive services space for Eligible Service Providers to provide Qualifying Services (MHP Guidelines §7310.1(c)(2)). Projects qualifying under both §7310.1(c)(1) and (2) are eligible to receive both loan increases.</t>
  </si>
  <si>
    <t>Will the Project provide on-site supportive services space for Eligible Service Providers to provide Qualifying Services (MHP Guidelines §7310.1(c)(2))?</t>
  </si>
  <si>
    <t>MHP Documentation:</t>
  </si>
  <si>
    <t>Sponsor/Applicant acknowledges and certifies that Projects involving new construction, acquisition and substantial Rehabilitation, or conversion of nonresidential structures to residential dwelling units must be constructed in a manner to accommodate broadband service with at least a speed of 25 megabits per second for downloading and 3 megabits per second for uploading (25/3). Sponsor is not required to provide free internet service to the tenants.</t>
  </si>
  <si>
    <t>Sponsor/Applicant certifies that other development funding sources, including all tax credit equity generated by the Project, are insufficient to cover Project development costs?</t>
  </si>
  <si>
    <t>Sponsor/Applicant certifies that at the time of the application due date, the construction or Rehabilitation work has not commenced, except for emergency repairs to existing structures required to eliminate hazards or threats to health and safety?
For the purposes of this subdivision, the commencement of construction or Rehabilitation work means the first land-disturbing activity associated with a Project, including land preparation such as clearing, grading, and filling, or the first alteration of any wall, ceiling, floor, or other structural part of a building, whether or not that alteration affects the external dimensions of the building.</t>
  </si>
  <si>
    <t>Sponsor/Applicant acknowledges that once a Project is awarded Department funds, the Sponsor/Recipient/Awardee acceptance of these Department funds is acknowledging that the Project as submitted to and approved by the Department is the Project that is to be funded and built. Any bifurcation of the Project would make that Award null and void, as the awarded Project is no longer feasible as originally submitted and approved and because the awarded funds are unable to be assumed or assigned.</t>
  </si>
  <si>
    <t>Does Sponsor/Applicant plan to complete, or has completed, any emergency repairs to existing structures required to eliminate hazards or threats to health and safety?</t>
  </si>
  <si>
    <t>Is the proposed project required to be constructed as a condition of approval of one or more market rate developments pursuant to an inclusionary housing ordinance, or similar local requirement?</t>
  </si>
  <si>
    <t>Add Project description below:</t>
  </si>
  <si>
    <t>IIG Capital Improvement Project - provide related CIP and scope or work.</t>
  </si>
  <si>
    <t>and</t>
  </si>
  <si>
    <t>Provide narratives below evidencing that the Capital Improvement Project is an integral part of, or necessary to facilitate the development of the Qualifying Infill Project(s) identified in this application.</t>
  </si>
  <si>
    <t>QIP: describe unit mix and tenant population (narrative portion)</t>
  </si>
  <si>
    <t>Project Information</t>
  </si>
  <si>
    <t>Project Development Type</t>
  </si>
  <si>
    <t>QIP Name</t>
  </si>
  <si>
    <t>QIP known under another name(s)?</t>
  </si>
  <si>
    <t>Project Name</t>
  </si>
  <si>
    <t>Project Address</t>
  </si>
  <si>
    <t>Project County</t>
  </si>
  <si>
    <t>Project City</t>
  </si>
  <si>
    <t>Project Zip</t>
  </si>
  <si>
    <t>Geographic Location</t>
  </si>
  <si>
    <t>For Acq/Rehab and Rehab Projects ONLY: Provide a description of the current condition of the structure(s) and a general description of the overall scope of work. Include a discussion of any proposed modification to the unit configurations, unit mix, need for seismic retrofit, or modifications in use (e.g., commercial/tourist hotel to SRO or studio apartments). All Projects must submit a Physical Needs Assessment (PNA) or Capital Needs Assessment (CNA) prepared by a qualified independent third party contractor, which supports the proposed scope of work. All Projects must submit a current rent roll, which includes household income and household size for each unit.</t>
  </si>
  <si>
    <t>File Name</t>
  </si>
  <si>
    <t>(APNs):</t>
  </si>
  <si>
    <t>Census Tract(s)</t>
  </si>
  <si>
    <t>Has the Sponsor/Applicant been awarded other HCD program funds (outside this Gap NOFA) for this Project?</t>
  </si>
  <si>
    <t xml:space="preserve"> </t>
  </si>
  <si>
    <t>Provide other Project name(s) for which this Project has been awarded HCD funds in the past.</t>
  </si>
  <si>
    <t>HCD program(s) name(s):</t>
  </si>
  <si>
    <t>Loan amount</t>
  </si>
  <si>
    <t>Grant amount</t>
  </si>
  <si>
    <t>Awarded</t>
  </si>
  <si>
    <t>Original Award date</t>
  </si>
  <si>
    <t>HCD Contract Number</t>
  </si>
  <si>
    <t>Type of Tax Credits</t>
  </si>
  <si>
    <t>Tax-Exempt Bond Allocation Request:</t>
  </si>
  <si>
    <t>Proposed equity investor contribution ($)</t>
  </si>
  <si>
    <t>Anticipated tax credit factor</t>
  </si>
  <si>
    <t>State</t>
  </si>
  <si>
    <t>Proposed month</t>
  </si>
  <si>
    <t>September</t>
  </si>
  <si>
    <t>Proposed year</t>
  </si>
  <si>
    <t>Tax Credit Reservation Awarded?</t>
  </si>
  <si>
    <t>Is the Project a scattered site housing Project?  UMR §8303(b)</t>
  </si>
  <si>
    <t xml:space="preserve">If yes, will the proposed Project meet the UMR §8303(b) requirements? </t>
  </si>
  <si>
    <t>Scatter site addresses (complete address)</t>
  </si>
  <si>
    <t>QIP - total land area in acres:</t>
  </si>
  <si>
    <t>QIP - commercial square feet:</t>
  </si>
  <si>
    <t>LIHTC
Units</t>
  </si>
  <si>
    <t>Project Site Area</t>
  </si>
  <si>
    <t>Units per Acre</t>
  </si>
  <si>
    <t>Acres</t>
  </si>
  <si>
    <t>Per Acre</t>
  </si>
  <si>
    <t>Any type of demolition required?</t>
  </si>
  <si>
    <t>Describe any demolition to be completed (including any structures, parking lots, signage, or billboards to be demolished).</t>
  </si>
  <si>
    <t>Is Project located in a Rural Area as defined by H&amp;S Code §50199.21? Sponsor/Applicant must use the TCAC Method for determining rural status.</t>
  </si>
  <si>
    <t>Documentation of rural status</t>
  </si>
  <si>
    <t>Which methodology is being used to demonstrate that the Project area is rural?</t>
  </si>
  <si>
    <t>Identify the Resource Area per TCAC/HCD Opportunity Area Map. Sponsor/Applicant may choose to utilize a Resource Area designation from the TCAC/HCD Opportunity Area Maps in effect when the initial site control (pursuant to UMR §8303(a)) was obtained, if a TCAC/HCD Opportunity Area Map exists for that year.</t>
  </si>
  <si>
    <t>https://www.treasurer.ca.gov/ctcac/opportunity.asp</t>
  </si>
  <si>
    <t>Is Project located in a High or Highest Resource Area per TCAC/HCD Opportunity Area Map available at the time of application or site control?</t>
  </si>
  <si>
    <t>Enter the entire TCAC/HCD Opportunity Area Map Tract ID #:</t>
  </si>
  <si>
    <t xml:space="preserve">Opportunity Area Map Category: </t>
  </si>
  <si>
    <t>Eligible Sponsor/Applicant</t>
  </si>
  <si>
    <t xml:space="preserve">MHP §7303      </t>
  </si>
  <si>
    <t>Number of Sponsors/Applicants</t>
  </si>
  <si>
    <t>The "Sponsor/Applicant" is the entity demonstrating experience and capacity in the development and ownership of affordable housing, and which will have continuing control of the Rental Housing Development. Enter the name of the entity meeting this definition as Sponsor #1 below. The Sponsor/Applicant with experience must perform a substantial management role in the borrowing entity from the time of Award through the full term of the Regulatory Agreement, as evidenced by the applicable organizational documents. Such role shall include the substantial management duties set forth at UMR §8313.2. Additional entities partnering with Sponsor #1 (i.e. co-Sponsor/Applicant) should be entered as Sponsor #2.</t>
  </si>
  <si>
    <t>Complete the IIG Threshold Requirements tab to document compliance with the requirements of eligible Applicant, Developer, and Payee.</t>
  </si>
  <si>
    <t>The Recipient of the IIG funds must be the eligible Applicant as defined in §201 of the IIG guidelines.</t>
  </si>
  <si>
    <t>FWHG §203(b)(1) FWHG Applicants: A Sponsor/Applicant shall demonstrate to HCD's satisfaction that the Sponsor is independent from any direction of, or control by, a for-profit entity, and shall meet the requirements of HSC §50517.5. A nonprofit corporation includes a tribally designated housing entity as defined in §4103 of Title 25 of the United States Code and in Health and Safety Code §50104.6.5.</t>
  </si>
  <si>
    <t>A Sponsor/Applicant has “capacity” if it has adequate staff, offices, capital, assets, and other resources to efficiently meet the operational needs of the Rental Housing Development; to maintain the Fiscal Integrity of the Rental Housing Development; and to satisfy all legal requirements and obligations in connection with the Rental Housing Development. Evidence of capacity must be reasonably acceptable to the Department in form and substance. Sponsor/Applicant #1 shall satisfactorily demonstrate capacity at the time of its application for the funds.</t>
  </si>
  <si>
    <t>Project Staffing Chart for Sponsor #1</t>
  </si>
  <si>
    <t>Sponsor Employee Name (contracted consultants are not sponsor employees)</t>
  </si>
  <si>
    <t>Position Title and Employer</t>
  </si>
  <si>
    <t>Full time / Part time</t>
  </si>
  <si>
    <t>% of time dedicated to this Project</t>
  </si>
  <si>
    <t>The Department will exercise reasonable discretion in determining capacity. In all cases, the Department will base its capacity determination on the experience, past performance, and organizational documents of each Sponsor/Applicant entity. Where necessary to clarify ambiguities in the application, the Department may request during application review documentation as further described in Program Guidelines.</t>
  </si>
  <si>
    <t>Sponsor/Applicant #1</t>
  </si>
  <si>
    <t>Entity Name</t>
  </si>
  <si>
    <t>Eligible Sponsor/Applicant Type</t>
  </si>
  <si>
    <t>Organization Type</t>
  </si>
  <si>
    <t>Sponsor/Applicant shall demonstrate that it has successfully developed, operated, or owned at least one (1) Rental Housing Development of equivalent unit type and project size (including total units in the proposed Project not to exceed 200 percent of the Sponsor’s largest Rental Housing Development) and occupancy. Refer to Program Guidelines for a complete description of experience requirements.</t>
  </si>
  <si>
    <t>Is Sponsor/Applicant relying on the experience of its controlled affiliated entity to demonstrate that it has successfully developed, operated, and owned at least one (1) Rental Housing Development of equivalent unit type and project size (including total units in the proposed Project not to exceed 200 percent of the Sponsor’s largest Rental Housing Development) and occupancy.  Refer to Program Guidelines for a complete description of experience requirements.</t>
  </si>
  <si>
    <t>Name of controlled affiliated entity</t>
  </si>
  <si>
    <t>Is Sponsor/Applicant relying on the experience of its Principal to demonstrate that it has successfully developed, operated, and owned at least one (1) Rental Housing Development of equivalent unit type and project size (including total units in the proposed Project not to exceed 200 percent of the Sponsor’s largest Rental Housing Development) and occupancy.  Refer to Program Guidelines for a complete description of experience requirements.</t>
  </si>
  <si>
    <t>Name of Principal</t>
  </si>
  <si>
    <t>Equivalent Experience</t>
  </si>
  <si>
    <t xml:space="preserve">Project Name </t>
  </si>
  <si>
    <t>Date Ownership began</t>
  </si>
  <si>
    <t>The Sponsor/Applicant will be the Recipient/co-Recipient of the Department's Award of funds.</t>
  </si>
  <si>
    <t>The Sponsor/Applicant will be organized on a for profit, limited profit, or nonprofit basis.</t>
  </si>
  <si>
    <t>Reference: Sponsor/Applicant Certification Worksheet.</t>
  </si>
  <si>
    <t>Sponsor/Applicant #2</t>
  </si>
  <si>
    <t>Eligible Sponsor/ApplicantType:</t>
  </si>
  <si>
    <t>Organization Type:</t>
  </si>
  <si>
    <t>Sponsor/Applicant #3</t>
  </si>
  <si>
    <t>Eligible Sponsor/Applicant Type:</t>
  </si>
  <si>
    <t>Owner/Borrower Entity</t>
  </si>
  <si>
    <t>Legal Name:</t>
  </si>
  <si>
    <t>Managing General Partner</t>
  </si>
  <si>
    <t>Administrative General Partner #1</t>
  </si>
  <si>
    <t>Administrative General Partner #2</t>
  </si>
  <si>
    <t>Manager of LLC</t>
  </si>
  <si>
    <t>Site Control</t>
  </si>
  <si>
    <t xml:space="preserve"> UMR §8303 and §8316</t>
  </si>
  <si>
    <t>For Projects developed in Indian Country, the following exceptions apply:</t>
  </si>
  <si>
    <t>Where site control is a ground lease, the lease agreement between the Tribal Entity and the Project owner may be for a time period less than required by UMR §8303, but must be for a period not less than 50 years.</t>
  </si>
  <si>
    <t>At time of application, does Sponsor/Applicant, or its wholly controlled affiliate have site control pursuant to UMR §8303?</t>
  </si>
  <si>
    <t>Type of site control:</t>
  </si>
  <si>
    <t>Date</t>
  </si>
  <si>
    <t>Expires</t>
  </si>
  <si>
    <t>Type of Available Extension(s)</t>
  </si>
  <si>
    <t>Purchase Price</t>
  </si>
  <si>
    <t>Total Land Area</t>
  </si>
  <si>
    <t>acres</t>
  </si>
  <si>
    <t>Current owner</t>
  </si>
  <si>
    <t>Current owner street address</t>
  </si>
  <si>
    <t>City</t>
  </si>
  <si>
    <t>Zip code</t>
  </si>
  <si>
    <t>Below, provide details for unusual site control special circumstances, and for applications with multiple or non-contiguous parcels, scattered sites, lot line adjustments, air rights parceling, phased projects, or other complex land transactions, including unique value calculations and explanations as applicable:</t>
  </si>
  <si>
    <t>Below, describe any planned and completed property transfers occurring in connection with development of the proposed Project.</t>
  </si>
  <si>
    <t>Ground Lease planned?</t>
  </si>
  <si>
    <t>Lessor</t>
  </si>
  <si>
    <t>Term</t>
  </si>
  <si>
    <t>Annual Payment</t>
  </si>
  <si>
    <t>Local Surplus Land</t>
  </si>
  <si>
    <t xml:space="preserve">Is Project being developed on property disposed of or owned by a Local Agency as defined in Government Code §54221(a)(1)? </t>
  </si>
  <si>
    <t xml:space="preserve">If Yes, Name of the Local Agency </t>
  </si>
  <si>
    <t xml:space="preserve">If Yes, was or will the property be disposed of as Surplus Land as defined in Government Code §54221(b) pursuant to Government Code §54222, 54222.5, 54223, 54227, 54230.5, and 54233 and/or 54233.5? </t>
  </si>
  <si>
    <t>Was or will the property be disposed of as Exempt Surplus Land as defined in Government Code §54221(f)(1)?</t>
  </si>
  <si>
    <t xml:space="preserve">If so, please note the Government Code Section of the exemption used (eg. Government Code §54221(f)(1)(F)(i), Government Code §54221(f)(1)(A), etc.) </t>
  </si>
  <si>
    <t>Is the property currently owned by a Local Agency?</t>
  </si>
  <si>
    <t>Site and Unit Information</t>
  </si>
  <si>
    <t>Current Use</t>
  </si>
  <si>
    <t>Proposed Zoning (code and name)</t>
  </si>
  <si>
    <t>Is Site Improved?</t>
  </si>
  <si>
    <t>Year Improvements Built?</t>
  </si>
  <si>
    <t>Rent Control?</t>
  </si>
  <si>
    <t>Access Road Maintenance</t>
  </si>
  <si>
    <t>Sponsor / Applicant Notes</t>
  </si>
  <si>
    <t>Site conditions and adjoining land uses</t>
  </si>
  <si>
    <t>Poor drainage</t>
  </si>
  <si>
    <t>Erosion problems</t>
  </si>
  <si>
    <t xml:space="preserve">Unstable soil </t>
  </si>
  <si>
    <t>Underground storage tanks</t>
  </si>
  <si>
    <t>Possible lead paint</t>
  </si>
  <si>
    <t>Possible asbestos</t>
  </si>
  <si>
    <t>Wetlands area</t>
  </si>
  <si>
    <t>Onsite stream/creek</t>
  </si>
  <si>
    <t>100-yr. flood plain</t>
  </si>
  <si>
    <t>Possible soil pollution</t>
  </si>
  <si>
    <t>Grade 5-10%</t>
  </si>
  <si>
    <t>Grade over 10%</t>
  </si>
  <si>
    <t>Airport within 2 miles</t>
  </si>
  <si>
    <t>Possible high noise level</t>
  </si>
  <si>
    <t>Abandoned well(s)</t>
  </si>
  <si>
    <t>Railroad tracks within 100 yards</t>
  </si>
  <si>
    <t>Unusual ingress/egress</t>
  </si>
  <si>
    <t>High water table</t>
  </si>
  <si>
    <t>Retaining wall</t>
  </si>
  <si>
    <t>Ground water contamination</t>
  </si>
  <si>
    <t>Describe adjoining land uses within 300 feet of the Project</t>
  </si>
  <si>
    <t>West</t>
  </si>
  <si>
    <t>East</t>
  </si>
  <si>
    <t>North</t>
  </si>
  <si>
    <t>South</t>
  </si>
  <si>
    <t>Unique Features</t>
  </si>
  <si>
    <t>Existing versus proposed Units  (include Manager's Units)</t>
  </si>
  <si>
    <t>Total # Units</t>
  </si>
  <si>
    <t>Total # Bedrooms</t>
  </si>
  <si>
    <t>Total # Buildings</t>
  </si>
  <si>
    <t>Total  # Mgr. Units</t>
  </si>
  <si>
    <t>Total # of Parking Spaces</t>
  </si>
  <si>
    <t>Beds</t>
  </si>
  <si>
    <t>0 Bdrm</t>
  </si>
  <si>
    <t>1 Bdrm</t>
  </si>
  <si>
    <t>2 Bdrm</t>
  </si>
  <si>
    <t>3 Bdrm</t>
  </si>
  <si>
    <t>4 Bdrm</t>
  </si>
  <si>
    <t>5 + Bdrm</t>
  </si>
  <si>
    <t>Existing</t>
  </si>
  <si>
    <t>Proposed</t>
  </si>
  <si>
    <t>Building types</t>
  </si>
  <si>
    <t>Unit Size</t>
  </si>
  <si>
    <t>Baths</t>
  </si>
  <si>
    <t>Layout</t>
  </si>
  <si>
    <t>Avg. Sq. Ft.</t>
  </si>
  <si>
    <t>All Units</t>
  </si>
  <si>
    <t>Restricted</t>
  </si>
  <si>
    <t>Units</t>
  </si>
  <si>
    <t>Stories</t>
  </si>
  <si>
    <t>Bldgs.</t>
  </si>
  <si>
    <t>0 Bdrm.</t>
  </si>
  <si>
    <t>1 Bdrm.</t>
  </si>
  <si>
    <t>2 Bdrm.</t>
  </si>
  <si>
    <t>3 Bdrm.</t>
  </si>
  <si>
    <t>4 Bdrm.</t>
  </si>
  <si>
    <t xml:space="preserve">Detached Single Family </t>
  </si>
  <si>
    <t>5 Bdrm.</t>
  </si>
  <si>
    <t>Non-Residential Bldg(s)</t>
  </si>
  <si>
    <t>Totals</t>
  </si>
  <si>
    <t>Sponsor/Applicant Notes</t>
  </si>
  <si>
    <t>Amenities</t>
  </si>
  <si>
    <t>Unit Amenities/Features</t>
  </si>
  <si>
    <t>Air Conditioning</t>
  </si>
  <si>
    <t>Refrigerator</t>
  </si>
  <si>
    <t>Range</t>
  </si>
  <si>
    <t>Microwave</t>
  </si>
  <si>
    <t>Disposal</t>
  </si>
  <si>
    <t>Dishwasher</t>
  </si>
  <si>
    <t>Walk-In Closet</t>
  </si>
  <si>
    <t>Fenced Rear Yard</t>
  </si>
  <si>
    <t>Ceiling Fans</t>
  </si>
  <si>
    <t>Curtains/Blinds</t>
  </si>
  <si>
    <t>Fireplace</t>
  </si>
  <si>
    <t xml:space="preserve">Emergency Call </t>
  </si>
  <si>
    <t>Free Cable TV</t>
  </si>
  <si>
    <t>Storage Area</t>
  </si>
  <si>
    <t xml:space="preserve">Lofts </t>
  </si>
  <si>
    <t>Balcony</t>
  </si>
  <si>
    <t xml:space="preserve">Patio </t>
  </si>
  <si>
    <t>(Other)</t>
  </si>
  <si>
    <t>Project Amenities</t>
  </si>
  <si>
    <t>Elevator(s)</t>
  </si>
  <si>
    <t>Laundry Rms.</t>
  </si>
  <si>
    <t>Washers</t>
  </si>
  <si>
    <t>Dryers</t>
  </si>
  <si>
    <t xml:space="preserve">Community Room </t>
  </si>
  <si>
    <t>Community Kitchen</t>
  </si>
  <si>
    <t>Computer Room</t>
  </si>
  <si>
    <t>High Speed Internet</t>
  </si>
  <si>
    <t xml:space="preserve">Fitness Room </t>
  </si>
  <si>
    <t>Picnic/BBQ Area(s)</t>
  </si>
  <si>
    <t>Tot Lot/Playground</t>
  </si>
  <si>
    <t>Sports Court</t>
  </si>
  <si>
    <t>Tennis Court</t>
  </si>
  <si>
    <t>Swimming Pool</t>
  </si>
  <si>
    <t>Jacuzzi/Sauna</t>
  </si>
  <si>
    <t>Bike Parking</t>
  </si>
  <si>
    <t>Security &amp; Other</t>
  </si>
  <si>
    <t>Gated Entry</t>
  </si>
  <si>
    <t>Bldg. Card Key</t>
  </si>
  <si>
    <t>Security Patrol</t>
  </si>
  <si>
    <t>Security Cameras</t>
  </si>
  <si>
    <t xml:space="preserve">Describe any mandatory charges to tenants beyond allowable Rents.  </t>
  </si>
  <si>
    <t>Other onsite Services?</t>
  </si>
  <si>
    <t>Blank</t>
  </si>
  <si>
    <t>Miscellaneous Information</t>
  </si>
  <si>
    <t>Residential Space</t>
  </si>
  <si>
    <t>Common Areas</t>
  </si>
  <si>
    <t>Community Room</t>
  </si>
  <si>
    <t>Leasing Office</t>
  </si>
  <si>
    <t>Additional Storage Space</t>
  </si>
  <si>
    <t>Subtotal Residential SF</t>
  </si>
  <si>
    <t>Maintenance Shop</t>
  </si>
  <si>
    <t>Childcare Center</t>
  </si>
  <si>
    <t>Service Area</t>
  </si>
  <si>
    <t>Service Office</t>
  </si>
  <si>
    <t>(Other) (sq. ft.)</t>
  </si>
  <si>
    <t>Total Residential SF</t>
  </si>
  <si>
    <t>Residential Parking</t>
  </si>
  <si>
    <t>Free Residential Parking Spaces</t>
  </si>
  <si>
    <t>Uncovered Tenant Parking</t>
  </si>
  <si>
    <t>Covered Tenant Parking</t>
  </si>
  <si>
    <t xml:space="preserve">Enclosed Tenant Parking </t>
  </si>
  <si>
    <t>Tenant Guest Spaces</t>
  </si>
  <si>
    <t>Subtotal Parking Spaces</t>
  </si>
  <si>
    <t>Extra Spaces Tenants may Rent</t>
  </si>
  <si>
    <t>Uncovered Parking</t>
  </si>
  <si>
    <t>Covered Parking</t>
  </si>
  <si>
    <t>Enclosed Parking</t>
  </si>
  <si>
    <t>Total Handicap Parking Spaces</t>
  </si>
  <si>
    <t>Grand Total Parking Spaces</t>
  </si>
  <si>
    <t>Commercial Space</t>
  </si>
  <si>
    <t>Commercial Square Footage</t>
  </si>
  <si>
    <t>Commercial Area</t>
  </si>
  <si>
    <t>Offices</t>
  </si>
  <si>
    <t>Storage Space</t>
  </si>
  <si>
    <t>Total Commercial SF</t>
  </si>
  <si>
    <t>Parking Spaces for Commercial Tenants</t>
  </si>
  <si>
    <t>Total Spaces</t>
  </si>
  <si>
    <t>Describe other available parking for commercial patrons</t>
  </si>
  <si>
    <t>Income from sources other than residential Rents and subsidies</t>
  </si>
  <si>
    <t>Laundry</t>
  </si>
  <si>
    <t xml:space="preserve">Other Leased Spaces </t>
  </si>
  <si>
    <t>No. of Units Using Central Laundry</t>
  </si>
  <si>
    <t>Residential</t>
  </si>
  <si>
    <t>Lease Terms</t>
  </si>
  <si>
    <t>Sq. Feet</t>
  </si>
  <si>
    <t>Rent/SF/Mo.</t>
  </si>
  <si>
    <t>Annual Gross</t>
  </si>
  <si>
    <t>Weekly Assumed Income Per Unit</t>
  </si>
  <si>
    <t>Annual Total Laundry Income</t>
  </si>
  <si>
    <t>Tenant Rental Spaces</t>
  </si>
  <si>
    <t>Monthly Income Per Space</t>
  </si>
  <si>
    <t>Annual Residential Parking Income</t>
  </si>
  <si>
    <t>Commercial Parking</t>
  </si>
  <si>
    <t>Number of Rental Spaces</t>
  </si>
  <si>
    <t>Annual Commercial Parking Income</t>
  </si>
  <si>
    <t>Total Income from Other Leased Spaces</t>
  </si>
  <si>
    <t>Monthly utility allowance</t>
  </si>
  <si>
    <t>Type of Utility</t>
  </si>
  <si>
    <t>Does the owner or tenant pay utilities?</t>
  </si>
  <si>
    <t>Enter Allowances for Tenant Paid Utilities by Bdrm. Size</t>
  </si>
  <si>
    <t>Utilities</t>
  </si>
  <si>
    <t>(Gas, Electric, etc.)</t>
  </si>
  <si>
    <t>0 bdrm</t>
  </si>
  <si>
    <t>1 bdrm</t>
  </si>
  <si>
    <t>2 bdrms</t>
  </si>
  <si>
    <t>3 bdrms</t>
  </si>
  <si>
    <t>4 bdrms</t>
  </si>
  <si>
    <t>≥5 bdrms</t>
  </si>
  <si>
    <t>Heating</t>
  </si>
  <si>
    <t>Cooking</t>
  </si>
  <si>
    <t>Other Electric</t>
  </si>
  <si>
    <t>Water Heating</t>
  </si>
  <si>
    <t>Water</t>
  </si>
  <si>
    <t>Sewer</t>
  </si>
  <si>
    <t>Trash</t>
  </si>
  <si>
    <t>Total Tenant Utility Allowance</t>
  </si>
  <si>
    <t>Source for utility allowances</t>
  </si>
  <si>
    <t>Local PHA?</t>
  </si>
  <si>
    <t>Name:</t>
  </si>
  <si>
    <t>Effective date:</t>
  </si>
  <si>
    <t>HUD?</t>
  </si>
  <si>
    <t>Utility Company (Actual Survey)?</t>
  </si>
  <si>
    <t>CUAC?</t>
  </si>
  <si>
    <t>Other?</t>
  </si>
  <si>
    <t>Sponsor/Applicant Notes:</t>
  </si>
  <si>
    <t>Land Entitlement and Environmental Requirements &amp; Reports</t>
  </si>
  <si>
    <t>The Applicant must document the status of local land use approvals by either: (1) submitting the application’s local approvals and environmental review verification form (Attachment 92); or (2) documenting any applications for streamlined, ministerial approval or use by right as further described in MHP Guidelines §7303.1(h) (Attachment 88).</t>
  </si>
  <si>
    <t>The following two attachments are also located in the "Scoring" sheet. Use the same document(s) to demonstrate threshold and scoring requirements.</t>
  </si>
  <si>
    <t>The above requirement is not applicable where a Tribal Entity Applicant is proposing a Project that is located in Indian Country.</t>
  </si>
  <si>
    <t>Sponsor/Applicant certifies that a Phase I Environmental Site Assessment (ESA) – and a Phase II Environmental Site Assessment, if the Phase I ESA revealed known or potential contamination – has been completed and indicates that the Project site(s) is free from severe adverse environmental conditions, such as the presence of toxic waste.</t>
  </si>
  <si>
    <t>If environmental mitigation is required, are costs sufficient, pursuant to the environmental reports and included in the Project's Development Budget?</t>
  </si>
  <si>
    <t>Tenant Selection, Recertification, and Rental Agreement and Grievance Procedures</t>
  </si>
  <si>
    <t>Sponsor/Applicant certifies that the Project will comply with the requirements of UMR §8305, §8306, and §8307 as applicable?</t>
  </si>
  <si>
    <t>Nondiscrimination and Fair Housing Requirements</t>
  </si>
  <si>
    <t>Sponsor/Recipient certifies to comply with Nondiscrimination and Fair Housing Requirements?</t>
  </si>
  <si>
    <t>Americans with Disabilities Act and Physical Accessibility Requirements</t>
  </si>
  <si>
    <t>Americans with Disabilities Act (ADA) of 1990 and Physical Design Accessibility Requirements</t>
  </si>
  <si>
    <t xml:space="preserve">Sponsor/Recipient acknowledges that the recipient shall comply generally with all applicable state and federal building codes and standards, as well as with all design and accessibility laws. For Projects within Indian Country, Sponsor shall comply with (i) tribal building codes that meet or exceed the requirements of state or local building codes; or (ii) the International Building Code. </t>
  </si>
  <si>
    <t>Sponsor/Recipient acknowledges that the recipient shall ensure that the Qualifying Infill Project is in compliance with the following housing and building accessibility requirements: IIG §300(b)(2)(A-E).</t>
  </si>
  <si>
    <t>Violence Against Women Act (VAWA)</t>
  </si>
  <si>
    <t xml:space="preserve">Sponsor/Recipient certifies that where applicable, Sponsors shall ensure individuals are not denied assistance, evicted, or have their assistance terminated because of their status as survivors of domestic violence, dating violence, sexual assault, or stalking, or for being affiliated with a victim, pursuant to §34 USC §12491. </t>
  </si>
  <si>
    <t>California State Prevailing Wage Law</t>
  </si>
  <si>
    <t xml:space="preserve">Sponsor/Recipient certifies that the Project will comply with California’s prevailing wage law (Lab. Code, §1720 et seq.).
Recipient is urged to consider all applicable prevailing wage law requirements and seek legal advice on compliance with said law. </t>
  </si>
  <si>
    <t>Shared Parking</t>
  </si>
  <si>
    <t xml:space="preserve">If the Department is the public agency providing the most funding on the Project, the Recipient must examine the requirements of a shared parking agreement pursuant to Government Code §65863.1. </t>
  </si>
  <si>
    <t>Will the Department be the public agency providing the most funding on the Project?</t>
  </si>
  <si>
    <t>Shared Parking. Sponsor/Applicant shall examine the feasibility of shared parking agreements to replace new parking construction or limit the number of new parking spaces that will be constructed. These requirements do not apply to proposals located on land owned or leased by the state (Gov. Code, § 65863.1, subd. (j)). An examination of the feasibility of shared parking shall include, at a minimum, identification of parking facilities on contiguous properties or nearby properties that would not require users to cross a street and then consideration of the apparent availability of those facilities for shared parking. (Government Code 65863.1(i)). The examination of the feasibility of shared parking shall be submitted to the Department prior to the execution and approval of the Standard Agreement. Tribal Entities are not required to examine the feasibility of shared parking for Projects located in Indian Country where an Indian tribe exercises jurisdiction.</t>
  </si>
  <si>
    <t>Relocation Requirements</t>
  </si>
  <si>
    <t>The Sponsor/Recipient of a Project resulting in displacement of persons, businesses or farm operations shall be solely responsible for providing the assistance and benefits set forth in this section and in applicable state and federal law and shall agree to indemnify and hold harmless the Department from any liabilities or claims for relocation-related costs.</t>
  </si>
  <si>
    <t>California relocation requirements are not applicable to Projects within Indian Country; however, Projects within Indian Country must comply with all relocation requirements imposed by virtue of 24 C.F.R. 1000.14.</t>
  </si>
  <si>
    <t>Are costs sufficient, pursuant to the relocation plan and included in the Project's Development Budget?</t>
  </si>
  <si>
    <t xml:space="preserve">Provide a narrative explanation, in the box below, supporting why relocation is not required. "N/A" or "Vacant Land" is not sufficient. </t>
  </si>
  <si>
    <t>Pet Friendly Housing Act of 2017</t>
  </si>
  <si>
    <t>Sponsor/Recipient certifies to authorize residents of the housing development to own or otherwise maintain one or more common household pets pursuant to the Pet Friendly Housing Act of 2017 (HSC §50466).</t>
  </si>
  <si>
    <t>Project Milestones</t>
  </si>
  <si>
    <t xml:space="preserve">Note: It is acknowledged that some of the following milestones may have already been achieved. For those milestones which have previously been met, please enter the date completed. For milestones not yet completed, provide an approximate Projected completion date (MM/DD/YY) for each applicable item below. If not applicable to the Project, please indicate "NA". </t>
  </si>
  <si>
    <t>Project Milestone Schedule</t>
  </si>
  <si>
    <t>Completed</t>
  </si>
  <si>
    <t>Date (Expected / Completed)</t>
  </si>
  <si>
    <t>Executed binding agreement between the Sponsor/Applicant and developer of the Project detailing the terms and conditions of the Project development.</t>
  </si>
  <si>
    <t>Ultimate Site Control of Project site(s).</t>
  </si>
  <si>
    <t>Completion necessary environmental clearances, including those required under CEQA.</t>
  </si>
  <si>
    <t>Completion necessary environmental clearances, complete NEPA if required.</t>
  </si>
  <si>
    <t>Obtaining all necessary and discretionary public land use approvals.</t>
  </si>
  <si>
    <t>Obtaining all construction Enforceable Funding Commitments.</t>
  </si>
  <si>
    <t>Obtaining all permanent Enforceable Funding Commitments including substantially final permanent loan documents, and Tax Credit syndication documents.</t>
  </si>
  <si>
    <t>Submission of Final Construction Drawings and Specifications to the appropriate local building department or permitting authority.</t>
  </si>
  <si>
    <t>Commencement of construction.</t>
  </si>
  <si>
    <t>Construction complete and the filing of the Notice of Completion.</t>
  </si>
  <si>
    <t>Program funds fully disbursed.</t>
  </si>
  <si>
    <t>Other (Specify)</t>
  </si>
  <si>
    <t>Additional information regarding Project Milestones.</t>
  </si>
  <si>
    <t>Updated Development Team Contacts</t>
  </si>
  <si>
    <t>Contact Type</t>
  </si>
  <si>
    <t>Entity Legal Name</t>
  </si>
  <si>
    <t>Eligible Sponsor Type</t>
  </si>
  <si>
    <t>Address</t>
  </si>
  <si>
    <t>Zip Code</t>
  </si>
  <si>
    <t>Auth Rep Name</t>
  </si>
  <si>
    <t>Title</t>
  </si>
  <si>
    <t>Email</t>
  </si>
  <si>
    <t>Phone #</t>
  </si>
  <si>
    <t>Contact Name</t>
  </si>
  <si>
    <t>Title2</t>
  </si>
  <si>
    <t>Email2</t>
  </si>
  <si>
    <t>Phone #2</t>
  </si>
  <si>
    <t>Contact Address</t>
  </si>
  <si>
    <t>City2</t>
  </si>
  <si>
    <t>State2</t>
  </si>
  <si>
    <t>Zip Code2</t>
  </si>
  <si>
    <t>Owner / Borrower Entity</t>
  </si>
  <si>
    <t>Administrative GP #1</t>
  </si>
  <si>
    <t>Administrative GP #2</t>
  </si>
  <si>
    <t>Property Management Agent</t>
  </si>
  <si>
    <t>Financial Consultant</t>
  </si>
  <si>
    <t>Lead (primary) Service Provider</t>
  </si>
  <si>
    <t>Borrower Legal Counsel</t>
  </si>
  <si>
    <t>General Contractor</t>
  </si>
  <si>
    <t>Architect</t>
  </si>
  <si>
    <t>IIG Payee</t>
  </si>
  <si>
    <t>Congress person Name(s)</t>
  </si>
  <si>
    <t>District #</t>
  </si>
  <si>
    <t>State Senator Name(s)</t>
  </si>
  <si>
    <t>District #2</t>
  </si>
  <si>
    <t xml:space="preserve">State Assembly Member Name(s) </t>
  </si>
  <si>
    <t>District #3</t>
  </si>
  <si>
    <t>Updated Development Sources</t>
  </si>
  <si>
    <t>Construction Totals</t>
  </si>
  <si>
    <t>Construction Terms</t>
  </si>
  <si>
    <t>Permanent Terms</t>
  </si>
  <si>
    <t>Details of Deferred Costs</t>
  </si>
  <si>
    <t>Permanent Totals</t>
  </si>
  <si>
    <t>Interest Rate</t>
  </si>
  <si>
    <t>Repayment Terms</t>
  </si>
  <si>
    <t>Construction</t>
  </si>
  <si>
    <t>Committed?</t>
  </si>
  <si>
    <t>Source Name (lien priority order)</t>
  </si>
  <si>
    <t>Source Type</t>
  </si>
  <si>
    <t>Lien No.</t>
  </si>
  <si>
    <t>Residential Amount</t>
  </si>
  <si>
    <t>Commercial Amount</t>
  </si>
  <si>
    <t>Total Amount</t>
  </si>
  <si>
    <t xml:space="preserve">Required
Payment </t>
  </si>
  <si>
    <t>Loan Term
(months)</t>
  </si>
  <si>
    <t>Rate</t>
  </si>
  <si>
    <t>Type</t>
  </si>
  <si>
    <t>Amortizing
Period (yrs.)</t>
  </si>
  <si>
    <t>Type2</t>
  </si>
  <si>
    <t>Due in (yrs.)</t>
  </si>
  <si>
    <t>Required
Residential
Debt Service</t>
  </si>
  <si>
    <t>Required
Commercial
Debt Service</t>
  </si>
  <si>
    <t>Tax-Exempt
Amount</t>
  </si>
  <si>
    <t>Deferred Amount</t>
  </si>
  <si>
    <t>Tax-Exempt Bond Allocation</t>
  </si>
  <si>
    <t>Deferred Developer Fees</t>
  </si>
  <si>
    <t>Other Deferred Costs</t>
  </si>
  <si>
    <t>Developer Fee Contribution</t>
  </si>
  <si>
    <t>GP Equity</t>
  </si>
  <si>
    <t>Gross Tax Credit Equity</t>
  </si>
  <si>
    <t>Permanent</t>
  </si>
  <si>
    <t>MHP Gap Request</t>
  </si>
  <si>
    <t>Infill Infrastructure Grant Program (IIG) - Grant</t>
  </si>
  <si>
    <t>Joe Serna, Jr. Farmworker Housing Grant (FWHG) Program - Loan</t>
  </si>
  <si>
    <t>Multifamily Housing Program (MHP) - Loan</t>
  </si>
  <si>
    <t>Veterans Housing and Homelessness Prevention Program (VHHP) - Loan</t>
  </si>
  <si>
    <t>Supportive Services Reserve (MHP) - Grant</t>
  </si>
  <si>
    <t>4% Federal Tax Credits</t>
  </si>
  <si>
    <t>Funding Gap Calculation</t>
  </si>
  <si>
    <t>Total Development Cost</t>
  </si>
  <si>
    <t>Total Permanent Sources</t>
  </si>
  <si>
    <t>Total Permanent Sources Before MHP Gap Request</t>
  </si>
  <si>
    <t>Funding Gap</t>
  </si>
  <si>
    <t xml:space="preserve">Sponsor or Applicants comments: Include a description of balloon payments and unusual or extraordinary circumstances that have resulted in higher than expected Project costs and provide a justification as to why these costs are reasonable. </t>
  </si>
  <si>
    <t>Scroll to the Right for more data input (sources) ---------------------------------------------------------&gt;</t>
  </si>
  <si>
    <t>Residential Budget</t>
  </si>
  <si>
    <t>Eligible Basis</t>
  </si>
  <si>
    <t>Permanent Sources of Funds</t>
  </si>
  <si>
    <t>Commercial Sources</t>
  </si>
  <si>
    <t>Grand Totals</t>
  </si>
  <si>
    <t>USES OF FUNDS</t>
  </si>
  <si>
    <t xml:space="preserve"> Total Project Costs - Residential Cost/Sources</t>
  </si>
  <si>
    <t>Total Project Costs - Commercial Cost/Sources</t>
  </si>
  <si>
    <t>Source Name</t>
  </si>
  <si>
    <t>Total Project Cost</t>
  </si>
  <si>
    <t>Column1</t>
  </si>
  <si>
    <t>Column2</t>
  </si>
  <si>
    <t>Column3</t>
  </si>
  <si>
    <t>Column4</t>
  </si>
  <si>
    <t>Column5</t>
  </si>
  <si>
    <t>Column6</t>
  </si>
  <si>
    <t>Column7</t>
  </si>
  <si>
    <t>Column8</t>
  </si>
  <si>
    <t>Column16</t>
  </si>
  <si>
    <t>Column17</t>
  </si>
  <si>
    <t>Column18</t>
  </si>
  <si>
    <t>Column19</t>
  </si>
  <si>
    <t>Column20</t>
  </si>
  <si>
    <t>Column21</t>
  </si>
  <si>
    <t>Column22</t>
  </si>
  <si>
    <t>Column23</t>
  </si>
  <si>
    <t>Column24</t>
  </si>
  <si>
    <t>Column25</t>
  </si>
  <si>
    <t>Column26</t>
  </si>
  <si>
    <t>Column27</t>
  </si>
  <si>
    <t>Column28</t>
  </si>
  <si>
    <t>Column29</t>
  </si>
  <si>
    <t>Column30</t>
  </si>
  <si>
    <t>Column31</t>
  </si>
  <si>
    <t>Column32</t>
  </si>
  <si>
    <t>Column322</t>
  </si>
  <si>
    <t>Column33</t>
  </si>
  <si>
    <t>Column34</t>
  </si>
  <si>
    <t>Column35</t>
  </si>
  <si>
    <t>Column36</t>
  </si>
  <si>
    <t>LAND COST/ACQUISITION</t>
  </si>
  <si>
    <t>Land Cost or Value</t>
  </si>
  <si>
    <t>Demolition</t>
  </si>
  <si>
    <t>Land Lease Rent Prepayment</t>
  </si>
  <si>
    <t>Existing Improvements Cost or Value</t>
  </si>
  <si>
    <t>Off-Site Improvements</t>
  </si>
  <si>
    <t>Predevelopment Interest/Holding Cost</t>
  </si>
  <si>
    <t>Assumed, Accrued Interest on Existing Debt (Rehab/Acq)</t>
  </si>
  <si>
    <t>Excess Purchase Price Over Appraisal</t>
  </si>
  <si>
    <t>REHABILITATION</t>
  </si>
  <si>
    <t>Site Work</t>
  </si>
  <si>
    <t>Structures</t>
  </si>
  <si>
    <t>General Requirements</t>
  </si>
  <si>
    <t>Contractor Overhead</t>
  </si>
  <si>
    <t>Contractor Profit</t>
  </si>
  <si>
    <t>Prevailing Wages</t>
  </si>
  <si>
    <t>General Liability Insurance</t>
  </si>
  <si>
    <t>Other: (Specify)</t>
  </si>
  <si>
    <t>Total Relocation Expenses</t>
  </si>
  <si>
    <t>NEW CONSTRUCTION</t>
  </si>
  <si>
    <t>Urban Greening</t>
  </si>
  <si>
    <t>ARCH. FEES</t>
  </si>
  <si>
    <t>Design</t>
  </si>
  <si>
    <t>Supervision</t>
  </si>
  <si>
    <t>Total Survey &amp; Engineering</t>
  </si>
  <si>
    <t>CONSTRUCTION INTEREST &amp; FEES</t>
  </si>
  <si>
    <t>Construction Loan Interest</t>
  </si>
  <si>
    <t>Origination Fee</t>
  </si>
  <si>
    <t>Credit Enhancement/Application Fee</t>
  </si>
  <si>
    <t>Bond Premium</t>
  </si>
  <si>
    <t>Cost of Issuance</t>
  </si>
  <si>
    <t>Title &amp; Recording</t>
  </si>
  <si>
    <t>Taxes</t>
  </si>
  <si>
    <t>Employment Reporting</t>
  </si>
  <si>
    <t>PERM. FINANCING</t>
  </si>
  <si>
    <t>Loan Origination Fee</t>
  </si>
  <si>
    <t>Legal for Perm Loan</t>
  </si>
  <si>
    <t>LEGAL FEES</t>
  </si>
  <si>
    <t>Legal Paid by Applicant</t>
  </si>
  <si>
    <t>Lender Legal</t>
  </si>
  <si>
    <t>RESERVES</t>
  </si>
  <si>
    <t>UMR Required Operating Reserve</t>
  </si>
  <si>
    <t>Replacement Reserve</t>
  </si>
  <si>
    <t>Transition Reserve</t>
  </si>
  <si>
    <t>Rent Reserve</t>
  </si>
  <si>
    <t xml:space="preserve">MHP Funded Supportive Services Reserve </t>
  </si>
  <si>
    <t>MHP COSR Transition Reserve</t>
  </si>
  <si>
    <t>CONTINGENCY COSTS</t>
  </si>
  <si>
    <t xml:space="preserve">Construction Hard Cost Contingency </t>
  </si>
  <si>
    <t>Soft Cost Contingency</t>
  </si>
  <si>
    <t>OTHER PROJECT COSTS</t>
  </si>
  <si>
    <t>TCAC App/Allocation/Monitoring Fees</t>
  </si>
  <si>
    <t>Environmental Audit and Remediation Costs</t>
  </si>
  <si>
    <t>Local Development Impact Fees</t>
  </si>
  <si>
    <t>Permit Processing Fees</t>
  </si>
  <si>
    <t>Capital Fees</t>
  </si>
  <si>
    <t>Marketing</t>
  </si>
  <si>
    <t>Furnishings</t>
  </si>
  <si>
    <t>Market Study</t>
  </si>
  <si>
    <t>Accounting/Reimbursable</t>
  </si>
  <si>
    <t>Appraisal Costs</t>
  </si>
  <si>
    <t>Construction Management</t>
  </si>
  <si>
    <t>Prevailing Wage Monitoring</t>
  </si>
  <si>
    <t>DEVELOPER COSTS</t>
  </si>
  <si>
    <t>Developer Overhead/Profit</t>
  </si>
  <si>
    <t>Consultant/Processing Agent</t>
  </si>
  <si>
    <t>Project Administration</t>
  </si>
  <si>
    <t>Broker Fees Paid to a Related Party</t>
  </si>
  <si>
    <t>Construction Oversight by Developer</t>
  </si>
  <si>
    <t>Please read CELL COMMENT -----------------------------------------------&gt;&gt;&gt;</t>
  </si>
  <si>
    <t>Cell Comment</t>
  </si>
  <si>
    <t>SITE ACQUISITION (not parking)</t>
  </si>
  <si>
    <t>Site acquisition of CIP including easements and right of ways</t>
  </si>
  <si>
    <t>SITE PREPARATION</t>
  </si>
  <si>
    <t>Clearing and Grubbing</t>
  </si>
  <si>
    <t>Excavation</t>
  </si>
  <si>
    <t>Grading</t>
  </si>
  <si>
    <t>Soil Stabilization (Lime, etc.)</t>
  </si>
  <si>
    <t>Erosion/Weed Control</t>
  </si>
  <si>
    <t>Dewatering</t>
  </si>
  <si>
    <t>SITE UTILITIES</t>
  </si>
  <si>
    <t>Sanitary Sewer</t>
  </si>
  <si>
    <t>Potable Water</t>
  </si>
  <si>
    <t>Non-Potable Water</t>
  </si>
  <si>
    <t>Storm Drain</t>
  </si>
  <si>
    <t>Detention Basin/Culverts</t>
  </si>
  <si>
    <t>Joint Trench</t>
  </si>
  <si>
    <t>SURFACE IMPROVEMENTS</t>
  </si>
  <si>
    <t>Aggregate Base</t>
  </si>
  <si>
    <t>Asphalt Pavement</t>
  </si>
  <si>
    <t>Curb, Gutter, Sidewalk</t>
  </si>
  <si>
    <t>Street Lights</t>
  </si>
  <si>
    <t>Striping/Signage/Barricades</t>
  </si>
  <si>
    <t>Traffic Mitigation</t>
  </si>
  <si>
    <t>PARKS - LANDSCAPE AND AMENITIES</t>
  </si>
  <si>
    <t>Irrigation</t>
  </si>
  <si>
    <t>Concrete Work</t>
  </si>
  <si>
    <t>Landscaping</t>
  </si>
  <si>
    <t>Playground Facilities and Tot Lots</t>
  </si>
  <si>
    <t>Walking/Bike Path</t>
  </si>
  <si>
    <t>Drinking Fountains</t>
  </si>
  <si>
    <t xml:space="preserve">Lighting </t>
  </si>
  <si>
    <t xml:space="preserve">Open Space </t>
  </si>
  <si>
    <t>ENV. MITIGATION</t>
  </si>
  <si>
    <t>Wetland Mitigation</t>
  </si>
  <si>
    <t>Endangered Species</t>
  </si>
  <si>
    <t>Tree Mitigation</t>
  </si>
  <si>
    <t xml:space="preserve">Environmental Remediation </t>
  </si>
  <si>
    <t>STRUCTURED PARKING</t>
  </si>
  <si>
    <t>Replacement Parking</t>
  </si>
  <si>
    <t>Foundation Work</t>
  </si>
  <si>
    <t>RESIDENTIAL PARKING</t>
  </si>
  <si>
    <t>Residential Parking Structures</t>
  </si>
  <si>
    <t>TRANSIT</t>
  </si>
  <si>
    <t>Access Plazas</t>
  </si>
  <si>
    <t>Pathways</t>
  </si>
  <si>
    <t>Bus Shelters</t>
  </si>
  <si>
    <t>Transit Shelters</t>
  </si>
  <si>
    <t>Pedestrian Facilities</t>
  </si>
  <si>
    <t>Bicycle Facilities</t>
  </si>
  <si>
    <t>IMPACT FEES</t>
  </si>
  <si>
    <t>Drainage</t>
  </si>
  <si>
    <t>Parks &amp; Recreation</t>
  </si>
  <si>
    <t>Streets/Signals</t>
  </si>
  <si>
    <t>Traffic Fees</t>
  </si>
  <si>
    <t>Waste Water</t>
  </si>
  <si>
    <t>Water Facility</t>
  </si>
  <si>
    <t>SOFT COSTS</t>
  </si>
  <si>
    <t>Engineering</t>
  </si>
  <si>
    <t>OTHER</t>
  </si>
  <si>
    <t>Comments and explanation of basis changes or other general comments:</t>
  </si>
  <si>
    <t>The HCD team appreciates your collaboration in assisting to streamline the application review. 
Please provide the names of entities related to each sponsor parent company, and any &amp; all related entities that have received awards from HCD.</t>
  </si>
  <si>
    <t>Related entity name</t>
  </si>
  <si>
    <t>Contract #</t>
  </si>
  <si>
    <t>Maximum Loan and Grant Amounts - Summary</t>
  </si>
  <si>
    <t>Project Name:</t>
  </si>
  <si>
    <t>Development Type:</t>
  </si>
  <si>
    <t>County:</t>
  </si>
  <si>
    <t>Project Type(s) :</t>
  </si>
  <si>
    <t>Large Family</t>
  </si>
  <si>
    <t>2+ Bedrooms</t>
  </si>
  <si>
    <t>3+ Bedrooms</t>
  </si>
  <si>
    <t>High(est) Resource Area</t>
  </si>
  <si>
    <t>Rural Status:</t>
  </si>
  <si>
    <t>MHP Senior Project:</t>
  </si>
  <si>
    <t>Urban/Rural Area:</t>
  </si>
  <si>
    <t>NOFA  II§D.3 (Funding Limits)</t>
  </si>
  <si>
    <t>a.</t>
  </si>
  <si>
    <t>Use of multiple Department funding sources on the same Assisted Unit is permitted, subject to the following limitations (as well as the limitations of Article II(D)(1) and II(D)(2) of this MFSN-LA Disaster NOFA):</t>
  </si>
  <si>
    <t>i.</t>
  </si>
  <si>
    <t>Sponsor/Applicant acknowledges that no more than $50,000,000 in total MFSN Rental Housing Development loans, MHP COSR, and Supportive Services Reserves grant funds may be awarded per Project. AND</t>
  </si>
  <si>
    <t>ii.</t>
  </si>
  <si>
    <t>No more than $20,000,000 in MHP COSR may be awarded per Project.</t>
  </si>
  <si>
    <t>b.</t>
  </si>
  <si>
    <t xml:space="preserve">Sponsor/Applicant acknowledges that MHP COSR awards pursuant to this MFSN-LA Disaster NOFA are limited to approximately $50 million of MHP program funds. </t>
  </si>
  <si>
    <t>c.</t>
  </si>
  <si>
    <t>Sponsor/Applicant acknowledges that each Sponsor/Applicant is limited to no more than $50,000,000 in MFSN loan or grant awards of any type, excluding any applications awarded in which the Sponsor is a co-Applicant with an Emerging Developer or Tribal Entity. No application submitted by a Sponsor/Applicant may benefit competitively by the withdrawal of another, higher-ranked application submitted by the same Sponsor/Applicant or related party. The per-Sponsor/Applicant MFSN-LA Disaster NOFA funding limit is not applicable beyond an individual MFSN-LA Disaster NOFA competition, and it is not a cumulative per-Sponsor/Applicant cap across other Department NOFA funding opportunities.</t>
  </si>
  <si>
    <t>d.</t>
  </si>
  <si>
    <t>Sponsor/Applicant acknowledges that the Department will offer loan funding from only one (1) Program (MHP, SHMHP, TOD, or VHHP) per eligible Unit. However, projects must still comply with the “two-loan, two-grant per Project” rule articulated in the HCD Repeal of Stacking Prohibition of Multiple Department Funding Sources (Administrative Notice Number: 21-06), dated August 20, 2021, as amended September 13, 2023 and which may be further amended from time to time. Additionally, the Department will not award funding from a specific MFSN Program to a Unit that previously received funding from the same program funding source. Previously awarded funding includes awards made from the February 2025 MFSN NOFA. For example, the Department will not provide MHP funding under this MFSN-LA Disaster NOFA to Units that were awarded MHP funding in a prior MHP or MFSN round.</t>
  </si>
  <si>
    <t>HCD Repeal of Stacking Prohibition of Multiple Department Funding Sources (Administrative Notice Number: 21-06)</t>
  </si>
  <si>
    <t>e.</t>
  </si>
  <si>
    <t>Sponsor/Applicant acknowledges that for Projects assisted by MHP, the number of MHP Assisted Units shall equal the number of Restricted Units with the exception that Units assisted by a SHMHP, TOD, or VHHP award under this MFSN-LA Disaster NOFA will not be additionally assisted by MHP.</t>
  </si>
  <si>
    <t>Funds requested
(Super NOFA funds only)</t>
  </si>
  <si>
    <t>Total past awards ( for this project)</t>
  </si>
  <si>
    <t>Total Super NOFA Max funds in "loans" for this project</t>
  </si>
  <si>
    <t>Loans</t>
  </si>
  <si>
    <t>Grants</t>
  </si>
  <si>
    <t>TDC per Unit</t>
  </si>
  <si>
    <t>HCD Cost per Unit</t>
  </si>
  <si>
    <t>Does your Project have a previous loan award?</t>
  </si>
  <si>
    <t>Will your Project receive an HCD loan award before the MFSN-LA Disaster NOFA  application due date?</t>
  </si>
  <si>
    <t>Maximum Allowable IIG Grant Amount</t>
  </si>
  <si>
    <t>IIG Maximum Allowable CIP Grant Amount</t>
  </si>
  <si>
    <t>Maximum Allowable Loan Amounts</t>
  </si>
  <si>
    <t>FWHG Maximum Allowable Loan Amount</t>
  </si>
  <si>
    <t>MHP Maximum Allowable Loan Amount</t>
  </si>
  <si>
    <t>SHMHP Maximum Allowable Loan Amount</t>
  </si>
  <si>
    <t>TOD Maximum Allowable Loan Amount</t>
  </si>
  <si>
    <t>VHHP Maximum Allowable Loan Amount</t>
  </si>
  <si>
    <t>TOTAL MAXIMUM Super NOFA Loan Amount</t>
  </si>
  <si>
    <t>§7304.1(h)1-4) Lesser of</t>
  </si>
  <si>
    <t>1. COSR per unit subsidy limit</t>
  </si>
  <si>
    <t>2. The amount necessary to bring to zero the operating deficit attributable to the COSR Assisted Units.</t>
  </si>
  <si>
    <t>and/+ Project operating costs associated with the economic impacts of the January 2025 wildfires.</t>
  </si>
  <si>
    <t xml:space="preserve">3. The amount necessary to ensure that the total Project cash flow after all Operating Expenses, mandatory debt service, and required reserve deposits does not exceed the amount necessary to pay fees under 7313(a)(2)(A) </t>
  </si>
  <si>
    <t xml:space="preserve">4. Lesser Amount requested by the Applicant </t>
  </si>
  <si>
    <t xml:space="preserve"> Maximum MHP COSR - Grant Amount</t>
  </si>
  <si>
    <t>I. IIG Total Units Base Grant Limit</t>
  </si>
  <si>
    <t>Housing Units per Acre (Net Density)</t>
  </si>
  <si>
    <t>Net Density Adjustment Factor</t>
  </si>
  <si>
    <t>I. IIG Base Grant Limit with Adjustment Factor</t>
  </si>
  <si>
    <t>I. FWHG Restricted Unit Loan Amount</t>
  </si>
  <si>
    <t>I. MHP Restricted Unit Loan Amount</t>
  </si>
  <si>
    <t>I. SHMHP Restricted Unit Loan Amount</t>
  </si>
  <si>
    <t>I. TOD Restricted Unit Loan Amount</t>
  </si>
  <si>
    <t>I. VHHP Restricted Unit Loan Amount</t>
  </si>
  <si>
    <t>II. Permanent Financing Funding Gap Calculation</t>
  </si>
  <si>
    <t xml:space="preserve"> Less: Net Syndication Proceeds/Investor Equity </t>
  </si>
  <si>
    <t xml:space="preserve"> Less: Additional Owner/General Partner Equity (Including Deferred Developer Fee)</t>
  </si>
  <si>
    <t>Total Estimated Financing need</t>
  </si>
  <si>
    <t xml:space="preserve"> Less: Supportable Conventional or Bond Debt Financing</t>
  </si>
  <si>
    <t xml:space="preserve"> Less: "Soft" Financing and Grants.</t>
  </si>
  <si>
    <t>Permanent Funding Gap</t>
  </si>
  <si>
    <t>III. Shared Cost Calculation</t>
  </si>
  <si>
    <t>Average gross square footage of Restricted Units (60% AMI or less from unit mix, including Manager's Unit(s))</t>
  </si>
  <si>
    <t>Average gross square footage of all residential units</t>
  </si>
  <si>
    <t>Restricted Units average gross square footage as a % of total residential units average gross square footage</t>
  </si>
  <si>
    <t>Shared Cost Calculation Amount</t>
  </si>
  <si>
    <t>MHP Gap NOFA – Funding Gap Eligibility</t>
  </si>
  <si>
    <r>
      <rPr>
        <b/>
        <sz val="10"/>
        <color theme="3" tint="-0.499984740745262"/>
        <rFont val="Arial"/>
        <family val="2"/>
      </rPr>
      <t xml:space="preserve">1. </t>
    </r>
    <r>
      <rPr>
        <sz val="10"/>
        <color theme="3" tint="-0.499984740745262"/>
        <rFont val="Arial"/>
        <family val="2"/>
      </rPr>
      <t>The Gap Eligibility fields are auto-populated based on entries in the Development Budget and Development Sources tabs.</t>
    </r>
  </si>
  <si>
    <t xml:space="preserve">Total Development Cost </t>
  </si>
  <si>
    <t>Development Budget'!D3</t>
  </si>
  <si>
    <r>
      <rPr>
        <b/>
        <sz val="10"/>
        <color theme="3" tint="-0.499984740745262"/>
        <rFont val="Arial"/>
        <family val="2"/>
      </rPr>
      <t>2.</t>
    </r>
    <r>
      <rPr>
        <sz val="10"/>
        <color theme="3" tint="-0.499984740745262"/>
        <rFont val="Arial"/>
        <family val="2"/>
      </rPr>
      <t xml:space="preserve"> All Development Sources must be marked "committed" in order to calculate the MHP Gap Request.</t>
    </r>
  </si>
  <si>
    <t>Development Sources!H65</t>
  </si>
  <si>
    <r>
      <rPr>
        <b/>
        <sz val="10"/>
        <color theme="3" tint="-0.499984740745262"/>
        <rFont val="Arial"/>
        <family val="2"/>
      </rPr>
      <t>3.</t>
    </r>
    <r>
      <rPr>
        <sz val="10"/>
        <color theme="3" tint="-0.499984740745262"/>
        <rFont val="Arial"/>
        <family val="2"/>
      </rPr>
      <t xml:space="preserve"> The Calculated Funding Gap is validated using the NOFA funding limits to determine  if the gap meets minimum eligibility requirements.</t>
    </r>
  </si>
  <si>
    <t>Development Sources!E66</t>
  </si>
  <si>
    <t>B. Applicant / Reviewer Inputs (fed into Max Loan and Grant Amounts)</t>
  </si>
  <si>
    <t>Line Item</t>
  </si>
  <si>
    <t>Input Amount</t>
  </si>
  <si>
    <t>Feeds To</t>
  </si>
  <si>
    <t>NOFA Ref (edit)</t>
  </si>
  <si>
    <t>Applicant Notes</t>
  </si>
  <si>
    <t>Net Syndication Proceeds / Investor Equity</t>
  </si>
  <si>
    <t>Max Loan and Grant Amounts!AJ62</t>
  </si>
  <si>
    <t>Overview/Program Requirements – equity treatment</t>
  </si>
  <si>
    <t>Additional Owner / GP Equity (incl. Deferred Dev Fee)</t>
  </si>
  <si>
    <t>Max Loan and Grant Amounts!AJ63</t>
  </si>
  <si>
    <t>Program Requirements – eligible sources / DDF rules</t>
  </si>
  <si>
    <t>Supportable Conventional or Bond Debt Financing</t>
  </si>
  <si>
    <t>Max Loan and Grant Amounts!AJ65</t>
  </si>
  <si>
    <t>Program Requirements – debt sizing/commitments</t>
  </si>
  <si>
    <t>Soft Financing and Grants (excluding MHP Gap)</t>
  </si>
  <si>
    <t>Max Loan and Grant Amounts!AJ66</t>
  </si>
  <si>
    <t>Program Requirements – eligible sources</t>
  </si>
  <si>
    <t>Funding Limit Calculations</t>
  </si>
  <si>
    <t>Calculated Funding Gap</t>
  </si>
  <si>
    <t>Eligibility:</t>
  </si>
  <si>
    <t>Requested MHP Amount</t>
  </si>
  <si>
    <t xml:space="preserve">Remaining Funding Gap </t>
  </si>
  <si>
    <t>If greater than 0, project is not eligible for a funding gap award.</t>
  </si>
  <si>
    <t>Maximum Award</t>
  </si>
  <si>
    <t>Eligible Project / Funding limits</t>
  </si>
  <si>
    <t>Maximum Award of $15,000,000</t>
  </si>
  <si>
    <t>Minimum Award</t>
  </si>
  <si>
    <t>Minimum Award of $3,000,000</t>
  </si>
  <si>
    <t>HCD 60% Test</t>
  </si>
  <si>
    <t>Section I.B.2.ii</t>
  </si>
  <si>
    <t>Requested MHP Award</t>
  </si>
  <si>
    <t>C. Additional Testing Critieria</t>
  </si>
  <si>
    <t>Input</t>
  </si>
  <si>
    <t>NOFA Ref</t>
  </si>
  <si>
    <t>Flag</t>
  </si>
  <si>
    <t>pre-HCD 60% Test</t>
  </si>
  <si>
    <t>Eligible Remaining HCD Funding</t>
  </si>
  <si>
    <t>TCAC Tax Credit Factor 10% Test</t>
  </si>
  <si>
    <t>Development Cost Financing Structure Verification</t>
  </si>
  <si>
    <t>D. TCAC Credit Changes</t>
  </si>
  <si>
    <t>10% Increase/Decrease</t>
  </si>
  <si>
    <t>TCAC Award Total Development Costs (TDC):</t>
  </si>
  <si>
    <t>TCAC Award Eligible Basis (EB):</t>
  </si>
  <si>
    <t>TCAC Award Federal Tax Credit Factor (TCF):</t>
  </si>
  <si>
    <t>New Federal Tax Credit Factor:</t>
  </si>
  <si>
    <t>Estimated MHP Gap Request:</t>
  </si>
  <si>
    <t>D. Active Eligible Gap (based on Selected Tier)</t>
  </si>
  <si>
    <t>Select Tier</t>
  </si>
  <si>
    <t>(dropdown)</t>
  </si>
  <si>
    <t>Self-Cert Selection:</t>
  </si>
  <si>
    <t>Tier 1 – Pricing Reduction Inputs</t>
  </si>
  <si>
    <t>Total Federal 4% Credit Amount (total credit used for equity)-Underwritten</t>
  </si>
  <si>
    <t>CDLAC TDC:</t>
  </si>
  <si>
    <t>Total State 4% Credit Amount (total credit used for equity)-Underwritten</t>
  </si>
  <si>
    <t>New/Actual Total Federal 4% Credit Amount (total credit used for equity)</t>
  </si>
  <si>
    <t>Percent Change:</t>
  </si>
  <si>
    <t>New/Actual Total State 4% Credit Amount (total credit used for equity)</t>
  </si>
  <si>
    <t>TDC</t>
  </si>
  <si>
    <t>Old/Assumed Federal Net Equity Factor ($ per $1 credit) – Underwritten</t>
  </si>
  <si>
    <t>Old/Assumed State Net Equity Factor ($ per $1 credit) – Underwritten</t>
  </si>
  <si>
    <t>New/Actual Federal Net Equity Factor ($ per $1 credit)(Application)</t>
  </si>
  <si>
    <t>Must match Syndication Letter</t>
  </si>
  <si>
    <t>New/Actual State Net Equity Factor ($ per $1 credit)(Application)</t>
  </si>
  <si>
    <t>Underwritten Net Equity (calc)</t>
  </si>
  <si>
    <t>New/Actual Net Equity (calc)</t>
  </si>
  <si>
    <t>New/Actual Net Equity (Application)</t>
  </si>
  <si>
    <t>Pricing Shortfall (Tier 1 Gap Driver)</t>
  </si>
  <si>
    <t>Tier 2 – Other Gap Support (optional fields)</t>
  </si>
  <si>
    <t>Documented Cost Increase Amount (if applicable)</t>
  </si>
  <si>
    <t>Old/Assumed 9% Equity – Underwritten</t>
  </si>
  <si>
    <t>New/Actual 4% Equity</t>
  </si>
  <si>
    <t>Equity loss due to 9%→4% restructure (if applicable)</t>
  </si>
  <si>
    <t>Other documented gap component (if applicable)</t>
  </si>
  <si>
    <t>Pricing Shortfall (Tier 2 Gap Driver)</t>
  </si>
  <si>
    <t>E. Tier-Specific Gap &amp; Award</t>
  </si>
  <si>
    <t>Tier 1 Eligible Gap (min of overall gap &amp; pricing shortfall)</t>
  </si>
  <si>
    <t>Tier 2 Eligible Gap (overall gap minus Tier 1 eligible)</t>
  </si>
  <si>
    <t>Active Eligible Gap (based on Selected Tier)</t>
  </si>
  <si>
    <t>Notes/Comments:</t>
  </si>
  <si>
    <t>Manager Unit(s) loan to be funded from which HCD Program?</t>
  </si>
  <si>
    <t>IncomeLimitsTbl</t>
  </si>
  <si>
    <t>04/01/2025 Income Limits by County and Household Size</t>
  </si>
  <si>
    <t>CountyNumber</t>
  </si>
  <si>
    <t>Unit Type</t>
  </si>
  <si>
    <t>Adj. Factor</t>
  </si>
  <si>
    <t>Reference only: Tiebreaker Score calculations</t>
  </si>
  <si>
    <t>ALL PROGRAMS</t>
  </si>
  <si>
    <t>Super NOFA
Non-VHHP Population</t>
  </si>
  <si>
    <t>Loan Amount(s)</t>
  </si>
  <si>
    <t>If the most restrictive rent applicable to some Units are required by another program, such as HOME or USDA Rural Development, enter these limits -----------&gt;</t>
  </si>
  <si>
    <t>Are subsidy payments over net rent based on Restricted or Proposed Rents?</t>
  </si>
  <si>
    <t>$250,000 per Assisted Unit (Restricted Unit for MHP, TOD, and SHMHP)</t>
  </si>
  <si>
    <t>County</t>
  </si>
  <si>
    <t>P1-lim50</t>
  </si>
  <si>
    <t>P2-lim50</t>
  </si>
  <si>
    <t>P3-lim50</t>
  </si>
  <si>
    <t>P4-lim50</t>
  </si>
  <si>
    <t>P5-lim50</t>
  </si>
  <si>
    <t>P6-lim50</t>
  </si>
  <si>
    <t>P7-lim50</t>
  </si>
  <si>
    <t>P8-lim50</t>
  </si>
  <si>
    <t>Income and Rent Calculation Tables</t>
  </si>
  <si>
    <t>Income</t>
  </si>
  <si>
    <t>SUBSIDY INFORMATION</t>
  </si>
  <si>
    <t>TCAC/CDLAC/MHP/CalHFA Income Limits Calculated from HUD 50% Income Limits</t>
  </si>
  <si>
    <t>Vacancy</t>
  </si>
  <si>
    <t>UNIT MIX BY HCD PROGRAM(S)</t>
  </si>
  <si>
    <t>MHP Only</t>
  </si>
  <si>
    <t>RENT(S) INFORMATION</t>
  </si>
  <si>
    <t>Base Amount:</t>
  </si>
  <si>
    <t>Income Level</t>
  </si>
  <si>
    <t>Household Size</t>
  </si>
  <si>
    <t>Weighted Average of Non-Voucher units</t>
  </si>
  <si>
    <t>Payment</t>
  </si>
  <si>
    <t>DSCR</t>
  </si>
  <si>
    <t>MHP Population Type - Assisted Units</t>
  </si>
  <si>
    <t>VHHP Population Type - Assisted Units</t>
  </si>
  <si>
    <t>Additional Population Type</t>
  </si>
  <si>
    <t>Other Restricted</t>
  </si>
  <si>
    <t xml:space="preserve"> §7307(d)</t>
  </si>
  <si>
    <t xml:space="preserve"> §7310.1</t>
  </si>
  <si>
    <t>IIG Grant</t>
  </si>
  <si>
    <t>FWHG Loan Amount</t>
  </si>
  <si>
    <t>TOD Loan Amount</t>
  </si>
  <si>
    <t>SHMHP Loan Amount</t>
  </si>
  <si>
    <t>VHHP Loan Amount</t>
  </si>
  <si>
    <t>MHP Loan Amount(s)</t>
  </si>
  <si>
    <t>Subsidy Program Name1</t>
  </si>
  <si>
    <t>Federal?</t>
  </si>
  <si>
    <t>Subsidy Program Name2</t>
  </si>
  <si>
    <t>Assume:</t>
  </si>
  <si>
    <t>Capitalized value</t>
  </si>
  <si>
    <t>COSR</t>
  </si>
  <si>
    <t>NOFA §II(A-B)</t>
  </si>
  <si>
    <t>Base Amount + Reduction in Amount Financeable due to Rent Limitations below 60% AMI</t>
  </si>
  <si>
    <t>vacancy rate</t>
  </si>
  <si>
    <t>TM Annual:</t>
  </si>
  <si>
    <t>Number of Bedrooms</t>
  </si>
  <si>
    <t>Restricted Income Level</t>
  </si>
  <si>
    <t>HCD Program</t>
  </si>
  <si>
    <t>HCD Program2</t>
  </si>
  <si>
    <t>HCD Program3</t>
  </si>
  <si>
    <t>HCD Program4</t>
  </si>
  <si>
    <t>HCD Program 5</t>
  </si>
  <si>
    <t>MHP COSR Units?</t>
  </si>
  <si>
    <t>VHHP
Assisted</t>
  </si>
  <si>
    <t>Special Needs?</t>
  </si>
  <si>
    <t>Chronic Homelessness</t>
  </si>
  <si>
    <t>Disability Homelessness</t>
  </si>
  <si>
    <t>Other Homelessness</t>
  </si>
  <si>
    <t xml:space="preserve">Homeless youth </t>
  </si>
  <si>
    <t>Individuals exiting institutional settings</t>
  </si>
  <si>
    <t>SH or TH?</t>
  </si>
  <si>
    <t>Veteran
Housing</t>
  </si>
  <si>
    <t>Special Needs2?</t>
  </si>
  <si>
    <t>Chronic Homelessness2</t>
  </si>
  <si>
    <t>Disability Homelessness2</t>
  </si>
  <si>
    <t>Other Homelessness2</t>
  </si>
  <si>
    <t>SH or TH?2</t>
  </si>
  <si>
    <t>At Risk of Homelessness</t>
  </si>
  <si>
    <t>Senior Housing</t>
  </si>
  <si>
    <t>Agricultural Households</t>
  </si>
  <si>
    <t>Other Special Needs</t>
  </si>
  <si>
    <t>Total restricted units</t>
  </si>
  <si>
    <t>Ordinance Required?</t>
  </si>
  <si>
    <t>7307
(d)(1)</t>
  </si>
  <si>
    <t>7307
(d)(2)</t>
  </si>
  <si>
    <t>Medi-Cal Funded Supportive Services Units (ALW, HCBA, PACE)</t>
  </si>
  <si>
    <t>IIG Grant Base Limit Amount</t>
  </si>
  <si>
    <t>FWHG Total Base Loan Amount</t>
  </si>
  <si>
    <t>TOD Total Base Loan Amount</t>
  </si>
  <si>
    <t>SHMHP Total Base Loan Amount</t>
  </si>
  <si>
    <t>VHHP Total Base Loan Amount</t>
  </si>
  <si>
    <t>MHP Total Base Loan Amount2</t>
  </si>
  <si>
    <t>Rent Limit Calculation Formula</t>
  </si>
  <si>
    <t>Max Gross Rent</t>
  </si>
  <si>
    <t>Less Utility Allowance Schedule 1</t>
  </si>
  <si>
    <t>Less Utility Allowance Schedule 2</t>
  </si>
  <si>
    <t>Maximum Net Rent</t>
  </si>
  <si>
    <t xml:space="preserve">Proposed Net Rent </t>
  </si>
  <si>
    <t>Monthly Income at Proposed Rents</t>
  </si>
  <si>
    <t>Monthly Income at Maximum Rents</t>
  </si>
  <si>
    <t>Gross Monthly Contract Rent</t>
  </si>
  <si>
    <t>Subsidy Payment Over  Gross Rent</t>
  </si>
  <si>
    <t>VASH?</t>
  </si>
  <si>
    <t>Units being subsidized</t>
  </si>
  <si>
    <t>Total Monthly Extra Income</t>
  </si>
  <si>
    <t>Net Monthly Contract Rent2</t>
  </si>
  <si>
    <t>Subsidy Payment Over Gross Rent2</t>
  </si>
  <si>
    <t>Section 8?</t>
  </si>
  <si>
    <t>Units being subsidized2</t>
  </si>
  <si>
    <t>Total Monthly Extra Income2</t>
  </si>
  <si>
    <t>Helper SN</t>
  </si>
  <si>
    <t>VLOOKUP Base</t>
  </si>
  <si>
    <t>VLOOKUP Rents, Other Rents</t>
  </si>
  <si>
    <t>if Homeless</t>
  </si>
  <si>
    <t>Below 30% AMI</t>
  </si>
  <si>
    <t>Max number</t>
  </si>
  <si>
    <t>AMI</t>
  </si>
  <si>
    <t xml:space="preserve">0 BR </t>
  </si>
  <si>
    <t>1 BR</t>
  </si>
  <si>
    <t>2 BR</t>
  </si>
  <si>
    <t>3 BR</t>
  </si>
  <si>
    <t>4+ BR</t>
  </si>
  <si>
    <t>Fed Voucher</t>
  </si>
  <si>
    <t>Adjusted Quantity</t>
  </si>
  <si>
    <t>Unadjusted Quantity</t>
  </si>
  <si>
    <t>If this unit/row should be 30% or 40%</t>
  </si>
  <si>
    <t>Net Rent Limit</t>
  </si>
  <si>
    <t>Net Contract Rent</t>
  </si>
  <si>
    <t>60% AMI Rent Level</t>
  </si>
  <si>
    <t>USDA</t>
  </si>
  <si>
    <t>Contract Rent</t>
  </si>
  <si>
    <t>Difference</t>
  </si>
  <si>
    <t>X Quantity</t>
  </si>
  <si>
    <t>$300,000 per FWHG or VHHP Assisted Unit.</t>
  </si>
  <si>
    <t xml:space="preserve">CalHFA 50% Rent Limits </t>
  </si>
  <si>
    <t xml:space="preserve">(Assumes  1 person in 0-bedroom, 2 people in a 1 bdrm and 1 additional person per additional bedroom) </t>
  </si>
  <si>
    <t xml:space="preserve">Income </t>
  </si>
  <si>
    <t>Level</t>
  </si>
  <si>
    <t xml:space="preserve">TCAC/CDLAC/MHP Rent Limits </t>
  </si>
  <si>
    <t>(Assumes 1 person in 0-bdrm unit, 1.5 people per bedroom in other units)</t>
  </si>
  <si>
    <t>TCACrentTbl</t>
  </si>
  <si>
    <t>Limit</t>
  </si>
  <si>
    <t>IIG Basic Grant Limit x Units - 2025</t>
  </si>
  <si>
    <t>Unit Type AMI</t>
  </si>
  <si>
    <t>0-Bdrm</t>
  </si>
  <si>
    <t>1-Bdrm</t>
  </si>
  <si>
    <t>2-Bdrm</t>
  </si>
  <si>
    <t>3-Bdrm</t>
  </si>
  <si>
    <t>4+Bdrm</t>
  </si>
  <si>
    <t>Other Rent Limits</t>
  </si>
  <si>
    <t>Rent/Operating Subsidy Programs</t>
  </si>
  <si>
    <t>200%+ FMR</t>
  </si>
  <si>
    <t xml:space="preserve">Enter below any rent limits that are both the most restrictive and that are required by sources other than tax credits, bonds, or MHP (e.g.. HOME or USDA Rural Development).  </t>
  </si>
  <si>
    <t>Subsidy Program Name</t>
  </si>
  <si>
    <t>Program Unrestricted</t>
  </si>
  <si>
    <t>Subsidy Program Component</t>
  </si>
  <si>
    <t>60% AMI Rental</t>
  </si>
  <si>
    <t>OtherRentLimitTbl</t>
  </si>
  <si>
    <t>Gross Rent Limits / Unit Size (Bdrms)</t>
  </si>
  <si>
    <t>50% AMI Rental</t>
  </si>
  <si>
    <t>0</t>
  </si>
  <si>
    <t>1</t>
  </si>
  <si>
    <t>2</t>
  </si>
  <si>
    <t>3</t>
  </si>
  <si>
    <t>4</t>
  </si>
  <si>
    <t>5</t>
  </si>
  <si>
    <t>Subsidy Currently in Place?</t>
  </si>
  <si>
    <t>30% AMI Rental</t>
  </si>
  <si>
    <t>Date Application Submitted or to be Submitted</t>
  </si>
  <si>
    <t>Date Award Expected</t>
  </si>
  <si>
    <t>Contract Term (Years)</t>
  </si>
  <si>
    <t>Expected 1st Year Amount, if not based on contract rents</t>
  </si>
  <si>
    <t>%</t>
  </si>
  <si>
    <t>Basis for Subsequent Amounts, if not based on contract rents</t>
  </si>
  <si>
    <t>Description of other rent limits</t>
  </si>
  <si>
    <t>Below, enter all "Other" Unrestricted Units</t>
  </si>
  <si>
    <t>Bedrooms</t>
  </si>
  <si>
    <t>Proposed Net Rent</t>
  </si>
  <si>
    <t>Monthly Income at Proposed</t>
  </si>
  <si>
    <t>Manager Unit</t>
  </si>
  <si>
    <t>Total</t>
  </si>
  <si>
    <t>20% and below</t>
  </si>
  <si>
    <t>All Programs</t>
  </si>
  <si>
    <t>Net Density Factor</t>
  </si>
  <si>
    <t>200%+ FMR  or Exceeds CALHFA Sales Prices</t>
  </si>
  <si>
    <t>Annual Income And Expenses</t>
  </si>
  <si>
    <t>EMPLOYEE INFORMATION</t>
  </si>
  <si>
    <t>No.</t>
  </si>
  <si>
    <t>FTE</t>
  </si>
  <si>
    <t>Employee Job Title</t>
  </si>
  <si>
    <t>Wages</t>
  </si>
  <si>
    <t>Free Rent</t>
  </si>
  <si>
    <t>Comments</t>
  </si>
  <si>
    <t>On-Site Manager(s)</t>
  </si>
  <si>
    <t>On-Site Assistant Manager(s)</t>
  </si>
  <si>
    <t>Supportive Services Staff Supervisor(s)</t>
  </si>
  <si>
    <t>Supportive Services Coordinator, On-Site</t>
  </si>
  <si>
    <t>Other Supportive Services Staff (inc. Case Manager)</t>
  </si>
  <si>
    <t>On-Site Maintenance Employee(s)</t>
  </si>
  <si>
    <t>On-Site Leasing Agent/Administrative Employee(s)</t>
  </si>
  <si>
    <t>On-Site Security Employee(s)</t>
  </si>
  <si>
    <t xml:space="preserve"> Acct. No.</t>
  </si>
  <si>
    <t>Total Salaries and Value of Free Rent Units</t>
  </si>
  <si>
    <t>Payroll Taxes</t>
  </si>
  <si>
    <t>Workers Compensation</t>
  </si>
  <si>
    <t>Employee Benefits</t>
  </si>
  <si>
    <t>Employee(s) Payroll Taxes, Workers Comp. &amp; Benefits</t>
  </si>
  <si>
    <t>Total Employee(s) Expenses</t>
  </si>
  <si>
    <t>EMPLOYEE UNITS</t>
  </si>
  <si>
    <t>Income Limit</t>
  </si>
  <si>
    <t>Job Title(s) of Employee(s) Living On-Site</t>
  </si>
  <si>
    <t>SF</t>
  </si>
  <si>
    <t>Total Square Footage</t>
  </si>
  <si>
    <t>ANNUAL OPERATING BUDGET</t>
  </si>
  <si>
    <t>Services Coordinator</t>
  </si>
  <si>
    <t>Revenue - Income</t>
  </si>
  <si>
    <t xml:space="preserve">Residential </t>
  </si>
  <si>
    <t xml:space="preserve">Commercial </t>
  </si>
  <si>
    <t>5120/5140</t>
  </si>
  <si>
    <t>Rent Revenue - Gross Potential</t>
  </si>
  <si>
    <t>Restricted Unit Rents</t>
  </si>
  <si>
    <t>Proposed Unit Rents</t>
  </si>
  <si>
    <t>Unrestricted Unit Rents</t>
  </si>
  <si>
    <t>Tenant Assistance Payments</t>
  </si>
  <si>
    <t>Operating Subsidies</t>
  </si>
  <si>
    <t>Laundry and Vending Revenue</t>
  </si>
  <si>
    <t>Garage and Parking Spaces</t>
  </si>
  <si>
    <t xml:space="preserve">Miscellaneous Rent Revenue </t>
  </si>
  <si>
    <t>Gross Potential Income (GPI)</t>
  </si>
  <si>
    <t>5220/5240</t>
  </si>
  <si>
    <t>Vacancy Rate:  Restricted Units</t>
  </si>
  <si>
    <t>Vacancy Rate:  Proposed Units</t>
  </si>
  <si>
    <t>Vacancy Rate:  Unrestricted Units</t>
  </si>
  <si>
    <t>Vacancy Rate:  Tenant Assistance Payments</t>
  </si>
  <si>
    <t>Vacancy Rate:  Other (Specify)</t>
  </si>
  <si>
    <t xml:space="preserve">Vacancy Rate:  Laundry &amp; Vending &amp; Other Income  </t>
  </si>
  <si>
    <t xml:space="preserve">Vacancy Rate:  Commercial Income </t>
  </si>
  <si>
    <t>Vacancy Loss(es)</t>
  </si>
  <si>
    <t>Effective Gross Income (EGI)</t>
  </si>
  <si>
    <t>Administrative Operating Expenses</t>
  </si>
  <si>
    <t>Conventions and Meetings</t>
  </si>
  <si>
    <t>Advertising and Marketing</t>
  </si>
  <si>
    <t>Other Renting Expenses</t>
  </si>
  <si>
    <t>Office/Administrative Salaries -- from above</t>
  </si>
  <si>
    <t>Office Expenses</t>
  </si>
  <si>
    <t>Office or Model Apartment Rent</t>
  </si>
  <si>
    <t>Management Fee</t>
  </si>
  <si>
    <t>Site/Resident Manager(s) Salaries -- from above</t>
  </si>
  <si>
    <t>Administrative Free Rent Unit  -- from above</t>
  </si>
  <si>
    <t>Legal Expense -- Project</t>
  </si>
  <si>
    <t>Audit Expense</t>
  </si>
  <si>
    <t>Bookkeeping Fees/Accounting Services</t>
  </si>
  <si>
    <t>Miscellaneous Administrative Expenses</t>
  </si>
  <si>
    <t>6263T</t>
  </si>
  <si>
    <t xml:space="preserve"> Total Administrative Expenses</t>
  </si>
  <si>
    <t>Utilities Expenses</t>
  </si>
  <si>
    <t>Other Utilities: (Specify)</t>
  </si>
  <si>
    <t>6400T</t>
  </si>
  <si>
    <t>Total Utilities Expenses</t>
  </si>
  <si>
    <t>Operating and Maintenance Expenses</t>
  </si>
  <si>
    <t>Payroll -- from above</t>
  </si>
  <si>
    <t xml:space="preserve">Supplies </t>
  </si>
  <si>
    <t>Contracts</t>
  </si>
  <si>
    <t>Operating &amp; Maintenance Free Rent Unit -- from above</t>
  </si>
  <si>
    <t>Garbage and Trash Removal</t>
  </si>
  <si>
    <t>Security Contract</t>
  </si>
  <si>
    <t>Security Free Rent Unit -- from above</t>
  </si>
  <si>
    <t>Heating/Cooling Repairs and Maintenance</t>
  </si>
  <si>
    <t>Snow Removal</t>
  </si>
  <si>
    <t>Vehicle &amp; Maintenance Equipment Operation/Reports</t>
  </si>
  <si>
    <t>Miscellaneous Operating and Maintenance Expenses</t>
  </si>
  <si>
    <t>6500T</t>
  </si>
  <si>
    <t>Total Operating and Maintenance Expenses</t>
  </si>
  <si>
    <t>Taxes and Insurance</t>
  </si>
  <si>
    <t>Payroll Taxes (Project's Share) -- from above</t>
  </si>
  <si>
    <t>Property and Liability Insurance (Hazard)</t>
  </si>
  <si>
    <t>Other Insurance (e.g. Earthquake)</t>
  </si>
  <si>
    <t>Fidelity Bond Insurance</t>
  </si>
  <si>
    <t>Worker's Compensation -- from above</t>
  </si>
  <si>
    <t>Health Insurance/Other Employee Benefits--from above</t>
  </si>
  <si>
    <t>Miscellaneous Taxes, Licenses, Permits &amp; Insurance</t>
  </si>
  <si>
    <t>6700T</t>
  </si>
  <si>
    <t>Total Taxes and Insurance</t>
  </si>
  <si>
    <t>Staff Supervisor(s) Salaries - from above</t>
  </si>
  <si>
    <t>Services Coordinator Salaries, On-Site - from above</t>
  </si>
  <si>
    <t>Other Supportive Services Staff Salaries - from above</t>
  </si>
  <si>
    <t>Supportive Services Admin Overhead</t>
  </si>
  <si>
    <t>Other Supportive Services Costs: (Specify)</t>
  </si>
  <si>
    <t>6900T</t>
  </si>
  <si>
    <t>Total Supportive Services Costs</t>
  </si>
  <si>
    <t>Total Operating Expenses</t>
  </si>
  <si>
    <t>Funded Reserves</t>
  </si>
  <si>
    <t>Required Replacement Reserve Deposits</t>
  </si>
  <si>
    <t>Other Reserves: (Specify)</t>
  </si>
  <si>
    <t>Total Reserves</t>
  </si>
  <si>
    <t>Ground Lease</t>
  </si>
  <si>
    <t>Total Ground Lease</t>
  </si>
  <si>
    <t>Net Operating Income</t>
  </si>
  <si>
    <t>Financial Expenses</t>
  </si>
  <si>
    <t>1st Mortgage Debt Service (Specify)</t>
  </si>
  <si>
    <t>2nd Mortgage Debt Service (Specify)</t>
  </si>
  <si>
    <t>3rd Mortgage Debt Service (Specify)</t>
  </si>
  <si>
    <t>FWHG .42% Fee</t>
  </si>
  <si>
    <t>SHMHP .42% Fee</t>
  </si>
  <si>
    <t>MHP .42% Fee</t>
  </si>
  <si>
    <t>TOD .42% Fee</t>
  </si>
  <si>
    <t>VHHP .42% Fee</t>
  </si>
  <si>
    <t>Other HCD .42% (Specify)</t>
  </si>
  <si>
    <t>Bond Issuer Fee</t>
  </si>
  <si>
    <t>Miscellaneous Financial Expenses (Specify)</t>
  </si>
  <si>
    <t>6800T</t>
  </si>
  <si>
    <t>Total Financial Expenses</t>
  </si>
  <si>
    <t>Asset Management/Similar Fees</t>
  </si>
  <si>
    <t xml:space="preserve">Total Operating Expenses Per Unit </t>
  </si>
  <si>
    <t>Per Year</t>
  </si>
  <si>
    <t>Per Month</t>
  </si>
  <si>
    <t>Without any Adjustments</t>
  </si>
  <si>
    <t>With the Value of Rent-Free Units Included</t>
  </si>
  <si>
    <t>Without  RE Taxes, Social Services Coordinator or Social Services/Social Programs and With the Value of Rent Fee Units Included</t>
  </si>
  <si>
    <t>Operating expense comparables are required if Total Operating Expenses per Unit exceed the following:</t>
  </si>
  <si>
    <t>Project Type/Primary Population*</t>
  </si>
  <si>
    <t>*Special Needs</t>
  </si>
  <si>
    <t>Senior</t>
  </si>
  <si>
    <t>All Other</t>
  </si>
  <si>
    <t>Alameda, Contra Costa, Los Angeles, Marin, Monterey, Napa, Orange, San Diego, San Francisco, San Luis Obispo, San Mateo, Santa Barbara, Santa Clara, Santa Cruz, Solano, Sonoma, Ventura</t>
  </si>
  <si>
    <t>All Other Counties</t>
  </si>
  <si>
    <t>*For Special Needs, at least 25% of Restricted Units must be designated for Special Needs populations</t>
  </si>
  <si>
    <t>Supportive Services Cost Limits per HCD Administrative Notice 24-05</t>
  </si>
  <si>
    <t>NOTE: This Supportive Services Cost Limit tool is only used for projects subject to the 2017 UMRs or subsequent amendments. Complete all yellow shaded cells.</t>
  </si>
  <si>
    <t>Has or will this Project receive HCD HOME, HOME-ARP, or NHTF funding:</t>
  </si>
  <si>
    <t>Has or will this Project receive only HCD VHHP funding:</t>
  </si>
  <si>
    <t>Fiscal Year</t>
  </si>
  <si>
    <t>(1)(A) &amp; (B)</t>
  </si>
  <si>
    <t>(2)(A) &amp; (B)</t>
  </si>
  <si>
    <t>(3) VHHP</t>
  </si>
  <si>
    <t>8314 (e)(1)</t>
  </si>
  <si>
    <t>8314 (e)(2)</t>
  </si>
  <si>
    <t>8314 (e)(3)</t>
  </si>
  <si>
    <t>8314 (e)(4)</t>
  </si>
  <si>
    <t>UMR  §8301(t):  “Supportive Services” - social, health, educational, income support and employment services and benefits, coordination of community building and educational activities, individualized needs assessment, and individualized assistance with obtaining services and benefits.</t>
  </si>
  <si>
    <t>UMR  §8301(u): “Supportive Services Costs” - the costs of providing tenants service coordination, case management, and direct resident and Supportive Services. It includes: (1) the cost of providing tenants with information on and referral to social, health, educational, income support and employment services and benefits, coordination of community building and educational activities, individualized needs assessment, and individualized assistance with obtaining services and benefits; (2) salaries, benefits, contracted services, telecommunication expenses, travel costs, supplies, office expenses, staff training, maintenance of on-site equipment used in services programs, such as computer labs, incidental costs related to resident events, and other similar costs approved by the Department.</t>
  </si>
  <si>
    <t>a. Supportive Services Units:</t>
  </si>
  <si>
    <t>Total number units:</t>
  </si>
  <si>
    <t>Certification Year - select budget reporting period year:</t>
  </si>
  <si>
    <t>Max PUPY Expense</t>
  </si>
  <si>
    <t>Max Costs</t>
  </si>
  <si>
    <t xml:space="preserve">(1) Total number of units: (A) for supportive housing restricted to individuals or families experiencing chronic homelessness or homelessness, as defined consistent with Health and Safety Code (HSC) §50675.141; and (B) for supportive housing units restricted to occupancy by special needs populations under HCD programs subject to Administrative Notice 24-05 (“Special needs population” has the same meaning as set forth in individual program guidelines); units anticipated to be restricted to individuals or families experiencing chronic homelessness as defined consistent with HSC §50675.14.
1For units assisted by the HCD Veterans Housing and Homelessness Prevention (VHHP) program, this category includes Supportive Housing Units restricted to Veterans who are experiencing Chronic Homelessness, units restricted to persons who are experiencing Chronic Homelessness by another public agency program, Supportive Housing Units restricted to Veterans with a Disability Experiencing Homelessness, and other Units restricted to persons who are Veterans with a Disability Experiencing Homelessness. (Capitalized terms in this footnote have the same meaning as those set forth in the VHHP guidelines.) </t>
  </si>
  <si>
    <t xml:space="preserve">(2) Total number of other units2 where the Sponsor, their affiliate, or a service provider under contract to provide Supportive Services at the Project has both: (A) qualified staff devoted exclusively to oversight and quality control of resident services in affordable housing, including the Project; and (B) a system to track and report on tenant outcomes, such as changes in employment status and income. Do not include units counted in category (1) above.
2For units assisted by the VHHP program, this category includes Units that are restricted to Extremely Low-Income households, but not to Veterans who are experiencing Chronic Homelessness or Veterans with a Disability Experiencing Homelessness. (Capitalized terms in this footnote have the same meaning as those set forth in the VHHP guidelines.) </t>
  </si>
  <si>
    <t xml:space="preserve">(3) Except as noted below for the VHHP program, total number of units where the Sponsor, their affiliate, or a service provider under contract does not satisfy the requirements set forth in subsection (2) above3. Do not include units counted in categories (1) and (2) above.
3For units assisted by the VHHP program, the amount for this category of units will remain as currently allowed under this program. </t>
  </si>
  <si>
    <t>(4) Maximum Supportive Services Costs</t>
  </si>
  <si>
    <t>b. Budgeted Supportive Services Costs</t>
  </si>
  <si>
    <t>Max Allowable Amt</t>
  </si>
  <si>
    <t>Staff Supervisor(s) Salaries - may not exceed 15% of on-site staff salaries* (b)(1)</t>
  </si>
  <si>
    <t>&lt;====</t>
  </si>
  <si>
    <t>On-Site Services Coordinator Salaries</t>
  </si>
  <si>
    <t>On-Site other Supportive Services Staff Salaries</t>
  </si>
  <si>
    <t>(5)</t>
  </si>
  <si>
    <t>(6)</t>
  </si>
  <si>
    <t>Supportive Services Administrative Overhead - may not exceed 15% of Total Supportive Services Costs* (b)(2)</t>
  </si>
  <si>
    <t>(7)</t>
  </si>
  <si>
    <t xml:space="preserve">  Total Budgeted Supportive Services Costs</t>
  </si>
  <si>
    <t>(1) UMR  §8314(e)(1):  Total number of Supportive Housing (SH) units anticipated to be restricted to individuals or families experiencing chronic homelessness as defined consistent with Health and Safety Code (HSC) §50675.14.</t>
  </si>
  <si>
    <t>(2) UMR §8314(e)(2):  Total number of Supportive Housing (SH) units (other than those restricted to individuals or families experiencing chronic homelessness pursuant to HSC §50675.14), PLUS the total number of units restricted to occupancy by Special Needs Populations (SNP)* under any HCD program. (*click here for definition - §7301(s) of the MHP Regulations). Do not include units included in (1) above.</t>
  </si>
  <si>
    <t>(3) UMR §8314(e)(3):  Total number of units where the Sponsor, their affiliate, or a service provider under contract to provide Supportive Services at the Project has both: (A) qualified staff devoted exclusively to oversight and quality control of resident services in affordable housing, including the Project; and (B) a system to track and report on tenant outcomes, such as changes in employment status and income. Do not include units included in items (1) and (2) above.</t>
  </si>
  <si>
    <t>(4) UMR §8314(e)(4):  Total number of units anticipated to be offered Supportive Services provided by the Project Sponsor, a Sponsor affiliate, or contracted service provider that do not satisfy the criteria in items (1), (2) and (3) above.</t>
  </si>
  <si>
    <t>(5) Maximum Supportive Services Costs</t>
  </si>
  <si>
    <t>Staff Supervisor(s) Salaries - may not exceed 10% of on-site staff salaries* §8314(f)(1)</t>
  </si>
  <si>
    <t>Supportive Services Admin. Overhead - may not exceed 15% of Total Supportive Services Costs* §8314(f)(2)</t>
  </si>
  <si>
    <t>Sponsor/Applicant comments</t>
  </si>
  <si>
    <t>HCD Reserve Requirements</t>
  </si>
  <si>
    <t>Number of Project Units:</t>
  </si>
  <si>
    <t>Replacement Reserve Calculator UMR §8309</t>
  </si>
  <si>
    <t>0.6% of New construction costs (structures excluding contractor profit, overhead, and general requirements and insurance):</t>
  </si>
  <si>
    <t>$500 per unit: (This is a placeholder for rehab projects and may be subject to higher amount)</t>
  </si>
  <si>
    <t>Replacement Reserve Amount = New construction: lesser of (a) and (b); Rehab: (b)</t>
  </si>
  <si>
    <t>HCD Required Replacement Reserve Amount - included in "Operating budget" tab</t>
  </si>
  <si>
    <t>Operating Reserve Calculator</t>
  </si>
  <si>
    <t>Total Operating Expenses Excluding On-Site Service Coordinator Salaries. 
Operating Budget Cell (E110) minus Operating Budget Cell (E104)</t>
  </si>
  <si>
    <t>TAX CREDIT Project 3 Month Reserve Required</t>
  </si>
  <si>
    <t>NON-TAX CREDIT Project 4 Month Reserve Required</t>
  </si>
  <si>
    <t>(a) Total Operating Expenses:</t>
  </si>
  <si>
    <t>Amount subject to reserve calculation: (a - b)</t>
  </si>
  <si>
    <t>(b) Minus: On-Site Service Coordinator Salaries:</t>
  </si>
  <si>
    <t>Replacement Reserve amount from above: (Cell AJ10)</t>
  </si>
  <si>
    <t>Debt Service (including all HCD 0.42% Fees and Bond Issuer Fee)</t>
  </si>
  <si>
    <t xml:space="preserve">
Name of Lender
               Operating Budget cells (D125 to D137)</t>
  </si>
  <si>
    <t>Annual Debt
Service Amount</t>
  </si>
  <si>
    <t>UMR Required Operating Reserve Amount:</t>
  </si>
  <si>
    <t>If Reserve amounts are different than the required amount, enter Reserve amounts and how they are calculated below:</t>
  </si>
  <si>
    <t xml:space="preserve"> §7312.1 Transition Reserve Pool Fee Calculator</t>
  </si>
  <si>
    <t>https://www.hcd.ca.gov/sites/default/files/docs/grants-and-funding/hcd-administrative-memo-transition-reserve-policy.pdf</t>
  </si>
  <si>
    <t>Pooled Transition Reserve Policy</t>
  </si>
  <si>
    <t xml:space="preserve"> Does the Project propose the use of a Qualified Project Rental or Operating Subsidy, as defined in Guidelines Appendix A?</t>
  </si>
  <si>
    <t>Subsidy #1</t>
  </si>
  <si>
    <t>Contract Term: (enter in years)</t>
  </si>
  <si>
    <t>Subsidy #2</t>
  </si>
  <si>
    <t>Bedroom Size</t>
  </si>
  <si>
    <t>Number of Units</t>
  </si>
  <si>
    <t>Annual Subsidy</t>
  </si>
  <si>
    <t>Maximum Total Annual Subsidy</t>
  </si>
  <si>
    <t>Pooled transition reserve fee for Subsidy #1 (15% of maximum total annual subsidy)</t>
  </si>
  <si>
    <t>Pooled transition reserve fee for Subsidy #2 (15% of maximum total annual subsidy)</t>
  </si>
  <si>
    <t>Local Operating Subsidy Name:</t>
  </si>
  <si>
    <t>Total Operating Subsidy Amount</t>
  </si>
  <si>
    <t>Number of years included in total operating subsidy</t>
  </si>
  <si>
    <t>One year's worth of operating subsidy</t>
  </si>
  <si>
    <t>Pooled transition reserve fee for Subsidy (15% of one year's worth of operating subsidy)</t>
  </si>
  <si>
    <t>Total Pooled Transition Reserve Fee</t>
  </si>
  <si>
    <t>Does the Project propose the use of project-based rental assistance or operating assistance that does not fall within the definition of a Qualified Project Rental or Operating Subsidy?</t>
  </si>
  <si>
    <t>if yes, the Sponsor must fund the Transition Reserve as described in the MHP Guidelines Section 7312.1(b)(2)</t>
  </si>
  <si>
    <t>Applicant comments:</t>
  </si>
  <si>
    <t>Cash Flow Analysis</t>
  </si>
  <si>
    <t>Restricted Rents</t>
  </si>
  <si>
    <t>INCOME FROM RENTAL UNITS</t>
  </si>
  <si>
    <t>Inflation</t>
  </si>
  <si>
    <t>Year 1</t>
  </si>
  <si>
    <t>Year 2</t>
  </si>
  <si>
    <t>Year 3</t>
  </si>
  <si>
    <t>Year 4</t>
  </si>
  <si>
    <t>Year 5</t>
  </si>
  <si>
    <t>Year 6</t>
  </si>
  <si>
    <t>Year 7</t>
  </si>
  <si>
    <t>Year 8</t>
  </si>
  <si>
    <t>Year 9</t>
  </si>
  <si>
    <t>Year 10</t>
  </si>
  <si>
    <t>Year 11</t>
  </si>
  <si>
    <t>Year 12</t>
  </si>
  <si>
    <t>Year 13</t>
  </si>
  <si>
    <t>Year 14</t>
  </si>
  <si>
    <t>Year 15</t>
  </si>
  <si>
    <t>Year 16</t>
  </si>
  <si>
    <t>Year 17</t>
  </si>
  <si>
    <t>Year 18</t>
  </si>
  <si>
    <t>Year 19</t>
  </si>
  <si>
    <t>Year 20</t>
  </si>
  <si>
    <t>Year 21</t>
  </si>
  <si>
    <t>Year 22</t>
  </si>
  <si>
    <t>Year 23</t>
  </si>
  <si>
    <t>Year 24</t>
  </si>
  <si>
    <t>Year 25</t>
  </si>
  <si>
    <t>Year 26</t>
  </si>
  <si>
    <t>Year 27</t>
  </si>
  <si>
    <t>Year 28</t>
  </si>
  <si>
    <t>Year 29</t>
  </si>
  <si>
    <t>Year 30</t>
  </si>
  <si>
    <t>Year 31</t>
  </si>
  <si>
    <t>Year 32</t>
  </si>
  <si>
    <t>Year 33</t>
  </si>
  <si>
    <t>Year 34</t>
  </si>
  <si>
    <t>Year 35</t>
  </si>
  <si>
    <t>Year 36</t>
  </si>
  <si>
    <t>Year 37</t>
  </si>
  <si>
    <t>Year 38</t>
  </si>
  <si>
    <t>Year 39</t>
  </si>
  <si>
    <t>Year 40</t>
  </si>
  <si>
    <t>Restricted Unit  Rents</t>
  </si>
  <si>
    <t>Proposed Unit  Rents</t>
  </si>
  <si>
    <t>Unrestricted Units</t>
  </si>
  <si>
    <t>GROSS POTENTIAL INCOME - HOUSING</t>
  </si>
  <si>
    <t>OTHER INCOME</t>
  </si>
  <si>
    <t>Laundry &amp; Vending</t>
  </si>
  <si>
    <t xml:space="preserve">Other Income    </t>
  </si>
  <si>
    <t>GROSS POTENTIAL INCOME - OTHER</t>
  </si>
  <si>
    <t>GROSS POTENTIAL INCOME - TOTAL</t>
  </si>
  <si>
    <t>VACANCY ASSUMPTIONS</t>
  </si>
  <si>
    <t>TOTAL VACANCY LOSS</t>
  </si>
  <si>
    <t>EFFECTIVE GROSS INCOME</t>
  </si>
  <si>
    <t>OPERATING EXP &amp; RESERVES</t>
  </si>
  <si>
    <t>Residential Exp. (w/o Real Estate Taxes &amp; Sup. Services)</t>
  </si>
  <si>
    <t>Commercial Expenses</t>
  </si>
  <si>
    <t>TOTAL EXPENSES &amp; RESERVES</t>
  </si>
  <si>
    <t xml:space="preserve">NET OPERATING INCOME </t>
  </si>
  <si>
    <t>DEBT SERVICE</t>
  </si>
  <si>
    <t>Bridge Loan (repaid from Investor equity)</t>
  </si>
  <si>
    <t>TOTAL REQUIRED DEBT SERVICE</t>
  </si>
  <si>
    <t>CASH FLOW after all debt service</t>
  </si>
  <si>
    <t xml:space="preserve">MHP COSR </t>
  </si>
  <si>
    <t>MHP COSR running available balance</t>
  </si>
  <si>
    <t>CASH FLOW for allowable fee pursuant to Section 7313(a)(2)(A)</t>
  </si>
  <si>
    <t>DEBT SERVICE COVERAGE RATIO</t>
  </si>
  <si>
    <t>CASHFLOW AFTER DEBT SERVICE</t>
  </si>
  <si>
    <t>Asset Mgmt./Similar Fees</t>
  </si>
  <si>
    <t>Deferred Developer Fee prior to Distributions &amp; Residual Receipt Payments</t>
  </si>
  <si>
    <t>Cash Available for Residual Receipts Loans and Sponsor Distributions</t>
  </si>
  <si>
    <t>Sponsor Distributions</t>
  </si>
  <si>
    <t>HCD Residual Payment</t>
  </si>
  <si>
    <t>Other Residual Payments</t>
  </si>
  <si>
    <t xml:space="preserve">Max Asset Mgmt/Similar Fees </t>
  </si>
  <si>
    <t xml:space="preserve">Cumulative Paid Deferred Dev. Fee </t>
  </si>
  <si>
    <t>Total Deferred Developer Fee Budgeted for Payment Prior to Distributions and Residual Receipt Payments</t>
  </si>
  <si>
    <t>Sponsor Comments:</t>
  </si>
  <si>
    <t>MHP COSR Calculation</t>
  </si>
  <si>
    <t>COSR Units</t>
  </si>
  <si>
    <t>Pro rata</t>
  </si>
  <si>
    <t>Other subsidies assisting MHP COSR units</t>
  </si>
  <si>
    <t>Restricted Units</t>
  </si>
  <si>
    <t>Proposed Units</t>
  </si>
  <si>
    <t xml:space="preserve">Laundry/Vending/Other Income </t>
  </si>
  <si>
    <t xml:space="preserve">Commercial Income </t>
  </si>
  <si>
    <t>Maximum amount, per year, to cure cashflow.</t>
  </si>
  <si>
    <t>The following is to help and guide the Applicant with threshold requirements, it is the sole responsibility of the Applicant to verify and meet all of the threshold requirements per program guidelines. The Department will have a final threshold determination after review of, but not limited to, information provided at application and file uploads.
An O means that you may have missed to answer a question within the application, please see the formula and it will guide you to the correct location in the application.
If that section with an O does not apply to your project, please note this at the "Sponsor Comments" box at the end of each Guideline Section.</t>
  </si>
  <si>
    <t>VHHP §202</t>
  </si>
  <si>
    <t>Projects shall be eligible for an Award of funds as long as the application demonstrates that all the following threshold requirements have been met.</t>
  </si>
  <si>
    <t>The application involves an Eligible Project pursuant to §201?</t>
  </si>
  <si>
    <t>§201. Eligible Project.</t>
  </si>
  <si>
    <t>Per §303(b)(4) Sponsor/Applicant certifies that all new construction projects must provide a minimum of 15 percent (15%) of the Restricted Units with mobility features, and a minimum of 10 percent (10%) of the Restricted Units with hearing and vision features.</t>
  </si>
  <si>
    <t>Per §303(b)(5) Sponcor/Applicant certifies that all Rehabilitation projects must provide a minimum of 10 percent (10%) of the Restricted Units with mobility features, and a minimum of four percent (4%) of the Restricted Units with hearing and vision features.</t>
  </si>
  <si>
    <t>Per §303(b)(6) Sponsor/Applicant certifies that Senior new construction projects must provide a minimum of 50 percent (50%) of all Restricted Units with mobility features.</t>
  </si>
  <si>
    <t>Per §303(b)(6) Sponsor/Applicant certifies tat Senior Rehabilitation projects must provide a minimum of 25 percent (25%) of all Restricted Units.</t>
  </si>
  <si>
    <t>&lt;=30% AMI VHHP Assisted Units</t>
  </si>
  <si>
    <t>(g)</t>
  </si>
  <si>
    <t>All Assisted Units must be further restricted as follows:</t>
  </si>
  <si>
    <t>Or</t>
  </si>
  <si>
    <t>(h)</t>
  </si>
  <si>
    <t xml:space="preserve">Sponsor acknowledges that in Projects with more than 20 Units, have no more than 49 percent of total Units restricted through a Department Regulatory Agreement(s) under all of the Designated Programs combined, to occupancy by persons with disabilities. This limitation shall not be interpreted to preclude occupancy of any Project Units by persons with disabilities, or restrictions by other funding sources, including but not limited to TCAC, that result in more than 49 percent of total Project Units being restricted to persons with disabilities. It shall also not apply to Projects complying with alternative requirements for demonstrating Olmstead compliance adopted by counties and approved by the Department. </t>
  </si>
  <si>
    <t>Sponsor certifies to adhere to Housing First property management and tenant selection practices, as described in §211, §212, and §213 of these guidelines.</t>
  </si>
  <si>
    <t>(j)</t>
  </si>
  <si>
    <t>Sponsor acknowledges that as part of application initial threshold review, meet the requirements specified in the following Sections;</t>
  </si>
  <si>
    <t>Submission of the VHHP Supportive Services plan application form.</t>
  </si>
  <si>
    <t>§201(k) and §201(l) (Lead Service Provider (LSP) Experience).</t>
  </si>
  <si>
    <t>§214(b)(1), (Formal Agreement between LSP and Sponsor).</t>
  </si>
  <si>
    <t>(k)</t>
  </si>
  <si>
    <t>Sponsor certifies that prior to permanent loan closing, satisfy the requirements of §214 of these guidelines regarding Supportive Services plans.</t>
  </si>
  <si>
    <t>(l)</t>
  </si>
  <si>
    <t>Projects must do the following:</t>
  </si>
  <si>
    <t>(A)</t>
  </si>
  <si>
    <t>(B)</t>
  </si>
  <si>
    <t xml:space="preserve">Sponsor acknowledge that the experience requirements in subsection (A) above can be met in one of the following ways: </t>
  </si>
  <si>
    <t>§201(l)(B)(i) or §201(l)(B)(ii)</t>
  </si>
  <si>
    <t>(iii)</t>
  </si>
  <si>
    <t>If the LSP does not meet the requirements in either subsections (B) i. or ii. above, an executed agreement with a partner agency that meets the qualifications in subSection (B)i., above, must be submitted with the application. This agreement between the LSP and the partner agency must have a term of at least five years, and must specify that the partner agency will collaborate to provide services to Veterans residing in the Project, as well as: (see relevant guideline section for details).</t>
  </si>
  <si>
    <t>Does the LSP meet the requirements in either subSections (B)(i) or (B)(ii)?</t>
  </si>
  <si>
    <t>(C)</t>
  </si>
  <si>
    <t>If the LSP is not part of the ownership entity, the Sponsor must have a written agreement with the LSP to implement the Supportive Services plan and submit this agreement along with the application for funding. Only the LSP may enter into written agreements for services under provisions of the Supportive Services plan. All service providers must have a written agreement with the LSP prior to commencement of services; however, a contract with the LSP is not required for HUD-VASH case management services provided directly by the VA that are consistent with the HUD - Veterans Affairs Supportive Housing (HUD-VASH) Program requirements.</t>
  </si>
  <si>
    <t>Is the LSP is part of the ownership entity?</t>
  </si>
  <si>
    <t>(D)</t>
  </si>
  <si>
    <t>Sponsor certifies that any change of the LSP or change to the supportive services plan throughout the life of the loan requires prior written approval by the California Department of Veterans Affairs (CalVet) and notification by the Sponsor to the Department of such approval.</t>
  </si>
  <si>
    <t>(m)</t>
  </si>
  <si>
    <t xml:space="preserve">For Projects with Assisted Units other than Supportive Housing Units and/or other than Transitional Housing, utilize an organization to provide resident services coordination that has at least 24 months experience in providing this service in publicly assisted affordable housing. </t>
  </si>
  <si>
    <t>Does the proposed Project include Units Assisted other than "Supportive Housing and Transitional Housing?</t>
  </si>
  <si>
    <t>The organizational experience of the partner agency must be documented through contracts with public agencies, housing authorities, housing owners or foundations for services provided to at least 10 households at any one time within 10 years of the application deadline under the applicable Super NOFA. This experience must be either in housing Projects subject to agreements with public agencies restricting Rent and occupancy, or through tenant-based housing assistance programs.</t>
  </si>
  <si>
    <t>(n)</t>
  </si>
  <si>
    <t>Sponsor acknowledges that for new construction of Transitional Housing, Projects shall have a physical configuration that allows for ready conversion of the Transitional Housing to permanent housing, at minimal costs.</t>
  </si>
  <si>
    <t>(o)</t>
  </si>
  <si>
    <t>(p)</t>
  </si>
  <si>
    <t>The Sponsor must demonstrate confirmation of local need for the Project by including in the application.</t>
  </si>
  <si>
    <t>(q)</t>
  </si>
  <si>
    <t>Sponsor aknowledges that in analyzing the feasibility of Transitional Housing, factors to be considered shall include those at §201(q)(1-5).</t>
  </si>
  <si>
    <t>(r)</t>
  </si>
  <si>
    <t>Assisted Unit Requirements:</t>
  </si>
  <si>
    <t xml:space="preserve">Sponsor acknowledges where multiple Department programs assist the Project and the jurisdiction does not have Article XXXIV authority, the Department’s total non-VHHP regulatory restrictions shall not exceed 49 percent of the Project’s total Units, unless the Project otherwise has an exemption.  </t>
  </si>
  <si>
    <t>Tribal Entities are not required to demonstrate compliance with Article XXXIV for Projects located in Indian Country where an Indian tribe exercises jurisdiction.</t>
  </si>
  <si>
    <t>Sponsor acknowledges that the Units regulated by the Department, including VHHP Assisted Units, shall include those with the lowest income limits.</t>
  </si>
  <si>
    <t>(s)</t>
  </si>
  <si>
    <t>Projects proposed by Tribal Entities must meet the following requirements:</t>
  </si>
  <si>
    <t>Multiple Department Funding Sources:</t>
  </si>
  <si>
    <t>Use of multiple Department funding sources on the same Assisted Units is permitted, subject to the following limitation:</t>
  </si>
  <si>
    <t>Sponsor acknowledges the HCD Repeal of Stacking Prohibition of Multiple Department Funding sources Memo shall remain applicable. A maximum of four (4) HCD Funding Sources comprised of no more than two (2) development loans and two (2) housing-related infrastructure grants may be used on a single Project. Housing related infrastructure grants are those grants provided through the Affordable Housing and Sustainable Communities program - Housing Related Infrastructure (HRI) grants, Transit Oriented Development (TOD) Implementation program - Infrastructure grants, and infill infrastructure grant programs (IIG-2007 and IIG-2019).</t>
  </si>
  <si>
    <t xml:space="preserve">Sponsor acknowledges that “HCD funding sources” do not include: </t>
  </si>
  <si>
    <t xml:space="preserve">Offsite infrastructure funds; or </t>
  </si>
  <si>
    <t>Existing loans or grants under any Department funding source listed above that are at least 14 years old and that will be assumed or recast as part of an acquisition and Rehabilitation project.</t>
  </si>
  <si>
    <t>Sponsor acknowledges additional limitations on use of multiple Department funding sources may be specified in the NOFA.</t>
  </si>
  <si>
    <t>Sponsor acknowleges that limits on Department Funding, including loan or grant funds, on a per unit, per project, and/or per Sponsor basis, may be further specified in the NOFA.</t>
  </si>
  <si>
    <t>(u)</t>
  </si>
  <si>
    <t>The Applicant is an eligible Sponsor pursuant to §203?</t>
  </si>
  <si>
    <t>§203. Eligible Sponsor.</t>
  </si>
  <si>
    <t>The Sponsor/Applicant certifies that if there are multiple Applicants, then the following requirements must be met:</t>
  </si>
  <si>
    <t>The co-Applicant with experience must document that experience in the application as required by the NOFA.</t>
  </si>
  <si>
    <t>The co-Applicant with experience must perform a substantial management role in the borrowing entity from the time of Award through the full term of the Regulatory Agreement, as evidenced by the applicable organizational documents. Such role shall include the substantial management duties set forth at UMR Section 8313.2.</t>
  </si>
  <si>
    <t>If at least 35 percent of the Assisted Units in the proposed Project will be Supportive Housing and/or Transitional Housing, this requirement may be satisfied if the Sponsor has a developer partner with the required development experience, and if the Sponsor has owned or operated at least two affordable rental or transitional housing developments that are subject to agreements with public agencies restricting rent and occupancy.</t>
  </si>
  <si>
    <t>Does project have at least 35 percent of Assisted Units in the proposed Project will be Supportive Housing and/or Transitional Housing?</t>
  </si>
  <si>
    <t>Developer Partner Development Experience (list two Projects):</t>
  </si>
  <si>
    <t>Sponsor Entity name</t>
  </si>
  <si>
    <t>Project Name and Address</t>
  </si>
  <si>
    <t>Restricting Entity Name</t>
  </si>
  <si>
    <t>If at least 35 percent of the Assisted Units in the proposed Project will be Supportive Housing Units and/or Transitional Housing, this requirement may be satisfied if the Sponsor has a developer partner with the required development experience, and if the Sponsor has owned or operated at least two (2) affordable Rental or Transitional Housing developments that are subject to agreements with public agencies restricting Rent and occupancy.</t>
  </si>
  <si>
    <t>Sponsor Ownership or Operating Experience (list two Projects):</t>
  </si>
  <si>
    <t>Developer Partner name</t>
  </si>
  <si>
    <t>Sponsor/Applicant certifies  that if an Emerging Developer or Community-Based Developer relies upon the experience of a co-Applicant to qualify for funding outside of the funding target, then the following requirements, in addition to the requirements under §203(d), must be met:</t>
  </si>
  <si>
    <t>The co-Applicant with experience must perform a substantial management role in the borrowing entity from the time of Award, through permanent financing close of escrow, and for at least seven (7) consecutive years thereafter, as evidenced by the applicable organizational documents. Such role shall include the substantial management duties set forth at UMR Section 8313.2.</t>
  </si>
  <si>
    <t>The partnership agreement or other applicable organizational documents must, for the duration of the borrowing entity, provide for all of the following:</t>
  </si>
  <si>
    <t>The Emerging Developer or Community-Based Developer must receive no less than 50 percent of the Project's total Developer Fee. This requirement will be included as a special condition in the Project’s respective Standard Agreement, as well as in its Regulatory Agreement (or Covenant where applicable).</t>
  </si>
  <si>
    <t>Provide the co-Sponsor without experience with an option to purchase the Rental Housing Development at appraised fair market value. The time period for exercising such option shall be no earlier than seven (7) years from the date of permanent financing close of escrow. Such options shall be subordinate to the Department’s funding and security documents.</t>
  </si>
  <si>
    <t>Sponsor (to include each constituent co-Sponsor) shall demonstrate capacity to acquire, develop, and own affordable rental housing. For purposes of this subdivision, an entity has “capacity” if it has adequate staff, offices, capital, assets, and other resources to efficiently meet the operational needs of the Rental Housing Development; to maintain the Fiscal Integrity of the Rental Housing Development; and to satisfy all legal requirements and obligations in connection with the Rental Housing Development. Evidence of capacity must be reasonably acceptable to the Department in form and substance. Sponsor (to include each constituent co-Sponsor) shall satisfactorily demonstrate capacity at the time of its application for the funds. The Department will exercise reasonable discretion in determining capacity. In all cases, the Department will base its capacity determination on the experience, past performance, and organizational documents of each Sponsor/Applicant entity. Where necessary to clarify ambiguities in the application, the Department may request, during application review, any of the following:</t>
  </si>
  <si>
    <t>Staff rosters, which include the job titles and duty statements of all staff positions, and/or payroll records;</t>
  </si>
  <si>
    <t>Certified audited financial statements for the past three (3) consecutive years;</t>
  </si>
  <si>
    <t>Certificates of good standing from the California Secretary of State, the California Franchise Tax Board, and/or the relevant regulatory agencies of foreign jurisdictions; and</t>
  </si>
  <si>
    <t>Any other documentary evidence that reasonably supports the Sponsor’s ability to satisfy the capacity requirement.</t>
  </si>
  <si>
    <t>Sponsor (to include each constituent co-Sponsor) certifies to demonstrate capacity to acquire, develop, and own affordable rental housing.</t>
  </si>
  <si>
    <t>Sponsor shall maintain direct and continuing control of the Rental Housing Development throughout the full term of the Department’s use restriction on the Rental Housing Development. For Projects with co-Sponsors, the co-Sponsor who garnered experience points at the application stage shall control the borrowing entity at construction closing, through permanent financing close of escrow, and for a period of at least seven (7) consecutive years thereafter. If the Department’s funding disbursement is structured with or through a special purpose entity, the Sponsor shall exercise direct and continuing control over such special purpose entity in accordance with UMR Section 8313.2 and throughout the full term of the Department’s use restriction on the Rental Housing Development, as evidenced by the organizational documents of the special purpose entity and all of its constituent tier entities. Sponsor shall certify that it will abide by this control requirement at the time of its application for the funds for the full term of the Regulatory Agreement.</t>
  </si>
  <si>
    <t>Sponsor certifies to maintain direct and continuing control of the Rental Housing Development throughout the full term of the Department’s use restriction on the Rental Housing Development as described at above paragraph?</t>
  </si>
  <si>
    <t>All proposed uses of Program funds are eligible pursuant to §204.</t>
  </si>
  <si>
    <t>§204. Eligible Use of Funds.</t>
  </si>
  <si>
    <t>Funds shall be used only for approved eligible costs that are incurred on the Project as set forth in this section, including interim or bridge loans used to pay such costs. In addition, the costs must be necessary and must be consistent with the lowest reasonable cost consistent with the Project's scope and area as determined by the Department.</t>
  </si>
  <si>
    <t>Sponsor acknowledges that funds shall only be used for Capital Asset related expenses as required by §16727 of the Government Code.</t>
  </si>
  <si>
    <t>Sponsor acknowledges that eligible costs include all those stated at §204(b)(1-20).</t>
  </si>
  <si>
    <t>Sponsor acknowledges that except as provided in subsection (b)(8) above, no Program funds shall be used for costs associated exclusively with non-Restricted Units or Commercial Space. A Manager’s Unit may be considered a Restricted Unit for the purpose of allocating development costs. If only a portion of the Rental Housing Development consists of Restricted Units, the Program loan amount shall not exceed the sum of the following: §204(c (1-3).</t>
  </si>
  <si>
    <t>The application is complete pursuant to §401 and §402.</t>
  </si>
  <si>
    <t>§401. Application Process.</t>
  </si>
  <si>
    <t>Sponsor acknowledges §401 (a-f)</t>
  </si>
  <si>
    <t>§402. Application Content and Application Eligibility Requirements.</t>
  </si>
  <si>
    <t>Sponsor acknowledge to comply with  §402(a)</t>
  </si>
  <si>
    <t>An application is complete when it satisfies all of the following:</t>
  </si>
  <si>
    <t>Verify new guidelines for 2026, if any…..</t>
  </si>
  <si>
    <t>Sponsor certifies that the application meets all threshold requirements, as set forth in the NOFA, §202 of these guidelines, and the application.</t>
  </si>
  <si>
    <t>Sponsor certifies that the application provides sufficient information for the Department to assess the proposed Project’s feasibility pursuant to UMR §8310.</t>
  </si>
  <si>
    <t>The application includes organizational documents for each Applicant entity.</t>
  </si>
  <si>
    <t>NOTE: Resolutions must be submitted within sixty (60) calendar days of the conditional award notification and in advance of Standard Agreement execution. Applicants are strongly encouraged to submit resolutions at the time of application to ensure timely access to funds as Standard Agreements will be prioritized based on the receipt and review of all required documents.</t>
  </si>
  <si>
    <t>Should the Sponsor/Applicant submit resolutions at time of Application due date, please select from the list of resolutions that apply to your project structure.</t>
  </si>
  <si>
    <t>Resolution (Corp)</t>
  </si>
  <si>
    <t>Resolution (LLC)</t>
  </si>
  <si>
    <t>Resolution (LP Borrower Grant Recipient)</t>
  </si>
  <si>
    <t>Resolution (LP Ultimate Borrower of Loan Program Funds Only)</t>
  </si>
  <si>
    <t>Resolution (Public Entity)</t>
  </si>
  <si>
    <t>Resolution (Tribal Entity)</t>
  </si>
  <si>
    <t>Sponsor acknowledges that the Department may reduce the score of an application that does not include all information necessary for scoring.</t>
  </si>
  <si>
    <t>Sponsor acknowledges that applications shall be evaluated for compliance with the threshold and eligibility requirements of these guidelines, and applicable statutes, and scored based on the application scoring criteria listed in Article IV of the Super NOFA – Universal Scoring Criteria. The applications with the highest number of points shall be selected for funding, provided that they meet all threshold and eligibility requirements and achieve specified minimum scores as identified in the NOFA.</t>
  </si>
  <si>
    <t>The Sponsor shall disclose on the VHHP application whether the Project will be part of an application to TCAC seeking hybrid tiebreaker incentives. This election is irrevocable. Once awarded, the Department will not break up or combine project awards to accommodate a conversion to or from a hybrid project.</t>
  </si>
  <si>
    <t>Is proposed Project a TCAC Hybrid project?</t>
  </si>
  <si>
    <t>Sponsor acknowledges that this election is irrevocable. Once awarded, the Department will not break up or combine Project awards to accommodate a conversion to or from a hybrid project.</t>
  </si>
  <si>
    <t>Sponsor certifies that the Project, as proposed in the application, is financially feasible as evidenced by documentation such as, but not limited to, Enforceable Funding Commitments, market study, project proforma, sources and uses statement, or other feasibility documentation that is standard industry practice for the type of proposed housing development?</t>
  </si>
  <si>
    <t>Sponsor certifies that the Project will maintain Fiscal Integrity consistent with proposed Rents in the Assisted Units and is feasible pursuant to the underwriting standards in UMR §8310.</t>
  </si>
  <si>
    <t>Sponsor certifies that the Project site is reasonably accessible to public transportation, shopping, medical services, recreation, schools, and employment in relation to the needs of the Project tenants?</t>
  </si>
  <si>
    <t>Sponsor certifies and acknowledges that projects shall provide services suitable to the needs of the target population; and the application shall demonstrate a specific, feasible plan for delivery and funding of those services, including identification of the LSP, service delivery partners and funding sources, pursuant to §214;</t>
  </si>
  <si>
    <t>Sponsor certifies that the Project shall provide services suitable to the needs of the Target Population; and the application shall demonstrate a specific, feasible plan for delivery and funding of those services, including identification of the LSP, service delivery partners and funding sources, pursuant to §214?</t>
  </si>
  <si>
    <t>Sponsor acknowledges that Projects that do not include Supportive Housing Units shall provide service amenities sufficient to achieve a minimum score of 7 points pursuant to TCAC Regulations, as set forth in Title 4 CCR Section 10325(c)(4)(B);</t>
  </si>
  <si>
    <t>Sponsor certifies that the Project complies with the restrictions on demolition as set forth in UMR §8302.</t>
  </si>
  <si>
    <t>Sponsor certifies that the Project complies with the site control requirements as set forth at UMR §8303 and §8316, with the additional requirement that the Applicant shall maintain site control through permanent financing close of escrow.</t>
  </si>
  <si>
    <t>Where site control is in the name of another entity, the Applicant shall provide documentation, in form and substance reasonably satisfactory to the Department, which clearly demonstrates that the Applicant has the right, either directly or indirectly (contractually or through its organizational control of the entity with site control), to acquire or lease the Project property prior to or concurrent with construction closing. Acceptable documentation may include, but is not limited to, a purchase and sale agreement, an option, a leasehold interest/option, a disposition and development agreement, an exclusive right to negotiate with a public agency for the acquisition of the site, or contractual or organizational documentation evidencing such control.</t>
  </si>
  <si>
    <t>Where site control will be satisfied by a long-term ground lease, the Department will require the execution and recordation of the Department’s form lease rider, which shall be entered into by and among the ground lessor, the ground lessee, the Department, and any other applicable parties. In all cases (with applicable exceptions made for projects developed in Indian Country), the lease rider shall be recorded against the fee interest in the Project property.</t>
  </si>
  <si>
    <t>Sponsor acknowledges that for projects developed in Indian Country, the following exceptions apply:</t>
  </si>
  <si>
    <t>Where site control is a ground lease, the lease agreement between the Tribal Entity and the Project owner is for a period not less than 50 years; and</t>
  </si>
  <si>
    <t>An attorney’s opinion regarding chain of title and current title status is acceptable in lieu of a title report.</t>
  </si>
  <si>
    <t>Sponsor certifies that if an Applicant’s site control documentation (e.g., option) will or may expire prior to the anticipated date of the Program Award as specified in the NOFA, the Applicant will satisfy the threshold site control requirement so long as evidence of a valid extension is submitted during the application review period. For purposes of this paragraph, “evidence of a valid extension” means an option (and/or other applicable site control documentation) that is fully executed prior to the expiration of the site control documentation, and that extends the term of the site control documentation through the actual date of the Program award.</t>
  </si>
  <si>
    <t>Sponsor certifies that the Project complies with accessibility and fair housing obligations in §7314?</t>
  </si>
  <si>
    <t>Sponsor certifies that the Project complies with all applicable state and federal law with respect to any preference policies for occupancy, as specified and set forth in a written analysis that is submitted with the application. No written analysis is required if priority placement will be given only to prospective tenants who qualify for the following preference categories: §7303.1(q)(1-12)</t>
  </si>
  <si>
    <t>§217 Additional VHHP Requirements.</t>
  </si>
  <si>
    <t>Entities certified by the California Department of General Services as DVBEs shall receive an amount at least equal to five percent of total construction costs for work performed or supplies provided for each Project.</t>
  </si>
  <si>
    <t>As part of the application for VHHP funds, applicants shall submit a utilization plan describing how the five percent minimum requirement will be satisfied, including:</t>
  </si>
  <si>
    <t>Identification of a plan administrator responsible for implementing the plan and ensuring achievement of the five percent minimum requirement.</t>
  </si>
  <si>
    <t>Plan administrator's name:</t>
  </si>
  <si>
    <t>Tittle:</t>
  </si>
  <si>
    <t>Company.Organization:</t>
  </si>
  <si>
    <t>Phone:</t>
  </si>
  <si>
    <t>Email:</t>
  </si>
  <si>
    <t>Other relevant contact information:</t>
  </si>
  <si>
    <t>Description of all known methods to be used to ensure DVBE participation, including advertising, solicitations, and preferences. Applicants and their DVBE Plan Administrator must contact CalVet for assistance in locating DVBEs.</t>
  </si>
  <si>
    <t>Applicant(s) certifies that prior to the commencement of construction, the Sponsor shall submit a report to the Department and CalVet on DVBE plan implementation. This report will include:</t>
  </si>
  <si>
    <t xml:space="preserve">The total amount budgeted for construction costs; </t>
  </si>
  <si>
    <t>The names and addresses of DVBE contractors, subcontractors and suppliers that have received or are scheduled to receive payment, together with the amount paid or scheduled to be paid to each;</t>
  </si>
  <si>
    <t>If the report does not show achievement of the five percent minimum requirement, documentation that the Sponsor has requested assistance with recruiting DVBEs from CalVet, and documentation of all of its attempts and methods used to ensure DVBE participation; and</t>
  </si>
  <si>
    <t>If the Sponsor fails to achieve the five percent minimum requirement, the Department may award negative points for subsequent applications pursuant to Section 401(f) of these guidelines. To avoid the assessment of the negative point penalty, the Sponsor must be granted a waiver from CalVet.</t>
  </si>
  <si>
    <t>Applicant(s) certifies that upon completion of construction, and prior to the VHHP loan closing, the Sponsor shall submit a report similar to the one described in the preceding subsection, detailing actual payments to DVBEs. If the five percent requirement has not been met, the Sponsor must provide documentation of its requests for assistance with recruiting DVBEs from CalVet, and all of its attempts and methods used to ensure DVBE participation.</t>
  </si>
  <si>
    <t>Sponsors shall make good faith efforts to hire Veterans for development, construction, and related jobs associated with the Project.</t>
  </si>
  <si>
    <t>As part of the application for VHHP funds, applicants shall submit a plan describing how this requirement will be satisfied. The plan may include registering with Helmets to Hardhats, working with local Homeless Veteran Reintegration Programs, entering into First Source Hiring Agreements with local America’s Job Centers of California Agencies (formerly One Stop Centers), or subcontracting with DVBEs and other entities that hire Veterans.</t>
  </si>
  <si>
    <t>Sponsor(s) certifies that upon completion of construction, and prior to the VHHP loan closing, the Sponsor shall submit a report on plan implementation, including the number of Veterans hired.</t>
  </si>
  <si>
    <t>In addition to the Threshold Requirements above, Sponsor(s)/Applicant(s) acknowledge, understand, and agree to comply with the following sections of the 2023 VHHP Guidelines</t>
  </si>
  <si>
    <t>§205 Cost Limitations</t>
  </si>
  <si>
    <t>§206 Type and Term of Loan</t>
  </si>
  <si>
    <t>§207 Maximum Loan Amounts</t>
  </si>
  <si>
    <t>§208 Interest Rate and Loan Repayments</t>
  </si>
  <si>
    <t>§209 Appraisal and Market Study Requirements</t>
  </si>
  <si>
    <t>§210 VHHP Occupancy Requirements</t>
  </si>
  <si>
    <t>§211 VHHP Housing First Practices</t>
  </si>
  <si>
    <t>§212 VHHP Tenant Selection</t>
  </si>
  <si>
    <t>§213 VHHP Rental Agreements and Grievance Procedures</t>
  </si>
  <si>
    <t>§214 VHHP Supportive Service Plan Requirements</t>
  </si>
  <si>
    <t>§215 VHHP Vulnerable Populations Best Practices</t>
  </si>
  <si>
    <t>§301 Rent Standards</t>
  </si>
  <si>
    <t>§301.1 Project-Specific Transition Reserve and Pooled Transition Reserve Fund</t>
  </si>
  <si>
    <t>§302 Use of Operating Income</t>
  </si>
  <si>
    <t>§303 State and Federal Laws, Rules, Guidelines and Regulations</t>
  </si>
  <si>
    <t>§304 Relocation Requirements</t>
  </si>
  <si>
    <t>§305 Construction Requirements</t>
  </si>
  <si>
    <t>§403 Project Scoring and Selection</t>
  </si>
  <si>
    <t>§404 Performance Deadlines</t>
  </si>
  <si>
    <t>§500 Legal Documents</t>
  </si>
  <si>
    <t>§501 Sales, Transfers, Encumbrances, and Loan Payoff</t>
  </si>
  <si>
    <t>§502 Defaults and Loan Cancellations</t>
  </si>
  <si>
    <t>§503 Management and Maintenance</t>
  </si>
  <si>
    <t>§504 Reporting Requirements</t>
  </si>
  <si>
    <t>§505 Annual Operating Budget and Schedule of Rental Income</t>
  </si>
  <si>
    <t>§506 Homeless Management Information System (HMIS) Data Entry</t>
  </si>
  <si>
    <t xml:space="preserve">AB 977 HMIS Project Setup Instructions,” dated March 23, 2023 </t>
  </si>
  <si>
    <t>Sponsor comments:</t>
  </si>
  <si>
    <t>NOFA  §II (C)</t>
  </si>
  <si>
    <t>Applications for VHHP Program funds will be evaluated through the ranking process described in Section F below; there is no separate ranking process for VHHP. In addition to red text requirements in MHP Guidelines, a VHHP Project must satisfy the following requirements, as demonstrated in the application:</t>
  </si>
  <si>
    <t>1.</t>
  </si>
  <si>
    <t>The minimum VHHP Eligible Households occupancy restriction is the greater of 25 percent of total Units in the Project or ten Units, to VHHP Eligible Households. if a Project is determined to be rural as defined in HSC §50199.21, then a minimum of five (5) Units must be restricted to VHHP Eligible Households.</t>
  </si>
  <si>
    <t>Does the Project meet the minimum VHHP Eligible Households occupancy restrictions?</t>
  </si>
  <si>
    <t>2.</t>
  </si>
  <si>
    <t>Occupancy restrictions are required for at least 50 percent of VHHP Assisted Units to Extremely Low-Income Veterans, with Rents not exceeding 30 percent of 30 AMI, calculated in accordance with TCAC regulations and procedures. Furthermore, at least 60 percent of these Extremely Low Income Veterans Units must be Supportive Housing Units.</t>
  </si>
  <si>
    <t>Does the Project meet occupancy restrictions that required for at least 50 percent of VHHP Assisted Units to Extremely Low-Income Veterans, with Rents not exceeding 30 percent of 30 AMI?</t>
  </si>
  <si>
    <t>Furthermore, at least 60 percent of these Extremely Low Income Veterans Units must be Supportive Housing Units.</t>
  </si>
  <si>
    <t>3.</t>
  </si>
  <si>
    <t>Sponsors shall certify adherence to Housing First property management and tenant selection practices, as described in §211, §212, and §213 of VHHP Guidelines dated May 18, 2023 (the “VHHP Guidelines”).</t>
  </si>
  <si>
    <t>4.</t>
  </si>
  <si>
    <t>The MFSN application will require documentation of the following, as stated in §201(j) of VHHP Guidelines dated May 18, 2023:</t>
  </si>
  <si>
    <t>§201(j)</t>
  </si>
  <si>
    <t>5.</t>
  </si>
  <si>
    <t>Projects with VHHP Assisted Units other than Supportive Housing Units must utilize an organization to provide resident services coordination that has at least 24 months experience in providing this service in publicly assisted affordable housing. The organizational experience of the partner agency must be documented through contracts with public agencies, housing authorities, housing owners or foundations for services provided to at least 10 households at any one time within 10 years of the application deadline for this NOFA. This experience must be either in housing Projects subject to agreements with public agencies restricting Rent and occupancy, or through tenant-based housing assistance programs. Resident service coordination services at a minimum for these Projects must meet §214(c) of VHHP Guidelines.</t>
  </si>
  <si>
    <t>Does the Proposed Project have VHHP Assisted Units other than Supportive Housing Units?</t>
  </si>
  <si>
    <t>6.</t>
  </si>
  <si>
    <t>Sponsor(s) must demonstrate confirmation of local need for the Project by including in the application: (i) A letter from the local VA office (Network Homeless Coordinator or similar official) describing the population to be served by the Project, the type of housing to be provided (Transitional Housing or Permanent Supportive Housing), and why it will meet a high-priority local need; and  (ii) A letter from the local Continuum of Care (CoC) or Tribal Indian Housing Authority, as applicable, addressing the same points.</t>
  </si>
  <si>
    <t>7.</t>
  </si>
  <si>
    <t>Sponsor(s) must comply with §210 VHHP Occupancy Requirements, §215 VHHP Vulnerable Populations Best Practices, and §217 Additional VHHP Requirements of VHHP Guidelines dated May 18, 2023.</t>
  </si>
  <si>
    <t>Sponsor(s) certifies to follow §210 VHHP Occupancy Requirements?</t>
  </si>
  <si>
    <t>Sponsor(s) certifies to follow §215 VHHP Vulnerable Populations Best Practices?</t>
  </si>
  <si>
    <t>Company/Organization:</t>
  </si>
  <si>
    <t>If the Sponsor fails to achieve the five percent minimum requirement, the Department may award negative points for subsequent applications pursuant to §401(f) of these guidelines. To avoid the assessment of the negative point penalty, the Sponsor must be granted a waiver from CalVet.</t>
  </si>
  <si>
    <t>Describe Developer(s) experience with affordable housing:</t>
  </si>
  <si>
    <t>8.</t>
  </si>
  <si>
    <t>Sponsor(s) acknowledges that if awarded, prior to permanent loan closing Sponsor(s) must satisfy the requirements pursuant to §214 of VHHP Guidelines regarding a Project’s Supportive Services plan.</t>
  </si>
  <si>
    <t>VHHP Resident Services Coordination Plan, §202(l), §214(c)</t>
  </si>
  <si>
    <t>Instructions: Complete this section if the Project contains:</t>
  </si>
  <si>
    <t>1. General affordable VHHP assisted units that are not Supportive Housing (SH) or Transitional Housing (TH); or</t>
  </si>
  <si>
    <t>2. A mix of general affordable units and SH/TH units.</t>
  </si>
  <si>
    <t>The resident services coordination plan should be consistent with §214(c)) of the VHHP Guidelines. (Projects that include VHHP SH and/or TH must also complete the separate supportive services plan for those units).  In general, the resident services coordination plan addresses how you will coordinate services for all residents in your Project and, if your Project includes SH or TH, how you will coordinate general resident services with more comprehensive case management in your Project and promote a cohesive resident population. Where the answers given on the VHHP SH/TH Supportive Service Plan submitted with this application are the  same as those provided here for the same or similar questions, you may reference the other plan when answering here.</t>
  </si>
  <si>
    <t xml:space="preserve">The Checklist shall serve as a guide to ensure that the Services Coordination Plan is complete. </t>
  </si>
  <si>
    <t>Part I.</t>
  </si>
  <si>
    <t>Tenant Selection Narrative</t>
  </si>
  <si>
    <t>Part II.</t>
  </si>
  <si>
    <t>Resident Services Coordination Detail</t>
  </si>
  <si>
    <t xml:space="preserve">Section 1: Resident Services Approach </t>
  </si>
  <si>
    <t xml:space="preserve">Section 2: Resident Services Chart </t>
  </si>
  <si>
    <t>Section 3: Resident Services Coordination</t>
  </si>
  <si>
    <t>Section 4: US Dept. of Veterans Affairs (VA) Support Form</t>
  </si>
  <si>
    <t>Section 5: Staffing Chart</t>
  </si>
  <si>
    <t>Section 6: Staffing Chart and Resident Services Coordinator Staffing Ratio Calculation</t>
  </si>
  <si>
    <t>Section 7: Tenant Engagement</t>
  </si>
  <si>
    <t xml:space="preserve">Part III. </t>
  </si>
  <si>
    <t>Resident Services Budget  These sections are to be completed only by Projects without SH or TH who have not completed a VHHP SH or TH Supportive Services Plan submitted with this application.</t>
  </si>
  <si>
    <t>Section 1: Resident Services Budget Table &amp; Resident Services Expenses Per Unit Calculation Table</t>
  </si>
  <si>
    <t>Section 2: Budget Narrative Funding Commitments</t>
  </si>
  <si>
    <t>Acronyms</t>
  </si>
  <si>
    <t>AMI - Area Median Income</t>
  </si>
  <si>
    <t>MOU - Memorandum of Understanding</t>
  </si>
  <si>
    <t>SSI - Supplemental Security Income</t>
  </si>
  <si>
    <t>CH - Chronic Homelessness</t>
  </si>
  <si>
    <t>OEF - Operation Enduring Freedom</t>
  </si>
  <si>
    <t>SSVF - Supportive Services for Vet Families</t>
  </si>
  <si>
    <t>DH - Disability Homelessness</t>
  </si>
  <si>
    <t>OH - Other Homelessness</t>
  </si>
  <si>
    <t xml:space="preserve">SH - Supportive Housing </t>
  </si>
  <si>
    <t xml:space="preserve">LSP - Lead Service Provider </t>
  </si>
  <si>
    <t>OIF - Operation Iraqi Freedom</t>
  </si>
  <si>
    <t>HCD - State of California, Department of Housing and Community Development</t>
  </si>
  <si>
    <t>OJT - On the Job Training</t>
  </si>
  <si>
    <t>TH - Transitional Housing</t>
  </si>
  <si>
    <t>LOC - Letter of Commitment</t>
  </si>
  <si>
    <t>OTH - Other than Honorable</t>
  </si>
  <si>
    <t>PHA - Public Housing Authority</t>
  </si>
  <si>
    <t>MOA - Memorandum of Agreement</t>
  </si>
  <si>
    <t>SSDI - Social Security Disability Ins.</t>
  </si>
  <si>
    <t>VA-US Department of Veterans Affairs</t>
  </si>
  <si>
    <t>Part I. Tenant Outreach and Selection Narrative</t>
  </si>
  <si>
    <t xml:space="preserve">This section asks for a detailed description of your marketing, application and tenant selection process for your VHHP population. If you have completed the VHHP SH/TH Supportive Service Plan form provided with this application, this info will supplement what you provided in that form relative to the general VHHP population. Your tenant selection narrative must be as specific as possible, delineating the roles of property management, Lead Service Provider (LSP) - if one, and Service Coordinator, and how these functions will be coordinated. Your description should clearly and conclusively document processes to ensure eligible Veteran households occupy VHHP assisted units following tenant selection practices consistent with §214. </t>
  </si>
  <si>
    <t xml:space="preserve">1. VHHP Tenant Eligibility Criteria </t>
  </si>
  <si>
    <t xml:space="preserve">a. Describe the criteria that will be used to ensure that applicants are eligible to occupy the general affordable Project units. Describe the criteria relating to Veteran status and income eligibility. </t>
  </si>
  <si>
    <t>b. Describe any senior eligibility criteria if serving seniors.</t>
  </si>
  <si>
    <t xml:space="preserve">c. Describe any additional eligibility criteria other than those indicated above, i.e., information needed to determine if applicant can comply with terms of a lease. </t>
  </si>
  <si>
    <t>2. Marketing/Outreach</t>
  </si>
  <si>
    <t xml:space="preserve">Describe your marketing/outreach efforts to publicize units. Describe how you will coordinate directly and accept referrals from VA programs, including SSVF and other VA and non VA programs for income eligible Veterans and Veterans experiencing Homelessness and housing instability. </t>
  </si>
  <si>
    <t>Part II. Resident Services Coordination Detail</t>
  </si>
  <si>
    <t>Resident services coordination refers to connecting Veteran tenants to services (listed in §214(b)(9) or similar) to all VHHP residents in your Project. The service coordinator may be owner staff or from another service provider organization. In Projects that include SH or TH tenants, service coordination includes coordinating with the LSP providing comprehensive case management.</t>
  </si>
  <si>
    <t>1. Service Coordinator Agency Name</t>
  </si>
  <si>
    <t xml:space="preserve">2. Describe how the services coordinator will coordinate efforts with the LSP (if any). Be sure to address strategies to promote a cohesive resident population. </t>
  </si>
  <si>
    <t>3. Describe how the property management and services coordinator will coordinate efforts, including efforts to engage tenants and preserve tenancies.</t>
  </si>
  <si>
    <t xml:space="preserve">4. Describe how your services will be flexible and responsive to individual resident needs, Veteran specific, and linguistically appropriate. </t>
  </si>
  <si>
    <t xml:space="preserve">5. Describe how you provide Veteran cultural competency training for your services staff, include any specific training programs utilized and any Veterans in key service positions. </t>
  </si>
  <si>
    <t>6. Describe how the resident services will be delivered.</t>
  </si>
  <si>
    <t>7. Will you train your staff in these areas?</t>
  </si>
  <si>
    <t>a. Retention of tenants regardless of their use of substances?</t>
  </si>
  <si>
    <t>b. Payment of rent by residents during periods of hospitalization?</t>
  </si>
  <si>
    <t>c. Privacy and confidentiality of residents?</t>
  </si>
  <si>
    <t>d. Ensuring appropriate communication between property management and service providers to preserve tenancies?</t>
  </si>
  <si>
    <t>e. Ensuring the safety and security of staff and residents?</t>
  </si>
  <si>
    <t>f. Making applicants aware of the reasonable accommodation's procedure?</t>
  </si>
  <si>
    <t>g. Making tenants aware of the reasonable accommodation's procedure?</t>
  </si>
  <si>
    <t>h. Providing assistance to applicants in requesting and navigating the reasonable accommodations procedure, both internally and externally, with such entities as housing authorities?</t>
  </si>
  <si>
    <t>i. Providing assistance to tenants in requesting and navigating the reasonable accommodations procedures, both internally and externally, with such entities as housing authorities?</t>
  </si>
  <si>
    <t>j. Making tenants aware of the grievance policy and procedure?</t>
  </si>
  <si>
    <t>k. Providing assistance to tenants in requesting and navigating the grievance policy and procedure?</t>
  </si>
  <si>
    <t>l. Appropriate responses to tenant crises?</t>
  </si>
  <si>
    <t>m. The Sponsor's program philosophy, values, and principles?</t>
  </si>
  <si>
    <t>8. Will you provide this training prior to lease-up?</t>
  </si>
  <si>
    <t xml:space="preserve">9. Summarize your written policies and procedures in each of the following areas: </t>
  </si>
  <si>
    <t>a. Privacy and confidentiality of residents, while ensuring appropriate communication between property management and service providers to preserve tenancies.</t>
  </si>
  <si>
    <t>b. Ensuring the safety and security of staff and residents, including but not limited to fire/safety drills and posted local contacts in case of emergency.</t>
  </si>
  <si>
    <t>c. Initial and periodic staff training in the areas listed in question 7.</t>
  </si>
  <si>
    <t xml:space="preserve">Resident Services Chart: List resident coordination services to be provided to all VHHP residents in your Project. Attach any agreements that are available. </t>
  </si>
  <si>
    <t xml:space="preserve"> Resident Service</t>
  </si>
  <si>
    <t>Service Description</t>
  </si>
  <si>
    <t>Service Provider(s)</t>
  </si>
  <si>
    <t>Relationship to Sponsor</t>
  </si>
  <si>
    <t>Agreement</t>
  </si>
  <si>
    <t>Off-site Service Location</t>
  </si>
  <si>
    <t>List each service separately (in the event services are provided by the VA, separately list how the service will be provided to Veterans who are not VA-eligible)</t>
  </si>
  <si>
    <t>Describe services, including the frequency and degree to which service are to Veterans.</t>
  </si>
  <si>
    <t>provider's name and contact information</t>
  </si>
  <si>
    <t>Sponsor, separate division of Sponsor’s organization, or a Project partner</t>
  </si>
  <si>
    <t>If service will be provided by a non-Sponsor entity, indicate type of agrmnt under which service will be provided.</t>
  </si>
  <si>
    <t>If service is on-site, leave blank. Enter distance, in miles, to off-site service and resident commuting plan.</t>
  </si>
  <si>
    <t xml:space="preserve">1. Describe accessibility of VA and other community services to which you propose linkages, whether they are on-site or in close proximity to the Project, including the hours they are available, and frequency, travel time and cost to the tenant of transportation required to access them, including both public transportation and private transportation services (e.g. van owned by the provider). Be consistent with the resident services chart in Section 2. Additionally, describe how services will accommodate cultural, trauma-based, and disability related barriers. If applicable, provide documentation, in the form of MOUs, MOAs, letters of support or contracts demonstrating who will be responsible for ensuring access to services and how accessibility will be accomplished if not already included in agreement provided for service provision in the resident services chart in Section 2. Complete the VA Support Form in Section 4 if you plan to coordinate services with the VA to serve tenants in your Project. </t>
  </si>
  <si>
    <t>2. Describe the accessibility of other community services for non-VA eligible residents to which you propose linkages, whether they are on-site or in close proximity to the Project, including the hours they are available, and the frequency, travel time and cost to the tenant for transportation required to access the services to include both public transportation and private transportation services (e.g. van owned by the provider). Be consistent with the resident services chart in Section 2. Additionally, describe how services will accommodate cultural, trauma-based, and disability related barriers to services. If applicable, provide documentation, in the form of MOUs, MOAs, letters of support or contracts demonstrating who will be responsible for ensuring access to services and how accessibility will be accomplished if not already included in agreement provided for service provision in resident services chart in Section 2.</t>
  </si>
  <si>
    <t>3. Describe your plan to coordinate with VA Medical Centers and other VA programs.</t>
  </si>
  <si>
    <t>4. Will you coordinate on benefit education and advocacy, discharge upgrade advocacy and other advocacy efforts on behalf of Veteran tenants with:</t>
  </si>
  <si>
    <t>County Veteran Services Offices (CVSOs)?</t>
  </si>
  <si>
    <t>Name and contact information of CVSO you work with:</t>
  </si>
  <si>
    <t>Legal services providers?</t>
  </si>
  <si>
    <t>Others? (Please list.)</t>
  </si>
  <si>
    <t>Section 4: US Dept of Veterans Affairs (VA) Support Form (if not provided in the VHHP SH/TH Supportive Services Plan with  this application)
This form is to be completed and signed by an authorized rep of the US Department of Veterans Affairs at a facility providing services to Veterans in the geographic area where the proposed Project is located. Project Sponsor completes Subsection 1 supplying basic Project information. The VA completes Subsection 2 confirming that the Project meets a high priority local need and Subsection 3 confirming coordination of services for SH and TH Projects.  If the letter has been completed in the VHHP SH/TH Supportive Services Plan with in this application, do not duplicate.
Note: If creating units specifically designated for women Veterans, or if the Project anticipates receiving women Veterans as clients/tenants, a separate form must be completed by the VAMC woman Veteran program manager (Subsection 2). Indicate women Veterans in target population in Subsection 1. For Projects serving women Veterans, the Sponsor must acquire the services confirmation letter and the letter from the VAMC woman Veteran program manager (unless all housing units will serve women Veterans).</t>
  </si>
  <si>
    <t>Subsection 1</t>
  </si>
  <si>
    <t>Sponsor:</t>
  </si>
  <si>
    <t>LSP:</t>
  </si>
  <si>
    <t># of Veterans Units:</t>
  </si>
  <si>
    <t>Project Address/Site:</t>
  </si>
  <si>
    <t>Project City:</t>
  </si>
  <si>
    <t>Project County:</t>
  </si>
  <si>
    <t>Project Type:</t>
  </si>
  <si>
    <t>Target Population(s):</t>
  </si>
  <si>
    <t>Subsection 2</t>
  </si>
  <si>
    <t xml:space="preserve">To the VA: The Sponsor named above is submitting an application to HCD requesting State Veteran Housing and Homelessness Prevention funding for the Project named above. Your cooperation is appreciated. </t>
  </si>
  <si>
    <t>1. We confirm Project described above meets a high priority local need. Attach supporting explanation and/or data.</t>
  </si>
  <si>
    <t>Subsection 3</t>
  </si>
  <si>
    <t>1. We have reviewed the services plan submitted for the Project named above.</t>
  </si>
  <si>
    <t>2. To the best knowledge of this agency, there are no known conditions that would preclude the service provider from making accessible the VA services proposed in the services plan.</t>
  </si>
  <si>
    <t>3. Services proposed in services plan are appropriate to meet the needs of target Veteran population(s) above.</t>
  </si>
  <si>
    <t>4. The VA will work with the sponsor to provide services for tenants eligible for VA services.</t>
  </si>
  <si>
    <t>Statement Completed by (Network Homeless Coordinator or similar official):</t>
  </si>
  <si>
    <t>Signature:</t>
  </si>
  <si>
    <t>Date:</t>
  </si>
  <si>
    <t>Title:</t>
  </si>
  <si>
    <t>Unit or Dept.:</t>
  </si>
  <si>
    <t>Address/City:</t>
  </si>
  <si>
    <t xml:space="preserve">Section 5: Staffing Chart: List all staff positions that will provide resident services coordination and any additional general services to all VHHP residents in Project. Include resident service coordinator staff positions, and any staff positions of partnering organizations who have committed time to the Project. For each position, list title, a brief description of the role and duties, the full-time equivalent (FTE), the organization under which the position resides, and the location of the position (on-site or off-site). At the bottom of the FTE column, please be sure to provide a calculation of the total number of Project staff. Do not include staff which serve non-VHHP Assisted Units. If a staff position serves both tenants in VHHP and non-VHHP Assisted Units, include only that portion (i.e., % FTE) of the staff position dedicated to VHHP Assisted Units. Note: All staff positions listed here must be reflected in resident services budget table. If cost of resident services coordination is included as part of Project’s operating budget that position must be included in this chart. </t>
  </si>
  <si>
    <t>Minimum requirements</t>
  </si>
  <si>
    <t>Total FTE:</t>
  </si>
  <si>
    <t>Employing Organization</t>
  </si>
  <si>
    <t>Location</t>
  </si>
  <si>
    <t xml:space="preserve">List each staff position </t>
  </si>
  <si>
    <t>List min. required staff preparation (education &amp; experience, include Veteran or military training requirements) Note: doesn't take place of the job description or duty statement.</t>
  </si>
  <si>
    <t>Indicate FTE staff positions for SH or TH units (half-time is 0.5 FTE)</t>
  </si>
  <si>
    <t>This could be the LSP, Sponsor or a Project partner</t>
  </si>
  <si>
    <t>Select "On-Site" or "Off-Site"</t>
  </si>
  <si>
    <t>Section 6: Resident Services Coordinator Staffing Ratio Calculation</t>
  </si>
  <si>
    <t>Complete chart to calculate resident services coordinator staffing ratio. §214(c)(3): provide services coordination on-site with at least one full-time services coordinator per 80 residents, unless otherwise approved by HCD based on Sponsor justification.</t>
  </si>
  <si>
    <t>Note: This is a minimum ratio. A higher level of staffing that results in a stronger ratio is allowable (e.g. 1:65).</t>
  </si>
  <si>
    <t>Resident Service Coordinator Staffing Ratio Calculation Table:</t>
  </si>
  <si>
    <t xml:space="preserve">Total VHHP Assisted Units </t>
  </si>
  <si>
    <t xml:space="preserve">Total Resident Service Coordinator FTE </t>
  </si>
  <si>
    <t>VHHP Assisted Units per resident service coordinator FTE (a ÷ b)</t>
  </si>
  <si>
    <t>If the services coordinator staffing yields a ratio weaker than 1:80 (e.g. 1:85), provide justification:</t>
  </si>
  <si>
    <t>Section 7: Tenant Engagement and Safety</t>
  </si>
  <si>
    <t>Because resident services in VHHP housing is voluntary and participation is not a requirement of tenancy, successful service providers develop and implement plans for tenant engagement in resident services. In this section the applicant should describe strategies to engage residents in resident services, as well as to engage residents in resident services planning and delivery, and in building community and operations. Note: The tenant engagement plan is distinct from your marketing and outreach efforts for attracting applicants to the Project, as described in the tenant selection narrative.</t>
  </si>
  <si>
    <t>1. Will your resident services engagement outreach strategy include:</t>
  </si>
  <si>
    <t>Outreach to both applicants and residents?</t>
  </si>
  <si>
    <t>Door-knocking?</t>
  </si>
  <si>
    <t>Assessment prior to leasing?</t>
  </si>
  <si>
    <t>Peer contacts?</t>
  </si>
  <si>
    <t>Leafleting?</t>
  </si>
  <si>
    <t xml:space="preserve">Outreach to organizations that work directly with the target population? </t>
  </si>
  <si>
    <t>Other strategies? Please describe:</t>
  </si>
  <si>
    <t>2. Best practices include involving residents in community life within the Project and offering opportunities for meaningful input regarding building operations. Describe your strategies to engage residents in community involvement within the Project and building operations.</t>
  </si>
  <si>
    <t>3. Best practices include involving residents in services planning and delivery. Describe your strategies to engage residents in services planning and delivery.</t>
  </si>
  <si>
    <t>4. Describe the degree to which the physical building space supports social interaction and supports the provision of resident services.</t>
  </si>
  <si>
    <t>5. If you plan to conduct tenant satisfaction surveys, describe types of questions asked, how they are reviewed, what you do with results, and how often you conduct this survey.</t>
  </si>
  <si>
    <t>Part III. Section I: Resident Services Budget - complete only if Project has no SH or TH and the VHHP SH/TH  Supportive Services Plan Form  provided with this application hasn't been completed.</t>
  </si>
  <si>
    <t>Section 1. Resident Services Budget Table: Provide a line item resident services budget for your Project using the format provided below. Complete both the income and expense portions of the budget. Please include all costs associated with implementing your resident services plan, including any in-kind services essential to your plan's success. Total expenses should equal total income. Add expense item categories and lines as necessary. Do not include costs associated with providing services in non-VHHP Assisted Units. If costs are associated with both VHHP and non-VHHP Assisted Units, include only that portion of the costs associated with the VHHP Assisted Units.</t>
  </si>
  <si>
    <t>Note: If the cost of resident services coordination is included as part of Project's operating budget (as documented in this Application), this position and amount associated with this position (or that portion of the position that will serve the VHHP Assisted Units) must be included in this resident services budget table. These funds should be categorized as "not committed" in the status column of this table.</t>
  </si>
  <si>
    <t>Income Source/Program name</t>
  </si>
  <si>
    <t>Amount</t>
  </si>
  <si>
    <t>Status</t>
  </si>
  <si>
    <t>% of Total Budget</t>
  </si>
  <si>
    <t>Total Revenue:</t>
  </si>
  <si>
    <t>Expense Item</t>
  </si>
  <si>
    <t>Staff Salaries: List by title of position. (This list must match the Staffing Chart above.)</t>
  </si>
  <si>
    <t>Staff Position</t>
  </si>
  <si>
    <t>FTE:</t>
  </si>
  <si>
    <t xml:space="preserve">Fringe Benefits </t>
  </si>
  <si>
    <t>Total Staff Expenses</t>
  </si>
  <si>
    <t>Tenant Transportation</t>
  </si>
  <si>
    <t>Equipment</t>
  </si>
  <si>
    <t>Supplies</t>
  </si>
  <si>
    <t>Travel</t>
  </si>
  <si>
    <t>Office Rent/Occupancy Costs (don't include rent/leasing costs for SH units)</t>
  </si>
  <si>
    <t>Training</t>
  </si>
  <si>
    <t>Consultants: List by Function</t>
  </si>
  <si>
    <t>Subcontractors/Partners (list by Entity &amp; Service Type)</t>
  </si>
  <si>
    <t>Other Expenses (type in expense description)</t>
  </si>
  <si>
    <t>Total Expenses</t>
  </si>
  <si>
    <t>Resident Services Cost per Unit: Complete the following calculation about resident services cost per unit for your Project.</t>
  </si>
  <si>
    <t>Resident Services Expenses Per Unit Calculation Table</t>
  </si>
  <si>
    <t>Total VHHP Assisted Units</t>
  </si>
  <si>
    <t>Total Resident Services Expenses</t>
  </si>
  <si>
    <t>Total Resident Services Expenses per Unit: (b÷a)</t>
  </si>
  <si>
    <t>Section 2: Budget Narrative &amp; Funding Commitments - complete only if Project has no SH or TH and  the VHHP SH/TH  Supportive Services Plan Form  provided with this application hasn't been completed.</t>
  </si>
  <si>
    <t>1. Describe how your budgeted amounts are adequate to provide the resident services you describe in this plan and in the resident services staffing table:</t>
  </si>
  <si>
    <t xml:space="preserve">2. Document committed funds, other than Project operating income, with a letter from the committing agency that includes the following information. Note: Documented resident services/funding must appear in the resident services budget table. </t>
  </si>
  <si>
    <t>a) Project name; b) Description of services to be funded or provided; c) Dollar value of funds or in-kind services. If cash is provided, state funding source; d) Funding term or service provision; e) A description and history of agency/organization providing funding or services.</t>
  </si>
  <si>
    <t>3. For funding that is not yet committed, specifically describe your experience filling resident services funding gaps in similar housing.</t>
  </si>
  <si>
    <t>4. Describe in specific terms your plan to fill any resident services funding gap that occurs during the life of the Project due to expiration of grants, withdrawal of a partner, cancellation of a commitment, or any other reason. Describe your experience filling resident services funding gaps in the past caused by the loss of funding sources.</t>
  </si>
  <si>
    <t>Supportive Services Plan, §214</t>
  </si>
  <si>
    <t>Instructions: All Projects that include Supportive Housing (SH) or Transitional Housing (TH) units must complete a supportive services plan for the VHHP SH and TH units, as required in §214(b).  The checklist below shall serve as a guide to ensure that the supportive services plan is complete. All Supportive Services Plans must be approved by the Department prior to construction loan closing</t>
  </si>
  <si>
    <t>Table 1: General Tenant Population Demographics</t>
  </si>
  <si>
    <t>Section 1: Tenant Selection Criteria</t>
  </si>
  <si>
    <t>Lead Service Provider Detail</t>
  </si>
  <si>
    <t>Section 1: Lead Service Provider (LSP)</t>
  </si>
  <si>
    <t>Section 2: Practices in Service Delivery</t>
  </si>
  <si>
    <t xml:space="preserve">Supportive Services Detail </t>
  </si>
  <si>
    <t>Section 1:  Supportive Services Chart</t>
  </si>
  <si>
    <t>Section 2: Supportive Services Coordination</t>
  </si>
  <si>
    <t>Section 3: US Department of Veterans Affairs (VA) Support Form</t>
  </si>
  <si>
    <t xml:space="preserve">Part IV. </t>
  </si>
  <si>
    <t>Tenant Safety &amp; Engagement</t>
  </si>
  <si>
    <t>Section 1: Tenant Engagement</t>
  </si>
  <si>
    <t>Section 2: Safety and Security</t>
  </si>
  <si>
    <t xml:space="preserve">Part V. </t>
  </si>
  <si>
    <t>Staffing</t>
  </si>
  <si>
    <t>Section 1: Staffing Chart</t>
  </si>
  <si>
    <t>Section 2: Staffing Ratios</t>
  </si>
  <si>
    <t xml:space="preserve">Part VI. </t>
  </si>
  <si>
    <t>Supportive Services Budget</t>
  </si>
  <si>
    <t>Section 1: Supportive Services Budget Table &amp; Cost Per Unit Table</t>
  </si>
  <si>
    <t>Section 2: Budget Narrative and Funding Commitments</t>
  </si>
  <si>
    <t>Section 3: Service Funding History Table</t>
  </si>
  <si>
    <t xml:space="preserve">Part VII. </t>
  </si>
  <si>
    <t>Measurable Outcomes and Plan for Evaluation</t>
  </si>
  <si>
    <t>Section 1: Measurable Outcomes</t>
  </si>
  <si>
    <t>Section 2: Plan for Evaluation</t>
  </si>
  <si>
    <t>Area Median Income</t>
  </si>
  <si>
    <t>OH</t>
  </si>
  <si>
    <t>MOU</t>
  </si>
  <si>
    <t>Memorandum of Understanding</t>
  </si>
  <si>
    <t>CH</t>
  </si>
  <si>
    <t>OIF</t>
  </si>
  <si>
    <t>Operation Iraqi Freedom</t>
  </si>
  <si>
    <t>SSI</t>
  </si>
  <si>
    <t>Supplemental Security Income</t>
  </si>
  <si>
    <t>DH</t>
  </si>
  <si>
    <t>OJT</t>
  </si>
  <si>
    <t>On the Job Training</t>
  </si>
  <si>
    <t>SSVF</t>
  </si>
  <si>
    <t>Supportive Services for Vet Families</t>
  </si>
  <si>
    <t>LSP</t>
  </si>
  <si>
    <t xml:space="preserve">Lead Service Provider </t>
  </si>
  <si>
    <t>OTH</t>
  </si>
  <si>
    <t>Other than Honorable</t>
  </si>
  <si>
    <t>VA</t>
  </si>
  <si>
    <t>US Department of Veterans Affairs</t>
  </si>
  <si>
    <t>LOC</t>
  </si>
  <si>
    <t>Letter of Commitment</t>
  </si>
  <si>
    <t>SH</t>
  </si>
  <si>
    <t>Supportive Housing</t>
  </si>
  <si>
    <t>SSDI</t>
  </si>
  <si>
    <t>Social Security Disability Insurance</t>
  </si>
  <si>
    <t>MOA</t>
  </si>
  <si>
    <t>Memorandum of Agreement</t>
  </si>
  <si>
    <t>TH</t>
  </si>
  <si>
    <t>Transitional Housing</t>
  </si>
  <si>
    <t>State of California, Department of Housing and Community Development</t>
  </si>
  <si>
    <t>PHA</t>
  </si>
  <si>
    <t>Public Housing Authority</t>
  </si>
  <si>
    <t>OEF</t>
  </si>
  <si>
    <t>Operation Enduring Freedom</t>
  </si>
  <si>
    <t>Part I. Tenant Selection Narrative</t>
  </si>
  <si>
    <t xml:space="preserve">This section asks for a detailed description of your tenant selection process. Using the titled sections below, your narrative should be as specific as possible, delineating the roles of property management and the LSP and how these functions will be coordinated. Your description should clearly and conclusively document processes to ensure Veteran households occupy VHHP Assisted Units following tenant selection and Housing First practices consistent with §211 and §212. </t>
  </si>
  <si>
    <t>Table 1: General Tenant Population Demographics- complete the following table. Include each unit in only 1 column for CH, HD, OH, etc.</t>
  </si>
  <si>
    <t>Number of Rooms</t>
  </si>
  <si>
    <t xml:space="preserve">Unit Type </t>
  </si>
  <si>
    <t>AMI 30-50%</t>
  </si>
  <si>
    <t>AMI &gt;50%</t>
  </si>
  <si>
    <t>Family</t>
  </si>
  <si>
    <t>Non-VHHP</t>
  </si>
  <si>
    <t>Totals (# of rooms)</t>
  </si>
  <si>
    <t>&lt;Should equal total Project Veteran restricted units</t>
  </si>
  <si>
    <t>Should equal total Project units&gt;</t>
  </si>
  <si>
    <t>1. What number of VHHP units will have HUD-VASH?</t>
  </si>
  <si>
    <t xml:space="preserve">2. What number of units will have Section 8? </t>
  </si>
  <si>
    <t>1. VHHP Target Tenant Population and Eligibility Criteria</t>
  </si>
  <si>
    <t xml:space="preserve">a. Do you use Housing First Principles? </t>
  </si>
  <si>
    <t xml:space="preserve">b. Describe the criteria that will be used to ensure that applicants are eligible to occupy the VHHP Assisted Units using a Housing First Approach. </t>
  </si>
  <si>
    <t>c. List specific applicants’ credit history, criminal record, rental history, substance use, and similar screening criteria that will result in application rejection as well as those specific criteria that may result in rejection and the relevant conditions that would convert a "may reject" into a "will reject". Note: Property Management Plans or Tenant Selection Plans will be reviewed for consistency with the above answers.</t>
  </si>
  <si>
    <t xml:space="preserve">d. Describe any known conflicts  between federal Housing Choice Voucher (Section 8) regulations and/or rental subsidy provider requirements and Housing First practices and clarify any "tenant-based" or "project-based" voucher distinctions in requirements. (i.e. VA, third party administrators for Flexible Housing Subsidy Pool (FHSP)) How will your tenant selection and tenant retention policies be implemented to comply with federal and/or local regulations while promoting Housing First?  </t>
  </si>
  <si>
    <t>e. If your tenants may include minor children and/or adult dependents of Veterans, describe any additional criteria that will be used to ensure applicants are eligible to occupy the VHHP Assisted Units. Separately, list all criteria that will or may result in rejection of application for tenancy. Further describe specific screening conditions that would convert a "may reject" into a "will reject".</t>
  </si>
  <si>
    <t xml:space="preserve">f. If not stated in question (b) in this section, describe the criteria relating to the applicant's Veteran status, income eligibility, Homelessness status (Chronic Homelessness, Disability Homelessness, Other Homelessness), and disability, if applicable to the Project's target population. </t>
  </si>
  <si>
    <t>g. Describe any additional eligibility criteria other than those indicated above, i.e., information needed to determine if applicant can comply with lease terms. Note: Selection criteria designed to assess anything other than the ability to comply with lease terms generally run afoul of fair housing laws designed to protect equal access to housing for people with disabilities.</t>
  </si>
  <si>
    <t>h. How you will use the local Coordinated Entry System for selecting tenants? If the local Coordinated Entry System is not yet fully operational, describe your plan to use it for tenant selection when it is established. In your response, include the name and contact information for all relevant system contact persons including and VA personnel involved in matching veterans to units.</t>
  </si>
  <si>
    <t>i. Describe the criteria that will be used to ensure families will remain housed in the event that the qualifying Veteran should exit the unit.  Address any conflicts with rent subsidy regulations or policies that could result in the family's removal and detail how this conflict will be mitigated.</t>
  </si>
  <si>
    <t>a. Describe marketing/outreach efforts to publicize units to the Coordinated Entry System.</t>
  </si>
  <si>
    <t xml:space="preserve">b. Describe marketing/outreach efforts to publicize units to Veterans served by VA Programs for Veterans  and by Emergency Shelters, Safe Havens, drop-in centers, domestic violence shelters, family shelters and street outreach programs. </t>
  </si>
  <si>
    <t xml:space="preserve">c. If your tenants will include minor children and/or adult dependents of Veterans, describe the specific marketing outreach that will be used to publicize unit availability. </t>
  </si>
  <si>
    <t>If this Project is SH, complete Question 3. If not, check here and go to question 4.</t>
  </si>
  <si>
    <t>3. Characteristics of Supportive Housing (SH):</t>
  </si>
  <si>
    <t>a. Please confirm compliance by checking all of the characteristics that apply to the VHHP SH units in your Project:</t>
  </si>
  <si>
    <t xml:space="preserve">Tenant has his/her own room or apt. and, if applicable, is individually responsible for selecting a roommate in any shared tenancy? </t>
  </si>
  <si>
    <t xml:space="preserve">Tenant may stay as long as he/she pays his or her share of rent and complies with the terms of his/her lease? </t>
  </si>
  <si>
    <t>Unit is subject to applicable state and federal landlord tenant laws?</t>
  </si>
  <si>
    <t>Participation in services or any particular service shall not be required as a condition of tenancy?</t>
  </si>
  <si>
    <t>b. Typically, all the characteristics listed above must be present in order for the Project to be eligible as SH. Please explain mitigating circumstances for any missing characteristic:</t>
  </si>
  <si>
    <t>If this Project is TH complete Question 4. If not, check here and go to Part II.</t>
  </si>
  <si>
    <t>4. Characteristics of Transitional Housing (TH)</t>
  </si>
  <si>
    <t xml:space="preserve">a. If proposing TH, describe the strategies and services (including location and placement services), you will employ to ensure transition to permanent housing units as quickly as possible and without preconditions, such as participation in services, length of stay in TH or successful completion of the Program. Describe your target time periods for transitioning tenants to permanent housing. </t>
  </si>
  <si>
    <t xml:space="preserve">b. Describe services (type, frequency, how delivered) that will be provided to the tenant upon exit to permanent housing for no less than six months. Services should be geared to ensure that tenants retain permanent housing. </t>
  </si>
  <si>
    <t>c. If a public agency funding source requires a mandatory service component in your TH Project, please describe the funding source in detail including how the provision of services are mandatory and what this means to the tenant, including any agreement that the tenant must sign. Describe specifically any other tenant eligibility and screening criteria that are deemed to be in conflict with Housing First principles as well as mitigation efforts to reduce the barriers to housing access.</t>
  </si>
  <si>
    <t>Part II. Lead Service Provider (LSP) Detail</t>
  </si>
  <si>
    <t>Section 1: LSP</t>
  </si>
  <si>
    <t>The LSP is the entity that has overall responsibility for the provision of supportive services and implementation of the supportive services plan. The LSP provides comprehensive case management services (individualized services planning and the provision of connections to mental health, substance abuse, employment, health, housing retention) and may also coordinate with other agencies that do so. If the Project includes Project-based HUD-VASH, the HUD-VASH Case Manager may provide services for VASH eligible residents. A LSP is also needed and the VA should not be listed as the LSP.</t>
  </si>
  <si>
    <t>A formal agreement must be provided between the LSP and the Sponsor regardless of whether the LSP and Sponsor are the same organization. The agreement must detail roles and responsibilities in the implementation of the supportive services plan and must be consistent with organizational charts and the property management plan.</t>
  </si>
  <si>
    <t>1. LSP name:</t>
  </si>
  <si>
    <t>Relationship to Sponsor:</t>
  </si>
  <si>
    <t>§201(l)(1) How long has the LSP been providing services individuals and households experiencing Homelessness that includes comprehensive case management (individualized services planning, and the provision of connections to mental health, substance abuse, employment, health, housing retention, and similar services)?</t>
  </si>
  <si>
    <t>years</t>
  </si>
  <si>
    <t>months</t>
  </si>
  <si>
    <t>§201(l)(1)(A) How long has the LSP been providing services to Veterans experiencing Homelessness in Permanent Supportive Housing or Transitional Housing, which can include scattered site housing with multiple owners.</t>
  </si>
  <si>
    <t xml:space="preserve">Sponsor certifies that this experience must have occurred within the last 10 years and in at least two Projects of 10 or more Units. </t>
  </si>
  <si>
    <t>How many Projects have the Sponsor and LSP completed together? (Provide list of completed Projects when submitting)</t>
  </si>
  <si>
    <t xml:space="preserve">2. List any additional agencies that will be providing comprehensive case management services to residents. Describe population(s) they will serve and how their services will be coordinated by the LSP. </t>
  </si>
  <si>
    <t>Agency Name</t>
  </si>
  <si>
    <t>Population the Agency will serve</t>
  </si>
  <si>
    <t>Describe how services will be coordinated</t>
  </si>
  <si>
    <t>1. Fully describe HOW the practices listed below will be utilized in your service delivery model. Include a description of initial and periodic training plans including who will be trained, type of training, cost and how often training will occur. Note: Do not simply state definitions of these practices.</t>
  </si>
  <si>
    <t>Describe benefits counseling and advocacy, including assistance in accessing SSI/SSP, enrolling in Medi-Cal:</t>
  </si>
  <si>
    <t>Describe periodic training plans associated with the above item including who will be trained, the type of training, cost, and how often training occurs:</t>
  </si>
  <si>
    <t xml:space="preserve"> Describe Critical Time Intervention:</t>
  </si>
  <si>
    <t>Describe Trauma-Informed Care Strategies:</t>
  </si>
  <si>
    <t>Describe Motivational Interviewing:</t>
  </si>
  <si>
    <t>Describe Voluntary “Moving On” assistance , and when community resources (e.g., tenant-based vouchers) are available, to support current tenants to move from the Project into other permanent housing when that housing may be better suited to their needs:</t>
  </si>
  <si>
    <t>Describe Peer Support (if provided by a third party agency, include the number of months/years the LSP has collaborated with the agency):</t>
  </si>
  <si>
    <t>2. Fully describe the policies and procedures of the following. Include a description of initial and periodic training plans including who will be trained, type of training, cost and how often training occurs.</t>
  </si>
  <si>
    <t>Describe Case conferencing:</t>
  </si>
  <si>
    <t>Describe initial and periodic training plans associated with the above item including who will be trained, the type of training, cost, and how often training occurs:</t>
  </si>
  <si>
    <t xml:space="preserve">Describe how the Sponsor's and LSP's Program philosophy, values, and principles is communicated to applicants for tenancy and tenants: </t>
  </si>
  <si>
    <t>Describe policies for rent due by residents during periods of hospitalization:</t>
  </si>
  <si>
    <t>Describe policy and procedures for: 1) resident privacy, and 2) confidentiality, including the use of Releases of Information:</t>
  </si>
  <si>
    <t>Describe appropriate coordination between property management and the lead service provider to support Housing First tenant selection and tenant retention and staff/resident safety, e.g., regular communication, cross-training, standing meeting time and agenda items:</t>
  </si>
  <si>
    <t>Describe how applicants and residents are made  aware of the reasonable accommodations procedure, and assisted with such requests:</t>
  </si>
  <si>
    <t>Describe process for receiving and resolving tenant grievances:</t>
  </si>
  <si>
    <t xml:space="preserve">Describe appropriate responses to tenant crises: </t>
  </si>
  <si>
    <t xml:space="preserve"> Describe retention of tenants regardless of their use of substances:</t>
  </si>
  <si>
    <t xml:space="preserve">3. Fully describe how Veteran specific cultural competencies will be obtained and implemented by staff. Include a description of policies and initial and periodic training plans including who will be trained, type of training, cost and how often training occurs. </t>
  </si>
  <si>
    <t>Veteran cultural competency (include any formal third party training programs utilized, such as military social work, college or continuing education courses, and any Veterans in key service positions):</t>
  </si>
  <si>
    <t>Cultural competency in working with families with children, including single-parent Veteran households:</t>
  </si>
  <si>
    <t>Cultural competency in working with women Veterans:</t>
  </si>
  <si>
    <t>Cultural competency in working with Veterans identifying as lesbian, gay, bisexual, transsexual, or questioning (LGBTQ).</t>
  </si>
  <si>
    <t>Cultural competency in working with Veterans experiencing Post Traumatic Stress Disorder or Military Sexual Trauma</t>
  </si>
  <si>
    <t xml:space="preserve">Cultural competency in working with Veterans who have been victims of domestic violence and clients with trauma histories: </t>
  </si>
  <si>
    <t>Part III. Supportive Services Detail</t>
  </si>
  <si>
    <t>Section 1: Supportive Services Chart</t>
  </si>
  <si>
    <t xml:space="preserve">Minimum Services §214(b)(8)
List and describe all minimum services to be provided to tenants of the VHHP housing units. Please be sure that the services listed address all the service needs of all the target populations listed. The chart must include each of the services listed in §214(b)(8) and §214(b)(9). Attach the agreement(s) for each of the minimum services listed in §214(b)(8). </t>
  </si>
  <si>
    <t>List each service separately</t>
  </si>
  <si>
    <t xml:space="preserve">Describe service, including the frequency, service location, and how they are tailored to Veterans. </t>
  </si>
  <si>
    <t>Direct Provider's Name and Contact Information</t>
  </si>
  <si>
    <t>If service will be provided by a non-Sponsor entity, indicate type of agreement under which service will be provided</t>
  </si>
  <si>
    <t>If service is on-site, leave blank. Enter distance, in miles, to off-site service and resident commuting plan</t>
  </si>
  <si>
    <t>Case management with individual service plans
(VA Eligible)</t>
  </si>
  <si>
    <t>Adult day care</t>
  </si>
  <si>
    <t>Case management with individual service plans
(Non-VA Eligible)</t>
  </si>
  <si>
    <t>Benefits counseling and advocacy
(VA Eligible)
-SSI/SDI
-MediCal
-CalWORKs
-VA compensation</t>
  </si>
  <si>
    <t>Attendant care</t>
  </si>
  <si>
    <t>Benefits counseling and advocacy
(Non-VA Eligible)
-SSI/SDI
-MediCal
-CalWORKs
-VA compensation</t>
  </si>
  <si>
    <t>Mental health care
(VA Eligible)
-Group, family and individual
-Therapy/counseling
-Veteran related trauma 
-Medication</t>
  </si>
  <si>
    <t>Mental health care
(Non-VA Eligible)
-Group, family and individual
-Therapy/counseling
-Veteran related trauma 
-Medication</t>
  </si>
  <si>
    <t>Physical health care
(VA Eligible)
-preventative health
-prescriptions</t>
  </si>
  <si>
    <t>Educational services</t>
  </si>
  <si>
    <t>Physical health care
(Non-VA Eligible)
-preventative health
-prescriptions</t>
  </si>
  <si>
    <t>Substance use services
(VA Eligible)
-Inpatient/Outpatient services
-Medically assisted treatment
-Counseling</t>
  </si>
  <si>
    <t>Employment services</t>
  </si>
  <si>
    <t>Substance use services
(Non-VA Eligible)
-Inpatient/Outpatient services
-Medically assisted treatment
-Counseling</t>
  </si>
  <si>
    <t>If TH, permanent housing placement 
(VA Eligible)</t>
  </si>
  <si>
    <t>If TH, permanent housing placement 
(Non-VA Eligible)</t>
  </si>
  <si>
    <t>Legal assistance</t>
  </si>
  <si>
    <t>Enhanced Services §214 (b)(9)
List and describe all enhanced services to be provided to tenants of the VHHP housing units. Indicate on the chart if a particular service is not needed for the target population and insert or attach a justification. Examples of specific services are provided in the left hand column below. If multiple services will be provided in the service categories provided below, attach any additional description. Empty spaces are available at the bottom of the table for the applicant to describe services not listed.</t>
  </si>
  <si>
    <t>Linkage to out-placements</t>
  </si>
  <si>
    <t>Medication management</t>
  </si>
  <si>
    <t>Services
(List any additional service in blank cells at the bottom of the table)</t>
  </si>
  <si>
    <t>If service is on-site, leave blank. Enter distance, in miles, to off-site service and resident commuting plan (bus tokens, agency van or other)</t>
  </si>
  <si>
    <t>Employment &amp; OJT placement/training:
(VA eligible)
-job search
-resume writing
-interview assistance
-job placement
-OJT training</t>
  </si>
  <si>
    <t>Parenting education (family Projects)</t>
  </si>
  <si>
    <t>Employment &amp; OJT placement/training:
(Non-VA eligible)</t>
  </si>
  <si>
    <t>Education assistance/benefits information:
(VA eligible)
-GI Bill counseling
-college application assistance
-financial aid assistance</t>
  </si>
  <si>
    <t>Peer support &amp; advocacy</t>
  </si>
  <si>
    <t>Education assistance/benefits information:
(Non VA eligible)</t>
  </si>
  <si>
    <t>Financial counseling/debt counseling: 
(VA eligible)
-debt mitigation
-budgeting
-emergency savings
-predatory practices</t>
  </si>
  <si>
    <t>Representative payee</t>
  </si>
  <si>
    <t>Financial counseling/debt counseling:
(Non-VA eligible)</t>
  </si>
  <si>
    <t>Childcare assistance/services:
(VA eligible)
-transportation to/from   daycare
-onsite daycare
-afterschool care
- financial assistance for daycare
-parenting education</t>
  </si>
  <si>
    <t>Childcare assistance/services: 
(Non-VA eligible)</t>
  </si>
  <si>
    <t>Life skills/soft skills:
(VA eligible)
-grooming
-nutrition/cooking
-interpersonal communication
-laundry/household maintenance</t>
  </si>
  <si>
    <t>Life skills/soft skills:
(Non-VA eligible)</t>
  </si>
  <si>
    <t>Legal services:
(VA eligible)
-reinstatement of benefits after incarceration
-discharge upgrades
-pro bono legal advice
-diversion courts
-Family Law</t>
  </si>
  <si>
    <t>Legal services:
(Non-VA eligible)</t>
  </si>
  <si>
    <t>Domestic violence support (VA eligible):
-DV center
-restraining order assistance
-safety plan
-contact with local law enforcement
-credit locks
-identity locks</t>
  </si>
  <si>
    <t>Social &amp; rec activities</t>
  </si>
  <si>
    <t>Domestic violence support:
(Non-VA eligible)</t>
  </si>
  <si>
    <t>Food bank/meal support services:
(VA eligible)
-no cost/low cost food
-SNAP/TANF support</t>
  </si>
  <si>
    <t>Food bank/meal support: services 
(Non-VA eligible)</t>
  </si>
  <si>
    <t>Adult day care:
(VA eligible/Non-VA eligible)</t>
  </si>
  <si>
    <t>Attendant care:
(VA eligible/Non-VA eligible)</t>
  </si>
  <si>
    <t>Links to outplacements: (VA eligible/Non-VA eligible)</t>
  </si>
  <si>
    <t>Medication Management: (VA eligible/Non-VA eligible)</t>
  </si>
  <si>
    <t>Peer Support &amp; advocacy: (VA eligible/Non-VA eligible)</t>
  </si>
  <si>
    <t>Representative payee:
(VA eligible/Non-VA eligible)</t>
  </si>
  <si>
    <t>Other service (specify):</t>
  </si>
  <si>
    <t>1. Describe the accessibility of VA and other community services to which you propose linkages, whether they are on-site or in close proximity to the Project, including the hours they are available, and the frequency, travel time and cost to the tenant for transportation required to access the services to include both public transportation, VA  or  veteran oriented transportation accommodation, if any, and private transportation services (e.g. van owned by the provider). Be consistent with the supportive services chart (Part III, Section 1) and map provided with the application. Provide documentation, in the form of MOUs, MOAs, letters of support or contracts demonstrating who will be responsible for ensuring access to services and how accessibility will be accomplished if not already included in agreement provided for service provision in Part III, Section 1. Complete the VA Support Form at the end of this section.</t>
  </si>
  <si>
    <t>Describe how services will accommodate cultural, trauma-based, and disability related barriers to services.</t>
  </si>
  <si>
    <t>2. Describe the accessibility of community services for non-VA eligible residents to which you propose linkages, whether they are on-site or in close proximity to the Project, including the hours they are available, and the frequency, travel time and cost to the tenant for transportation required to access the services to include both public transportation and private transportation services (e.g. van owned by the provider). Be consistent with the supportive services chart (Part III, Section 1) and map provided in the application.  Provide documentation, in the form of MOUs, MOAs, letters of support or contracts demonstrating who will be responsible for ensuring access to services and how accessibility will be accomplished if not already included in agreement provided for service provision  provided with the application.</t>
  </si>
  <si>
    <t>3. Describe which additional VA funded programs you will utilize to meet the needs of your Veteran residents.</t>
  </si>
  <si>
    <t xml:space="preserve">4. Describe which community/county/state funded programs will be utilized to meet the needs of your residents, particularly if those residents are non-VA eligible or are dependents of Veterans. </t>
  </si>
  <si>
    <t>6. Please complete the table showing how many years you have used the following VA Programs:</t>
  </si>
  <si>
    <t>Program</t>
  </si>
  <si>
    <t>Years</t>
  </si>
  <si>
    <t>Supportive Services for Veterans and Families (SSVF)</t>
  </si>
  <si>
    <t>Homeless Veteran Reintegration Program</t>
  </si>
  <si>
    <t>Project Based VASH</t>
  </si>
  <si>
    <t>Other Veteran Programs: (Please list)</t>
  </si>
  <si>
    <t xml:space="preserve">7. How long have you worked with the VA Medical Center referenced in question #1 of this section? </t>
  </si>
  <si>
    <t>8. Which VA Medical Center offices/staff will you connect with on behalf of your clients? (select yes/no from the dropdowns below)</t>
  </si>
  <si>
    <t xml:space="preserve">VA Homeless Program Coordinators </t>
  </si>
  <si>
    <t>Women Veteran Program Manager</t>
  </si>
  <si>
    <t xml:space="preserve">OEF/IEF Outreach Caseworker </t>
  </si>
  <si>
    <t>MST Outreach Caseworker</t>
  </si>
  <si>
    <t>Office of Patient Advocacy</t>
  </si>
  <si>
    <t>Office of Mental Health</t>
  </si>
  <si>
    <t>SSVF Program Coordinator</t>
  </si>
  <si>
    <t>HUD/VASH Program Coordinator</t>
  </si>
  <si>
    <t>9. How long have you worked with the VA Homeless Program Coordinators in your area?</t>
  </si>
  <si>
    <t>10. Will you coordinate on benefit education advocacy, discharge upgrade advocacy, other advocacy on behalf of Veteran tenants with:</t>
  </si>
  <si>
    <t>County Veteran Services Offices (CVSO)?</t>
  </si>
  <si>
    <t>if yes, provide the following:</t>
  </si>
  <si>
    <t>Address of County Veteran Services Office:</t>
  </si>
  <si>
    <t>Name of County Veteran Service Officer:</t>
  </si>
  <si>
    <t>This form is to be completed and signed by an authorized representative of the VA at a facility providing services to Veterans in the geographic area where the proposed Project is located. Project Sponsor completes Subsection 1 supplying basic Project information. The VA completes Subsection 2 confirming that the Project meets a high priority local need and Subsection 3 confirming coordination of services for SH and TH Projects.  
Note: If creating units specifically designated for women Veterans, or if the Project anticipates receiving women Veterans as clients/tenants, a separate form must be completed by the VAMC woman Veteran Program manager (Subsection 2). Indicate women Veterans in target population in Subsection 1. For Projects serving women Veterans, the Sponsor must acquire the services confirmation letter and the letter from the VAMC woman Veteran Program manager (unless all housing units will serve women Veterans).</t>
  </si>
  <si>
    <t xml:space="preserve">To the VA: The Sponsor named above is submitting an application to HCD requesting State Veteran Housing and Homelessness Prevention funding for the Project named above. Your cooperation is appreciated. We confirm that the Project described above meets a high priority local need. Attach explanation and/or data as to how Project meets a high priority local need. </t>
  </si>
  <si>
    <t>2. To the best knowledge of this agency, there are no known conditions that would preclude the LSP from making accessible the VA Programs and services proposed in the Services Plan.</t>
  </si>
  <si>
    <t>3. The services proposed in the services plan are appropriate to meet the needs of the target Veteran population(s) named above.</t>
  </si>
  <si>
    <t>4. The VA will work with Sponsor and LSP to provide services for tenants eligible for VA services.</t>
  </si>
  <si>
    <t>Statement Completed by (women's Veteran coordinator, Network Homeless Coordinator or similar official):</t>
  </si>
  <si>
    <t xml:space="preserve">Part IV. Tenant Safety And Engagement </t>
  </si>
  <si>
    <t xml:space="preserve">Applicant should describe strategies to engage residents in services, services planning/operations, and in building community and facility operations. Note: The tenant engagement plan is distinct from your marketing and outreach efforts for attracting applicants to the Project. </t>
  </si>
  <si>
    <t>1. Describe your strategies to engage residents in services, including when outreach will occur and the methods that will be used, e.g., outreach to applicants and residents, peer engagement, flyers.</t>
  </si>
  <si>
    <t>2. Describe your strategies to engage residents in social interaction and community involvement within the Project.</t>
  </si>
  <si>
    <t>3. Describe your strategies to engage residents to participate in building operations.</t>
  </si>
  <si>
    <t>4. Describe your strategies to engage residents in planning and delivery of individual and group resident services.</t>
  </si>
  <si>
    <t>5. Describe how the physical building space supports social interaction and the provision of services.</t>
  </si>
  <si>
    <t xml:space="preserve">6. Describe how tenant satisfaction surveys will be conducted, including the frequency, the types of questions asked, how they will be reviewed and communicated to tenants, and how the results will be used to improve building operations and service delivery. </t>
  </si>
  <si>
    <t xml:space="preserve">Section 2: Safety and Security
 </t>
  </si>
  <si>
    <t>1. Summarize your written policies and procedures on sign in/out procedures, fire/safety drills, posted local contacts in case of emergency.</t>
  </si>
  <si>
    <t>2. Describe your building design safety features for ensuring resident and staff safety, especially for those more vulnerable, such as persons with a history of trauma, children, elderly, etc. (include lighting, entrance/exits, locked doors, common area locations).</t>
  </si>
  <si>
    <t>3. Summarize your written policies and procedures on ensuring staff safety.</t>
  </si>
  <si>
    <t xml:space="preserve">4. Summarize your written policies for addressing violations of resident/staff safety by residents or staff. </t>
  </si>
  <si>
    <t>5. Describe your guest/visitor policy for residents.</t>
  </si>
  <si>
    <t>6. Summarize your written policies for coordination with property management for resolution of tenant issues with other tenants or visitors.</t>
  </si>
  <si>
    <t xml:space="preserve">Part V. Staffing
</t>
  </si>
  <si>
    <t xml:space="preserve">Section 1: Staffing Chart </t>
  </si>
  <si>
    <t xml:space="preserve">List all staff positions that will provide services to the tenants of the VHHP Assisted Units. Include Sponsor or LSP staff positions, and any staff positions of partnering organizations who have committed time to the Project. For each position, list the position title, minimum requirements, the full-time equivalent (FTE), the organization under which the position resides, and the location of the position (on-site or off-site). Do not include staff which serve non-VHHP Assisted Units. If a staff position serves both tenants in VHHP and non-VHHP Assisted Units, include only that portion (i.e., % FTE) of the staff position dedicated to VHHP Assisted Units. Attach a copy of each positions' duty statement. </t>
  </si>
  <si>
    <t xml:space="preserve">Note: All staff positions listed here must be reflected in the supportive services budget table. Be sure to indicate which staff position will be responsible for HMIS data entry. If the cost of on-site resident services coordination is included as part of the Project’s operating budget and the position will serve SH units, that position must be included in this chart. </t>
  </si>
  <si>
    <t>Minimum requirements
 (1 MA level Case Manager required)</t>
  </si>
  <si>
    <t>List min. required staff qualifications (education &amp; experience, include Veteran or military training requirements) Note: Doesn't take place of the job description or duty statement.</t>
  </si>
  <si>
    <t xml:space="preserve"> Agency Name</t>
  </si>
  <si>
    <t xml:space="preserve">Section 2: Staffing Ratios </t>
  </si>
  <si>
    <t xml:space="preserve">1. Indicate the overall services staffing level for your Project by completing the calculation below. </t>
  </si>
  <si>
    <t>Total VHHP assisted SH and TH units</t>
  </si>
  <si>
    <t>Total FTE Service Staff from the Staffing Chart for the VHHP Assisted Units. Include administrative and/or supervisorial positions.</t>
  </si>
  <si>
    <t>Number of VHHP assisted SH and TH units Per FTE Staff Person (a÷b)</t>
  </si>
  <si>
    <t>2. Complete Case Manager Staffing Ratio chart. Include all case management staff from staffing &amp; budget forms. Do not include administrative, supervisorial or other direct service positions. Section 214(b)(3) requires FTE Case Manager to resident ratios be appropriate to specific VHHP populations as follows:</t>
  </si>
  <si>
    <t>Population Type</t>
  </si>
  <si>
    <t>Minimum Ratio</t>
  </si>
  <si>
    <t>1:20</t>
  </si>
  <si>
    <t>1:25</t>
  </si>
  <si>
    <t>1:40</t>
  </si>
  <si>
    <t>Case Manager Staffing Ratio</t>
  </si>
  <si>
    <t>Total VHHP Assisted Units for Chronic Homelessness</t>
  </si>
  <si>
    <t>Total Case Manager FTE devoted to tenants in units reserved for Chronic Homelessness only</t>
  </si>
  <si>
    <t>Number of VHHP Assisted Units for Chronic Homelessness per Case Manager FTE (a÷b)</t>
  </si>
  <si>
    <t>Total VHHP Assisted Units for Disability Homelessness</t>
  </si>
  <si>
    <t>Total Case Manager FTE devoted to tenants in units reserved for Disability Homelessness only</t>
  </si>
  <si>
    <t>f.</t>
  </si>
  <si>
    <t>Number of VHHP Assisted Units for Disability Homelessness per Case Manager FTE (d÷e)</t>
  </si>
  <si>
    <t>g.</t>
  </si>
  <si>
    <t>Total VHHP Assisted Units for Other Homelessness</t>
  </si>
  <si>
    <t>h.</t>
  </si>
  <si>
    <t>Total Case Manager FTE devoted to tenants in units reserved for Other Homelessness only</t>
  </si>
  <si>
    <t>Number of VHHP Units for Other Homelessness per Case Managers FTE (g÷h)</t>
  </si>
  <si>
    <t>3.  Describe the roles of all services staff listed in the Staffing Chart. Describe how the services staff will collaborate to function as a team and avoid duplication of services.</t>
  </si>
  <si>
    <t>Part VI. Supportive Services Budget</t>
  </si>
  <si>
    <t>Section 1: Supportive Services Budget Table.</t>
  </si>
  <si>
    <t>Provide a line item supportive services budget for the Project using the format below. Complete both income and expense portions of the budget. Include all costs associated with implementing your supportive services plan, including any in-kind services. Include income and expenses for Sponsor or LSP staff positions, and also any staff positions of partnering organizations who have committed time to the Project. Total expenses should equal total income. Add expense item categories &amp; lines as necessary. Don't include costs associated with providing services in non-VHHP Assisted Units. If costs are associated with both VHHP &amp; non-VHHP Assisted Units, include only that portion of costs associated with VHHP Assisted Units.</t>
  </si>
  <si>
    <t>Note: If the cost of on-site supportive services coordination is included as part of the Project's operating budget (as documented on the Application Operating  Budget) and the position will serve SH and TH units, this position and the dollars associated with this position (or that portion of the position that will serve the SH and TH units) must be included in this supportive services budget table. These funds should be categorized as "Not Committed" in the Status column of this table.</t>
  </si>
  <si>
    <t>Income Source, Organization, and Program Name</t>
  </si>
  <si>
    <t>Tenant Transportation (per supportive services plan)</t>
  </si>
  <si>
    <t>Staff training (per supportive services plan)</t>
  </si>
  <si>
    <t>Other Expenses: (type in expense description)</t>
  </si>
  <si>
    <t>Supportive services cost per unit: Permanent SH best practice suggests a range between $5,000 - $10,000 annually in services per household, depending upon the intensity of the needs of the target population. Complete the following calculation about supportive services cost per unit for your Project. If your supportive services cost per unit, as calculated below, differ from industry practice, please provide a narrative explanation. The Project must meet/address the industry standard.</t>
  </si>
  <si>
    <t>Supportive Services Expense Per Unit Calculation Table</t>
  </si>
  <si>
    <t>Total Overall units</t>
  </si>
  <si>
    <t>Total Supportive Housing Units</t>
  </si>
  <si>
    <t>Total Transitional Housing Units</t>
  </si>
  <si>
    <t>Total overall SH/TH units (a+b)</t>
  </si>
  <si>
    <t>Total supportive service expenses</t>
  </si>
  <si>
    <t>Total supportive services Expenses per Unit: (d÷c)</t>
  </si>
  <si>
    <t>Total VHHP Assisted Supportive Housing units</t>
  </si>
  <si>
    <t>Total VHHP Assisted Transitional Housing units</t>
  </si>
  <si>
    <t>Total VHHP Assisted units (f+g)</t>
  </si>
  <si>
    <t>Percentage of VHHP SH/TH Assisted units (h÷c)</t>
  </si>
  <si>
    <t>j.</t>
  </si>
  <si>
    <t>Total Estimated cost attributed to VHHP SH/TH assisted units (d*i)</t>
  </si>
  <si>
    <t>Section 2: Budget Narrative and Funding Commitments 
(Note: Funding Commitments do not include Rental Assistance).</t>
  </si>
  <si>
    <t>1. Describe how budgeted amounts are adequate to provide services described in supportive services plan and in services staffing table:</t>
  </si>
  <si>
    <t>2. Document committed funds with letter from committing agency that includes the following (see below). Documented services/funding must appear in supportive services budget table above.</t>
  </si>
  <si>
    <t>Provide a) Project name; b) Description of services to be funded or provided; c) Dollar value of funds or in-kind services. If cash is provided, state funding source; d) Funding term or service provision; e) A description and history of agency/organization providing funding or services.</t>
  </si>
  <si>
    <t>Note: Services provided in connection with a Project based HUD-VASH contract will be considered committed if they've been allocated by the PHA to the Project subject to HUD approval. A letter from the VA is not required if a PHA commitment has been provided with the application.</t>
  </si>
  <si>
    <t>3. Describe your experience filling initial major services funding gaps in similar housing.</t>
  </si>
  <si>
    <t>4. Describe in specific terms the plan to fill any service gaps that occur during Project life due to expiration of grants, partner withdrawals, cancellation of a commitment or any other reason. Describe experience filling service gaps caused by loss of major funding sources during the life of the project.</t>
  </si>
  <si>
    <t xml:space="preserve">Section 3: Service Funding History Table: </t>
  </si>
  <si>
    <t>The purpose of this section is to document the funding history of the LSP. The LSP shall document a history of securing supportive service funding sufficient for HCD to make a determination that the provider will be able to access funds from the Programs that fund the services identified in the supportive services chart. List only funding obtained in the last five years. Complete the table containing the information required below:</t>
  </si>
  <si>
    <t xml:space="preserve">Funding History for: </t>
  </si>
  <si>
    <t>Source of Funds/Funding Program</t>
  </si>
  <si>
    <t>Purpose of Award (Use of Funds)</t>
  </si>
  <si>
    <t>Funding Term Dates</t>
  </si>
  <si>
    <t>Population(s) Served</t>
  </si>
  <si>
    <t xml:space="preserve">Part VII. Measurable outcomes and plan for evaluation: </t>
  </si>
  <si>
    <t>Section 1</t>
  </si>
  <si>
    <t>Specific Target Populations will likely have varying outcomes and evaluation strategies. List outcomes and evaluation plans specific to each Target Population. (Add an extra sheet if needed.)</t>
  </si>
  <si>
    <t xml:space="preserve">Measurable outcomes: outcomes are what you expect to happen for the people served by your Project. Outcomes are sometimes called results. Outcome objectives are time-specific measurable goals that identify how you know if you are achieving your desired results. Outcome objectives are sometimes called outcome benchmarks or indicators. Please categorize the outcomes for your Project into the following three categories: </t>
  </si>
  <si>
    <t>Category</t>
  </si>
  <si>
    <t>Outcomes</t>
  </si>
  <si>
    <t>Outcome Objectives</t>
  </si>
  <si>
    <t>Residential Stability: tenants maintain permanent housing (see examples in cell comments to the right)</t>
  </si>
  <si>
    <t>Increased Skills and/or Income: tenants gain job-related skills, participate in job-related training and/or education, gain stipend part-time or full-time supported employment, gain access to mainstream service/income support Programs for which they are eligible (see examples in cell comments to the right)</t>
  </si>
  <si>
    <t>Greater Self- Determination: tenants gain daily living skills and ability to plan and advocate for themselves to maximize independence and self-sufficiency (see examples in cell comments to the right)</t>
  </si>
  <si>
    <t>Describe your evaluation plan, including how you intend to collect, track and analyze data on the effectiveness of your Project, including the outcomes projected above. Indicate who will analyze the data and perform your Program evaluation. (e.g., staff, consultant, etc.).</t>
  </si>
  <si>
    <t>UMR §8305, §212 Tenant Selection</t>
  </si>
  <si>
    <t>I certify the Project will comply with the requirements of UMR 8305, §212 as applicable.</t>
  </si>
  <si>
    <t>Entity Represented:</t>
  </si>
  <si>
    <t>Phone number:</t>
  </si>
  <si>
    <t>§211 Housing First Practices</t>
  </si>
  <si>
    <t>I certify the Project will adhere to Housing First practices as described in §211 as applicable.</t>
  </si>
  <si>
    <t>SHMHP and TOD Program Requirements</t>
  </si>
  <si>
    <t>Sponsors applying for MHP funding may elect to receive a portion of their award as SHMHP or TOD program funds. Applications requesting TOD and SHMHP program funds will be reviewed, rated, and ranked in a manner consistent with MHP program and will be administered consistently with MHP loan terms. The additional SHMHP and TOD program requirements listed below must be demonstrated in the application. The application will provide an option for MHP Applicants to elect to receive SHMHP or TOD program funds; if selected, all or a portion of the requested MHP funding may be substituted with SHMHP/TOD program funds. Applications that include an SHMHP or TOD program fund election with their MHP funding request will be evaluated through the ranking process described in Section F below pursuant to their MHP request; there is no separate ranking process for SHMHP or TOD.</t>
  </si>
  <si>
    <t>Supportive Housing Multifamily Housing Program Requirements</t>
  </si>
  <si>
    <t>In addition to red text requirements and §7302(e)(5) and (f), §7303.1(l), §7310, and §7328 in MHP Guidelines, a SHMHP Project must satisfy the following requirement, as demonstrated in the application:</t>
  </si>
  <si>
    <t>At least 40 percent of Units in the proposed development shall be targeted to one or more of the following populations:</t>
  </si>
  <si>
    <t>Does the Project meet the requirement for "Individuals or families experiencing “chronic homelessness” as defined in MHP Program; Guidelines Appendix A"?</t>
  </si>
  <si>
    <t>Does the Project meet the requirement for "Homeless youth as defined in Government Code Section 12957, subdivision (e)(2)"?</t>
  </si>
  <si>
    <t>Does the Project meet the requirement for "individuals exiting institutional settings, including, but not limited to, jails, hospitals, prisons, and institutes of mental disease, who were homeless when entering the institutional setting, who have a disability, and who resided in that setting for a period of not less than 15 days"?</t>
  </si>
  <si>
    <t>Transit-Oriented Development Program Requirements</t>
  </si>
  <si>
    <t>1)</t>
  </si>
  <si>
    <t>Does the Project meet the requirement of "at least 15 percent of the Units in the proposed development shall be made available at an affordable rent or at an affordable housing cost to persons of very low or low income"?</t>
  </si>
  <si>
    <t>2)</t>
  </si>
  <si>
    <t>Does the Project meet the requirement that is "located on a parcel(s) at least a portion of which is located within one-quarter mile of a transit station"?</t>
  </si>
  <si>
    <t>(A) A general plan adopted pursuant to Government Code (GC) Section 65300.</t>
  </si>
  <si>
    <t>(B) A sustainable communities strategy adopted pursuant to GC Section 65080.</t>
  </si>
  <si>
    <t>3)</t>
  </si>
  <si>
    <t>(C) A specific plan adopted pursuant to GC Section 65450.</t>
  </si>
  <si>
    <t>4)</t>
  </si>
  <si>
    <t>The Project must be located in an area designated by the appropriate council of governments for infill development as part of the region’s sustainable communities strategy adopted pursuant to §65080 of the Government Code. Select from the option list below.</t>
  </si>
  <si>
    <t>(D) A Workforce Housing Opportunity Zone established pursuant to GC Section 65620.</t>
  </si>
  <si>
    <t>(E) A Housing Sustainability District established pursuant to GC Section 66201.</t>
  </si>
  <si>
    <t>Before completing Threshold, please click on the YELLOW button to the right.</t>
  </si>
  <si>
    <t>Click here</t>
  </si>
  <si>
    <t>MHP §7303.1</t>
  </si>
  <si>
    <t>Projects shall be eligible for an award of funds if the application demonstrates that all the following threshold requirements have been met:</t>
  </si>
  <si>
    <t>The application involves an Eligible Project pursuant to §7302. Eligible Project?</t>
  </si>
  <si>
    <t>§7302. Eligible Project.</t>
  </si>
  <si>
    <t>Per §7314(b)(4) Sponsor/Applicant certifies that all new construction projects must provide a minimum of 15 percent (15%) of the Restricted Units with mobility features, and a minimum of 10 percent (10%) of the Restricted Units with hearing and vision features.</t>
  </si>
  <si>
    <t>Per §7314(b)(5) Sponsor/Applicant certifies that all Rehabilitation projects must provide a minimum of 10 percent (10%) of the Restricted Units with mobility features, and a minimum of four percent (4%) of the Restricted Units with hearing and vision features.</t>
  </si>
  <si>
    <t>Per §7314(b)(6) Sponsor/Applicant certifies that Senior new construction projects must provide a minimum of 50 percent (50%) of all Restricted Units with mobility features.</t>
  </si>
  <si>
    <t>Per §7314(b)(6) Sponsor/Applicant certifies tat Senior Rehabilitation projects must provide a minimum of 25 percent (25%) of all Restricted Units.</t>
  </si>
  <si>
    <t>The Project qualifies as one or more of the following Project types:</t>
  </si>
  <si>
    <t>Projects utilize federal funds whose programs have differing definitions for senior projects, or have the Rehabilitation of occupied developments restricted to residents 55 or older, or have Supportive Housing or Special Needs Projects also restricting occupancy to residents who are 55 years of age or older), and the Project is subject to state and federal fair housing laws with respect to senior housing and senior housing exemptions.</t>
  </si>
  <si>
    <t>At least 25 percent of the Units are available to, and occupied by, Agricultural Households.</t>
  </si>
  <si>
    <t>At least 10 percent of those Units shall be at or below 30 percent AMI.</t>
  </si>
  <si>
    <t>Sponsor acknowledges that the Awardee shall provide linguistically appropriate services and publications to the occupants of the Rental Housing Development.</t>
  </si>
  <si>
    <t>Applicant acknowledges to document that there is sufficient demand for Agricultural Household Units in the area in which the Project is or will be located as evidenced by a market study.</t>
  </si>
  <si>
    <t>New construction non-targeted population, where at least 20 percent of the Units are restricted to 60 percent of AMI and below.</t>
  </si>
  <si>
    <t>Does the proposed development meet at least 20 percent of the Units are restricted to 60 percent of AMI and below?</t>
  </si>
  <si>
    <t xml:space="preserve">At High Risk, means Projects that meet the requirements for at-risk projects set forth in California Tax Credit Allocation Committee (TCAC) Regulations, Title 4 CCR, Division 17, Chapter 1, §10325, including meeting the definition of “at risk of conversion” as defined for the low-income housing tax credit program in Revenue and Taxation Code §17058(c)(6).  Projects must also meet all of the following additional characteristics and requirements: </t>
  </si>
  <si>
    <t>(E)</t>
  </si>
  <si>
    <t>(F)</t>
  </si>
  <si>
    <t>(G)</t>
  </si>
  <si>
    <t>(H)</t>
  </si>
  <si>
    <t>(I)</t>
  </si>
  <si>
    <t>(J)</t>
  </si>
  <si>
    <t>Sponsor certifies to provide a Supportive Services plan consistent with the requirements of §7310 except as provided in §7310.1 for projects offering services funded through Medi-Cal pursuant to the requirements of §7310.1.</t>
  </si>
  <si>
    <t>Projects qualifying as Special Needs projects, where one or more of the Assisted Units are restricted under Department Regulatory Agreements to occupancy by Chronically Homeless, have the following additional requirements:</t>
  </si>
  <si>
    <t>Does the Project qualify as Special Needs project, where one or more of the Assisted Units are restricted under Department Regulatory Agreements to occupancy by Chronically Homeless?</t>
  </si>
  <si>
    <t>Sponsor certifies to be an Eligible Sponsor (as specified in §7303) with at least two years’ (2) experience during the past five (5) years owning or operating (under a long-term master lease or similar arrangement) a rental housing development that includes at least 10 Units occupied by people experiencing Homelessness, and that provides onsite Comprehensive Case Management services. Occupancy by persons experiencing Homelessness may be evidenced either by public agency restrictions requiring this occupancy or by documentation conclusively demonstrating occupancy for at least two years by people experiencing Homelessness upon initial move-in.</t>
  </si>
  <si>
    <t>Sponsor certifies that the Project will be managed by a property manager that has managed, for at least three (3) years, Rental Housing Developments that include at least 10 Units occupied by people experiencing Homelessness, and that provide onsite Comprehensive Case Management services. Occupancy by persons experiencing Homelessness may be evidenced either by public agency restrictions requiring this occupancy or by documentation conclusively demonstrating occupancy for at least three years by people experiencing Homelessness upon initial move-in.</t>
  </si>
  <si>
    <t>Sponsor certifies to utilize a Lead Service Provider with at least three (3) years of experience providing Comprehensive Case Management to at least 20 Homeless households in the aggregate in either of the following circumstances:</t>
  </si>
  <si>
    <t>As a part of project- or tenant-based housing, emergency shelters, transitional housing, or similar programs; or</t>
  </si>
  <si>
    <t>Pursuant to a contract with a public agency.</t>
  </si>
  <si>
    <t>For purposes of satisfying subparagraph (A), the households served may be located at different sites. In all cases, the Comprehensive Case Management services shall be or have been provided on an ongoing and continuous basis.</t>
  </si>
  <si>
    <t>A written agreement between the Lead Service Provider and the Sponsor or Project owner satisfactory to the Department must be submitted with the Program application.</t>
  </si>
  <si>
    <t>Sponsor certifies to fill vacancies for these Units with local CES referrals of people who are Homeless, Chronically Homeless, or At Risk of Homelessness, where the CES system is actively referring such households to Supportive Housing. Tribal Entities may utilize another similar system that prioritizes based on need and barriers to housing stability, as approved by the Department. Where the CES system is not operational, referrals shall be through another similar system that prioritizes based on need and barriers to housing stability, as approved by the Department.</t>
  </si>
  <si>
    <t>If the local CES fails to refer tenants within 30 days of written notification of a vacancy, these Units may be filled by referrals from other sources, including homeless shelters.</t>
  </si>
  <si>
    <t>Where the local office of the U.S. Department of Veterans Affairs is not participating in a CES, vacancies may be filled with those Veterans who are referred directly by that local office.</t>
  </si>
  <si>
    <t>If acuity (the severity of presenting issues) is used as the basis for selecting tenants, it must be measured using the VI-SPDAT or some other standardized assessment tool approved by the Department.</t>
  </si>
  <si>
    <t>Sponsor certifies to provide onsite Comprehensive Case Management services, with a resident to Case Manager ratio for these Units not exceeding the ratios set forth in §7310(b)(11).</t>
  </si>
  <si>
    <t>Sponsor certifies that the Project be operated in accordance with property management and Supportive Services plans that were approved by the Department, initially at time of application, and then at such later time(s), prior to occupancy as the Department may require, except as provided in §7310.1 for projects offering services funded through Medi-Cal pursuant to the requirements of §7310.1.</t>
  </si>
  <si>
    <t>Sponsor certifies to comply with the integration requirements specified in subdivision (g) hereof.</t>
  </si>
  <si>
    <t>(8)</t>
  </si>
  <si>
    <t>Sponsor certifies to track and provide annual reports to the Department on tenant characteristics as specified in §7326.</t>
  </si>
  <si>
    <t>Special Needs Projects must demonstrate integration of targeted populations with the general public by:</t>
  </si>
  <si>
    <t>Sponsor acknowledges to physically integrating Restricted Units for people with disabilities with other Units, to the maximum extent feasible and subject to reasonable health and safety requirements, consistent with 24 Code of Federal Regulations (CFR) §8.26.</t>
  </si>
  <si>
    <t>Sponsor acknowledges in Projects with more than 20 Units, have no more than 49 percent of total Units restricted through a Department Regulatory Agreement(s) under all of the Designated Programs combined, to occupancy by persons with disabilities. This limitation shall not be interpreted to preclude occupancy of any Project Units by persons with disabilities, or restrictions by other funding sources, including but not limited to TCAC, that result in more than 50 percent of total Project Units being restricted to persons with disabilities. It shall also not apply to Projects complying with alternative requirements for demonstrating Olmstead compliance adopted by counties and approved by the Department.</t>
  </si>
  <si>
    <t>Sponsor acknowledges that the Units regulated by the Department, including MHP Assisted Units, shall include those with the lowest income limits.</t>
  </si>
  <si>
    <t>Projects proposed by Tribal Entity Applicants must meet both of the following additional requirements:</t>
  </si>
  <si>
    <t>Sponsor acknowledges the HCD Repeal of Stacking Prohibition of Multiple Department Funding Sources Memo shall remain applicable. A maximum of four (4) HCD funding sources comprised of no more than two (2) development loans and two (2) housing-related infrastructure grants may be used on a single Project.</t>
  </si>
  <si>
    <t>Repeal of Stacking Prohibition of Multiple Department Funding Sources</t>
  </si>
  <si>
    <t>"HCD funding sources” do not include offsite infrastructure funds.</t>
  </si>
  <si>
    <t>Sponsor acknowledges that additional limitations on use of multiple Department funding sources may be specified in the NOFA.</t>
  </si>
  <si>
    <t>Sponsor acknowledges that limits on Department Funding, including loan or grant funds, on a per unit, per project, and/or per Sponsor basis, may be further specified in the NOFA.</t>
  </si>
  <si>
    <t>Sponsor acknowledges that identified sources of capital, rental subsidies, and other operating assistance must be reasonably compatible with the Project’s target population(s) in the sole and absolute discretion of the Department.</t>
  </si>
  <si>
    <t>The Applicant is an Eligible Sponsor pursuant to §7303?</t>
  </si>
  <si>
    <t>§7303. Eligible Sponsor.</t>
  </si>
  <si>
    <t>Pass</t>
  </si>
  <si>
    <t>Number of units of the Sponsor’s largest Rental Housing Development</t>
  </si>
  <si>
    <t>Projects address</t>
  </si>
  <si>
    <t>Note: When applying as a Farmworker Housing Project, the Sponsor shall further demonstrate that said Rental Housing Development (or one of said Rental Housing Developments) includes occupancy restrictions for Agricultural Households.</t>
  </si>
  <si>
    <t>If an Emerging Developer or Community-Based Developer relies upon the experience of a co-Applicant to qualify for funding outside of the funding target, then the following requirements, in addition to the requirements under Section 7303(d), must be met §7303(e)(1-3).</t>
  </si>
  <si>
    <t>Does the Emerging Developer or Community-Based Developer rely upon the experience of a co-Applicant to qualify for funding outside of the Funding Target?</t>
  </si>
  <si>
    <t>Co-Applicant with experience</t>
  </si>
  <si>
    <t>Sponsor shall maintain continuing control of the Rental Housing Development throughout the full term of the Department’s use restriction on the Rental Housing Development. For Projects with co-Applicants, the co-Sponsor who garnered experience points at the application stage shall control the borrowing entity at construction closing, through permanent financing close of escrow, and for a period of at least seven (7) consecutive years thereafter. After seven (7) years have elapsed since permanent financing close of escrow for a project, the co-Sponsor who garnered experience points at the application stage may be replaced as the controlling entity of the borrower by a co-Applicant who is an eligible Sponsor under this Section. Notwithstanding the forgoing, the party performing the substantial management role in the borrowing entity from the time of the Award through the full term of the Regulatory Agreement may be replaced by a third-party that is an eligible Sponsor under this §7303, provided such third-party is deemed acceptable to the Department in its sole and absolute discretion. If the Department’s funding disbursement is structured with or through a special purpose entity, the Sponsor shall exercise continuing control over such special purpose entity in accordance with UMR §8313.2 and throughout the full term of the Department’s use restriction on the Rental Housing Development, as evidenced by the organizational documents of the special purpose entity and all of its constituent tier entities. Sponsor shall certify that it will abide by this control requirement at the time of its application for the funds for the full term of the Regulatory Agreement.</t>
  </si>
  <si>
    <t>Sponsor certifies to maintain continuing control of the Rental Housing Development throughout the full term of the Department’s use restriction on the Rental Housing Development as described at above paragraph?</t>
  </si>
  <si>
    <t>All proposed uses of Program funds are eligible pursuant to §7304, and otherwise complies with §7309?</t>
  </si>
  <si>
    <t>§7304. Eligible Use of Funds.</t>
  </si>
  <si>
    <t>Sponsor acknowledges funds shall only be used for Capital Asset related expenses as required by GC §16727.</t>
  </si>
  <si>
    <t>Sponsor acknowledges that eligible costs include all those stated at §7304(b)(1-22).</t>
  </si>
  <si>
    <t>Sponsor acknowledges that except as provided in §7304(b)(8), no Program funds shall be used for costs associated exclusively with non-Restricted Units or Commercial Space. A Manager’s Unit maybe considered a Restricted Unit for the purpose of allocating development costs. If only a portion of the Rental Housing Development consists of Restricted Units, the Program loan amount shall not exceed the sum of the following: §7304(c)(1-3).</t>
  </si>
  <si>
    <t>The application is complete pursuant to MHP §7318</t>
  </si>
  <si>
    <t>§7318. Application Content and Application Eligibility Requirements.</t>
  </si>
  <si>
    <t>Sponsor acknowledge to comply with  MHP §7318(a)</t>
  </si>
  <si>
    <t>Sponsor certifies that the application meets all threshold requirements, as set forth in the NOFA, §7303.1, and the application.</t>
  </si>
  <si>
    <t>During application review, Department staff may request or accept clarifying information as set forth in the NOFA.</t>
  </si>
  <si>
    <t>Sponsor certifies that the application provides sufficient information for the Department to assess the proposed Project’s feasibility pursuant to UMR  §8310.</t>
  </si>
  <si>
    <t>During application review, Project feasibility may be assessed subsequent to threshold and scoring determinations and must be finalized prior to the close of the award period. In assessing feasibility, Department staff may request and accept corrective documentation as set forth in the NOFA, provided these corrections do not significantly modify Department staff’s threshold or scoring determinations.</t>
  </si>
  <si>
    <t>Determination of the completeness of organizational documents required pursuant to this section and §7303 and §7303.1 may occur concurrent with the Project feasibility review.</t>
  </si>
  <si>
    <t>NOTE: Resolutions must be submitted within sixty (60) calendar days of the conditional award notification and in advance of Standard Agreement execution. Resolutions may be submitted with this application but are not required at the time of application.</t>
  </si>
  <si>
    <t>Should the Sponsor/Applicant submit resolutions at time of Application due date, please click</t>
  </si>
  <si>
    <t>HERE</t>
  </si>
  <si>
    <t>The application includes visual representations of the site location and immediate perimeter, existing conditions, and the proposed development in the form of an aerial map, a site plan, a design development site plan, and other similar documents as specified in the application.</t>
  </si>
  <si>
    <t>NOTE: a design development site plan is being requested above in item #6. Infill-Aerial Photos are being requested at  "Document Checklist-Full List" sheet, under "Additional reports" section.</t>
  </si>
  <si>
    <t xml:space="preserve">Applications shall be evaluated for compliance with the threshold and eligibility requirements of these guidelines, and applicable statutes, and scored based on the application scoring criteria listed in Article IV of the Super NOFA – Universal Scoring Criteria. The applications with the highest number of points shall be selected for funding, provided that they meet all threshold and eligibility requirements and achieve specified minimum scores as identified in the NOFA. </t>
  </si>
  <si>
    <t>The Sponsor shall disclose on the application whether the Project will be part of an application to TCAC seeking hybrid tiebreaker incentives. This election is irrevocable. Once awarded, the Department will not break up or combine project awards to accommodate a conversion to or from a hybrid project.</t>
  </si>
  <si>
    <t>Will the proposed project be part of an application to TCAC seeking hybrid tiebreaker incentives?</t>
  </si>
  <si>
    <t>Sponsor certifies that the Project shall: be underwritten utilizing Rents less utility allowances; be feasible pursuant to the underwriting standards in UMR §8310; and maintain Fiscal Integrity; by adhering to restricted Rents. Rent standards shall be established pursuant to §7312. Notwithstanding the foregoing, proposed Rents may be utilized for Restricted Units limited to occupancy by Special Needs Populations targeted at rent levels 30% AMI or below that are designated for households eligible for public cash assistance (for example, Supplemental Security Income, Social Security Disability Insurance, CalWORKS, Cash Assistance Program for Immigrants (CAPI), or county General Assistance) if all of the following conditions are met:?</t>
  </si>
  <si>
    <t xml:space="preserve">These Units cannot also be receiving any project-based rental assistance or project-based operating assistance; </t>
  </si>
  <si>
    <t>The proposed rent cannot be less than 50 percent (50%) of the maximum restricted rent for the Units’ rent and income limit(s) submitted in the application; and</t>
  </si>
  <si>
    <t>Third-party documentation of anticipated public cash assistance payment levels shall be provided in the application which supports the need for the proposed rents;</t>
  </si>
  <si>
    <t>Does the Proposed Project have "Proposed Rents"?</t>
  </si>
  <si>
    <t>Sponsor certifies that Projects with Special Needs Units shall provide services suitable to the needs of the Special Needs Population; and the application shall demonstrate satisfaction of §7302(e)(5)(A) – (E), as well as satisfaction of the integration requirement specified at §7302(g). Where any Special Needs Unit is additionally restricted by the Department to Homeless or Chronically Homeless, then the application shall also demonstrate satisfaction of §7302(f)(1) – (8). These requirements include providing a Supportive Services plan consistent with the requirements of §7310;</t>
  </si>
  <si>
    <t>Sponsor certifies that projects that do not include Special Needs Units shall provide service amenities sufficient to achieve a minimum score of 7 points pursuant to TCAC Regulations, as set forth in CCR Title 4 §10325(c)(4)(B)?</t>
  </si>
  <si>
    <t>Sponsor certifies that the Project complies with the restrictions on demolition as set forth in UMR §8302?</t>
  </si>
  <si>
    <t>Where site control will be satisfied by a long-term ground lease, the Department will require the execution and recordation of the Department’s form lease rider, which shall be entered into by and among the ground lessor, the ground lessee, the Department, and any other applicable parties. In all cases (with applicable exceptions made for projects developed on trust or restricted real property), the lease rider shall be recorded against the fee interest in the Project property. For projects developed on trust or restricted real property, the Department’s form lease rider, together with any and all other use restriction instruments, shall be approved by, and recorded with, the U.S. Department of Interior’s Bureau of Indian Affairs (“BIA”).</t>
  </si>
  <si>
    <t>Sponsor certifies that if an Applicant’s site control documentation (e.g., option) will or may expire prior to the anticipated date of the Program Award as specified in the NOFA, the Applicant will satisfy the threshold site control requirement so long as evidence of a valid extension is submitted during the application review period. For purposes of this paragraph, “evidence of a valid extension” means an option (and/or other applicable site control documentation) that is fully executed prior to the expiration of the site control documentation, and that extends the term of the site control documentation through the actual date of the Program Award.</t>
  </si>
  <si>
    <t>Sponsor certifies that the Project complies with all applicable state and federal law with respect to any preference policies for occupancy, as specified and set forth in a written analysis that is submitted with the application. No written analysis is required if priority placement will be given only to prospective tenants who qualify for the following preference categories: §7303.1(q)(1-13)</t>
  </si>
  <si>
    <t>Notwithstanding anything to the contrary contained in this §7303.1(q), all preference policies for occupancy must be compliant with applicable law, including (but not limited to) The Local Tenant Preferences to Prevent Displacement Act of 2022 (GC §7061), the Teacher Housing Act of 2016 (HSC § 53570 et seq.), and the Employee Rental Housing Act (GC § 54700.1 et seq.).</t>
  </si>
  <si>
    <t>Enforceable Funding Commitments for all Project development budget soft financing (described in paragraphs (2), (3), and (4) of Enforceable Funding Commitments as defined in Appendix A) sources have been obtained with the exception of bond financing and tax credits.</t>
  </si>
  <si>
    <t>NOTE: These Enforceable Funding Commitments are being requested at "Scoring" sheet, section "E. Project Readiness"</t>
  </si>
  <si>
    <t>In addition to the Threshold Requirements above, Sponsor(s) acknowledge, understand, and agree to comply with the following sections of the 2025 MHP Guidelines</t>
  </si>
  <si>
    <t>§7305 Cost Limitations</t>
  </si>
  <si>
    <t>§7306 Type and Term of Loan</t>
  </si>
  <si>
    <t>§7307 Maximum Loan Amounts</t>
  </si>
  <si>
    <t>§7308 Interest Rate and Loan Repayments</t>
  </si>
  <si>
    <t>§7309 Appraisal and Market Study Requirements</t>
  </si>
  <si>
    <t>§7310 MHP Supportive Services Plan Requirements</t>
  </si>
  <si>
    <t>§7311 MHP Rent and Unit Designation Adjustment</t>
  </si>
  <si>
    <t>§7312 Rent Standards</t>
  </si>
  <si>
    <t>§7312.1 Project-Specific Transition Reserve and Pooled Transition Reserve Fund.</t>
  </si>
  <si>
    <t>§7313 Use of Operating Income</t>
  </si>
  <si>
    <t>§7314 State and Federal Laws, Rules, Guidelines and Regulations</t>
  </si>
  <si>
    <t>§7315 Relocation Requirements</t>
  </si>
  <si>
    <t>§7316 Construction Requirements</t>
  </si>
  <si>
    <t>§7317 Application Process</t>
  </si>
  <si>
    <t>§7320 Project Scoring and Selection</t>
  </si>
  <si>
    <t>§7321 Performance Deadlines</t>
  </si>
  <si>
    <t>Sponsor/Applicant hereby acknowleges and certifies that upon receipt of an Award of Program funds to a Project, the Sponsor shall be required to fulfill all performance deadlines, or risk disencumbrance of the Award in the Department’s sole and absolute discretion.</t>
  </si>
  <si>
    <t>§7322 Legal Documents</t>
  </si>
  <si>
    <t>§7323 Sales, Transfers, Encumbrances, and Loan Payoff</t>
  </si>
  <si>
    <t>§7324 Defaults and Loan Cancellations</t>
  </si>
  <si>
    <t>§7325 Management and Maintenance</t>
  </si>
  <si>
    <t>§7326 Reporting Requirements</t>
  </si>
  <si>
    <t>§7327 Annual Operating Budget and Schedule of Rental Income</t>
  </si>
  <si>
    <t>§7328 Homeless Management Information System (HMIS) Data Entry.</t>
  </si>
  <si>
    <t>Supportive Services Plan</t>
  </si>
  <si>
    <t xml:space="preserve">Instructions: All Projects that include Special Needs units must complete a Supportive Services Plan. The checklist below shall serve as a guide to ensure that the Supportive Services Plan is complete. </t>
  </si>
  <si>
    <t>For projects with units that will be restricted under the requirements of §7310.1 of the  MHP Guidelines, note the following:</t>
  </si>
  <si>
    <t>A supportive services plan meeting the requirements of §7310 must continue to be submitted for all other MHP Units serving Special Needs populations.</t>
  </si>
  <si>
    <t>If units restricted under §7310,1 are also VHHP Assisted, a Supportive Services plan meeting the requirements of Section 214 of the VHHP Guidelines dated May 18, 2023 must be submitted for the VHHP Assisted Units</t>
  </si>
  <si>
    <t>The Project must continue to have a Lead Service Provider meeting the requirements of MHP Guidelines §7302 who will act to ensure service access and coordination for all project Special Needs units, including but not limited to those eligible to receive services under §7310.1.</t>
  </si>
  <si>
    <t>The Project must continue to meet the staff to client ratios set forth in MHP §7310 (b)(11) for case management services that are funded through the Project’s budget.</t>
  </si>
  <si>
    <t xml:space="preserve">Sponsor/Applicant acknowledges that a supportive services plan meeting the requirements of §7310 may be requested by the Department at any time for units restricted under §7310.1 if at any time if the Department determines, in consultation with DHCS, that the services offered under §7310.1 are not available, or are not being offered.  </t>
  </si>
  <si>
    <t>Lead Service Provider (LSP) Detail</t>
  </si>
  <si>
    <t>Life skills training</t>
  </si>
  <si>
    <t>Units Targeting Special Needs Populations (SNP)</t>
  </si>
  <si>
    <t>Overall Total</t>
  </si>
  <si>
    <t>MHP Assisted</t>
  </si>
  <si>
    <t>Section 2: Best Practices in Service Delivery</t>
  </si>
  <si>
    <t>Section 3: Verification from Appropriate Public or Non-Profit Funding Agency</t>
  </si>
  <si>
    <t>Tenant Safety and Engagement</t>
  </si>
  <si>
    <t>(1) people with disabilities</t>
  </si>
  <si>
    <t>Chronically Homeless (SH REQUIRED)</t>
  </si>
  <si>
    <t>(2) at Risk of Homelessness, as defined above in Appendix A</t>
  </si>
  <si>
    <t>Persons with HIV/AIDS</t>
  </si>
  <si>
    <t>(3) individuals with substance use disorders</t>
  </si>
  <si>
    <t>Intellectual or Developmentally Disabled Households (including Autism)</t>
  </si>
  <si>
    <t>(4) frequent users of public health or mental health services, as identified by a public health or mental health agency</t>
  </si>
  <si>
    <t>Agricultural Workers</t>
  </si>
  <si>
    <t>(5) individuals who are fleeing domestic violence, sexual assault, and human trafficking</t>
  </si>
  <si>
    <t>Homeless Persons or Persons At-Risk of Becoming Homeless</t>
  </si>
  <si>
    <t>(6) individuals who are experiencing Homelessness and individuals experiencing Chronic Homelessness as defined above in Appendix A</t>
  </si>
  <si>
    <t>Fleeing domestic violence, sexual abuse or human trafficking</t>
  </si>
  <si>
    <t>(7) homeless youth as defined in Government Code Section 12957, subdivision (e)(2)</t>
  </si>
  <si>
    <t>Family reunification</t>
  </si>
  <si>
    <t>(8) families in the child welfare system for whom the absence of housing is a barrier to family reunification, as certified by a county</t>
  </si>
  <si>
    <t>Frail Elderly</t>
  </si>
  <si>
    <t>(9) individuals exiting from institutional settings or at risk of placement in an institutional setting</t>
  </si>
  <si>
    <t>Collaboration, Measurable Outcomes and Plan for Evaluation</t>
  </si>
  <si>
    <t>Homeless Youth as defined in Government Code 12597(e)(2)</t>
  </si>
  <si>
    <t>(10) older Adults in Need of Supportive Services</t>
  </si>
  <si>
    <t>Physical or sensory disabled and transitioning from care facilities</t>
  </si>
  <si>
    <t>(11) other specific groups with unique housing needs as determined by the Department</t>
  </si>
  <si>
    <t>Serious mental illness or substance abuse disorders</t>
  </si>
  <si>
    <t xml:space="preserve">This section asks for a detailed description of your tenant selection process. Using the titled sections below, your narrative should be as specific as possible, delineating the roles of property management and the Lead Service Provider and how these functions will be coordinated. Your description should clearly and conclusively document processes to ensure tenant selection and Housing First Practices. </t>
  </si>
  <si>
    <t>1. Target Tenant Population and Eligibility Criteria</t>
  </si>
  <si>
    <t xml:space="preserve">a. Do you use Housing First Practices? </t>
  </si>
  <si>
    <t>b. Describe the criteria that will be used to ensure that applicants are eligible to occupy the units targeting the populations as identified above using a Housing First Approach. This should include the criteria relating to the applicant's income eligibility, homeless status (SNP Chronic Homeless, SNP Homeless or at risk of becoming homeless, or other SNP), and disability.</t>
  </si>
  <si>
    <t xml:space="preserve"> c. List specific applicants’ credit history, criminal record, rental history, substance use, and similar screening criteria that will result in application rejection as well as those specific criteria that may result in rejection and the relevant conditions that would convert a "may reject" into a "will reject". Note: Property Management Plans or Tenant Selection Plans will be reviewed for consistency with the above answers.</t>
  </si>
  <si>
    <t>d. Describe any additional eligibility criteria other than those indicated above, i.e., information needed to determine if applicant can comply with lease terms. Note: Selection criteria designed to assess anything other than the ability to comply with lease terms generally run afoul of fair housing laws designed to protect equal access to housing for people with disabilities.</t>
  </si>
  <si>
    <t>See Between the Lines, A Question and Answer Guide on Legal Issues in Supportive Housing Chapter 4.</t>
  </si>
  <si>
    <t xml:space="preserve">e. List the tenant disclosures you provide to applicants/tenants. Example: Megan's Law disclosures. </t>
  </si>
  <si>
    <t>f. How you will use the local Coordinated Entry System (CES) for selecting tenants? If the local Coordinated Entry System is not yet operational, describe your plan to
   use it for tenant selection when it is established. In your response, include the name and contact information for your system contact person.</t>
  </si>
  <si>
    <t>a. Describe marketing/outreach efforts to publicize to potential tenants.</t>
  </si>
  <si>
    <t xml:space="preserve">b. If your tenants will include minor children and / or adult dependents, describe the specific marketing outreach that will be used to publicize unit availability. </t>
  </si>
  <si>
    <t>c. For units restricted to Special Need Populations (SNP), describe your plan to prioritize highly vulnerable households referred by the local CES.</t>
  </si>
  <si>
    <t>3. Characteristics of SNP</t>
  </si>
  <si>
    <t>a. Please confirm compliance by checking all of the characteristics that apply to the units in your Project:</t>
  </si>
  <si>
    <t>Tenant holds a lease in his/her name and is responsible for paying rent?</t>
  </si>
  <si>
    <t>Tenant has his/her own room or apt. and is individually responsible for selecting a roommate in any shared tenancy?</t>
  </si>
  <si>
    <t xml:space="preserve">Tenant may stay as long as he/she pays his/her share of rent and complies with the terms of his/her lease? </t>
  </si>
  <si>
    <t>b. Typically, all the characteristics listed above must be present in order for the Project to be eligible as SH and SNP. Please explain mitigating circumstances for any missing characteristic.</t>
  </si>
  <si>
    <t>1 year</t>
  </si>
  <si>
    <t>2 years</t>
  </si>
  <si>
    <t xml:space="preserve">The LSP is the entity that has overall responsibility for the provision of supportive services &amp; implementation of the Supportive Services Plan. The LSP provides comprehensive case management services (individualized services planning &amp; the provision of connections to mental health, substance use, employment, health, housing retention) and may also coordinate with other agencies that do so. </t>
  </si>
  <si>
    <t>&gt;=3 years</t>
  </si>
  <si>
    <t>&lt;2 years</t>
  </si>
  <si>
    <t>How Long has the LSP been providing services to homeless:</t>
  </si>
  <si>
    <t>&gt;=2 Years</t>
  </si>
  <si>
    <t xml:space="preserve">How many Projects have the Sponsor and LSP completed together? (Provide list of completed Projects when submitting) </t>
  </si>
  <si>
    <t>§7302 (e)(5)(A) The Lead Service Provider must have at least three (3) years’ experience providing services to at least five (5) households of the same target population at any one time in a residential setting (which can include scattered site housing with multiple owners);</t>
  </si>
  <si>
    <t>&gt;=4, &lt;5 Years</t>
  </si>
  <si>
    <t>Years of experience providing the above services?</t>
  </si>
  <si>
    <t>&gt;=5 Years</t>
  </si>
  <si>
    <t>§7302 (e)(5)(C) The property management agent must have at least one (1) year of experience managing a Project  with Units restricted by a public agency to a Special Needs Population.</t>
  </si>
  <si>
    <t>Property management agent, years of experience providing the above services?</t>
  </si>
  <si>
    <t>&gt;=2, &lt;=3 Years</t>
  </si>
  <si>
    <t>&gt;3, &lt;4 Years</t>
  </si>
  <si>
    <t>&gt;=4 Years</t>
  </si>
  <si>
    <t>How Services will be Coordinated</t>
  </si>
  <si>
    <t xml:space="preserve">Describe benefits counseling and advocacy, including assistance in accessing SSI/SSP, enrolling in Medi-Cal: </t>
  </si>
  <si>
    <t xml:space="preserve">Describe Critical Time Intervention: </t>
  </si>
  <si>
    <t xml:space="preserve">Describe Motivational Interviewing: </t>
  </si>
  <si>
    <t xml:space="preserve">Describe Peer Support (include length of time Peer Support program used, if applicable): </t>
  </si>
  <si>
    <t>2.Fully describe the policies and procedures of the following. Include a description of initial and periodic training plans including who will be trained, type of training, cost and how often training occurs.</t>
  </si>
  <si>
    <t>Describe case conferencing:</t>
  </si>
  <si>
    <t>Describe how applicants and residents are made aware of the reasonable accommodations procedure, and assisted with such requests:</t>
  </si>
  <si>
    <t>Describe appropriate responses to tenant crises:</t>
  </si>
  <si>
    <t>Describe retention of tenants regardless of their use of substances:</t>
  </si>
  <si>
    <t>Describe cultural competency:</t>
  </si>
  <si>
    <t>Required Services: List and describe all required services to be provided to tenants, including all service needs of the targeted populations as listed above. The chart must include each of the services listed. Please be sure that the services listed address all the service needs of all the target populations as listed above. Attach the agreement or commitment letter for each of the minimum services listed. If the tenant will be referred to another agency for a service, attach an agreement or commitment letter from the agency that will be providing the service directly.</t>
  </si>
  <si>
    <t>Describe service, including the frequency.</t>
  </si>
  <si>
    <t>Provider's Name</t>
  </si>
  <si>
    <t>Sponsor, separate division of Sponsor’s organization, or a Project Partner</t>
  </si>
  <si>
    <t>If service will be provided by a non-Sponsor entity, indicate type of agreement under which service will be provided.</t>
  </si>
  <si>
    <t>Case management with individual service plans</t>
  </si>
  <si>
    <t>Benefits counseling and advocacy:
-SSI/SDI
-MediCal
-CalWORKs
-VA compensation</t>
  </si>
  <si>
    <t>Mental health care:
-Group, family and individual
-Therapy/counseling
-Veteran related trauma 
-Medication</t>
  </si>
  <si>
    <t>Physical health care:
-preventative health
-prescriptions</t>
  </si>
  <si>
    <t>Substance use services:
-Inpatient/Outpatient services
-Medically assisted treatment
-Counseling</t>
  </si>
  <si>
    <t>Additional Services: List and describe all additional services to be provided to tenants. Indicate on the chart if a particular service is not needed for the target population and insert or attach a justification. Examples of specific services are provided on the left hand column below. If multiple services will be provided in the service categories provided below, attach any additional description. Empty spaces are available at the bottom of the table for the applicant to describe services not listed.</t>
  </si>
  <si>
    <t xml:space="preserve">Describe service, including the frequency, service location, and how they are tailored to the Target Population. </t>
  </si>
  <si>
    <t>Employment &amp; OJT placement/training:
-job search
-resume writing
-interview assistance
-job placement
-OJT training</t>
  </si>
  <si>
    <t>Education assistance/benefits information:
-GI Bill counseling
-college application assistance
-financial aid assistance</t>
  </si>
  <si>
    <t>Financial counseling/debt counseling:
-debt mitigation
-budgeting
-emergency savings
-predatory practices</t>
  </si>
  <si>
    <t>Childcare assistance/services:
-transportation to/from
-onsite daycare
-afterschool care
financial assistance
-parenting education</t>
  </si>
  <si>
    <t>Family law service:
-pro bono legal advice
-no/low cost legal services
-custody disputes
-divorce
-domestic violence restraining orders</t>
  </si>
  <si>
    <t>Life skills/soft skills:
-grooming
-nutrition/cooking
-interpersonal communication
-laundry/household maintenance</t>
  </si>
  <si>
    <t>Legal services:
-reinstatement of benefits after incarceration
-discharge upgrades
-pro bono legal advice
-diversion courts</t>
  </si>
  <si>
    <t>Out-patient family therapy/counseling:
-family counseling
-individual counseling
-couple's counseling</t>
  </si>
  <si>
    <t>Domestic violence support:
-DV center
-restraining order assist.
-safety plan
-contact w/law enforcement
-credit/identity locks</t>
  </si>
  <si>
    <t>Food bank/meal support services:
-no cost/low cost food
-SNAP/TANF support</t>
  </si>
  <si>
    <t xml:space="preserve">Other Service: (Specify)
</t>
  </si>
  <si>
    <t>Other Service: (Specify)</t>
  </si>
  <si>
    <t>1. Describe the accessibility of community services to which you propose linkages, whether they are on-site or in close proximity to the Project, including the hours they are available, and the frequency, travel time and cost to the tenant for transportation required to access the services to include both public transportation and private transportation services (e.g. van owned by the provider). Provide documentation, in the form of Memorandum of Understanding, Memorandum of Agreement, letters of support or contracts demonstrating who will be responsible for ensuring access to services and how accessibility will be accomplished if not already included in agreement provided for service provision.</t>
  </si>
  <si>
    <t xml:space="preserve">2. Describe how services will accommodate cultural, trauma-based, and disability related barriers to services. </t>
  </si>
  <si>
    <t>Section 3: Verification from Appropriate Public or Non-profit Funding Agency</t>
  </si>
  <si>
    <t xml:space="preserve">All applications shall include a verification from an appropriate funding entity (either public or non-profit) knowledgeable about the supportive service needs of the targeted population, indicating that the proposed services are appropriate to meet the needs of the targeted SH and SN population(s). The verification shall endorse the primary service provider as a known provider of support services to the target population the sponsor is proposing to serve. The Project Sponsor and/or Service Provider are not eligible to provide the Funding Agency Verification. </t>
  </si>
  <si>
    <t>Please use the attached Supportive Service Verification form from the Appropriate Public or Non-Profit Agency. Please submit one verification for each target population. If appropriate, a single funder may provide a verification for multiple populations (i.e. a County Department of Health Services could provide a verification for a Project serving individuals with HIV/AIDS, Chronic Substance Abuse and Other Chronic Health Conditions). Please be sure to indicate on the verification form the target populations to which each verification applies.</t>
  </si>
  <si>
    <t xml:space="preserve">											</t>
  </si>
  <si>
    <t xml:space="preserve">												</t>
  </si>
  <si>
    <t>6. If you plan to conduct tenant satisfaction surveys, describe how they will be conducted, including the frequency, the types of questions asked, how they will be reviewed, and how the results will be used to improve building operations and service delivery.</t>
  </si>
  <si>
    <t xml:space="preserve">7. Describe your strategies to engage residents in services, services planning/operations, and in building community and facility operations. Also indicate how those with
    disabilities will be connected to the community within the building. </t>
  </si>
  <si>
    <t>1. Summarize your written policies and procedures on privacy and confidentiality of residents.</t>
  </si>
  <si>
    <t>2. Summarize your written policies and procedures on sign in/out procedures, fire/safety drills, posted local contacts in case of emergency.</t>
  </si>
  <si>
    <t>3. Describe your building design safety features for ensuring resident and staff safety (include lighting, entrance/exits, locked doors, common area locations).</t>
  </si>
  <si>
    <t>4. Summarize your written policies and procedures on ensuring staff safety.</t>
  </si>
  <si>
    <t xml:space="preserve">5. Summarize your written policies for addressing violations of resident/staff safety by residents or staff. </t>
  </si>
  <si>
    <t>6. Describe your guest/visitor policy for residents.</t>
  </si>
  <si>
    <t xml:space="preserve">7. Summarize your written policies for coordination with property management for resolution of tenant issue. </t>
  </si>
  <si>
    <t>Part V. Staffing</t>
  </si>
  <si>
    <t>1. List all staff positions that will provide services to the tenants of the target populations listed above. Include Sponsor or LSP staff positions, and any staff positions of partnering organizations who have committed time to the Project. Include your services coordination staff.  For each position, list the position title, minimum requirements, the full-time equivalent (FTE), the organization under which the position resides, and the location of the position (on-site or off-site).  Attach a copy of each positions duty statement.</t>
  </si>
  <si>
    <t>Note: All staff positions listed here must be reflected in the Supportive Services Budget. Be sure to indicate which staff position will be responsible for Homeless Management Information System data entry. If the cost of supportive service position is included as part of the Project’s operating budget and the position will serve SH and SNP units, that position must be included in this chart.</t>
  </si>
  <si>
    <t>Enter a summary of required staff's experience and education. Note: doesn't take the place of the job description or duty statement.</t>
  </si>
  <si>
    <t>Indicate FTE staff positions for all project units (half-time is 0.5 FTE)</t>
  </si>
  <si>
    <t>Indicate FTE staff positions for SH/SNP (half-time is 0.5 FTE)</t>
  </si>
  <si>
    <t>This could be the LSP, Sponsor or a Project Partner</t>
  </si>
  <si>
    <t>2. Describe the roles of all services staff listed in the Staffing Chart. Describe how the services staff will collaborate to function as a team and avoid duplication of services.</t>
  </si>
  <si>
    <t>Total Project Units (not including managers)</t>
  </si>
  <si>
    <t>Total FTE Service Staff from the Staffing Chart (cells AA250-AA259)</t>
  </si>
  <si>
    <t>Number of units per FTE Staff Person (a÷b)</t>
  </si>
  <si>
    <t xml:space="preserve">2.  Complete Case Manager Staffing Ratio chart. Include all case management staff from staffing &amp; budget forms. Do not include administrative, supervisorial or other direct service positions. </t>
  </si>
  <si>
    <t>SH Chronic Homeless</t>
  </si>
  <si>
    <t>SNP Homeless with Disability</t>
  </si>
  <si>
    <t>SNP Other</t>
  </si>
  <si>
    <t>Maximum Case Mgr. Ratio</t>
  </si>
  <si>
    <t>SH Chronic Homeless Case Manager Staffing Ratio</t>
  </si>
  <si>
    <t>Total units for SNP Chronic Homeless</t>
  </si>
  <si>
    <t>Total case manager FTE devoted to tenants</t>
  </si>
  <si>
    <t>Number of units per case manager FTE (a÷b)</t>
  </si>
  <si>
    <t>SNP Homeless with Disability Case Manager Staffing Ratio</t>
  </si>
  <si>
    <t>Total  units for SNP Homeless with Disability per §7301(z)</t>
  </si>
  <si>
    <t xml:space="preserve">Total case manager FTE devoted to tenants </t>
  </si>
  <si>
    <t>Number units per case manager FTE (e÷f)</t>
  </si>
  <si>
    <t>SNP Other Case Manager Staffing Ratio</t>
  </si>
  <si>
    <t>Total units for SNP Other per §7301(z)</t>
  </si>
  <si>
    <t>Number of units per case manager FTE (g÷h)</t>
  </si>
  <si>
    <t>Section 1: Supportive Services Budget and Cost Per Unit Table
In the table below, provide a line item breakdown for all costs associated to Supportive Services for the entire project. This should include income, expenses, staff, and in-kind services. A funding source should be identified for all costs, if available, showing as committed or non-committed sources of funding. Total SS expenses cannot be greater than income and external sources of funding.</t>
  </si>
  <si>
    <t>Supportive services expenses included as part of the Project's Operating Budget (as documented in the MHP Application) must be included in this Supportive Services Budget below. These funds should be equal to or less than the maximum allowable amount identified in the Supportive Services Cost calculator (S2-Supportive Service Costs tab). Additionally, these funds must be listed as "Project Operations" in the Income Source column and as "Not Committed" in the Status column.</t>
  </si>
  <si>
    <t>Income Source/Program Name</t>
  </si>
  <si>
    <t>Supportive Services Cost Per Unit: Permanent supportive housing best practice suggests a range between $5,000 - $10,000 annually in services per household, depending upon the intensity of the needs of the target population. Complete the following calculation about supportive services cost per unit for your Project. If your supportive services cost per unit, as calculated below, differ from industry practice, provide a narrative explanation. The Project must meet/address the industry standard.</t>
  </si>
  <si>
    <t>Supportive Services Expense Per Unit Calculation</t>
  </si>
  <si>
    <t>Total Overall Units</t>
  </si>
  <si>
    <t>Total overall SNP units</t>
  </si>
  <si>
    <t xml:space="preserve">Total supportive service expenses </t>
  </si>
  <si>
    <t>Total Supportive Service Expenses per unit (b÷a)</t>
  </si>
  <si>
    <t>Total MHP Assisted Units</t>
  </si>
  <si>
    <t xml:space="preserve">Total MHP Assisted SNP units </t>
  </si>
  <si>
    <t>Percentage of MHP SNP Assisted units (d÷a)</t>
  </si>
  <si>
    <t>Total Estimated costs attributed to MHP SNP assisted units (b*e)</t>
  </si>
  <si>
    <t>1. Describe how budgeted amounts are adequate to provide services described in Supportive Services Plan and in Services Staffing Table:</t>
  </si>
  <si>
    <t xml:space="preserve">2. Document committed funds with letter from committing agency that includes the following. Documented services/funding must appear in Supportive Services Budget Table. </t>
  </si>
  <si>
    <t>3. Describe your experience filling major services funding gaps in similar housing. If you haven’t experienced any service gaps, then write Not Applicable.</t>
  </si>
  <si>
    <t xml:space="preserve">4. Describe in specific terms the plan to fill any service gaps that occur during Project life due to expiration of grants, partner withdrawals, cancellation of a commitment or any other reason. </t>
  </si>
  <si>
    <t>Section 3: Service Funding History Table: 
The purpose of this section is to document the funding history of the LSP. The LSP shall document a history of securing supportive service funding sufficient for HCD to make a determination that the provider will be able to access funds from the programs that fund the services identified in the Supportive Services Chart. List only funding obtained in the last five years. Complete the table containing the information required below:</t>
  </si>
  <si>
    <t>(Name of Lead Service Provider)</t>
  </si>
  <si>
    <t>Award Date &amp; Funding Term</t>
  </si>
  <si>
    <t>Part VII. Measurable Outcomes and Plan for Evaluation</t>
  </si>
  <si>
    <t xml:space="preserve">Outcomes are what you expect to happen for the people served by your project. Outcomes are sometimes called results. Outcome objectives are time-specific measurable goals that identify how you know if you are achieving your desired results. Outcome objectives are sometimes called outcome benchmarks or indicators. </t>
  </si>
  <si>
    <t xml:space="preserve">Please categorize the outcomes for your project into the following three categories: </t>
  </si>
  <si>
    <t>Increased Skills and/or Income: tenants gain job-related skills, participate in job-related training and/or education, gain stipend part-time or full-time supported employment, gain access to mainstream service/income support programs for which they are eligible (see examples in cell comments to the right)</t>
  </si>
  <si>
    <t>1. Describe your evaluation plan. Include how you intend to collect, track and analyze data on the effectiveness of your project, including the outcomes projected above. Indicate who will analyze the data and perform your program evaluation. (e.g., staff, consultant, etc.).</t>
  </si>
  <si>
    <t>At High Risk Project Requirements</t>
  </si>
  <si>
    <t>MHP §7302(e)(4) At High Risk,  means Projects that meet the requirements for at-risk projects set forth in California Tax Credit Allocation Committee (TCAC) Regulations, Title 4 CCR, Division 17, Chapter 1, Section 10325, including meeting the definition of “at risk of conversion” as defined for the low-income housing tax credit program in Revenue and Taxation Code Section 17058(c)(6).</t>
  </si>
  <si>
    <t>TCAC §10325(g)(4) At-risk projects. To be considered At-risk housing, the application shall meet the requirements of Revenue &amp; Taxation (R&amp;T) Code subsection 17058(c)(4), except as further defined in TCAC §10325(g)(4)(B)(i) below, as well as the following additional threshold requirements, and other requirements as outlined in this subsection:</t>
  </si>
  <si>
    <t>Project Meets/ Does Not Meet</t>
  </si>
  <si>
    <t>(A) Projects are subject to a minimum low-income use period of 55 years (50 years for projects located on tribal trust land);</t>
  </si>
  <si>
    <t>(B) Project application eligibility criteria include:</t>
  </si>
  <si>
    <t xml:space="preserve">(i) </t>
  </si>
  <si>
    <t>before applying for Tax Credits, the project must meet the At-risk eligibility requirements under the terms of applicable federal and state law as verified by a third party legal opinion, except that a project that has been acquired by a qualified non-profit organization within the past five years of the date of application with interim financing in order to preserve its affordability and that meets all other requirements of this section, shall be eligible to be considered an “at-risk” project under these regulations. A project application will not qualify in this category unless it is determined by the Committee that the project is at-risk of losing affordability on at least 50% of the restricted units due to market or other conditions;</t>
  </si>
  <si>
    <t>(ii)</t>
  </si>
  <si>
    <t>the project, as verified by a third party legal opinion, must currently possess or have had within the past five years from the date of application, either federal mortgage insurance, a federal loan guarantee, federal project-based rental assistance, or, have its mortgage held by a federal agency, or be owned by a federal agency or be currently subject to, or have been subject to, within five years preceding the application deadline, the later of Federal or State Housing Tax Credit restrictions whose compliance period is expiring or has expired within the last five years and at least 50% of whose units are not subject to any other rental restrictions beyond the term of the Tax Credit restrictions;</t>
  </si>
  <si>
    <t xml:space="preserve">as of the date of application filing, the applicant shall have sought available federal incentives to continue the project as low-income housing, including, direct loans, loan forgiveness, grants, rental subsidies, renewal of existing rental subsidy contracts, etc.; </t>
  </si>
  <si>
    <t>(iv)</t>
  </si>
  <si>
    <t>subsidy contract expiration, mortgage prepayment eligibility, or the expiration of Housing Tax Credit restrictions, as verified by a third party legal opinion, shall occur no later than five calendar years after the year in which the application is filed, except in cases where a qualified non-profit organization acquired the property within the terms of (i) above and would otherwise meet this condition but for: 1) long-term use restrictions imposed by public agencies as a condition of their acquisition financing; or 2) HAP contract renewals secured by the qualified non-profit organization for the maximum term available subsequent to acquisition;</t>
  </si>
  <si>
    <t>(v)</t>
  </si>
  <si>
    <t>the applicant agrees to renew all project based rental subsidies (such as Section 8 HAP or Section 521 rental assistance contracts) for the maximum term available and shall seek additional renewals throughout the project's useful life, if applicable;</t>
  </si>
  <si>
    <t>(vi)</t>
  </si>
  <si>
    <t>at least seventy percent (70%) of project tenants shall, at the time of application, have incomes at or below sixty percent (60%) of area median income;</t>
  </si>
  <si>
    <t>(vii)</t>
  </si>
  <si>
    <t>the gap between total development costs (excluding developer fee), and all loans and grants to the project (excluding Tax Credit proceeds) must be greater than fifteen percent (15%) of total development costs; and,</t>
  </si>
  <si>
    <t>(viii)</t>
  </si>
  <si>
    <t>a public agency shall provide direct or indirect long-term financial support of at least fifteen percent (15%) of the total project development costs, or the owner’s equity (includes syndication proceeds) shall constitute at least thirty percent (30%) of the total project development cost.</t>
  </si>
  <si>
    <t>At High Risk Projects must also meet all of the following additional characteristics: §7302(d)(5)</t>
  </si>
  <si>
    <t>They are currently owned by for-profit entities, or non-profits that own no more than three publicly-assisted Rental Housing Developments, or were owned by one of these entities prior to purchase with interim financing no more than five (5) years before the application date by an entity described in the following subsection (B);</t>
  </si>
  <si>
    <t>They are under contract to be purchased by a non-profit meeting the requirements of California Government Code (GOV) Section 65863.11(e), or by a Limited Partnership where the sole general partner is a non-profit that meets these requirements, or are owned by one of these entities; and</t>
  </si>
  <si>
    <t>They are not subject to rent restrictions associated with financial assistance that will survive the event that qualifies them for at-risk status under TCAC Regulations, Title 4 CCR, Division 17, Chapter 1, Section 10325, except where a Project has been acquired by a qualified non-profit organization within the five (5) years preceding the date of application with interim financing in order to preserve its affordability and that meets all other requirements of this section.</t>
  </si>
  <si>
    <t>For Projects receiving financial assistance from HUD or the Department of Agriculture, the Project is not assisted under either the HUD 811 or HUD 202 program or subject to the Low-Income Housing Preservation and Resident Homeownership Act of 1990 (LIHPRHA); and either:</t>
  </si>
  <si>
    <t xml:space="preserve">i </t>
  </si>
  <si>
    <t>The weighted average contract rent for Units in the Project is less than or equal to 0.90 times the weighted average of the relevant Small Area Fair Market Rents (SAFMRs), as published by HUD for these Units; or</t>
  </si>
  <si>
    <t>ii</t>
  </si>
  <si>
    <t>The Project owner previously opted out of an agreement with a public agency that restricted tenant incomes and tenant-paid rents.</t>
  </si>
  <si>
    <t>For Projects not receiving federal assistance, the Department projects the owner could pay off all current secured debt with the proceeds of a new commercial mortgage, assuming that Rents were set at Small Area Fair Market Rent levels.</t>
  </si>
  <si>
    <t>For Projects receiving financial assistance from HUD or the Department of Agriculture, and subject to restrictions associated with financial assistance from other sources, the Project must meet the requirements of both subdivision (D) and (E).</t>
  </si>
  <si>
    <t>§7302(d)(5)(G)(i - vi) Sponsor acknowledges and certifies to follow Rent rules for existing tenants?</t>
  </si>
  <si>
    <t>§7302(d)(5)(H)(i - ii) Sponsor acknowledges and certifies to follow Rent rules for existing over-income tenants?</t>
  </si>
  <si>
    <t>§7302(d)(5)(I)(i - ii) Sponsor acknowledges and certifies to follow proper advance notice to tenants for rent increases?</t>
  </si>
  <si>
    <t>§7302(d)(5)(J) Sponsor acknowledges that no permanent relocation shall be permitted unless reviewed and approved by the Department? No permanent relocation shall be permitted unless reviewed and approved by the Department. Furthermore, no displacement is permitted unless and until the Department has provided express written approval of the Sponsor’s relocation documentation, as more fully specified at §7315.</t>
  </si>
  <si>
    <t>Supportive Housing Experience
This worksheet must be completed if Project has one or more Supportive Housing units:</t>
  </si>
  <si>
    <t>The SH/SNP units will be occupied by households meeting the criteria specified in Appendix A – Defined Terms</t>
  </si>
  <si>
    <t>5)</t>
  </si>
  <si>
    <t>6)</t>
  </si>
  <si>
    <t>7)</t>
  </si>
  <si>
    <t>Enter the name of the entity qualifying for Sponsor experience:</t>
  </si>
  <si>
    <t>Special Needs/Supportive Housing Experience, §7302(d)(6)(B), §7302(f)</t>
  </si>
  <si>
    <t>(1) Sponsor Experience: 
The Sponsor must have experience owning or operating at least one (1) project with Units restricted by a public agency to a Special Needs Population. Projects with occupancy by Homeless and/or Chronically Homeless populations, the Sponsor must have at least two (2) years of experience during the past five years owning or operating (under a long-term master lease or similar arrangement) a rental housing development with at least 10 units occupied by people experiencing Homelessness, with on-site Comprehensive Case Management services.</t>
  </si>
  <si>
    <t xml:space="preserve">Project Name and Address </t>
  </si>
  <si>
    <t>Total # of units</t>
  </si>
  <si>
    <t># of SH/SN units</t>
  </si>
  <si>
    <t xml:space="preserve">Target Population </t>
  </si>
  <si>
    <t>Were at least 10 units occupied by people experiencing Homelessness, with on-site Comprehensive Case Management services?</t>
  </si>
  <si>
    <t xml:space="preserve">Restricted by a Public Agency? </t>
  </si>
  <si>
    <t>Experience Type</t>
  </si>
  <si>
    <t>Years owned and/or operated</t>
  </si>
  <si>
    <t xml:space="preserve">(2) Property Manager Experience: The Property Manager must have at least one (1) year of experience managing a project with Units restricted by a public agency to a Special Needs Population. Projects with occupancy by Homeless and/or Chronically Homeless populations, the Property Manager must have managed for at least three (3) years, rental housing developments with at least 10 units occupied by people experiencing Homelessness, with on-site Comprehensive Case Management services. </t>
  </si>
  <si>
    <t>Total Years:</t>
  </si>
  <si>
    <t xml:space="preserve"> # of SH/SN units</t>
  </si>
  <si>
    <t xml:space="preserve">Restricted by Public Agency? </t>
  </si>
  <si>
    <t># of years serving</t>
  </si>
  <si>
    <t xml:space="preserve">(3) Lead Service Provider Experience: 
MHP Projects - The Lead Service Provider must have at least three (3) years’ experience providing services to at least five (5) households of the same target population at any one time in a residential setting (which can include scattered site housing with multiple owners). Projects with occupancy by Homeless and/or Chronically Homeless populations, Sponsor must utilize a lead service provider (LSP) with at least three (3) years of experience providing Comprehensive Case Management to people experiencing Homelessness in project or tenant-based housing, emergency shelters, transitional housing, or similar programs, or under contract with a public agency, in which Comprehensive Case Management Services were being provided to at least 20 households at a time and are not time limited. A written agreement between the Lead Service Provider and Sponsor or project owner satisfactory to the Department must be submitted with the Program application.
VHHP Projects -  Utilize a LSP with at least four (4) years of experience providing services to individuals and households experiencing Homelessness that includes comprehensive case management (individualized services planning, and the provision of connections to mental health, substance abuse, employment, health, housing retention, and similar services). This experience must include two (2) years of experience providing services that include comprehensive case management to Veterans experiencing Homelessness in Permanent Supportive Housing or Transitional Housing, which can include scattered site housing with multiple owners. This experience must have occurred within the last 10 years and in at least two Projects of 10 or more Units.  </t>
  </si>
  <si>
    <t>Project Name and Address or Description of other Experience</t>
  </si>
  <si>
    <t>Did this experience serve the Target Population in Supportive Housing and include comprehensive case management?</t>
  </si>
  <si>
    <t>Years exp. Occurred</t>
  </si>
  <si>
    <t>Total # of years serving</t>
  </si>
  <si>
    <t>Supportive Services Verification</t>
  </si>
  <si>
    <t>This worksheet must be completed if Project has one or more Supportive Housing or Special Needs units</t>
  </si>
  <si>
    <t>To the Sponsor: Complete the Project sponsor, service provider, Project name and contact information, target population, and name of Verifying Funding Agency information sections below. Then submit this form along with a copy of the Supportive Services Project Plan contained in the application to the appropriate funding agency (public or non-profit) knowledgeable about the supportive services needs of the targeted population(s). For example, for a Project serving chronically mentally ill people, the funding entity could be the County Department of Mental Health.</t>
  </si>
  <si>
    <t>Submission of this form shall constitute certification by the sponsor that a true copy of the Supportive Housing Supportive Services Project Plan submitted in the application has been submitted to the funding agency named below. The form may be submitted to more than one agency or department if necessary.</t>
  </si>
  <si>
    <t>Project Sponsor:</t>
  </si>
  <si>
    <t>Lead Service Provider:</t>
  </si>
  <si>
    <t>Name of Verifying Funding Agency:</t>
  </si>
  <si>
    <t xml:space="preserve">To the public or non-profit funding agency: The Project sponsor named above is submitting an application to the State Department of Housing and Community Development (HCD) requesting funding for the Project named above under the Multifamily Housing Program (MHP) or Veterans Housing and Homelessness Prevention Program (VHHP). The application for MHP or VHHP funding is subject to HCD’s determination that the Project qualifies as a Supportive Housing Project. The findings of your agency will be considered in arriving at this determination. Review the attached copy of the Supportive Services Plan, note your findings in the box below, and complete the signature block below the chart. Attach comments for any “No” and as otherwise necessary. Your cooperation is appreciated. </t>
  </si>
  <si>
    <t>We, as signed below, have reviewed the Supportive Services Plan submitted for the Project named above.</t>
  </si>
  <si>
    <t>The services proposed in the Supportive Services Plan are appropriate to meet the needs of the target population(s) named above.</t>
  </si>
  <si>
    <t>The Project Lead Service Provider is a known provider of support services to the target population(s) listed above.</t>
  </si>
  <si>
    <t>Dated:</t>
  </si>
  <si>
    <t>Statement Completed by (please print):</t>
  </si>
  <si>
    <t>Agency or Department:</t>
  </si>
  <si>
    <t>Agency or Department Address:</t>
  </si>
  <si>
    <t>Agency or Department Phone:</t>
  </si>
  <si>
    <t>FWHG §204</t>
  </si>
  <si>
    <t>Projects shall be eligible for an Award of funds as long as the application demonstrates that all the following threshold requirements have been met:</t>
  </si>
  <si>
    <t>The application involves an Eligible Project pursuant to §202?</t>
  </si>
  <si>
    <t>§202. Eligible Project.</t>
  </si>
  <si>
    <t>Per §303(b)(5) Sponsor/Applicant certifies that all Rehabilitation projects must provide a minimum of 10 percent (10%) of the Restricted Units with mobility features, and a minimum of four percent (4%) of the Restricted Units with hearing and vision features.</t>
  </si>
  <si>
    <t>Per §303(b)(6) Sponsor/Applicant certifies that Senior Rehabilitation projects must provide a minimum of 25 percent (25%) of all Restricted Units.</t>
  </si>
  <si>
    <t>Program funds may only be expended for Rental Housing Developments that meet the following criteria:</t>
  </si>
  <si>
    <t>When Program funds amount to less than twenty-five percent (25%) of the total development/Rehabilitation cost or value of a Project, whichever is applicable, for every one percent (1%) of the total development/Rehabilitation cost or value which Program funds constitute, a minimum of two percent (2%) of the total number of Units of the Rental Housing Development shall be designated as Assisted Units restricted to occupancy by Agricultural Workers.</t>
  </si>
  <si>
    <t xml:space="preserve">Program funds amount to </t>
  </si>
  <si>
    <t>of the total development costs.</t>
  </si>
  <si>
    <t>For every one percent (1%) of the total development/Rehabilitation cost or value which Program funds constitute, a minimum of two percent (2%) of the total number of Units of the Rental Housing Development shall be designated as Assisted Units restricted to occupancy by Agricultural Workers.</t>
  </si>
  <si>
    <t>When the Funds amount to twenty five percent (25%) or more of the total development/Rehabilitation cost or value of a Rental Housing Development, the number of Assisted Units restricted to occupancy by Agricultural Workers shall be directly proportional to the percentage of Program Funds awarded to the total development/Rehabilitation costs.</t>
  </si>
  <si>
    <t>Program Funds amount to twenty five percent (25%) or more of the total development/Rehabilitation cost or value of a Rental Housing Development</t>
  </si>
  <si>
    <t>Assisted Units restricted to occupancy by Agricultural Workers shall be directly proportional to the percentage of Program Funds awarded to the total development/Rehabilitation costs</t>
  </si>
  <si>
    <t>To the greatest extent possible consistent with Fiscal Integrity, at least ten percent (10%) of the Assisted Units shall be restricted to Agricultural Workers with incomes no greater than thirty percent (30%) of AMI. These Units shall be distributed reasonably among bedroom sizes. The remaining ninety percent (90%) of Assisted Units shall be restricted to Agricultural Workers with incomes no greater than 80% of AMI.</t>
  </si>
  <si>
    <t>At least ten percent (10%) of the Assisted Units shall be restricted to Agricultural Workers with incomes no greater than thirty percent (30%) of AMI.</t>
  </si>
  <si>
    <t>Number of Assisted Units no greater than 30% AMI.</t>
  </si>
  <si>
    <t>Sponsor certifies that these Units shall be distributed reasonably among bedroom sizes.</t>
  </si>
  <si>
    <t>The remaining ninety percent (90%) of Assisted Units shall be reserved for Agricultural Workers with incomes no greater than 80% of AMI.</t>
  </si>
  <si>
    <t>Number of Assisted Units greater 30% AMI and less than or equal to 80% AMI.</t>
  </si>
  <si>
    <t>To the greatest extent possible, any non-assisted Units are to be occupied by Agricultural Workers.</t>
  </si>
  <si>
    <t>To the “greatest extent possible” as used in the Guidelines, means that the Awardee must exercise due diligence as a fiduciary to the Project, to meet Program requirements and objectives. For example, to the extent there are two otherwise equally qualified tenants on a waitlist and one is an Agricultural Worker, the Agricultural Worker gets the unit.</t>
  </si>
  <si>
    <t>Sponsor certifies to the greatest extent possible, any non-assisted Units are to be occupied by Agricultural Workers.</t>
  </si>
  <si>
    <t>Sponsor certifies that Assisted Units in a Rental Housing Development required to be made available to lower-income households pursuant to §301 are to be made available at Affordable Rents as defined in HSC §50053.</t>
  </si>
  <si>
    <t>Sponsor certifies that rent limits for initial occupancy and for each subsequent tenancy by a new eligible household shall apply to all Assisted Units in accordance with subdivision (b) of HSC §50053.</t>
  </si>
  <si>
    <t>Multiple Department Funding Sources</t>
  </si>
  <si>
    <t>Use of multiple funding sources on the same Assisted Units is permitted, subject to the following limitation:</t>
  </si>
  <si>
    <t xml:space="preserve">Sponsor acknowledges the HCD Repeal of Stacking Prohibition of Multiple Department Funding Sources Memo shall remain applicable. A maximum of four (4) HCD funding sources comprised of no more than two (2) development loans and two (2) housing-related infrastructure grants may be used on a single Project. </t>
  </si>
  <si>
    <t>Stacking
Memo</t>
  </si>
  <si>
    <t>Sponsor acknowledges that "HCD funding sources” do not include offsite infrastructure funds.</t>
  </si>
  <si>
    <t xml:space="preserve">A Sponsor shall be any individual; joint venture; partnership; limited partnership; trust; corporation; cooperative; Local Public Entity; Tribal Entity; or other legal entity; or any combination thereof; which meets the requirements of subdivisions (b) through (g) noted below, as applicable. </t>
  </si>
  <si>
    <t>The Sponsor shall demonstrate to HCD's satisfaction that the Sponsor is independent from any direction of, or control by, a for-profit entity, and shall meet the requirements of HSC §50517.5.</t>
  </si>
  <si>
    <t>A nonprofit corporation includes a tribally designated housing entity as defined in §4103 of Title 25 of the United States Code and in Health and Safety Code §50104.6.5.</t>
  </si>
  <si>
    <t>Is the Sponsor an eligible Sponsor pursuant to §203?</t>
  </si>
  <si>
    <t>Sponsor shall maintain continuing control of the Rental Housing Development throughout the full term of the Department’s use restriction on the Rental Housing Development. For Projects with co-Sponsors, the co-Sponsor who garnered experience points at the application stage shall control the borrowing entity at construction closing, through permanent financing close of escrow, and for a period of at least seven (7) consecutive years thereafter. After seven (7) years have elapsed since permanent financing close of escrow for a project, the co-Sponsor who garnered experience points at the application stage may be replaced as the controlling entity of the borrower by a co-Applicant who is an eligible Sponsor under this §203. Notwithstanding the forgoing, the party performing the substantial management role in the borrowing entity from the time of the Award through the full term of the Regulatory Agreement may be replaced by a third-party that is an eligible Sponsor under this §203, provided such third-party is deemed acceptable to the Department in its sole and absolute discretion. If the Department’s funding disbursement is structured with or through a special purpose entity, the Sponsor shall exercise continuing control over such special purpose entity in accordance with UMR §8313.2 and throughout the full term of the Department’s use restriction on the Rental Housing Development, as evidenced by the organizational documents of the special purpose entity and all of its constituent tier entities. Sponsor shall certify that it will abide by this control requirement at the time of its application for the funds for the full term of the Regulatory Agreement.</t>
  </si>
  <si>
    <t>All proposed uses of Program funds are eligible pursuant to §205, and otherwise complies with §210.</t>
  </si>
  <si>
    <t>§205. Eligible Use of Funds.</t>
  </si>
  <si>
    <t xml:space="preserve">Sponsor acknowledges that funds shall only be used for Capital Asset related expenses as required by Government Code (GC) §16727. </t>
  </si>
  <si>
    <t>Sponsor acknowledges that eligible costs include all those stated at §205(b)(1-20).</t>
  </si>
  <si>
    <t>Sponsor acknowledges that except as provided in subsection (b)(8) above, no Program funds shall be used for costs associated exclusively with non-Assisted Units or Commercial Space. A Manager’s Unit maybe considered an Assisted Unit for the purpose of allocating development costs. If only a portion of the Rental Housing Development consists of Assisted Units, the Program loan amount shall not exceed the sum of the following: §205(c)(1-3).</t>
  </si>
  <si>
    <t>Sponsor certifies Migrant farmworker assistance as permitted under subdivision (a) of §50517.10 of the HSC.</t>
  </si>
  <si>
    <t>The application is complete pursuant to §402;</t>
  </si>
  <si>
    <t>Sponsor certifies the application meets all threshold requirements, as set forth in the NOFA, §204, and the application?</t>
  </si>
  <si>
    <t>The application provides sufficient information for the Department to assess the proposed Project’s feasibility pursuant to UMR §8310.</t>
  </si>
  <si>
    <t>Determination of the completeness of organizational documents required pursuant to this section and §203 and §204 may occur concurrent with the Project feasibility review.</t>
  </si>
  <si>
    <t>Basic architectural design</t>
  </si>
  <si>
    <t>Basic design, or first-level design, typically refers to the initial stages of planning a structure before getting into specifics.</t>
  </si>
  <si>
    <t>Sponsor certifies that the Department may reduce the score of an application that does not include all information necessary for scoring.</t>
  </si>
  <si>
    <t>The Sponsor shall disclose on the FWHG application whether the Project will be part of an application to TCAC seeking hybrid tiebreaker incentives. This election is irrevocable. Once awarded, the Department will not break up or combine project awards to accommodate a conversion to or from a hybrid project.</t>
  </si>
  <si>
    <t>Sponsor certifies that the Project, as proposed in the application, is financially feasible as evidenced by documentation such as, but not limited to, Enforceable Funding Commitments, market study, project proforma, sources and uses statement, or other feasibility documentation that is standard industry practice for the type of proposed housing development.</t>
  </si>
  <si>
    <t>Sponsor certifies that the Project shall: be underwritten utilizing Rents less utility allowances; be feasible pursuant to the underwriting standards in UMR §8310; and maintain Fiscal Integrity; by adhering to restricted Rents. Rent standards shall be established pursuant to §301. Notwithstanding the foregoing, proposed Rents may be utilized for Restricted Units limited to occupancy by Special Needs Populations targeted at rent levels 30% AMI or below that are designated for households eligible for public cash assistance (for example, Supplemental Security Income, Social Security Disability Insurance, CalWORKS, Cash Assistance Program for Immigrants (CAPI), or county General Assistance) if all of the following conditions are met:?</t>
  </si>
  <si>
    <t>Sponsor acknowledges that funding is prohibited for use in funding predevelopment of developing or operating any housing that is rented, sold, or subleased to an agricultural employer, as defined in §1140.4 of the Labor Code, or its agent, or a farm labor contractor, as defined in §1682 of the Labor Code, or its agent, who employs at least one H-2A worker as defined in §50205, as more fully described in HSC §50517.10(b).</t>
  </si>
  <si>
    <t>Sponsor acknowledges that project funding may be limited based on the presence of farmworkers in the County in which the project is located. The funding limit per County is based on the most recent U.S. Census of Agriculture (hired farm labor), as defined in each NOFA. The applicant shall document that there is sufficient demand for Agricultural Household units in the area in which the project is or will be located as evidenced by a market study.</t>
  </si>
  <si>
    <t xml:space="preserve">For trust or restricted land, a current title status report issued by the BIA is acceptable in lieu of a title report. </t>
  </si>
  <si>
    <t>Sponsor certifies that the Project complies with accessibility and fair housing obligations in §303?</t>
  </si>
  <si>
    <t>Sponsor certifies that the Project complies with all applicable state and federal law with respect to any preference policies for occupancy, as specified and set forth in a written analysis that is submitted with the application. No written analysis is required if priority placement will be given only to prospective tenants who qualify for the following preference categories: §204(s)(1-13)</t>
  </si>
  <si>
    <t>Notwithstanding anything to the contrary contained in this §204(s), all preference policies for occupancy must be compliant with applicable law, including (but not limited to) The Local Tenant Preferences to Prevent Displacement Act of 2022 (GC § 7061), the Teacher Housing Act of 2016 (HSC § 53570 et seq.), and the Employee Rental Housing Act (GC § 54700.1 et seq.).</t>
  </si>
  <si>
    <t>NOTE: These Enforceable Funding Commitments are being requested at "Scoring" sheet, section "E. Project Readiness".</t>
  </si>
  <si>
    <t>In addition to the Threshold Requirements above, Sponsor(s)/Applicant(s) acknowledge, understand, and agree to comply with the following sections of the 2025 FWHG Guidelines.</t>
  </si>
  <si>
    <t>§206 Cost Limitations</t>
  </si>
  <si>
    <t>§207 Type and Term of Loan</t>
  </si>
  <si>
    <t>§208 Maximum Loan Amounts</t>
  </si>
  <si>
    <t>§209 Interest Rate and Loan Repayments</t>
  </si>
  <si>
    <t>§210 Appraisal and Market Study Requirements</t>
  </si>
  <si>
    <t>§211 FWHG Limited Partnership Eligibility Requirements</t>
  </si>
  <si>
    <t>§212 FWHG non-profit Corporation Eligibility Requirements</t>
  </si>
  <si>
    <t>§401 Application Process</t>
  </si>
  <si>
    <t>§501 Legal Documents</t>
  </si>
  <si>
    <t>§502 Sales, Transfers, Encumbrances, and Loan Payoff</t>
  </si>
  <si>
    <t>§503 Defaults and Loan or Grant Cancellations</t>
  </si>
  <si>
    <t>§504 Management and Maintenance</t>
  </si>
  <si>
    <t>§505 Reporting Requirements</t>
  </si>
  <si>
    <t>§506 Annual Operating Budget and Schedule of Rental Income</t>
  </si>
  <si>
    <t>IIG §202</t>
  </si>
  <si>
    <t>Projects shall be eligible for an Award of funds if the application demonstrates that all the following threshold requirements have been met:</t>
  </si>
  <si>
    <t>The application involves an Eligible Capital Improvement Project pursuant to §200?</t>
  </si>
  <si>
    <t xml:space="preserve">§200. Eligible Capital Improvement Projects. </t>
  </si>
  <si>
    <t>The Qualifying Infill Project for which a Capital Improvement Projects grant may be awarded must:</t>
  </si>
  <si>
    <t>Include not less than 15 percent of Affordable Units to be developed in the Qualifying Infill Project as Affordable Units, as follows.</t>
  </si>
  <si>
    <t>Applicant acknowledges that for Qualifying Infill Projects that contain both rental and ownership units, units of either or both product types may be included in the calculation of the affordability criteria.</t>
  </si>
  <si>
    <t>Applicant acknowledges that to the extent included in a Capital Improvement Project grant application, for the purpose of calculating the percentage of Affordable Units, the Department may consider the entire master development in which the development seeking grant funding is included.</t>
  </si>
  <si>
    <t>Applicant acknowledges, where applicable, an Eligible Applicant may include a replacement housing plan to ensure that dwelling units housing persons and families of Lower- or Moderate-Income are not removed from the Lower- and Moderate-Income housing market. Residential units to be replaced shall not be counted toward meeting the affordability threshold required for eligibility for funding under this section.</t>
  </si>
  <si>
    <t>§200(b)(3)(F) A city with a population greater than 100,000 in a standard metropolitan statistical area or a population of less than 2,000,000 may petition the Department for, and the Department may grant, an exception to the density requirements set forth in this subsection, if the city believes it is unable to meet the density requirements described herein. The city shall submit the petition with its application and shall include the reasons why the city believes the exception is warranted. The city shall provide information supporting the need for the exception, including, but not limited to, any limitations that the city may encounter in meeting the density requirements described herein. Any exception shall be for the purposes of this section only. This subdivision shall become inoperative on January 1, 2026.</t>
  </si>
  <si>
    <t>Will the Applicant seek an exception to the density requirements set forth in this subsection?</t>
  </si>
  <si>
    <t>Be located in an area designated for mixed-use or residential development pursuant to one of the following:</t>
  </si>
  <si>
    <t>Applicant certifies to identify a mechanism, such as a minimum density ordinance or a recorded, binding covenant, acceptable to the Department to reliably ensure that future development will occur at an overall Net Density equaling or exceeding that set forth in §200(b)(3). This mechanism must be in effect and legally enforceable prior to the initial disbursement of Program funds.</t>
  </si>
  <si>
    <t xml:space="preserve">Applicant certifies that eligible Applicants shall designate the proposed residential Units in the Qualifying Infill Project that the Eligible Applicant intends to utilize for the purpose of establishing the maximum Program grant amount pursuant to §205, and for the purpose of rating applications pursuant to §400 and §401. Any such designated Units must be utilized for both purposes. </t>
  </si>
  <si>
    <t>Applicant certifies that the application must demonstrate that the percentage of Affordable Units, and Units restricted to other income limits and Rents as designated for the purpose of determining the maximum Program grant amount in §205 and for rating purposes pursuant to §402, shall be maintained or exceeded through the completion of each residential development proposed in the application. The Department may modify the requirement set forth in the previous sentence to conform to a similar local public agency requirement, provided that the Department determines that the local requirement will reliably result in completion of the required Affordable Units as set forth in §403.</t>
  </si>
  <si>
    <t>In addition to the Program requirements described herein, projects proposed by Tribal Entity Applicants must also meet the following additional requirements:</t>
  </si>
  <si>
    <t>Use of multiple funding sources on the same Units utilized in the calculation of the Capital Improvement Project grant amount is permitted, subject to the following limitation:</t>
  </si>
  <si>
    <t xml:space="preserve">Sponsor acknowledges the Department Repeal of Stacking Prohibition of Multiple Department Funding Sources Memo shall remain applicable. A maximum of four (4) Department Funding Sources comprised of no more than two (2) development loans and two (2) housing-related infrastructure grants may be used on a single Project. </t>
  </si>
  <si>
    <t>Sponsor/Applicant acknowledges additional limitations on use of multiple department funding sources may be specified in the Notice of Funding Availability (NOFA).</t>
  </si>
  <si>
    <t>Sponsor/Applicant acknowledges limits on Department Funding, including loan or grant funds, on a per Unit, per project, and/or per Recipient/Sponsor basis, may be further specified in the NOFA.</t>
  </si>
  <si>
    <t>Applicant/Sponsor Comments:</t>
  </si>
  <si>
    <t>Is the Applicant an eligible Applicant pursuant to §201. Eligible Applicant?</t>
  </si>
  <si>
    <t>§201. Eligible Applicant.</t>
  </si>
  <si>
    <t>“Eligible Applicant” means one of, or any combination of, the following:</t>
  </si>
  <si>
    <t>Is Applicant a non-profit or for-profit developer of a Qualifying Infill Project?</t>
  </si>
  <si>
    <t>Is Applicant a Tribally Designated Housing Entity that is the Sponsor of a Qualifying Infill Project?</t>
  </si>
  <si>
    <t>Eligible Applicant certifies and acknowledges to maintain a controlling interest in the Qualifying Infill Project throughout the full term of the Department’s use restriction on the Qualifying Infill Project?</t>
  </si>
  <si>
    <t>Applicant acknowledges that the Department shall disburse IIG grant funds only to a Recipient or to a special purpose entity controlled by a Recipient in accordance with UMR 8313.2.</t>
  </si>
  <si>
    <t>Applicant acknowledges that the Recipient shall maintain continuing control over the Rental Housing Development throughout the full term of the Department's use restriction on the Rental Housing Development either directly or through a special purpose entity in compliance with UMR §8313.2. Notwithstanding the foregoing, the Recipient may transfer its interests in the Rental Housing Development to a third-party who meets the criteria of an eligible Applicant under §201, provided the Department consents, in its sole discretion, to the proposed transfer, and on the condition that the Recipient and third-party execute and submit to the Department an assignment and assumption agreement through which the third-party agrees to assume the Recipient’s obligations under all of the Program documents executed by Recipient in connection with the Rental Housing Development.</t>
  </si>
  <si>
    <t>All proposed uses of Program funds are eligible pursuant to §203. Eligible Use of Funds?</t>
  </si>
  <si>
    <t>§203. Eligible Use of Funds.</t>
  </si>
  <si>
    <t>Funds shall be used only for approved eligible costs that are incurred on the Capital Improvement Projects as set forth in this section. In addition, the costs must be reasonable and necessary and must be consistent with the lowest reasonable cost consistent with the Project's scope and area as determined by the Department.</t>
  </si>
  <si>
    <t>Applicant acknowledges that funds shall only be used for Capital Asset related expenses as required by GC §16727.</t>
  </si>
  <si>
    <t>Applicant acknowledges that Eligible costs include the construction, Rehabilitation, demolition, relocation, preservation, acquisition, or other physical improvements of the following: §203(b)(1-18).</t>
  </si>
  <si>
    <t>Structured Parking spaces that are required replacement of Transit Station parking spaces (including replacement required by a transit agency), not to exceed $50,000 per space. Funds awarded for Structured Parking may not exceed 30 percent of the total Award amount.</t>
  </si>
  <si>
    <t>Are costs less than or equal to $50,000 per parking space?</t>
  </si>
  <si>
    <t>Does it exceed 30 percent of the total Award amount.</t>
  </si>
  <si>
    <t>(17)</t>
  </si>
  <si>
    <t>Impact fees required by local ordinance are eligible for Program funding only if used for the identified Capital Improvement Projects. Funded impact fees may not exceed 5 percent of the Program award.</t>
  </si>
  <si>
    <t>Are Impact fees required by local ordinance?</t>
  </si>
  <si>
    <t>Do Funded impact fees exceed 5 percent of the Program award.</t>
  </si>
  <si>
    <t>Applicant acknowledges that costs stated at §203(c)(1-5) are not eligible.</t>
  </si>
  <si>
    <t>Applicant acknowledges that the application is complete pursuant to §401?</t>
  </si>
  <si>
    <t>§401. Application Content and Application Eligibility Requirements.</t>
  </si>
  <si>
    <t>Applicant acknowledges to comply with IIG §401(a).</t>
  </si>
  <si>
    <t>Applicant certifies that the application meets all threshold requirements, as set forth in the NOFA, §202, and the application.</t>
  </si>
  <si>
    <t>Applicant acknowledges that during application review, Department staff may request or accept clarifying information as set forth in the NOFA.</t>
  </si>
  <si>
    <t>Applicant certifies that the application provides sufficient information for the Department to assess the Qualifying Infill Project's feasibility according to §202(g), 202(h),and industry standards.</t>
  </si>
  <si>
    <t>Applicant acknowledges that during application review, Project feasibility may be assessed subsequent to threshold and scoring determinations and must be finalized prior to the close of the award period. In assessing feasibility, Department staff may request and accept corrective documentation as set forth in the NOFA, provided these corrections do not significantly modify Department staff’s threshold or scoring determinations.</t>
  </si>
  <si>
    <t>Applicant certifies that the application includes organizational documents for each Applicant entity?</t>
  </si>
  <si>
    <t>Determination of the completeness of organizational documents required pursuant to this section and §201 and §202 may occur concurrent with the Project feasibility review.</t>
  </si>
  <si>
    <t>NOTE: a Preliminary Title Report is being requested at "Project Overview" sheet.</t>
  </si>
  <si>
    <t>NOTE: a design development site plan is being requested above in item #5. Infill-Aerial Photos are being requested at  "Document Checklist-Full List" sheet, under "Additional reports" section.</t>
  </si>
  <si>
    <t>With the application submission (and prior to permanent loan closing if requested), the Recipient/Sponsor shall submit to the Department an appraisal or market study, or both, dated within one year of the Application due date stated in the NOFA, to:</t>
  </si>
  <si>
    <t>Establish a market value for the land to be purchased or leased as part of the Project.</t>
  </si>
  <si>
    <t>Assist with establishing other reasonable development costs.</t>
  </si>
  <si>
    <t>Assess Fiscal Integrity.</t>
  </si>
  <si>
    <t>Verify an adequate tenant market.</t>
  </si>
  <si>
    <t>NOTE: an appraisal is being request, if applicable, at "Project Overview" sheet. A market study is being requested "Document Checklist-Full List" sheet, under "Additional reports" section.</t>
  </si>
  <si>
    <t>Applicant acknowledges that any appraisal required by the Department shall be prepared at the Recipient’s/Sponsor's expense by an individual or firm which:</t>
  </si>
  <si>
    <t>Has the appropriate license and the knowledge and experience necessary to competently appraise low-income residential rental property.</t>
  </si>
  <si>
    <t>Is aware of, understands, and correctly employs recognized and generally accepted methods and techniques that are necessary to produce a credible appraisal.</t>
  </si>
  <si>
    <t>In reporting the results of the appraisal, communicates each analysis, opinion and conclusion in a manner that is not misleading as to the true value and condition of the property; and</t>
  </si>
  <si>
    <t>Is an independent third party having no identity of interest with the Sponsor, the partners of the Sponsor, the intended partners of the Sponsor, or with the general contractor.</t>
  </si>
  <si>
    <t>Applicant acknowledges that any market study required by the Department shall conform to the market study guidelines adopted by TCAC (including those for acquisition/rehabilitation projects pursuant to Title 4 CCR, §10322(h)(10)), summarize the existing and planned affordable housing developments in the market area, specify any of those with Project type or target population preference or restrictions, document that there is sufficient demand for Project type or target population in the geographic area where the proposed Project is or will be located, and be prepared at the Sponsor's expense by an individual or firm which:</t>
  </si>
  <si>
    <t>Has the knowledge and experience necessary to conduct a competent market study for low-income residential rental property.</t>
  </si>
  <si>
    <t>Is aware of, understands, and correctly employs recognized and generally accepted methods and techniques that are necessary to produce a credible market study.</t>
  </si>
  <si>
    <t>In reporting the results of the market study, communicates each analysis, opinion and conclusion in a manner that is not misleading as to the true market needs for low-income residential property; and</t>
  </si>
  <si>
    <t>Applicant acknowledges that the Department may reduce the score of an application that does not include all information necessary for scoring.</t>
  </si>
  <si>
    <t xml:space="preserve">Applicant acknowledge that applications shall be evaluated for compliance with the threshold and eligibility requirements of these guidelines, and applicable statutes, and scored based on the application scoring criteria listed in Article IV of the Super NOFA – Universal Scoring Criteria. The applications with the highest number of points shall be selected for funding, provided that they meet all threshold and eligibility requirements and achieve specified minimum scores as identified in the NOFA. </t>
  </si>
  <si>
    <t xml:space="preserve">Achieve a minimum point score for Universal Scoring criteria as set forth in the Notice of Funding Availability (NOFA). </t>
  </si>
  <si>
    <t>NOFA §II. Program Requirements.</t>
  </si>
  <si>
    <t>A Project is not eligible for an award unless it meets all the threshold requirements of all applicable Designated Program(s) from which funding is being sought. Please review the individual Program Guidelines and this NOFA for complete information. Further, Sponsors/Applicants must achieve a minimum point score of 80 points in Universal Scoring Criteria to be considered for a funding award (65 points for ranking within the Emerging Developer target).</t>
  </si>
  <si>
    <t>Does the Applicant meet the above requirement?</t>
  </si>
  <si>
    <t>Does the Applicant meet the minimum 65 points for ranking within the Emerging Developer target?</t>
  </si>
  <si>
    <t>Applicant certifies that the Qualifying Infill Project(s), as proposed in the application, is financially feasible as evidenced by documentation such as, but not limited to, Enforceable Funding Commitments, market study, project proforma, sources and uses statement, or other feasibility documentation that is standard industry practice for the type of proposed housing development.</t>
  </si>
  <si>
    <t>Applicant acknowledges that at the time of application review, the Project shall: be underwritten utilizing Rents less utility allowances; be feasible pursuant to the underwriting standards in UMR §8310; and maintain Fiscal Integrity by adhering to restricted Rents. Notwithstanding the foregoing, proposed Rents may be utilized for Restricted Units limited to occupancy by Special Needs Populations targeted at rent levels 30% AMI or below that are designated for households eligible for public cash assistance (for example, Supplemental Security Income, Social Security Disability Insurance, CalWORKS, Cash Assistance Program for Immigrants (CAPI), or county General Assistance) if all of the following conditions are met:</t>
  </si>
  <si>
    <t>Applicant certifies that the Qualifying Infill Project will maintain Fiscal Integrity consistent with proposed Rents in the Assisted Units.</t>
  </si>
  <si>
    <t>UMR §8310 underwriting requirements will not be used to evaluate feasibility of Qualifying Infill Projects. However, the Qualifying Infill Project shall be financially feasible as evidenced by documentation consistent with industry custom and practice, such as information regarding sources, uses, and mandatory debt service, multi-year proformas, and proposed operating budgets. Nothing in this provision shall be interpreted to abrogate or modify application of UMR §8310 where incorporated or referenced elsewhere in these Guidelines.</t>
  </si>
  <si>
    <t>Environmental Site Assessment (ESA) reporting:</t>
  </si>
  <si>
    <t>A Phase I ESA must be completed and dated no more than 12 months prior to the application deadline. The Phase I ESA must indicate that the Qualifying Infill Project site is free from severe adverse environmental conditions, such as the presence of toxic waste.</t>
  </si>
  <si>
    <t>NOTE: A Phase I ESA upload is being requested at "Project Overview" sheet.</t>
  </si>
  <si>
    <t>If the Phase I ESA reveals known or potential contamination, a Phase II ESA is required to be completed and dated no more than 12 months prior to the application deadline. The forgoing §202(h)(1) notwithstanding, if a Phase II ESA has been completed and dated within 12 months prior to the application deadline, the recommending Phase I ESA may have been completed and dated 12 months or more prior to the application deadline.</t>
  </si>
  <si>
    <t>NOTE: If applicable, a Phase II ESA upload is being requested at "Project Overview" sheet.</t>
  </si>
  <si>
    <t>If the Phase I ESA indicates or discloses that the presence of toxic waste is economically infeasible to remove or cannot be mitigated, then the application is ineligible for a Program Award.</t>
  </si>
  <si>
    <t>Applicant certifies that the Phase I ESA does not indicate or disclose that the presence of toxic waste is economically infeasible to remove or cannot be mitigated</t>
  </si>
  <si>
    <t>The threshold requirements discussed in this §202(i) are not applicable where a Tribal Entity Applicant is proposing a Qualifying Infill Project located in Indian Country.</t>
  </si>
  <si>
    <t>Applicant certifies that the Qualifying Infill Project site is reasonably accessible to public transportation, shopping, medical services, recreation, schools, and employment in relation to the needs of the Qualifying Infill Project tenants.</t>
  </si>
  <si>
    <t>Applicant certifies that the Qualifying Infill Project complies with the restrictions on demolition as set forth in UMR §8302;</t>
  </si>
  <si>
    <t>NOTE: Refer to row 170 at "Project Overview" sheet for requirement.</t>
  </si>
  <si>
    <t>Applicant certifies that the Qualifying Infill Project and Capital Improvement Project complies with the site control requirements as set forth at UMR §8303 and §8316 with the additional requirement that the Applicant shall maintain site control of sufficient duration to meet Program requirements.</t>
  </si>
  <si>
    <t>The following shall apply to IIG Qualifying Infill Project project(s):</t>
  </si>
  <si>
    <t>Where site control is in the name of another entity, the Applicant shall provide documentation, in form and substance reasonably satisfactory to the Department, which clearly demonstrates that the Applicant has the right, either directly or indirectly (contractually or through its organizational control of the entity with site control), to acquire or lease the Qualifying Infill Project property prior to or concurrent with construction closing. Acceptable documentation may include, but is not limited to, a purchase and sale agreement, an option, a leasehold interest/option, a disposition and development agreement, an exclusive right to negotiate with a public agency for the acquisition of the site, or contractual or organizational documentation evidencing such control.</t>
  </si>
  <si>
    <t>Where site control will be satisfied by a long-term ground lease, Recipient is responsible for ensuring that the owner of the fee estate and the owner of the leasehold estate execute and record the Department’s Covenant on the title to the Qualifying Infill Project site and the ground lease must be for a term which is no less than the term of the Covenant.</t>
  </si>
  <si>
    <t>Sponsor/Applicant acknowledges that for projects developed in Indian Country, the following exceptions apply:</t>
  </si>
  <si>
    <t>Where site control is a ground lease, the lease agreement between the Tribal Entity and the owner of the Qualifying Infill Project is for a period not less than 50 years. The Recipient is responsible for ensuring that the tribally-designated housing entity (TDHE) and owner of the Qualifying Infill Project execute the Department’s Covenant; and where applicable, the Department’s form lease rider will be approved by and recorded with the BIA; and</t>
  </si>
  <si>
    <t>For trust or restricted land, a current title status report issued by the BIA is acceptable in lieu of a title report.</t>
  </si>
  <si>
    <t>If an Applicant’s site control documentation (e.g., option) will or may expire prior to the anticipated date of the Program Award as specified in the NOFA, the Applicant will satisfy the threshold site control requirement so long as evidence of a valid extension is submitted during the application review period. For purposes of this paragraph, “evidence of a valid extension” means an option (and/or other applicable site control documentation) that is fully executed prior to the expiration of the site control documentation, and that extends the term of the site control documentation through the actual date of the Program award.</t>
  </si>
  <si>
    <t>Additional post-award site control requirements can be found in §205(h).</t>
  </si>
  <si>
    <t>Applicant/Sponsor certifies that the Capital Improvement Project and the Qualifying Infill Project comply with accessibility and fair housing obligations in §300, as applicable?</t>
  </si>
  <si>
    <t>NOTE: These required uploads are being requested at "Scoring" sheet.</t>
  </si>
  <si>
    <t>In addition to the Threshold Requirements above, Sponsor(s)/Applicant(s) acknowledge, understand, and agree to comply with the following sections of the 2025 IIG Guidelines.</t>
  </si>
  <si>
    <t>§204 Cost Limitations</t>
  </si>
  <si>
    <t>§205 Grant terms and limit</t>
  </si>
  <si>
    <t>§205(c) Applicant certifies and acknowledges that over the life of the IIG program (to include the Infill Incentive Grant program of 2007, the Infill Infrastructure Grant program of 2019, any future Catalytic Qualifying Infill Areas NOFAs or future iterations of the Program), the total of all IIG awards for any single Housing Development, Qualifying Infill Project, Qualifying Infill Area, or Catalytic Qualifying Infill Area shall not exceed $90 million.</t>
  </si>
  <si>
    <t>§300 State and Federal Laws, Rules, Guidelines and Regulations</t>
  </si>
  <si>
    <t>§301 Relocation Requirements</t>
  </si>
  <si>
    <t>§400 Application Process</t>
  </si>
  <si>
    <t>Applicant(s) shall be the Payee(s) of the Program award except where the application identifies as a Payee some other legal entity which falls within the definition of Payee as set forth in Appendix A and is fully formed at the time of application submission. There shall be no change in the identity of the Payee(s) after the date of Award.</t>
  </si>
  <si>
    <t>§402 Application Scoring and Selection.</t>
  </si>
  <si>
    <t>§403 Performance Deadlines</t>
  </si>
  <si>
    <t>§501 Defaults and Loan Cancellations</t>
  </si>
  <si>
    <t>§502 Reporting Requirements</t>
  </si>
  <si>
    <t>HCD 2025 Developer Fee Calculator</t>
  </si>
  <si>
    <t>TCAC regulations - 12/11/2024</t>
  </si>
  <si>
    <t>Project Phase:</t>
  </si>
  <si>
    <t>Origination</t>
  </si>
  <si>
    <t>ADMINISTRATIVE NOTICE NO. 24-03</t>
  </si>
  <si>
    <t>Does the proposed Project have a previous HCD award?</t>
  </si>
  <si>
    <t>Applicant must use the Developer Fee calculations already in place from its previous HCD award, do not alter those previous calculations when entering data at the following sheets in this Application; "Dev Sources", "Dev Budget SU", and "Cash Flow".</t>
  </si>
  <si>
    <t>Developer Fee Summary</t>
  </si>
  <si>
    <t>TCAC Project #</t>
  </si>
  <si>
    <t>HCD Limit</t>
  </si>
  <si>
    <t>Project Amt.</t>
  </si>
  <si>
    <t>Deferred Developer Fee payable on a priority basis from available Cash Flow</t>
  </si>
  <si>
    <t>Deferred Developer Fee payable exclusively from Sponsor Distributions</t>
  </si>
  <si>
    <t>Total Budgeted or Actual Developer Fee:</t>
  </si>
  <si>
    <t>Developer Fee Contributed as Capital:</t>
  </si>
  <si>
    <t>Deferred Developer Fee:</t>
  </si>
  <si>
    <t>Proposed Project Type:</t>
  </si>
  <si>
    <t>Project's type of construction:</t>
  </si>
  <si>
    <t>15 Low-Income Special Needs Units</t>
  </si>
  <si>
    <t>Total Special Needs Units</t>
  </si>
  <si>
    <t>25% of Project's Low-Income Units</t>
  </si>
  <si>
    <t>Qualifies for Special Needs increase</t>
  </si>
  <si>
    <t>Developer Fee Limit</t>
  </si>
  <si>
    <t>Project's Unadjusted Eligible Basis (excluding Developer Fee)  - §10327(c)(2)(A)</t>
  </si>
  <si>
    <t>Project's Unadjusted Eligible Acquisition Basis (excluding Developer Fee) - §10327(c)(2)(A)</t>
  </si>
  <si>
    <t>Project's Non-Residential Costs (excluding Developer Fee) - §10327(c)(2)(A)</t>
  </si>
  <si>
    <t>Maximum Developer Fee - per §10327(c)(2)(A)</t>
  </si>
  <si>
    <t>Project qualifies for general partner experience pursuant to  CDLAC §5230(f)(1)(B), TCAC §10327(c)(2)(E)?</t>
  </si>
  <si>
    <t>New Construction &amp; Rehab - Unadjusted Eligible Basis (exclude Developer Fee) - §10327(c)(2)(B)(i)</t>
  </si>
  <si>
    <t>Basis for non-residential Project costs (exclude Developer Fee) - §10327(c)(2)(B)(ii)</t>
  </si>
  <si>
    <t>Developer Fee - per §10327(c)(2)(B)</t>
  </si>
  <si>
    <t>of project’s unadjusted eligible basis in excess of</t>
  </si>
  <si>
    <t>plus</t>
  </si>
  <si>
    <t>=</t>
  </si>
  <si>
    <t>Maximum Cash-Out Developer Fee per 10327(c)(2)(B)(iii)</t>
  </si>
  <si>
    <t>UMR §8312(a)(2-3) for Projects without tax credits Max HCD Developer Fee</t>
  </si>
  <si>
    <t xml:space="preserve">(choose only one in the "a", "b", or "c", subsections) </t>
  </si>
  <si>
    <t>Substantial rehab projects UMR §8312(a)(2)</t>
  </si>
  <si>
    <t>substantial rehab = construction cost for rehab work (excluding contractor profit and overhead) in excess of $48,000 per unit</t>
  </si>
  <si>
    <t>Number of units (include manager's unit)</t>
  </si>
  <si>
    <t>each</t>
  </si>
  <si>
    <t>Units in excess of 30 at:</t>
  </si>
  <si>
    <t>Total substantial rehab</t>
  </si>
  <si>
    <t>Acquisition and rehab projects UMR §8312(a)(2)</t>
  </si>
  <si>
    <t>with construction cost for rehab work (excluding contractor profit and overhead) between $11,500 - $38,000 per unit</t>
  </si>
  <si>
    <t>First 30 units at:</t>
  </si>
  <si>
    <t>Total acquisition and non-substantial rehab</t>
  </si>
  <si>
    <t>All other projects UMR §8312(a)(3)</t>
  </si>
  <si>
    <t>Total other at:</t>
  </si>
  <si>
    <t>per unit</t>
  </si>
  <si>
    <t>Maximum allowable Developer Fee</t>
  </si>
  <si>
    <t>2026 TCAC Threshold Basis Limit (TBL) for HCD Developer Fee UMR §8312(b)&amp;(c) and HCD High-Cost Test for HCD Limits on Development Costs 2017 UMR §8311(a) &amp; (b). Complete all yellow shaded cells.</t>
  </si>
  <si>
    <t>2026 BASIS LIMITS</t>
  </si>
  <si>
    <t>SRO &amp; STUDIO</t>
  </si>
  <si>
    <t>1 BEDROOM</t>
  </si>
  <si>
    <t>2 BEDROOMS</t>
  </si>
  <si>
    <t>3 BEDROOMS</t>
  </si>
  <si>
    <t>4+ BEDROOMS</t>
  </si>
  <si>
    <t xml:space="preserve">County: </t>
  </si>
  <si>
    <t>Project's Proposed Tax Credits:</t>
  </si>
  <si>
    <t>HCD Phase:</t>
  </si>
  <si>
    <t>2026 TCAC Threshold Basis Limits (TBL)</t>
  </si>
  <si>
    <t>Basis x
Number of Units</t>
  </si>
  <si>
    <t>TOTAL UNADJUSTED THRESHOLD BASIS LIMIT (TBL):</t>
  </si>
  <si>
    <t>SRO/Studio</t>
  </si>
  <si>
    <t>TOTAL HCD ADJ. THRESHOLD BASIS LIMIT:</t>
  </si>
  <si>
    <t>1 Bedroom</t>
  </si>
  <si>
    <t>2 Bedrooms</t>
  </si>
  <si>
    <t>3 Bedrooms</t>
  </si>
  <si>
    <t>4+ Bedrooms</t>
  </si>
  <si>
    <t>Total Eligible Basis</t>
  </si>
  <si>
    <t>Manager Units in Project:</t>
  </si>
  <si>
    <t>TOTAL UNITS:</t>
  </si>
  <si>
    <t>ADJUSTMENTS Cal Code of Reg §10327(c)(5)(A-F)</t>
  </si>
  <si>
    <t>Yes/No</t>
  </si>
  <si>
    <t>Adjustment for Projects paid in whole or part out of public funds subject to a legal requirement for the payment of state or federal prevailing wages or financed in part by a labor-affiliated organization requiring the employment of construction workers who are paid at least state or federal prevailing wages (20%).</t>
  </si>
  <si>
    <t>For Projects certifies that (1) they are subject to a Project labor agreement within the meaning of §2500(b)(1) of the Public Contract Code, or (2) they will use a skilled and trained workforce as defined by §25536.7 of the Health and Safety Code to perform all onsite work within an apprenticeable occupation in the building and construction trades (5%).</t>
  </si>
  <si>
    <t>For New construction Projects required to provide parking beneath residential units (not "tuck under" parking) or through construction of an on-site parking structure of two or more levels (10%).</t>
  </si>
  <si>
    <t>For Projects where a day care center is part of the development (2%).</t>
  </si>
  <si>
    <t>For Projects where 100 percent of the units are for Special Needs populations (2%).</t>
  </si>
  <si>
    <t>Project applying under §10325 or §10326 of the TCAC regulations that includes one or more of the features below (up to 20%).</t>
  </si>
  <si>
    <t>(1) All electric. Twenty percent (20%)</t>
  </si>
  <si>
    <t>(2) For rehabilitation projects, electric ready as defined in Section 160.9 of the 2022 Building Energy Efficiency Standards. Fifteen percent (15%)</t>
  </si>
  <si>
    <t>(3) Project shall have onsite renewable generation estimated to produce 50% or more of annual tenant electricity use. If the combined available roof area of the Project structures, including carports, is insufficient for provision of 50% of annual electricity use, then the Project shall have onsite renewable generation based on at least 90% of the available solar accessible roof area. Available solar accessible area is defined as roof area less north facing roof area for sloped roofs, equipment, solar thermal hot water and required local or state fire department set-backs and access routes. A Project not availing itself of the 90% roof area exception may also receive an increase under paragraph (2) only if the renewable generation used to calculate each basis increase does not overlap (5%).</t>
  </si>
  <si>
    <t>(4) Project shall have onsite renewable generation estimated to produce 75% or more of annual common area electricity use. If the combined available roof area of the Project structures, including carports, is insufficient for provision of 75% of annual electricity use, then the Project shall have onsite renewable generation based on at least 90% of the available solar accessible roof area. Available solar accessible area is defined as roof area less north facing roof area for sloped roofs, equipment, solar thermal hot water and required local or state fire department set-backs and access routes. A Project not availing itself of the 90% roof area exception may also receive an increase under paragraph (1) only if the renewable generation used to calculate each basis increase does not overlap (2%).</t>
  </si>
  <si>
    <t>(5) Newly constructed Project buildings shall be 15% or more energy efficient than the 2019 Energy Efficiency Standards (California Code of Regulations, Part 6 of Title 24) by at least 5 EDR points for energy efficiency alone (not counting solar); except that if the local building department has determined that building permit applications submitted on or before December 31, 2019 are complete, then newly constructed Project buildings shall be fifteen percent (15%) or more energy efficient than the 2016 Energy Efficiency Standards (California Code of Regulations, Part 6 of Title 24) (4%).</t>
  </si>
  <si>
    <t>(6) Rehab Project buildings shall have 80% decrease in estimated annual energy use (or improvement in energy efficiency) in the HERS II post rehabilitation (4%).</t>
  </si>
  <si>
    <t>(7) Irrigate only with reclaimed water, greywater, or rainwater (excepting water used for Community Gardens) or irrigate with reclaimed water, grey water, or rainwater in an amount that annually equals or exceeds 20,000 gallons or 300 gallons per unit, whichever is less (1%).</t>
  </si>
  <si>
    <t>(8) Community Gardens of at least 60 square feet per unit. Permanent site improvements that provide a viable growing space within the Project including solar access, fencing, watering systems, secure storage space for tools, and pedestrian access (1%).</t>
  </si>
  <si>
    <t>(9) Install bamboo, stained concrete, cork, salvaged or FSC-Certified wood, natural linoleum, natural rubber, or ceramic tile in all kitchens, living rooms, and bathrooms (where no VOC adhesives or backing is also used) (1%).</t>
  </si>
  <si>
    <t>(10) Install bamboo, stained concrete, cork, salvaged or FSC-Certified wood, or natural linoleum, natural rubber, or ceramic tile in all interior floor space other than units (where no VOC adhesives or backing is also used) (2%).</t>
  </si>
  <si>
    <t>(11) For new construction Projects only, meet all requirements of the U.S. Environmental Protection Agency Indoor Air Plus Program (2%).</t>
  </si>
  <si>
    <t>Project requires seismic upgrading of existing structures, and/or requires toxic or other environmental mitigation as certified by the Project architect/ engineer (lesser of costs or 15% basis adjustment).</t>
  </si>
  <si>
    <t>If Yes, select type of work:</t>
  </si>
  <si>
    <t>Enter Certified Costs of Work:</t>
  </si>
  <si>
    <t>Local development impact fees required to be paid to local government entities. Certification from local entities assessing fees is also required.  WAIVED IMPACT FEES ARE INELIGIBLE.</t>
  </si>
  <si>
    <t>Projects where at least 95% of the Project's upper floor units are serviced by an elevator (10%).</t>
  </si>
  <si>
    <t>Projects wherein at least 95% of the building(s) is constructed as Type I as defined in the California Building Code, in which case, the Type III 10% increase below is not allowed (15%).</t>
  </si>
  <si>
    <t>Projects wherein at least 95% of the building(s) is constructed as (1) a Type III as defined in the California Building Code, or (2) a Type III/Type I combination, in which case, the Type I 15% increase above is not be allowed (10%).</t>
  </si>
  <si>
    <t xml:space="preserve">
(K)</t>
  </si>
  <si>
    <t>Projects within a county with an unadjusted 9% threshold basis limit for a 2-bedroom unit equal to or less than $500,000 and within a census tract designated on the TCAC/HCD Opportunity Map as Highest or High Resource (10%).</t>
  </si>
  <si>
    <t>County Eligibility:</t>
  </si>
  <si>
    <t>TCAC/HCD Opportunity Area Map Tract ID #:</t>
  </si>
  <si>
    <t>Opportunity Map Resource Level:</t>
  </si>
  <si>
    <t>Scoring Criteria
Sponsors/Applicants must achieve a point score of greater than 55.0 points in the Scoring Criteria, including at least twenty 20 points in Readiness to Proceed, to be considered for a funding award.</t>
  </si>
  <si>
    <t>Application due date:</t>
  </si>
  <si>
    <t>Total Project Score:</t>
  </si>
  <si>
    <t>Total Possible Score:</t>
  </si>
  <si>
    <t>Net Density Tiebreaker Score:</t>
  </si>
  <si>
    <t xml:space="preserve">MHP §7318(d)      </t>
  </si>
  <si>
    <t>Applications shall be evaluated for compliance with the threshold and eligibility requirements of these guidelines, and applicable statutes, and scored based on the application scoring criteria listed in Article IV of the Super NOFA –  Scoring Criteria. The applications with the highest number of points shall be selected for funding, provided that they meet all threshold and eligibility requirements and achieve specified minimum scores as identified in the NOFA.</t>
  </si>
  <si>
    <t>IV</t>
  </si>
  <si>
    <t>Scoring Criteria (75 Maximum Points Possible)</t>
  </si>
  <si>
    <t>A.</t>
  </si>
  <si>
    <t>Summary</t>
  </si>
  <si>
    <t>The criteria detailed below and summarized in the following table shall be used to rate applications:</t>
  </si>
  <si>
    <t>Point Score Criteria
(Used in Project ranking separate from Threshold Review)</t>
  </si>
  <si>
    <t>Summary Project Score</t>
  </si>
  <si>
    <t>Scoring Criteria</t>
  </si>
  <si>
    <t>Maximum Score</t>
  </si>
  <si>
    <t>Extent to Which the Project Serves Households at the Lowest Income Levels</t>
  </si>
  <si>
    <t>Funding Priorities</t>
  </si>
  <si>
    <t>Readiness to Proceed</t>
  </si>
  <si>
    <t>Proximity to Amenities</t>
  </si>
  <si>
    <t>Cost Containment</t>
  </si>
  <si>
    <t>Total Possible Points</t>
  </si>
  <si>
    <t>B.</t>
  </si>
  <si>
    <t xml:space="preserve">Extent to which the Project serves households at the lowest income levels (30 points maximum) </t>
  </si>
  <si>
    <t>Applications will be scored based on the percentage of Units restricted to 80 percent of AMI and below, limited to various percentages of AMI, adjusted by household size, and as follows:</t>
  </si>
  <si>
    <t>A maximum of 30 points will be awarded based on the Lowest Income Points Table below.</t>
  </si>
  <si>
    <t>Each “Percent of AMI” category (column) may be used only once. (Please see the Lowest Income Points Table below.) For instance, 50 percent of Restricted Units at 50 percent of AMI cannot be used twice for 100 percent of Units at 50 percent AMI and receive 25 points, nor can 50 percent of Restricted Units at 50 percent of AMI for 12.5 points and 40 percent of Restricted Units at 50 percent of AMI be used for an additional 10 points. However, each “Percent of Restricted Units” category (row) may be used multiple times. For example, 50 percent of Restricted Units at 50 percent of AMI for 12.5 points may be combined with another 50 percent of Restricted Units at 40 percent of AMI to achieve the maximum points.</t>
  </si>
  <si>
    <t>Point values that are only available to projects in Rural Areas are marked with as</t>
  </si>
  <si>
    <t>purple</t>
  </si>
  <si>
    <t>Points Available to Rural Area projects only.</t>
  </si>
  <si>
    <t>% AMI</t>
  </si>
  <si>
    <t>Total Points</t>
  </si>
  <si>
    <t>% of Units</t>
  </si>
  <si>
    <t xml:space="preserve">Points Available </t>
  </si>
  <si>
    <t xml:space="preserve">Points Awarded </t>
  </si>
  <si>
    <t>To receive any points in this category, at least 10 percent of the Restricted Units must be restricted to households with incomes not exceeding 30 percent of AMI.   </t>
  </si>
  <si>
    <t>Qualifying Units</t>
  </si>
  <si>
    <t>Does the Project have at least 10 percent of the Restricted Units restricted to households with incomes not exceeding 30 percent of AMI?</t>
  </si>
  <si>
    <t>These Units cannot be concentrated among a Project’s smaller Units. They must be distributed proportionately across all Unit sizes, or, alternately, more heavily represented among larger Units. To ensure a proportional spread of deeply Affordable Units, at least 10 percent of the larger Units in the Project must be provided at 30 percent of AMI, as applicable. So long as the Sponsor/Applicant meets the 10 percent standard Project-wide, the 10 percent standard need not be met among all the smaller Units.</t>
  </si>
  <si>
    <t>Provided</t>
  </si>
  <si>
    <t>10%
Units
Req.</t>
  </si>
  <si>
    <t>Cum.
Req.</t>
  </si>
  <si>
    <t>Extra / Over</t>
  </si>
  <si>
    <t>Cum.
Prov.</t>
  </si>
  <si>
    <t>5 Bedroom Restricted Units</t>
  </si>
  <si>
    <t>ELI Units Provided</t>
  </si>
  <si>
    <t>4 Bedroom Restricted Units</t>
  </si>
  <si>
    <t>3 Bedroom Restricted Units</t>
  </si>
  <si>
    <t>2 Bedroom Restricted Units</t>
  </si>
  <si>
    <t>1 Bedroom Restricted Units</t>
  </si>
  <si>
    <t>0 Bedroom Restricted Units</t>
  </si>
  <si>
    <t>Restricted Units:</t>
  </si>
  <si>
    <t>Total ELI Units provided</t>
  </si>
  <si>
    <t>Comply with bedroom size distribution?</t>
  </si>
  <si>
    <t>C.</t>
  </si>
  <si>
    <t>Funding Priorities (20 points maximum)</t>
  </si>
  <si>
    <t>Bedroom Count</t>
  </si>
  <si>
    <t>Adjustment Factor</t>
  </si>
  <si>
    <t>Actual LI Unit Count</t>
  </si>
  <si>
    <t xml:space="preserve">Adjusted Units </t>
  </si>
  <si>
    <r>
      <t>Requested MHP Funds Per Adjusted</t>
    </r>
    <r>
      <rPr>
        <u/>
        <sz val="11"/>
        <color rgb="FFFF0000"/>
        <rFont val="Arial"/>
        <family val="2"/>
      </rPr>
      <t xml:space="preserve"> </t>
    </r>
    <r>
      <rPr>
        <u/>
        <sz val="11"/>
        <rFont val="Arial"/>
        <family val="2"/>
      </rPr>
      <t xml:space="preserve">Restricted Unit (20 points) </t>
    </r>
  </si>
  <si>
    <t xml:space="preserve">Points are calculated based on the amount of requested funding divided by the  units restricted to 80 percent AMI and below, adjusted for number of bedrooms, with fewer dollars per unit garnering more points. Point scores are incrementally calculated within a range of 0-20 points. No points are available for projects requesting $250,000 per unit or more. </t>
  </si>
  <si>
    <t xml:space="preserve">The Excel application form utilizes the following formulaic point calculation: </t>
  </si>
  <si>
    <t>= (20 - 19.99 * (cost per unit / $250,000))</t>
  </si>
  <si>
    <t>Cost per adjusted restricted unit:</t>
  </si>
  <si>
    <t xml:space="preserve">To calculate adjusted restricted units, the restricted units of each unit type (bedroom count) are multiplied by the following adjustment factors: </t>
  </si>
  <si>
    <t>TOTAL</t>
  </si>
  <si>
    <t xml:space="preserve">Adjustment Factor </t>
  </si>
  <si>
    <t>Adjusted Units</t>
  </si>
  <si>
    <t>Studio/SRO</t>
  </si>
  <si>
    <t>1-Bedroom</t>
  </si>
  <si>
    <t>2-Bedroom</t>
  </si>
  <si>
    <t>3-Bedroom</t>
  </si>
  <si>
    <t>4-Bedroom or Larger</t>
  </si>
  <si>
    <t>Total:</t>
  </si>
  <si>
    <t>Original Award Letter</t>
  </si>
  <si>
    <t>Provide a copy of the executed award letter for this Project from the Department of Housing and Community Development (HCD).</t>
  </si>
  <si>
    <t>double check net density formulas</t>
  </si>
  <si>
    <t xml:space="preserve">Maybe include language here regarding extra points for being a rural set aside or a multiplier </t>
  </si>
  <si>
    <t>D.</t>
  </si>
  <si>
    <t>Project Sponsor/Applicant and Property Management Experience  (20 Points maximum)</t>
  </si>
  <si>
    <t>Enter the name of the entity qualifying for experience</t>
  </si>
  <si>
    <t>Sponsor affiliated entity</t>
  </si>
  <si>
    <t>Description of the entity qualifying for experience:</t>
  </si>
  <si>
    <t>Sponsor principal</t>
  </si>
  <si>
    <t>Is the Sponsor/Applicant a "Community-Based Developer"? See Appendix A – Defined Terms</t>
  </si>
  <si>
    <t xml:space="preserve">By applying for and receiving points in these categories, Sponsor/Applicant certify that the property shall be owned and managed by entities with equivalent experience scores for the entire affordability period. </t>
  </si>
  <si>
    <t>Development and Ownership Experience. Applications will be scored based on the number of Rental Housing Developments that the Sponsor/Applicant has developed, owned, and operated.</t>
  </si>
  <si>
    <t>For completed Projects, a Sponsor/Applicant may include the experience of its controlled affiliated entities or its principals (e.g., employed by, and under the control of the Sponsor/Applicant and responsible for managing development and ownership activities), but not the experience of non-management board members. If a Sponsor/Applicant relies upon the experience of its principal for scoring, documentation of the principal’s experience is required to be included with the application.</t>
  </si>
  <si>
    <t>For joint applications under this MHP GAP NOFA, only one (1) co-Applicant need qualify for these experience points. Experience among co-Applicants shall not be aggregated. Any change in the ownership that reduces the Sponsor’s/Applicant’s role shall require prior written approval by the Department.</t>
  </si>
  <si>
    <t>To receive points under this paragraph the following conditions must be met:</t>
  </si>
  <si>
    <t xml:space="preserve">Sponsor/Applicant certifies in the application that each Rental Housing Development has maintained Fiscal Integrity since the date of the last prepared financial statement, has maintained a positive operating cash flow from typical residential income alone, and has funded all reserves in accordance with the partnership agreement and any applicable loan documents. </t>
  </si>
  <si>
    <t xml:space="preserve">To obtain development and ownership points for Projects previously developed, owned and operated, a certification document must be submitted with respect to the last full year of ownership by the Sponsor/Applicant, along with verification of the number of years that the Project was owned by that Sponsor/Applicant. To obtain points for Projects previously owned, the ending date of ownership or participation must be no more than ten years from the application deadline. </t>
  </si>
  <si>
    <t>Points are available as follows:</t>
  </si>
  <si>
    <t>Ten (10) Points. - Three (3) to Four (4) projects in service more than three (3) years, of which one (1) shall be in service more than five (5) years and two (2) shall be Department-regulated or projects utilizing low-income housing tax credits allocated by TCAC.</t>
  </si>
  <si>
    <t>Fifteen (15) Points. - Five (5) or more projects in service more than three (3) years, of which one (1) shall be in service more than five (5) years and two (2) shall be Department-regulated or projects utilizing low-income housing tax credits allocated by TCAC.</t>
  </si>
  <si>
    <t>For Special Needs projects or Community-Based Developers only with experience serving target population(s) proposed to be served in the application, points are available as described above or as follows:</t>
  </si>
  <si>
    <t>Sponsor/Applicants certifies that the property manager shall have three or more years’ experience serving the target population(s) proposed to be served in the application.</t>
  </si>
  <si>
    <t>For Special Needs Projects:</t>
  </si>
  <si>
    <t>Is the proposed Project an MHP Special Needs Project?</t>
  </si>
  <si>
    <t>Fifteen (15) Points. - Four (4) or more special needs projects in service more than three (3) years, of which one (1) shall be Department-regulated or a Project utilizing low-income housing tax credits allocated by TCAC.</t>
  </si>
  <si>
    <t>For Community-Based Developers:</t>
  </si>
  <si>
    <t>Is the Sponsor/Applicant a Community-Based Developer?</t>
  </si>
  <si>
    <t>Fifteen (15) Points. - Four (4) or more projects in service more than three (3) years, of which one (1) shall be Department-regulated or a Project utilizing low-income housing tax credits allocated by TCAC.</t>
  </si>
  <si>
    <t># of units</t>
  </si>
  <si>
    <t>Population type</t>
  </si>
  <si>
    <t>&gt; than 10 affordable Units?</t>
  </si>
  <si>
    <t>Placed in service date</t>
  </si>
  <si>
    <t>&gt;3 Years in service</t>
  </si>
  <si>
    <t>&gt;5 Years in service</t>
  </si>
  <si>
    <t>Ownership or Participation within 10 years</t>
  </si>
  <si>
    <t>Date ownership ended</t>
  </si>
  <si>
    <t>Regulated</t>
  </si>
  <si>
    <t>3yearsold</t>
  </si>
  <si>
    <t>5yearsold</t>
  </si>
  <si>
    <t>isregulated</t>
  </si>
  <si>
    <t>IsSN and is 3 years</t>
  </si>
  <si>
    <t>Is CBD and is 3 years</t>
  </si>
  <si>
    <t>…and regulated</t>
  </si>
  <si>
    <t>Property Management Company experience. To receive points under this paragraph, the property management company must meet the following conditions:</t>
  </si>
  <si>
    <t>Enter the Name of the "Property Management Company" Qualifying for Experience:</t>
  </si>
  <si>
    <t>Will the property management company rely upon the experience of its principal for scoring?</t>
  </si>
  <si>
    <t>To obtain points for previous management experience, the ending date of the property management role must be no more than ten (10) years from the application deadline.</t>
  </si>
  <si>
    <t>Three (3) points. - Six (6) to ten (10) projects managed over three (3) years, of which two (2) shall be Department-regulated or projects utilizing low-income housing tax credits allocated by TCAC.</t>
  </si>
  <si>
    <t>Five (5) points. - Eleven (11) or more projects managed over three (3) years, of which two (2) shall be Department-regulated or projects utilizing California low-income housing tax credits allocated by TCAC.</t>
  </si>
  <si>
    <t>For Special Needs projects and for Community-Based Developers, points are available as described above or as follows:</t>
  </si>
  <si>
    <t>Five (5) Points. - Four (4) or more special needs projects in service more than three (3) years, of which one (1) shall be Department-regulated or a Project utilizing low-income housing tax credits allocated by TCAC.</t>
  </si>
  <si>
    <t>Five (5) Points. - Four (4) or more projects in service more than three (3) years, of which one (1) shall be Department-regulated or a Project utilizing low-income housing tax credits allocated by TCAC.</t>
  </si>
  <si>
    <t xml:space="preserve">For completed Projects, a property management company may include the experience of its principals (e.g., employed by, and under the control of the Sponsor/Applicant and responsible for managing operational activities) responsible for property management activities, but not the experience of non-management board members. If a property management company relies upon the experience of its principal for scoring, documentation of the principal’s experience is required to be included with the application. </t>
  </si>
  <si>
    <t>Note: Experience of a Property Management Company and Property Management Company's principal cannot be aggregated.</t>
  </si>
  <si>
    <t>Managed Project regulated by?</t>
  </si>
  <si>
    <t>Project's Completion Date</t>
  </si>
  <si>
    <t>Date Management began</t>
  </si>
  <si>
    <t>Manage or Participation within 10 years</t>
  </si>
  <si>
    <t>Date Management ended</t>
  </si>
  <si>
    <t>Bonafide count</t>
  </si>
  <si>
    <t>Readiness to Proceed (20 points maximum)</t>
  </si>
  <si>
    <t>Applications must successfully achieve points in this category to be considered for funding. The Department shall rescind the award for failure to comply with the bond issuance/construction commencement requirements of the points requested, and as specified in Article I. B.1. Negative points may also be assessed for failure to demonstrate compliance with these point requirements.</t>
  </si>
  <si>
    <t>Twenty (20) points will be awarded to projects that meet the criteria below:</t>
  </si>
  <si>
    <t>•</t>
  </si>
  <si>
    <t>Evidence of Enforceable Funding Commitments for all permanent financing, and evidence of commitments for project-based rental assistance and operating subsidies; and</t>
  </si>
  <si>
    <t>Construction will commence as demonstrated by one of the following two options:</t>
  </si>
  <si>
    <t>Choose one:</t>
  </si>
  <si>
    <t>If low-income housing tax credits are part of the financing structure, applicants are committing to applying to the next application cycle of CDLAC and CTCAC no later than September 8, 2026, for bond financing and 4% federal tax credits with no state tax credit request, and adhering to the CDLAC award bond issuance/construction closing deadline; or</t>
  </si>
  <si>
    <t>If low-income housing tax credits are not part of the financing structure, applicants are committing to commence construction of the project within 180 days of award as documented by the requirements below. No later than 180 days after the date of the award, the Department must receive:</t>
  </si>
  <si>
    <t>an executed construction contract</t>
  </si>
  <si>
    <t>recorded deeds of trust for all construction financing (unless a project’s location on tribal trust land precludes this), binding commitments for permanent financing, binding commitments for any other financing required to complete project construction.</t>
  </si>
  <si>
    <t>issuance of building permits (a grading permit does not suffice to meet this requirement except that in the event that the city or county as a rule does not issue building permits prior to the completion of grading, a grading permit shall suffice; if the project is a design-build project in which the city or county does not issue building permits until designs are fully complete, the city or county shall have approved construction to begin) or the applicable tribal documents; and</t>
  </si>
  <si>
    <t>notice to proceed delivered to the contractor</t>
  </si>
  <si>
    <t>Five (5) points will be awarded for evidence of Enforceable Funding Commitments for all permanent financing, grants, and for commitments of project-based rental assistance, and operating subsidies, excluding: funds applied for under this NOFA, an allocation of tax-exempt bonds, and low-income housing tax credits. For projects with bond financing, any applicable permanent lender commitment of bond financing is required for these points.</t>
  </si>
  <si>
    <t>For both construction financing commitments and permanent financing commitments, a financing commitment will be deemed to be an Enforceable Funding Commitment as this term is defined in Appendix A of the Guidelines, if it has been awarded to the Project or if the Department approves other evidence that the assistance will be reliably available. Contingencies in commitment documents based upon the receipt of an allocation of tax-exempt bonds, or low-income housing tax credits will not disqualify a source from being counted as committed.</t>
  </si>
  <si>
    <t>Sponsor/Applicants certifies to obtaining all Enforceable Funding Commitments for all permanent financing, grants, and for commitments of project-based rental assistance, and operating subsidies, excluding funds applied for under this NOFA, an allocation of tax-exempt bonds, and 4 percent or 9 percent tax credits.</t>
  </si>
  <si>
    <t xml:space="preserve">Sponsor/Applicants acknowledge that in order to receive points under paragraphs (b) and (c) above for deferred payment financing, grant funds, or subsidies from other Department programs, these Department funds must be awarded prior to October 31, 2025. </t>
  </si>
  <si>
    <t>Please explain why this section is "N/A" to the proposed project:</t>
  </si>
  <si>
    <t>For applications that are submitted with a financing structure that does not rely on tax-exempt bond or low-income housing tax credit financing, the Sponsor shall commence construction on the Project within 180 days of the Award, pursuant to NOFA § II(D)(4). For purposes of fulfilling this performance requirement, Sponsor/Applicant may not utilize the land use or environmental approvals extension provided for location within a FEMA Major Disaster Declaration.</t>
  </si>
  <si>
    <t xml:space="preserve">For Projects located within a fire perimeter associated with a FEMA Major Disaster Declaration made up to one (1) year preceding the application due date, these five (5) points will be awarded for certification that all necessary land use approvals or entitlements necessary prior to issuance of a building permit will be completed prior to the construction loan closing. </t>
  </si>
  <si>
    <t>Is Project located within city limits where a FEMA Major Disaster Declaration has been made up to one (1) year preceding the Application due date?</t>
  </si>
  <si>
    <t xml:space="preserve">Sponsor/Applicant certifies that for projects located within a fire perimeter associated with a FEMA Major Disaster Declaration made up to one (1) year preceding the Application due date, all necessary land use approvals or entitlements necessary prior to issuance of a building permit will be completed prior to the construction loan closing . </t>
  </si>
  <si>
    <t>For Projects located outside a fire perimeter associated with a FEMA Major Disaster Declaration but within a county-wide FEMA Major Disaster Declaration made up to one (1) year preceding the application due date, the Sponsor/Applicant must, in addition to providing this certification, demonstrate to the Department’s satisfaction that the Project contributes to providing housing for disaster-impacted households.</t>
  </si>
  <si>
    <t>Is Projects located outside a fire perimeter associated with a FEMA Major Disaster Declaration has been made and the local government responsible for land use approvals or entitlement review is not a city</t>
  </si>
  <si>
    <t>Sponsor/Applicant certifies that for Projects located outside a fire perimeter associated with a FEMA Major Disaster Declaration but within a county-wide FEMA Major Disaster Declaration made up to one (1) year preceding the application due date, the Sponsor/Applicant must, in addition to providing this certification, demonstrate to the Department’s satisfaction that the Project contributes to providing housing for disaster-impacted households.</t>
  </si>
  <si>
    <t>Projects utilizing a FEMA Major Disaster Declaration certification must comply with all applicable threshold requirements in the MFSN Program Guidelines related to documenting the status of local land use approvals.</t>
  </si>
  <si>
    <t>For Projects located in Indian country, Tribal Entity Sponsor/Applicant will be awarded five points for obtaining all land use approvals or entitlements required by tribal law.</t>
  </si>
  <si>
    <t>Is applicant a Tribal Entity</t>
  </si>
  <si>
    <t>is proposed Project located in Indian country?</t>
  </si>
  <si>
    <t>In addition, the Sponsor/Applicant self-certifies that the project will submit a complete application to CTCAC and CDLAC for the September 8, 2026 round.</t>
  </si>
  <si>
    <t>Is Sponsor/Applicant a Tribal Entity</t>
  </si>
  <si>
    <t>Sponsor/Applicant certifies that for Projects located in Indian country, Tribal Entity applicant has submitted of a complete application to the relevant tribal authority exercising jurisdiction over the project for land use approval.</t>
  </si>
  <si>
    <t>Applications that do not demonstrate all committed permanent EFCs or fail to provide the required self-certification will receive zero (0) points for this category.</t>
  </si>
  <si>
    <t>Sponsor/Applicant certifies that the for Projects located in Indian country, Tribal Entity Sponsor/Applicant have a letter signed by a planner certified by AICP, or by an equivalent tribal or non-tribal authority subject to the Department’s satisfaction, indicating the Project meets all of the requirements for approval under tribal law for a tribal nondiscretionary local approval process.</t>
  </si>
  <si>
    <t>Sponsor/Applicants certifies that the American Institute of Certified Planners (AICP) indicating that, in their opinion, the Project meets all of the requirements for approval under a Nondiscretionary Local Approval Process, where an application has not been approved or disapproved by the local authorities.</t>
  </si>
  <si>
    <t>Environmental Approvals - Two (2) points Maximum will be awarded for local certification of CEQA (California Environmental Quality Act) exemption or completion.</t>
  </si>
  <si>
    <t>Per NOFA § II(D)(4) Two (2) points must be obtained for environmental approvals (as described in Section E.2.b. of Article IV). Project sites subject to streamlined ministerial approval or use by right (as further detailed in MHP Guidelines Section 7303.1(h)) must document verification or approval from the applicable local agency in the application. For purposes of fulfilling this performance requirement, Sponsor/Applicant may not utilize the approvals extension provided for location within a FEMA Major Disaster Declaration.</t>
  </si>
  <si>
    <t>Sponsor/Applicants certifies to meet the requirements stated at subparagraph (b) above?</t>
  </si>
  <si>
    <t xml:space="preserve">For Projects located within a fire perimeter associated with a FEMA Major Disaster Declaration made up to one (1) year preceding the application due date, these 2 points will be awarded for certification that the Project is exempt from CEQA or that the CEQA review will be completed prior to the issuance of the Department’s Standard Agreement for funds under this MHP GAP NOFA. For a CEQA exemption pursuant to streamlined ministerial approval or use by right, the Sponsor/Applicant must submit either (1) a legal opinion and certification that the project reasonably meets the eligibility requirements for streamlined ministerial approval or use by right and that all necessary applications and notices have been submitted for review; or (2) documentation from the applicable local agency verifying streamlined ministerial approval or use by right. </t>
  </si>
  <si>
    <t>For Projects located outside a fire perimeter associated with a FEMA Major Disaster Declaration but within a county-wide FEMA Disaster Declaration made up to one (1) year preceding the application due date, the Sponsor/Applicant must, in addition to providing this certification, demonstrate to the Department’s satisfaction that the Project contributes to providing housing for disaster-impacted households.</t>
  </si>
  <si>
    <t>FEMA Major Disaster Declarations that include more than 20 counties will not count for these points.</t>
  </si>
  <si>
    <t>FEMA Major Disaster Declaration includes more than 20 counties?</t>
  </si>
  <si>
    <t>For projects receiving federal funds subject to review under the National Environmental Policy Act (NEPA), a copy of the project’s Authority to Use Grant funds must be provided prior to the construction loan closing. It is not necessary to have the Authority to Use Grant Funds at application stage.</t>
  </si>
  <si>
    <t>Is Project located within a fire perimeter associated with a FEMA Major Disaster Declaration made up to one (1) year preceding the application due date and Sponsor/Applicant certifies that the Project is exempt from CEQA or that the CEQA review will be completed prior to the issuance of the Department’s standard agreement for funds under this MHP GAP NOFA?</t>
  </si>
  <si>
    <t>Is Projects located outside  a fire perimeter associated with a FEMA Major Disaster Declaration has been made and the local government responsible for environmental review is not a city, the Sponsor/Applicant must, in addition to providing this certification, and demonstrate to the Department’s satisfaction that the Project contributes to providing housing for disaster-impacted households.</t>
  </si>
  <si>
    <t>Sponsor/Applicants certifies that all necessary environmental reviews will be completed prior to the completion of a standard agreement?</t>
  </si>
  <si>
    <t>For Projects located in Indian country, Tribal Entity Sponsor/Applicant will not be penalized for not obtaining local certification of CEQA exemption or completion and will be awarded two (2) points for obtaining all environmental clearances required under tribal or federal law, if applicable.</t>
  </si>
  <si>
    <t>Prior to the issuance of the Department’s standard agreement for funds under this NOFA, the Tribal Entity Sponsor/Applicant certifies to obtaining all environmental clearances required under tribal or federal law, if applicable.</t>
  </si>
  <si>
    <t>TCAC Hybrid Projects</t>
  </si>
  <si>
    <t xml:space="preserve">Five (5) points will be subtracted for a Project utilizing low-income housing tax credits that will be part of an Application to TCAC seeking hybrid tiebreaker incentives. </t>
  </si>
  <si>
    <t>Is Project utilizing low-income housing tax credits that will be part of an Application to TCAC seeking hybrid tiebreaker incentives?</t>
  </si>
  <si>
    <t xml:space="preserve">F. </t>
  </si>
  <si>
    <t>Proximity to Amenities (15 points maximum)</t>
  </si>
  <si>
    <t xml:space="preserve">Applications will receive five (5) points for each of the following two (2) point categories, up to a maximum of 10 points as defined below: </t>
  </si>
  <si>
    <t>Infill development and Net Density</t>
  </si>
  <si>
    <t>Proximity to amenities</t>
  </si>
  <si>
    <t>Infill development and Net Density. Five (5) points will be awarded for infill development, including Adaptive Reuse. The Project must meet one of the following requirements of (a) or (b) below, documented by a California licensed professional such as an engineer, surveyor, or architect:</t>
  </si>
  <si>
    <t>Located on a site where either: (Select from below menu).</t>
  </si>
  <si>
    <t>i. At least 75 percent of the site was previously improved (including areas where improvements have been demolished) or used for any use other than Open Space, agriculture, forestry, or mining waste storage.</t>
  </si>
  <si>
    <t>ii. At least 75 percent of the perimeter of the site’s adjoining parcels that are developed with Urban Uses (residential, commercial, industrial, public institutional, transit or transportation passenger facility use, or retail use, or any combination of those uses) but not including lands used for agricultural uses or parcels in excess of 15,000 square feet in size and containing only one single family residence, or is separated from parcels that are developed with Urban Uses only by an improved public right-of-way. In calculating this percentage, perimeters bordering navigable bodies of water and improved Parks shall not be included.</t>
  </si>
  <si>
    <t>Developed at average residential Net Densities on the parcels to be developed that are greater than the densities described below.</t>
  </si>
  <si>
    <t xml:space="preserve">iii. The combination of at least 50 percent of site area as previously improved (including areas where improvements have been demolished) or used for any use other than Open Space, agriculture, forestry, or mining waste storage, and at least 50 percent of the perimeter of the site adjoining parcels that are developed with Urban Uses or is separated from parcels that are developed with Urban Uses only by an improved public right-of-way. In calculating this percentage perimeters bordering navigable bodies of water and improved Parks shall not be included. </t>
  </si>
  <si>
    <t>Select from dropdown list</t>
  </si>
  <si>
    <t>i. For an incorporated city within a nonmetropolitan county and for a nonmetropolitan county that has a micropolitan area: sites allowing at least 20 Units per acre.</t>
  </si>
  <si>
    <t>Net Density: housing Units per acre</t>
  </si>
  <si>
    <t>Is Net Density equal to or greater than required?</t>
  </si>
  <si>
    <t>ii. For an unincorporated area in a nonmetropolitan county not included in clause (i): sites allowing at least 15 Units per acre.</t>
  </si>
  <si>
    <t>Total site area in square feet</t>
  </si>
  <si>
    <t>If Project contains commercial space, answer Cells below.</t>
  </si>
  <si>
    <t>0 bedroom Net Density calculation</t>
  </si>
  <si>
    <t>iii. For a suburban jurisdiction: sites allowing at least 25 Units per acre.</t>
  </si>
  <si>
    <t>Less qualified site deductions in square feet</t>
  </si>
  <si>
    <t>1 bedroom Net Density calculation</t>
  </si>
  <si>
    <t xml:space="preserve">iv. For a jurisdiction in a metropolitan county: sites allowing at least 45 Units per acre. </t>
  </si>
  <si>
    <t xml:space="preserve">Public streets </t>
  </si>
  <si>
    <t>Square ft. of largest residential unit</t>
  </si>
  <si>
    <t>2 bedroom Net Density calculation</t>
  </si>
  <si>
    <t xml:space="preserve">v. For a Rural Area: sites allowing at least 15 Units per acre. </t>
  </si>
  <si>
    <t>Public sidewalks</t>
  </si>
  <si>
    <t># of bedrooms in largest unit</t>
  </si>
  <si>
    <t>3 bedroom Net Density calculation</t>
  </si>
  <si>
    <t>Public Open Space</t>
  </si>
  <si>
    <t>4+ bedroom Net Density calculation</t>
  </si>
  <si>
    <t>Public drainage facilities</t>
  </si>
  <si>
    <t>Commercial square feet</t>
  </si>
  <si>
    <t>Commercial Net Density calculation</t>
  </si>
  <si>
    <t>Net site area in acres (43,560 square feet per acre)</t>
  </si>
  <si>
    <t>Adjusted Net Density as a percentage of required density</t>
  </si>
  <si>
    <t xml:space="preserve">Proximity to amenities. Points will be awarded based on the following (up to a maximum of 5 points): </t>
  </si>
  <si>
    <t>Projects will receive 1 point per site amenity point that would be awarded under TCAC Regulations, Title 4 CCR, Division 17, Chapter 1, §10325(c)(4)(A) or successor regulation (In TCAC regulations, this is a 15-point category, however, achieving all 15 points under TCAC translates to 5 points under this category).</t>
  </si>
  <si>
    <t>Does the proposed Project comply with all requirements to receive the maximum point score available for site amenities under TCAC Regulations, Title 4 CCR, Division 17, Chapter 1, or successor regulation?</t>
  </si>
  <si>
    <t>If not, self certify the number of qualifying points at TCAC Application.</t>
  </si>
  <si>
    <t>Transit points must be for a Transit Station or Major Transit Stop and distance must be measured by a Walkable Route.</t>
  </si>
  <si>
    <t>E.</t>
  </si>
  <si>
    <t>Cost Containment (5 points maximum)</t>
  </si>
  <si>
    <t xml:space="preserve">A Project shall receive one (1) point for each full percent that the project's eligible basis is less than the project's adjusted threshold basis limit, up to a maximum of (5) points. The percentage is calculated by dividing the project’s eligible basis by the project’s adjusted threshold basis limit. </t>
  </si>
  <si>
    <t>Project's total eligible basis</t>
  </si>
  <si>
    <t>Percentage</t>
  </si>
  <si>
    <t xml:space="preserve">For purposes of this subdivision, a Project's adjusted threshold basis limit shall be the Project's threshold basis limit, as if it were a 4 percent LIHTC project, as determined pursuant to §10327(c)(5) of the TCAC regulations, except that the increase for deeper targeting pursuant to §10327(c)(5)(C) of the TCAC regulations that is multiplied by the unadjusted threshold basis limit shall be limited to 80 percent. §10327(c)(5)(C) of the TCAC regulations states that for Projects financed through CDLAC, “an increase of one percent (1%) in the threshold basis limits shall be available for every 1% of the project's Low-Income and Market Rate Units that will be income and rent restricted at or below 50 percent (50%) but above 35 percent (35%) of AMI. An increase of 2 percent (2%) shall be available for every 1% of the project's Low-Income and Market Rate Units that will be restricted at or below 35% of AMI.” The Department, however, will only restrict to income levels in 5 percent increments. 
Any Project may be subject to performance penalties if the project’s total eligible basis determined upon construction completion exceeds the revised total adjusted threshold basis limits for the year the Project completes construction (or the original total eligible threshold basis limit if higher) by 40 percent.    </t>
  </si>
  <si>
    <t>Projects adjusted threshold basis limit</t>
  </si>
  <si>
    <t>Including a boost from TCAC §10327 (c)(5)(c), but not more than 80%.</t>
  </si>
  <si>
    <t>Above 35%, &lt;= 50% AMI</t>
  </si>
  <si>
    <t>Boost</t>
  </si>
  <si>
    <t>Limitation</t>
  </si>
  <si>
    <t>At or below 35% AMI</t>
  </si>
  <si>
    <t>Projects TOTAL HCD ADJ. THRESHOLD BASIS LIMIT:</t>
  </si>
  <si>
    <t>80% Boost - Adjusted threshold basis limit (ATBL)</t>
  </si>
  <si>
    <t>Sponsor acknowledges that any Project may be subject to performance penalties if the project’s total eligible basis determined upon construction completion exceeds the revised total adjusted threshold basis limits for the year the Project completes construction (or the original total eligible threshold basis limit if higher) by 40%.</t>
  </si>
  <si>
    <t>Negative Points – No Maximum
Negative points will be assessed as a reduction to the total score earned. An application will be assessed negative points based on performance penalties assessed pursuant to the Department’s Negative Points Policy (Administrative Notice No. 2022-01), dated March 30, 2022, as amended on November 9, 2022 and April 3, 2023, and as may be subsequently amended.</t>
  </si>
  <si>
    <t>Negative Points Policy (Administrative Notice Number 2022-01</t>
  </si>
  <si>
    <t>If the Sponsor/Applicant is assessed negative points, the Department shall notify the Sponsor/Applicant in writing within the point score letter and will provide opportunity to appeal the negative points assessment pursuant to the appeals process as set forth in this NOFA.</t>
  </si>
  <si>
    <t>F.</t>
  </si>
  <si>
    <t>Tiebreaker Score</t>
  </si>
  <si>
    <t xml:space="preserve">The Funding Priorities point score formula eliminates the need for a tiebreaker scoring criteria. Individual point scores will be carried out to the decimal place necessary to differentiate between scores. </t>
  </si>
  <si>
    <t>Lowest weighted average affordability of all residential Units.</t>
  </si>
  <si>
    <t>a</t>
  </si>
  <si>
    <t>Multiply each income limit applicable to the Project by the number of adjusted residential Units restricted at that income level (market rate units, which do not include units subject to rent and/or occupancy restrictions at 70 percent or 80 percent AMI, shall be designated 100 percent AMI). Unrestricted Manager’s Unit(s) are excluded from this calculation.</t>
  </si>
  <si>
    <t>For purposes of this calculation:</t>
  </si>
  <si>
    <t>·</t>
  </si>
  <si>
    <t xml:space="preserve">Units with federal project-based rental assistance shall be assigned targeted Rent levels no lower than 30 percent AMI regardless of their actual income targeting; and </t>
  </si>
  <si>
    <t>If the average affordability of all unadjusted residential Units, exclusive of Units with rental assistance, is less than 40 percent AMI, then the calculation shall assume a targeted Rent level of 40 percent AMI for each residential Unit that does not have rental assistance.</t>
  </si>
  <si>
    <t>Add the products calculated pursuant to the previous paragraph.</t>
  </si>
  <si>
    <t>Divide the sum calculated pursuant to the previous paragraph by the total number of adjusted residential Units in the Project to obtain the average affordability.</t>
  </si>
  <si>
    <t>Subtract (c) from 1.0.</t>
  </si>
  <si>
    <t>Leverage of other funds.</t>
  </si>
  <si>
    <t xml:space="preserve">Leverage of other funds will be calculated as the amount of funds other than Multifamily Finance Super NOFA funds to be used for permanent financing of the development. </t>
  </si>
  <si>
    <t>Project based housing vouchers, including Faircloth to RAD conversions, will be valued at the amount of permanent amortizing debt that is financed by the additional project income received.</t>
  </si>
  <si>
    <t xml:space="preserve">Local public land donations will be counted as leveraged funds where the value is established with a current appraisal, with the amount discounted to reflect any fees, or other reliably predictable payments required as a condition of the donation. </t>
  </si>
  <si>
    <t>A local public entity ground lease can be represented as a land donation if: the ground lease complies with the leasehold security requirements of UMR §8316; the threshold site control requirements of the applicable Super NOFA Designated Program(s) Guidelines; there are no lease payments in addition to up to $20,000 per year (there must not be any additional lease payments based on project cash flow/residual receipts); and is supported by an appraisal.</t>
  </si>
  <si>
    <t>Sponsor/Applicants acknowledges that local public land donations will be counted as leveraged funds where the value is established with a current appraisal, with the amount discounted to reflect any fees, or other reliably predictable payments required as a condition of the donation.
NOTE: No other land donations types will be consider leverage of other funds.</t>
  </si>
  <si>
    <t>Does the proposed project's development sources include private land donation?</t>
  </si>
  <si>
    <t>What is the value stated at development sources for the private land donation:</t>
  </si>
  <si>
    <t>State Low Income Housing Tax Credit Equity will be removed from the calculation of leverage of other funds.</t>
  </si>
  <si>
    <t>NOTE: Ensure that State Tax Credit Equity amount, in cell T209 at the "Project Overview" sheet is complete and accurate.</t>
  </si>
  <si>
    <t>Previously awarded HCD funds will be removed from the calculation of leverage of other funds as follows:</t>
  </si>
  <si>
    <t>Round 1 Multifamily Finance Super NOFA partial awards will not be removed</t>
  </si>
  <si>
    <t>Was the proposed project partially awarded with Round 1 Multifamily Finance Super NOFA?</t>
  </si>
  <si>
    <t>HCD awards with federal disbursement deadlines prior to 12/31/2027 will not be removed</t>
  </si>
  <si>
    <t>Does your proposed project have an HCD award with federal disbursement deadlines before 12/31/2027?</t>
  </si>
  <si>
    <t>Provide the total HCD award(s) with federal disbursement deadlines before 12/31/2027:</t>
  </si>
  <si>
    <t>50 percent of all other HCD awards will be removed</t>
  </si>
  <si>
    <t>Provide the total of all other HCD award amounts:</t>
  </si>
  <si>
    <t>50 percent of all other HCD awards</t>
  </si>
  <si>
    <t>Add eligible leverage funds in paragraphs (a) and (b) and subtract those excluded in paragraphs (c) and (d).</t>
  </si>
  <si>
    <t>Divide (e) by total Project development cost and express as a decimal.</t>
  </si>
  <si>
    <t>Additional cost containment.</t>
  </si>
  <si>
    <t>The “additional cost containment” category for the Tiebreaker follows the same methodology as the Cost Containment scoring category above. This factor is calculated by dividing the Project’s eligible basis by the Project’s adjusted threshold basis limit as illustrated below:</t>
  </si>
  <si>
    <t>Total Eligible Basis per the Development Budget</t>
  </si>
  <si>
    <t>/</t>
  </si>
  <si>
    <t>Adjusted Threshold Basis Limit per CDLAC Regulation §5230</t>
  </si>
  <si>
    <t>For purposes of this subdivision, a project's adjusted threshold basis limit shall be the project's threshold basis limit, as if it were a 4 percent LIHTC project, as determined pursuant to §10327(c)(5) of the TCAC regulations, except that the increase for deeper targeting pursuant to §10327(c)(5)(C) of the TCAC regulations that is multiplied by the unadjusted threshold basis limit shall be limited to 80 percent. §10327(c)(5)(C) of the TCAC regulations states that for projects financed through CDLAC, “an increase of one percent (1%) in the threshold basis limits shall be available for every one percent (1%) of the project's Low-Income and Market Rate Units that will be income and rent restricted at or below 50 percent (50%) but above 35 percent (35%) of Area Median Income (AMI). An increase of 2 percent (2%) shall be available for every 1% of the project's Low-Income and Market Rate Units that will be restricted at or below 35% of AMI. The Department, however, will only restrict to income levels in 5 percent increments.
Percentages shall not include any percentage points requested or awarded (up to 5 percent) pursuant to the Cost Containment point category. The maximum percentage shall be 25 percent.
The calculation in this paragraph (3) is multiplied by 0.75.</t>
  </si>
  <si>
    <t>Note: Any Sponsor/Applicant may be subject to future performance penalties if the project’s total eligible basis determined upon construction completion exceeds the revised total adjusted threshold basis limits for the year the Project completes construction (or the original total eligible threshold basis limit if higher) by 40 percent.</t>
  </si>
  <si>
    <t xml:space="preserve">Phase 2 Tiebreaker Score </t>
  </si>
  <si>
    <t>In the event of tied point scores, the Department shall rank tied applications based on the application submission time and date. Projects will be ranked in order of the earliest submissions.</t>
  </si>
  <si>
    <t>Sponsor/Applicant Comments</t>
  </si>
  <si>
    <t>Local Approvals and Environmental Review Verification</t>
  </si>
  <si>
    <t>To the Sponsor/Applicant: Submit this form to the agency or department of local government responsible for administration of the items listed. This form may be submitted to more than one agency or department if necessary. If an item is not required, include the reason why in box provided.</t>
  </si>
  <si>
    <t xml:space="preserve">Project Sponsor/Applicant: </t>
  </si>
  <si>
    <t>Sponsor/Applicant Address:</t>
  </si>
  <si>
    <t>Sponsor/Applicant City:</t>
  </si>
  <si>
    <t xml:space="preserve">Project Name: </t>
  </si>
  <si>
    <t xml:space="preserve">Project Address/site: </t>
  </si>
  <si>
    <t xml:space="preserve">Project City: </t>
  </si>
  <si>
    <t xml:space="preserve">Project County: </t>
  </si>
  <si>
    <t>Assessor Parcel Numbers (APNs):</t>
  </si>
  <si>
    <t>To the local jurisdiction: The Sponsor/Applicant named above has submitted an application to the State Dept. of Housing and Community Development (HCD) requesting funding for the Project named above, under the Multifamily Super NOFA. Projects submitted for program funding are subject to a competitive rating process. Project readiness is a component of that process. Verification of items listed below will be used in evaluating Multifamily Super NOFA applications.</t>
  </si>
  <si>
    <t>Is this Project approved "by right"?</t>
  </si>
  <si>
    <t>Applicable for this Project</t>
  </si>
  <si>
    <t>Final date of Public Comment Period</t>
  </si>
  <si>
    <t>Approved  Date</t>
  </si>
  <si>
    <t>CEQA Environmental Clearance is finally approve or unnecessary:</t>
  </si>
  <si>
    <t>CEQA</t>
  </si>
  <si>
    <t>Specify in the box below, items not required and explain why (include documentation, if applicable):</t>
  </si>
  <si>
    <t>Required for this Project?</t>
  </si>
  <si>
    <t>Under Review?</t>
  </si>
  <si>
    <t>Verified as Completed and date completed</t>
  </si>
  <si>
    <t>All necessary, discretionary, and non-discretionary public land use approvals except building permits and other ministerial approvals are:</t>
  </si>
  <si>
    <t>Entity Organizational Documents</t>
  </si>
  <si>
    <t>Organizational Documents</t>
  </si>
  <si>
    <t>The following is intended as a brief summary of legal documents commonly required to verify the legal authority of the private entity or entities applying to HCD for an Award of funds and does not apply to public applicants. Documents required to apply for funds (threshold requirements) are legally distinct from those required to enter into a standard agreement or to receive bonus points. For projects receiving an Award of HCD funds, additional documents, or corrections, may be required prior to execution of the Standard Agreement.</t>
  </si>
  <si>
    <t>Organizational Charts</t>
  </si>
  <si>
    <t>Complete organizational charts are required for the Sponsor/Recipient, Borrower, MGP and AGP (if different from the Sponsor).</t>
  </si>
  <si>
    <t>Corporate Entities</t>
  </si>
  <si>
    <t>Articles of Incorporation (Corp. Code §154, 200 and 202) as certified by the CA Secretary of State.
Bylaws and any amendments thereto (Corp. Code §207(b), 211 and 212)
Certificate of Amendment of Articles of Incorporation (Corp. Code §900-910 (general stock), §5810-5820 (public benefit and religious corporations), §7810-7820 (mutual benefit corporations), or §12500-12510 (general cooperative corporations)) as applicable.
Restated Articles of Incorporation (Corp. Code §901, 906, 910 (general stock), §5811, 5815, 5819 (public benefit and religious corporations), §7811, 7815 and 7819 (mutual benefit corporations) and §12501, 12506 and 12510 (general cooperative corporations)) as applicable.
Statement of Information (CA Secretary of State form SI-100 or SI-200)
Shareholder Agreements (Corp. Code §186) if applicable.
Certificate of Good Standing certified by Secretary of State. Certificate of Good Standing must be dated 30 days or less from the application due date.</t>
  </si>
  <si>
    <t xml:space="preserve">Limited Liability Companies </t>
  </si>
  <si>
    <t>Articles of Organization (CA Secretary of State form LLC-1)
Certificate of Amendment (CA Secretary of State form LLC-2) if applicable.
Restated Articles of Organization (CA Secretary of State form LLC-10) if applicable.
Certificate of Correction (CA Secretary of State form LLC-11) if applicable.
Statement of Information (CA Secretary of State form LLC-12 or LLC-12NC)
Operating Agreement (Corp. Code §17707.02(s) and 17701.10)
Certificate of Good Standing certified by Secretary of State. Certificate of Good Standing must be dated 30 days or less from the application due date.</t>
  </si>
  <si>
    <t>Limited Partnerships</t>
  </si>
  <si>
    <t>Certificate of Limited Partnership (CA Secretary of State form LP-1)
Amendment to Certificate of Limited Partnership (CA Secretary of State form LP-2) if applicable.
Certificate of Correction (CA Secretary of State form LP-2) if applicable.
Limited Partnership Agreement (CA Corp. Code §15901.02(x) and 15901.10)
Amended and Restated Limited Partnership Agreement
Certificate of Good Standing certified by Secretary of State.</t>
  </si>
  <si>
    <t>Tribe Formation Documents (Constitution, Charters, etc.)
Federal Register of Indian Entities Recognized (81 Fed Reg. 26826) if applicable
BIA Federal Acknowledgment Petitioner List (CFR Section 83.1 of Title 25) if applicable
Contact List maintained by the Native American Heritage Commission (GC Section 65352.3) if applicable</t>
  </si>
  <si>
    <t>Certification &amp; Legal Status</t>
  </si>
  <si>
    <t>On behalf of the entity identified in the signature block below, I certify that:</t>
  </si>
  <si>
    <t>1) The information, statements and attachments included in this Application are, to the best of my knowledge and belief, true and correct.</t>
  </si>
  <si>
    <t>2) I possess the legal authority to submit this Application on behalf of the entity identified in the signature block.</t>
  </si>
  <si>
    <t xml:space="preserve">3) The following is a complete disclosure of all identities of interest - of all persons or entities, including affiliates, that will provide goods or services to the Project either (a) in one or more capacity or (b) that qualify as a "Related Party" to any person or entity that will provide goods or services to the Project. "Related Party" is defined in §10302 of the California Code of Regulations (CTCAC Regulations): </t>
  </si>
  <si>
    <t>4) As of the date of Application, the Project, or the real property on which the Project is proposed (Property) is not part to or the subject of any claim or action at the State or Federal appellate level.</t>
  </si>
  <si>
    <t>5) I have disclosed and described below any claim or action undertaken which affects or potentially affects the feasibility of the Project.</t>
  </si>
  <si>
    <t>In addition, I acknowledge that all information in this Application and attachments is public, and may be disclosed by the State.</t>
  </si>
  <si>
    <t>Printed Name</t>
  </si>
  <si>
    <t>Title of Signatory</t>
  </si>
  <si>
    <t>Signature</t>
  </si>
  <si>
    <t>Legal Disclosure</t>
  </si>
  <si>
    <t xml:space="preserve">For purposes of the following questions, and with the exceptions noted below, the term “applicant” shall include the sponsor(s)/Applicant(s), and any subsidiary of the sponsor(s)/Applicant(s) if the subsidiary is involved in (for example, as a guarantor) or will be benefited by the Application or the Project. </t>
  </si>
  <si>
    <t>In addition to each of these entities themselves, the term “applicant” shall also include the direct and indirect holders of more than ten percent (10%) of the ownership interests in the entity, as well as the officers, directors, principals and senior executives of the entity if the entity is a corporation, the general and limited partners of the entity if the entity is a partnership, and the members or managers of the entity if the entity is a limited liability company. For Projects using tax-exempt bonds, it shall also include the individual who will be executing the bond purchase agreement.</t>
  </si>
  <si>
    <t xml:space="preserve">The following questions must be responded to for each entity and person qualifying as an "applicant," or "joint applicant" as defined above.  </t>
  </si>
  <si>
    <t>Explain all positive responses on a separate sheet and include with this questionnaire in the Application.</t>
  </si>
  <si>
    <t>Exceptions:</t>
  </si>
  <si>
    <t xml:space="preserve">Public entity applicants without an ownership interest in the proposed Project, including but not limited to cities, counties, and joint powers authorities with 100 or more members, are not required to respond to this questionnaire. </t>
  </si>
  <si>
    <t>Members of the boards of directors of non-profit corporations, including officers of the boards, are also not required to respond. However, chief executive officers (Executive Directors, Chief Executive Officers, Presidents or their equivalent) must respond, as must chief financial officers (Treasurers, Chief Financial Officers, or their equivalent).</t>
  </si>
  <si>
    <t>Civil Matters</t>
  </si>
  <si>
    <t xml:space="preserve">1) Has the applicant filed a bankruptcy or receivership case or had a bankruptcy or receivership action commenced against it, defaulted on a loan or been foreclosed against in past ten years? </t>
  </si>
  <si>
    <t>2) Is the applicant currently a party to, or been notified that it may become a party to, any civil litigation that may materially and adversely affect (a) the financial condition of the applicant’s business, or (b) the Project that is the subject of the Application?</t>
  </si>
  <si>
    <t>3) Have there been any administrative or civil settlements, decisions, or judgments against the applicant within the past ten years that materially and adversely affected (a) the financial condition of the applicant’s business, or (b) the Project that is the subject of the Application?</t>
  </si>
  <si>
    <t xml:space="preserve">4) Is the applicant currently subject to, or been notified that it may become subject to, any civil or administrative proceeding, examination, or investigation by a local, state or federal licensing or accreditation agency, a local, state or federal taxing authority, or a local, state or federal regulatory or enforcement agency? </t>
  </si>
  <si>
    <t xml:space="preserve">5) In the past ten years, has the applicant been subject to any civil or administrative proceeding, examination, or investigation by a local, state or federal licensing or accreditation agency, a local, state or federal taxing authority, or a local, state or federal regulatory or enforcement agency that resulted in a settlement, decision, or judgment? </t>
  </si>
  <si>
    <t>Criminal Matters</t>
  </si>
  <si>
    <t xml:space="preserve">6) Is the applicant currently a party to, or the subject of, or been notified that it may become a party to or the subject of, any criminal litigation, proceeding, charge, complaint, examination or investigation, of any kind, involving, or that could result in, felony charges against the applicant? </t>
  </si>
  <si>
    <t xml:space="preserve">7) Is the applicant currently a party to, or the subject of, or been notified that it may become a party to or the subject of, any criminal litigation, proceeding, charge, complaint, examination or investigation, of any kind, involving, or that could result in, misdemeanor charges against the applicant for matters relating to the conduct of the applicant’s business? </t>
  </si>
  <si>
    <t xml:space="preserve">8) Is the applicant currently a party to, or the subject of, or been notified that it may become a party to or the subject of, any criminal litigation, proceeding, charge, complaint, examination or investigation, of any kind, involving, or that could result in, criminal charges (whether felony or misdemeanor) against the applicant for any financial or fraud related crime? </t>
  </si>
  <si>
    <t>9) Is the applicant currently a party to, or the subject of, or been notified that it may become a party to or the subject of, any criminal litigation, proceeding, charge, complaint, examination or investigation, of any kind, that could materially affect the financial condition of the applicant’s business?</t>
  </si>
  <si>
    <t xml:space="preserve">10) Within the past ten years, has the applicant been convicted of any felony? </t>
  </si>
  <si>
    <t xml:space="preserve">11) Within the past ten years, has the applicant been convicted of any misdemeanor related to the conduct of the applicant’s business?  </t>
  </si>
  <si>
    <t xml:space="preserve">12) Within the past ten years, has the applicant been convicted of any misdemeanor for any financial or fraud related crime? </t>
  </si>
  <si>
    <t>Please provide a letter of explanation if you responded "Yes" to any of the questions above.</t>
  </si>
  <si>
    <t>Application Document Checklist</t>
  </si>
  <si>
    <t>Green checkmark = must upload to portal.
X mark = not applicable, but applicant must double verify.
Select the X mark to see in the formula bar the place in the application the upload is requested.</t>
  </si>
  <si>
    <t>Instructions for Application submission:</t>
  </si>
  <si>
    <t>MFSN Application Portal</t>
  </si>
  <si>
    <r>
      <t xml:space="preserve">The following is a full list of all possible documents that may be necessary to upload via the </t>
    </r>
    <r>
      <rPr>
        <sz val="11"/>
        <rFont val="Arial"/>
        <family val="2"/>
      </rPr>
      <t>MFSN Application Portal</t>
    </r>
    <r>
      <rPr>
        <sz val="11"/>
        <color rgb="FFFF0000"/>
        <rFont val="Arial"/>
        <family val="2"/>
      </rPr>
      <t xml:space="preserve">. </t>
    </r>
    <r>
      <rPr>
        <sz val="11"/>
        <color theme="1"/>
        <rFont val="Arial"/>
        <family val="2"/>
      </rPr>
      <t xml:space="preserve">
Use the electronic file name descriptions below for the electronic submission via HCD portal. Excel application and all supporting documentation must be submitted no later than 4:00 p.m. Pacific Daylight Time on June 5, 2026.</t>
    </r>
  </si>
  <si>
    <t>Electronic File Name</t>
  </si>
  <si>
    <t>Document Description</t>
  </si>
  <si>
    <t>Included?</t>
  </si>
  <si>
    <t>01. Document Checklist</t>
  </si>
  <si>
    <t>Document Checklist.</t>
  </si>
  <si>
    <t>P</t>
  </si>
  <si>
    <t>1. Application</t>
  </si>
  <si>
    <t>MHP Gap Funding NOFA Excel Application.</t>
  </si>
  <si>
    <t>Look for award letter box</t>
  </si>
  <si>
    <t>From "Project Overview" Sheet/tab</t>
  </si>
  <si>
    <t>04. Urban Area</t>
  </si>
  <si>
    <t>Provide documentation of location in an Urbanized Area.</t>
  </si>
  <si>
    <t>05. Capital Improvement Project</t>
  </si>
  <si>
    <t>Applicant narrative and documentation evidencing Capital Improvement Project is an integral part of, or necessary to facilitate the development of the Qualifying Infill Project(s) identified in the application.</t>
  </si>
  <si>
    <t>Not Applicable</t>
  </si>
  <si>
    <t>Attachment purposely removed, N/A</t>
  </si>
  <si>
    <t>06. Integration Plan</t>
  </si>
  <si>
    <t>For Special Needs Units provide an Integration Plan that demonstrates how Sponsor/Applicant will meet MHP §7302(g) requirements.</t>
  </si>
  <si>
    <t>07. Emerging Developer Experience</t>
  </si>
  <si>
    <t>08. Tribal Entity Waiver</t>
  </si>
  <si>
    <t>Modifications or waivers as provided for in HSC §50406, subdivision (p) (Assembly Bill 1010 (Chapter 660, Statutes of 2019).</t>
  </si>
  <si>
    <t>09a. Indian Country Verification</t>
  </si>
  <si>
    <t>Documentation verifying land is located in Indian Country as defined by 18 USC 1151.</t>
  </si>
  <si>
    <t>09b. Fee or Trust Land Verification</t>
  </si>
  <si>
    <t>Documentation verifying land is located on Fee or Trust Land.</t>
  </si>
  <si>
    <t>10. Community-Based Developer Experience</t>
  </si>
  <si>
    <t>Provide documentation of all requirements for "Community-Based Developer" listed in Appendix A – Defined Terms and as indicated in (a)-(f) above.</t>
  </si>
  <si>
    <t>11. COSR Eligibility</t>
  </si>
  <si>
    <t xml:space="preserve">Briefly describe available federal, state, and local sources of rental assistance and other operating assistance such as project-based Housing Choice Vouchers and any locally administered affordable housing operating subsidy funds. In addition, provide either (1) documentation of unfunded applications or unsuccessful written requests for rental assistance and other operating support; or (2) evidence from the appropriate entities that rental assistance and/or other operating assistance is not available or is insufficient. </t>
  </si>
  <si>
    <t>12. COSR third-party documentation</t>
  </si>
  <si>
    <t>Third-party documentation of anticipated public cash assistance payment levels which support the proposed rents.</t>
  </si>
  <si>
    <t xml:space="preserve">13. Written agreement or letter of intent </t>
  </si>
  <si>
    <t>Signed MHP Medi-Cal Partnerships Letter of Intent (HCD suggests using sample Letter of Intent provided with the MFSN Application materials) or fully executed (signed) Medi-Cal Partnerships Written Agreement  (HCD has sample Written Agreement available for use, provided with the MFSN Application materials). See §7310.1(b)(2)(A-E) for requirements.</t>
  </si>
  <si>
    <t>14. Project Timeline</t>
  </si>
  <si>
    <t>Provide explanation how the Project meets the exceptions specified in program Guidelines for emergency repairs to existing structures required to eliminate hazards or threats to health and safety.</t>
  </si>
  <si>
    <t>2. Application Submission Notification</t>
  </si>
  <si>
    <r>
      <t>MHP</t>
    </r>
    <r>
      <rPr>
        <sz val="11"/>
        <color rgb="FF000000"/>
        <rFont val="Arial"/>
        <family val="2"/>
      </rPr>
      <t xml:space="preserve">: The application includes a letter from the Applicant to the relevant local legislative body or tribal governing body that, pursuant to </t>
    </r>
    <r>
      <rPr>
        <sz val="11"/>
        <color rgb="FFE26B0A"/>
        <rFont val="Arial"/>
        <family val="2"/>
      </rPr>
      <t>HSC §50675.7(e)</t>
    </r>
    <r>
      <rPr>
        <sz val="11"/>
        <color rgb="FF000000"/>
        <rFont val="Arial"/>
        <family val="2"/>
      </rPr>
      <t>, notifies the body of the Applicant’s intent to submit a loan application to the Department.</t>
    </r>
  </si>
  <si>
    <t>HSC §50675.7(e)</t>
  </si>
  <si>
    <t>3. Original Award Letter(s)</t>
  </si>
  <si>
    <t>17. Rehab Description</t>
  </si>
  <si>
    <t xml:space="preserve">Narrative description of current condition of structure(s) and overall scope of work. </t>
  </si>
  <si>
    <t>18. PNA or CNA</t>
  </si>
  <si>
    <t>PNA or CNA prepared by a qualified independent third-party contractor.</t>
  </si>
  <si>
    <t>19. Rent Roll</t>
  </si>
  <si>
    <t xml:space="preserve">Current rent roll, including household income &amp; size for each unit. </t>
  </si>
  <si>
    <t>20. Adaptive Reuse Narrative</t>
  </si>
  <si>
    <t>Narrative describing Project and area in which Project will be built; must confirm Project will consist of the rehab of a vacant or underused commercial or industrial building(s). Structures such as residential hotels that are currently used for housing will not be considered to be eligible in meeting the adaptive reuse criteria. Narrative must confirm Project site is located within a developed area served with public infrastructure.</t>
  </si>
  <si>
    <t>4. Tax Credit Reservation</t>
  </si>
  <si>
    <t>If the Project has already received a tax credit reservation, upload documentation.</t>
  </si>
  <si>
    <t>5. Bond Allocation Award</t>
  </si>
  <si>
    <t>6. CDLAC Bond Resolution</t>
  </si>
  <si>
    <t>3. Rural Status Determination</t>
  </si>
  <si>
    <t>The California Tax Credit Allocation Committee (TCAC) uses a statutory definition of “rural area” under Health and Safety Code § 50199.21 to determine whether a project site qualifies as rural.</t>
  </si>
  <si>
    <t xml:space="preserve">Sponsor/Applicant 1 </t>
  </si>
  <si>
    <t>25. Resume Principal</t>
  </si>
  <si>
    <t>Resume of Principal.</t>
  </si>
  <si>
    <t>These same three items/uploads may be requested again at Scoring sheet.</t>
  </si>
  <si>
    <t>26. SOQ Principal</t>
  </si>
  <si>
    <t>Statement of Qualifications of Principal.</t>
  </si>
  <si>
    <t>27. Cert of Employment</t>
  </si>
  <si>
    <t>Certification of Prior Employment Executed by Previous Employer(s), the certification of prior employment must include verification of the projects listed in this section and the corresponding dates of experience.</t>
  </si>
  <si>
    <t>4. Sponsor 1 Certification &amp; Legal Status Disclosure</t>
  </si>
  <si>
    <t>Complete, sign and upload questionnaire.</t>
  </si>
  <si>
    <t>28b. Spon1 OrgDoc1, Spon1 OrgDoc2, etc.</t>
  </si>
  <si>
    <t>Reference: Entity Org Docs Worksheet.</t>
  </si>
  <si>
    <t>28c. Spon1 OrgChart</t>
  </si>
  <si>
    <t>Sponsor/Applicant Organization Chart.</t>
  </si>
  <si>
    <t>28d. Spon1 Signature Block</t>
  </si>
  <si>
    <t>Signature Block - upload in Microsoft Word Document.</t>
  </si>
  <si>
    <t xml:space="preserve">28e. Spon1 Cert of Good Standing </t>
  </si>
  <si>
    <t>Certificate of Good Standing dated within 30 days of the application due date.</t>
  </si>
  <si>
    <t>28f. Spon1 Tax-Exempt Status</t>
  </si>
  <si>
    <t>Evidence of tax-exempt status from IRS and FTB for Corporations (Non-Profits Only).</t>
  </si>
  <si>
    <t xml:space="preserve">Sponsor/Applicant 2 </t>
  </si>
  <si>
    <t>5. Sponsor 2 Certification &amp; Legal Status Disclosure</t>
  </si>
  <si>
    <t>29b. Spon2 OrgDoc1, Spon2 OrgDoc2, etc.</t>
  </si>
  <si>
    <t>29c. Spon2 OrgChart</t>
  </si>
  <si>
    <t>29d. Spon2 Signature Block</t>
  </si>
  <si>
    <t xml:space="preserve">29e. Spon2 Cert of Good Standing </t>
  </si>
  <si>
    <t>Certificate of Good Standing must be dated 30 days or less from the application due date.</t>
  </si>
  <si>
    <t>29f. Spon2 Tax-Exempt Status</t>
  </si>
  <si>
    <t xml:space="preserve">Sponsor/Applicant 3 </t>
  </si>
  <si>
    <t>6. Sponsor 3 Certification &amp; Legal Status Disclosure</t>
  </si>
  <si>
    <t>30b. Spon3 OrgDoc1, Spon3 OrgDoc2, etc.</t>
  </si>
  <si>
    <t>30c. Spon3 OrgChart</t>
  </si>
  <si>
    <t>30d. Spon3 Signature Block</t>
  </si>
  <si>
    <t xml:space="preserve">30e. Spon3 Cert of Good Standing </t>
  </si>
  <si>
    <t>30f. Spon3 Tax-Exempt Status</t>
  </si>
  <si>
    <t>Borrower Organizational Documents</t>
  </si>
  <si>
    <t>31a. BWR Cert &amp; Legal Disclosure</t>
  </si>
  <si>
    <t>31b. BWR OrgDoc1, BWR OrgDoc2, etc.</t>
  </si>
  <si>
    <t>31c. BWR OrgChart</t>
  </si>
  <si>
    <t>Must demonstrate Sponsor/Applicant control of the Borrower consistent with UMR §8313.2.</t>
  </si>
  <si>
    <t>31d. BWR Signature Block</t>
  </si>
  <si>
    <t>31e. BWR STD-204 Payee Data Record</t>
  </si>
  <si>
    <t xml:space="preserve">Reference: AB434 webpage for Payee Data record STD204. </t>
  </si>
  <si>
    <t>31f. BWR Fi$Cal TIN Form</t>
  </si>
  <si>
    <t>Reference: Taxpayer Identification Number (TIN) (public entities ONLY).</t>
  </si>
  <si>
    <t>31g. BWR EIN Verification</t>
  </si>
  <si>
    <t>IRS Form SS-4.</t>
  </si>
  <si>
    <t xml:space="preserve">31h. BWR Cert of Good Standing </t>
  </si>
  <si>
    <t>31i. BWR Tax-Exempt Status</t>
  </si>
  <si>
    <t>32a. MGP Cert &amp; Legal Disclosure</t>
  </si>
  <si>
    <t>32b. MGP OrgDoc1, MGP OrgDoc2, etc.</t>
  </si>
  <si>
    <t>32c. MGP OrgChart</t>
  </si>
  <si>
    <t>MGP Organization Chart.</t>
  </si>
  <si>
    <t>32d. MGP Signature Block</t>
  </si>
  <si>
    <t xml:space="preserve">32e. MGP Cert of Good Standing </t>
  </si>
  <si>
    <t>32f. MGP Tax-Exempt Status</t>
  </si>
  <si>
    <t>33a. AGP1 Cert &amp; Legal Disclosure</t>
  </si>
  <si>
    <t>33b. AGP1 OrgDoc1, AGP1 OrgDoc2, etc.</t>
  </si>
  <si>
    <t>33c. AGP1 OrgChart</t>
  </si>
  <si>
    <t>AGP1 Organization Chart.</t>
  </si>
  <si>
    <t>33d. AGP1 Signature Block</t>
  </si>
  <si>
    <t xml:space="preserve">33e. AGP1 Cert of Good Standing </t>
  </si>
  <si>
    <t>33f. AGP1 Tax-Exempt Status</t>
  </si>
  <si>
    <t>34a. AGP2 Cert &amp; Legal Disclosure</t>
  </si>
  <si>
    <t>34b. AGP2 OrgDoc1, AGP2 OrgDoc2, etc.</t>
  </si>
  <si>
    <t>34c. AGP2 OrgChart</t>
  </si>
  <si>
    <t>AGP2 Organization Chart.</t>
  </si>
  <si>
    <t>34d. AGP2 Signature Block</t>
  </si>
  <si>
    <t xml:space="preserve">34e. AGP2 Cert of Good Standing </t>
  </si>
  <si>
    <t>34f. AGP2 Tax-Exempt Status</t>
  </si>
  <si>
    <t>35a. MLLC Cert &amp; Legal Disclosure</t>
  </si>
  <si>
    <t xml:space="preserve">35b. MLLC Cert of Good Standing </t>
  </si>
  <si>
    <t>35c. MLLC OrgChart</t>
  </si>
  <si>
    <t>MLLC Organization Chart.</t>
  </si>
  <si>
    <t>35d. MLLC OrgDoc1, MLLC OrgDoc2, etc.</t>
  </si>
  <si>
    <t>35e. MLLC Signature Block</t>
  </si>
  <si>
    <t>35f. MLLC Tax-Exempt Status</t>
  </si>
  <si>
    <t>Changes to the conditions documented by these previously submitted documents must be disclosed in the application and supported by updated documents</t>
  </si>
  <si>
    <t>7. Site Control 
(updated documents if applicable)</t>
  </si>
  <si>
    <t>If site control has been modified or extended, submit updated documentation. Include a summary explanation of site control and values for applications with multiple or non-contiguous parcels, scattered sites, lot line adjustments, phased projects, or other complex land and acquisition transactions.</t>
  </si>
  <si>
    <t>8. Preliminary Title Report</t>
  </si>
  <si>
    <t>Provide a preliminary report dated within 30 days of application due date.  For trust or restricted land, a current title status report issued by the BIA is acceptable in lieu of a title report.</t>
  </si>
  <si>
    <t>38. Appraisal</t>
  </si>
  <si>
    <t xml:space="preserve">If land cost or value is included in the development budget, an appraisal report supporting the cost or value is required. </t>
  </si>
  <si>
    <t>39. Utility allowance</t>
  </si>
  <si>
    <t>Schedule of utility allowances.</t>
  </si>
  <si>
    <t>Environmental Requirements &amp; Reports</t>
  </si>
  <si>
    <t>40. Env. Report Phase I</t>
  </si>
  <si>
    <t>Phase I (prepared or updated no earlier than 12 months prior to the application due date). If a Phase II ESA completed and dated within 12 months prior to the application deadline is being submitted, the Phase I ESA may have been completed and dated 12 months or more prior to the application deadline.</t>
  </si>
  <si>
    <t>41. Env. Report Phase II</t>
  </si>
  <si>
    <t>Phase II (prepared or updated no earlier than 12 months prior to the application due date).</t>
  </si>
  <si>
    <t>42. Env. Report Lead Based Paint</t>
  </si>
  <si>
    <t>Lead Based Paint Report (for structures built prior to 1978) (rehab only).</t>
  </si>
  <si>
    <t>43. Env. Report Mold</t>
  </si>
  <si>
    <t>Mold Report (rehab only).</t>
  </si>
  <si>
    <t>44. Env. Report Asbestos</t>
  </si>
  <si>
    <t>Asbestos Report (for structures built prior to 1978) (rehab only).</t>
  </si>
  <si>
    <t>45. Env. Report Other</t>
  </si>
  <si>
    <t>Other Environmental Report.</t>
  </si>
  <si>
    <t>46. Fair Housing Legal Opinion</t>
  </si>
  <si>
    <t xml:space="preserve">MHP Senior Project only. If the proposed project will limit occupancy to seniors, provide a Project-specific legal opinion labeled "Fair Housing Legal Opinion" with supporting materials describing how the Project complies with fair housing laws. </t>
  </si>
  <si>
    <t>47. Shared Parking examination</t>
  </si>
  <si>
    <t>An examination of the feasibility of shared parking shall include, at a minimum, identification of parking facilities on contiguous properties or nearby properties that would not require users to cross a street and then consideration of the apparent availability of those facilities for shared parking. (Government Code 65863.1(i)). If not provided at Application due date, examination of the shared parking shall be submitted to the Department prior to the execution and approval of the Standard Agreement.</t>
  </si>
  <si>
    <t>48. Relocation Plan</t>
  </si>
  <si>
    <t>Relocation Plan.</t>
  </si>
  <si>
    <t>From "Operating Budget" Sheet/tab</t>
  </si>
  <si>
    <t>49. Op Exp Compare</t>
  </si>
  <si>
    <t>Submit 3 operating expense comparables for similar projects located in the market area identified in the submitted market study. Projects should be affordable housing projects similar in size, type, and population to the proposed project. One comparable may be submitted for 100% market rate multifamily housing if there are insufficient affordable housing comparables. If the comparables are owned or operated by the Sponsor, information provided should be based on the most recent audited statements applicable to the comparable, if available. Additional information may be required.</t>
  </si>
  <si>
    <t>From "VHHP Program Requirements" Sheet/tab</t>
  </si>
  <si>
    <t>50. Tenant Selection &amp; Housing First</t>
  </si>
  <si>
    <t>Provide signed certification for tenant selection and housing first practices.</t>
  </si>
  <si>
    <t>51. LSP Partner Agreement</t>
  </si>
  <si>
    <t>Contract or Agreement (other non-Sponsor/Applicant providers). VHHP §214(b)(1)</t>
  </si>
  <si>
    <t>52. SSP Agreement</t>
  </si>
  <si>
    <t>Provide an agreement with the LSP to implement the supportive services plan.</t>
  </si>
  <si>
    <t>53. Other Assisted Units</t>
  </si>
  <si>
    <t>Include documentation from organization that has 24 months experience in providing this service in publicly assisted affordable housing.</t>
  </si>
  <si>
    <t>54. Local VA Office Letter</t>
  </si>
  <si>
    <t>Provide a letter from the local VA office (Network Homeless Coordinator or similar official) describing the population to be served by the Project, the type of housing to be provided (transitional, permanent supportive, or affordable), and why it will meet a high priority local need.</t>
  </si>
  <si>
    <t>55. Local Continuum of Care Letter</t>
  </si>
  <si>
    <t>Provide a letter from the local Continuum of Care addressing the same points described in the preceding subsection.</t>
  </si>
  <si>
    <t>From "VHHP - Supportive Services Plan" Sheet/tab</t>
  </si>
  <si>
    <t>56. LSP List of projects or contracts</t>
  </si>
  <si>
    <t>Provide list of current and completed Projects or contracts when submitting application</t>
  </si>
  <si>
    <t>From "TOD Requirements" Sheet/tab</t>
  </si>
  <si>
    <t>57. Transit Station Distance Map</t>
  </si>
  <si>
    <t>Provide a map highlighting the distance of the transit station from the Project site.</t>
  </si>
  <si>
    <t>58. Designated Transit-Oriented Development Plan</t>
  </si>
  <si>
    <t>Provide a copy of the relevant plan showing area designation.</t>
  </si>
  <si>
    <t>69. Net Density Exception</t>
  </si>
  <si>
    <t>The city shall provide information supporting the need for the exception, including, but not limited to, any limitations that the city may encounter in meeting the density requirements described herein.</t>
  </si>
  <si>
    <t>71. Minimum Density Ordinance</t>
  </si>
  <si>
    <t>Identify a mechanism, such as a minimum density ordinance or a recorded, binding covenant, acceptable to the Department to reliably ensure that future development will occur at an overall Net Density equaling or exceeding that set forth in IIG §200(b)(3).</t>
  </si>
  <si>
    <t>105. Net Density Verification</t>
  </si>
  <si>
    <t>To confirm the Net Density, provide a minimum density ordinance, recorded binding covenant, or a letter certified by a California State-licensed professional such as an engineer, surveyor or architect.</t>
  </si>
  <si>
    <t>From "MHP - Supportive Services Plan" Sheet/tab</t>
  </si>
  <si>
    <t>59. LSP List of projects or contracts</t>
  </si>
  <si>
    <t>Provide list of current and completed Projects or contracts when submitting application.</t>
  </si>
  <si>
    <t>60. LSP NonSpon Contract Basic</t>
  </si>
  <si>
    <t>Lead Service Provider Contract, Agreement or Letter of Intent (non-Sponsor/Applicant provider).</t>
  </si>
  <si>
    <t>61. NonSpon SS Contract Enhanced</t>
  </si>
  <si>
    <t>Contract, Agreement or Letter of Intent to Provide Services (other non-Sponsor/Applicant providers).</t>
  </si>
  <si>
    <t>62. Duty Stmt1, Duty Stmt2, Duty
      Stmt3, Duty Stmt4</t>
  </si>
  <si>
    <t>Staff Duty Statements (all providers).</t>
  </si>
  <si>
    <t>63. SS Fund Ltr1, SS Fund Ltr2, SS
      Fund Ltr3, etc.</t>
  </si>
  <si>
    <t xml:space="preserve">Services funding commitment letters; Include: Project name; description of services; dollar value of funds or in-kind services; If cash is provided, state funding source; funding term; description &amp; history of agency/org. providing funding or services. </t>
  </si>
  <si>
    <t>Supportive Housing Multifamily Housing Program (SHMHP) - Suportive Services Plan.</t>
  </si>
  <si>
    <t>From "SH &amp; SNP Exp" Sheet/tab</t>
  </si>
  <si>
    <t>64. Sponsor/Applicant SOQ</t>
  </si>
  <si>
    <t>Statement of Qualifications regarding owning and managing Special Needs/Supportive Housing Projects. Include list of Projects.</t>
  </si>
  <si>
    <t>65. Property Management SOQ</t>
  </si>
  <si>
    <t>Property Management Statement of Qualifications regarding owning and managing Special Needs/Supportive Housing Projects. Include list of Projects.</t>
  </si>
  <si>
    <t>66. LSP SOQ</t>
  </si>
  <si>
    <t>Special Needs/Supportive Housing - Lead Service Provider Statement of Qualifications. Include company and resumes of Principals.</t>
  </si>
  <si>
    <t>67. LSP Exp Contracts</t>
  </si>
  <si>
    <t>Executed contracts must be provided for experience to count. Provide only these pages of the contract: page(s) identifying the Project name, scope of work; term of the contract or agreement; and execution page(s) showing all signatures of all parties to the contracts.</t>
  </si>
  <si>
    <t>From "IIG Threshold Requirements" Sheet/tab</t>
  </si>
  <si>
    <t>68. IIG2007 DDA</t>
  </si>
  <si>
    <t>Provide a copy of your disposition and development agreement or other project-specific agreement between the developer and the local agency having jurisdiction over the project has been executed on or before January 1, 2022.</t>
  </si>
  <si>
    <t>70. Relevant Development Plan</t>
  </si>
  <si>
    <t>From "Scoring" Sheet/tab</t>
  </si>
  <si>
    <t>72. High and/or Highest Resource Area Map</t>
  </si>
  <si>
    <t>Documentation of TCAC/HCD Opportunity Area status prior to initial site control (pursuant to UMR §8303(a)). Same as upload #19.</t>
  </si>
  <si>
    <t>73. Excess state-owned property</t>
  </si>
  <si>
    <t>Provide documentation/agreement for ground lease with the state to create affordable housing on Excess state-owned property.</t>
  </si>
  <si>
    <t>74. Local Surplus Land</t>
  </si>
  <si>
    <t xml:space="preserve">Provide documentation that the proposed Project is located on a site designated as surplus land by a local government. For written compliance with the Surplus Land Act – either an exempt surplus findings letter or standard surplus disposition findings letter from HCD. </t>
  </si>
  <si>
    <t>75. LSL Ownership Transfer or Lease</t>
  </si>
  <si>
    <t>For land transfer, provide a fully executed: Exclusive Negotiating Agreement, Purchase and Sale Agreement, Disposition and Development Agreement, or other similar documentation of below market land transfer/sale to Sponsor/Applicant. 
For low-cost lease, provide a fully executed: Exclusive Negotiating Agreement,  Disposition and Development Agreement, Lease Option Agreement, or Ground Lease Agreement. The agreement must include a commitment to a low-cost ($100/year), long-term ground lease for a term of at least 55 years. For low-cost lease, administrative fees must be $20,000/year or less.</t>
  </si>
  <si>
    <t>76. LSL vacated or demolished</t>
  </si>
  <si>
    <t>Provide information regarding the vacated/demolished dwelling units, and a summary of how the proposed Project will include or replace those units at affordable rent or housing cost to persons and families in the same or lower income categories as the persons currently occupying the units or that occupied the units prior to demolition.</t>
  </si>
  <si>
    <t>77. Resume Principal</t>
  </si>
  <si>
    <t>78. SOQ Principal</t>
  </si>
  <si>
    <t>79. Cert of Employment</t>
  </si>
  <si>
    <t>80. Certification of Fiscal Integrity</t>
  </si>
  <si>
    <t>Submit a certification that the projects for which points are requested have maintained Fiscal Integrity for the year in which each Rental Housing Development’s last financial statement has been prepared, a positive operating cash flow from typical residential income alone and have funded reserves in accordance with the partnership agreement and any applicable loan documents.</t>
  </si>
  <si>
    <t>81. Enforceable MA</t>
  </si>
  <si>
    <t xml:space="preserve">An enforceable management agreement executed by both parties for the subject application must be submitted at the time of application. </t>
  </si>
  <si>
    <t>82. Resume PPM</t>
  </si>
  <si>
    <t>Property Management Principal’s Resume.</t>
  </si>
  <si>
    <t>83. SOQ PPM</t>
  </si>
  <si>
    <t>Property Management Principal’s Statement of Qualifications.</t>
  </si>
  <si>
    <t>84. Cert of Employment PPM</t>
  </si>
  <si>
    <t>Property Management Principal’s Certification of Prior Employment, Executed by Previous Employer(s), the certification of prior employment must include verification of the projects listed in this section and the corresponding dates of experience.</t>
  </si>
  <si>
    <t>84. Financing Commitments</t>
  </si>
  <si>
    <t>Evidenced for all Enforceable Funding Commitments for all other: construction financing, permanent financing, project-based rental assistance, and operating subsidies.</t>
  </si>
  <si>
    <t>85. Const EFC #1, #2, etc.</t>
  </si>
  <si>
    <t>Provide all commitment letters or other evidence documenting construction financing commitments.</t>
  </si>
  <si>
    <t>9. Permanent Enforceable Funding Commitments #1, #2, etc.</t>
  </si>
  <si>
    <t>Provide all enforceable funding commitment letters or other evidence documenting all permanent financing commitments.</t>
  </si>
  <si>
    <t>10. Subsidies #1, #2</t>
  </si>
  <si>
    <t>For Projects proposing project-based rental assistance in the application's Unit Mix or operating subsidies in the Operating Budget, provide evidence of such commitments. Include clarifying information if the commitments do not specify whether contract rent is gross or net of utility allowance.</t>
  </si>
  <si>
    <t>88. Streamlined Ministerial Approval</t>
  </si>
  <si>
    <t>Applicant must submit either (1) documentation that the project reasonably meets the eligibility requirements for streamlined, ministerial approval and that all necessary applications and notices have been submitted for review; or (2) documentation from the applicable local agency verifying streamlined ministerial approval. See MHP Guideline §7303.1 (h). For complete description of this requirement. For scoring points a legal opinion and certification is required.</t>
  </si>
  <si>
    <t>89. Tribal Land Use Approvals or Entitlements</t>
  </si>
  <si>
    <t>Provide documentation for all land use approvals or entitlements required by tribal law.</t>
  </si>
  <si>
    <t>90. FEMA Disaster Declaration</t>
  </si>
  <si>
    <t>Provide FEMA Major Disaster Declaration documentation.</t>
  </si>
  <si>
    <t>Purposely added twice, different sections at Scoring.</t>
  </si>
  <si>
    <t>91. Disaster Housing Plan</t>
  </si>
  <si>
    <t>Provide documentation or a plan on how the Project will contribute to providing housing for disaster-impacted households.</t>
  </si>
  <si>
    <t>92. Local Approvals</t>
  </si>
  <si>
    <t>Local Approvals and Environmental Review Verification form(s) completed and signed by local authority or Responsible Entity, if different from jurisdiction. This is not a threshold requirement for IIG only Projects.</t>
  </si>
  <si>
    <t>93. Land Use App Submission</t>
  </si>
  <si>
    <t>Provide evidence of a submitted complete Application to the relevant local authorities for land use approval under a nondiscretionary local approval process, where the Application has been neither approved or disapproved.
For Projects located in Indian Country, Tribal Entity applicants will be awarded four points for submission of a complete application to the relevant tribal authority exercising jurisdiction over the project for land use approval.</t>
  </si>
  <si>
    <t>94. AICP Letter</t>
  </si>
  <si>
    <t>Letter signed by a planner certified by the American Institute of Certified Planners (AICP), indicating that, in their opinion, the Project meets all of the requirements for approval under a Nondiscretionary Local Approval Process, where an application has not been approved or disapproved by the local authorities; OR
For Tribal Entity, an equivalent tribal or non-tribal authority subject to the Department’s satisfaction, indicating the Project meets all of the requirements for approval under tribal law for a tribal nondiscretionary local approval process.</t>
  </si>
  <si>
    <t>95. CEQA</t>
  </si>
  <si>
    <t>Certification of CEQA (California Environmental Quality Act) exemption or completion.</t>
  </si>
  <si>
    <t xml:space="preserve">96.a Proximity to Fire Perimeter </t>
  </si>
  <si>
    <t>Provide an area map showing the distance to the fire perimeter to the Eaton, Hughes, or Palisades fires.</t>
  </si>
  <si>
    <t>96.b Local Support A</t>
  </si>
  <si>
    <t>Provide evidence of local Enforceable Funding Commitments from a city, county, or housing authority.</t>
  </si>
  <si>
    <t>96.c Local Support B</t>
  </si>
  <si>
    <t>Provide a copy of the submission of a formal letter of support for the Project from the head of the Department of Planning or other local public entity leading housing related activities for Los Angeles County, or of a city within LA County.</t>
  </si>
  <si>
    <t>114. Preference Policy for Occupancy</t>
  </si>
  <si>
    <t>Provide a written analysis of how the project complies with all applicable state and federal law with respect to any preference policies for occupancy.</t>
  </si>
  <si>
    <t>Duplicate at Scoring and Threshold.</t>
  </si>
  <si>
    <t>97. Disaster Housing Plan</t>
  </si>
  <si>
    <t>98. Walkable Route Location Map</t>
  </si>
  <si>
    <t>These transit points must be measured by a Walkable Route from the nearest boundary of the Project to the outer boundary of the site of the Transit Station or Major Transit Stop.</t>
  </si>
  <si>
    <t>99. Service Amenity List - TCAC</t>
  </si>
  <si>
    <t xml:space="preserve">List of amenities qualifying for TCAC site amenities points identified in the "Scoring" Worksheet. Include amenity name, address, distance from the project, and amount of TCAC points earned. </t>
  </si>
  <si>
    <t>100. Proximity to Site Amenities - Scaled Distance Map</t>
  </si>
  <si>
    <t>Provide a scaled distance map showing the location of site amenities in relation to the Project corresponding to the Amenities List.</t>
  </si>
  <si>
    <t>From "Sponsor Certification" Sheet/tab</t>
  </si>
  <si>
    <t>101. Sponsor or Applicant Certification LOE</t>
  </si>
  <si>
    <t>Letter of Explanation(s) for Certification &amp; Legal "Yes" answers, or as clarification deemed necessary by the Sponsor/Applicant for information included in this application.</t>
  </si>
  <si>
    <t>Additional reports</t>
  </si>
  <si>
    <t>102. Market Study</t>
  </si>
  <si>
    <t>Market Study (prepared in accordance with TCAC latest Market Study Guideline requirements prepared or updated no earlier than 12 months prior to the application due date).</t>
  </si>
  <si>
    <t>103. Infill-Aerial Photos</t>
  </si>
  <si>
    <t>Aerial Photographs of Proposed Project Site (for IIG and or infill development scoring).
For IIG only, the project must be located within an Urbanized Area on a site that has been previously developed, or on a vacant site where at least 75 percent of the perimeter of the site adjoins parcels that are developed with Urban Uses.</t>
  </si>
  <si>
    <t>104. Certification from California State Licensed Professional</t>
  </si>
  <si>
    <t>Provide documentation of compliance with (Qualifying Infill Project (QIP) see Appendix A – Defined Terms) certified by a California State-licensed professional such as an engineer, surveyor, or landscape architect, including Aerial Photographs from attachment 102 above.</t>
  </si>
  <si>
    <t>P IIG ONLY</t>
  </si>
  <si>
    <t>P ONLY IF APPLICABLE</t>
  </si>
  <si>
    <t>106. MHP - Supportive Services Plan</t>
  </si>
  <si>
    <t>Supportive Service Plan (PDF Version).</t>
  </si>
  <si>
    <t>P ONLY IF REQUIRED</t>
  </si>
  <si>
    <t>107. VHHP - Supportive Services Plan</t>
  </si>
  <si>
    <t>108. Supportive Service Verification</t>
  </si>
  <si>
    <t>Supportive Service Verification (PDF Version).</t>
  </si>
  <si>
    <t>109. Farmworker Housing Experience</t>
  </si>
  <si>
    <t>Provide documentation verifying experience with occupancy restrictions for agricultural households.</t>
  </si>
  <si>
    <t>110. "Entity Name" - Resolution</t>
  </si>
  <si>
    <t xml:space="preserve">Resolutions may be submitted with this application but are not required at the time of application. Resolutions must be submitted within sixty calendar days of a conditional award notification. </t>
  </si>
  <si>
    <t>111. Basic architectural design</t>
  </si>
  <si>
    <t>112. Proposed Rents - Needs</t>
  </si>
  <si>
    <t>Third-party documentation of anticipated public cash assistance payment levels shall be provided in the application which supports the need for the proposed rents.</t>
  </si>
  <si>
    <t>113. Service Amenity List</t>
  </si>
  <si>
    <t xml:space="preserve">Projects that do not include Special Needs Units shall provide service amenities sufficient to achieve a minimum score of 7 points pursuant to TCAC Regulations, as set forth in CCR Title 4 §10325(c)(4)(B)List of service amenities qualifying for TCAC points, include service amenity name, number of service hours, and amount of TCAC points earned. </t>
  </si>
  <si>
    <t>115. Other (File name)</t>
  </si>
  <si>
    <t>Provide any other documentation that may help HCD with its threshold, scoring, or financial feasibility review.</t>
  </si>
  <si>
    <t>P ONLY IF NEEDED</t>
  </si>
  <si>
    <t>116. LOE</t>
  </si>
  <si>
    <t>Submit a letter of explanation providing details for all "Not Included" answers that are shaded red above.</t>
  </si>
  <si>
    <t>Application Development Team (ADT) Support Form</t>
  </si>
  <si>
    <t xml:space="preserve">Please complete the "yellow" cells in the form below and email a copy to: </t>
  </si>
  <si>
    <t xml:space="preserve">Please include a subject line titled "MHP Gap NOFA" and a member of the Application Development Team will respond to your request as soon as possible. </t>
  </si>
  <si>
    <t>Full Name:</t>
  </si>
  <si>
    <t>Date Requested:</t>
  </si>
  <si>
    <t>Application Version Date:</t>
  </si>
  <si>
    <t>Organization:</t>
  </si>
  <si>
    <t>Contact Phone:</t>
  </si>
  <si>
    <t>Justification:</t>
  </si>
  <si>
    <t>Issue #</t>
  </si>
  <si>
    <t>Tab / Sheet Name</t>
  </si>
  <si>
    <t>Cell number(s),or row number(s)</t>
  </si>
  <si>
    <t>Be as specific as possible for the issue/error found.</t>
  </si>
  <si>
    <t xml:space="preserve">Urgency </t>
  </si>
  <si>
    <t>ADT Status</t>
  </si>
  <si>
    <t>Alfs Comments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</si>
</sst>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1">
    <numFmt numFmtId="5" formatCode="&quot;$&quot;#,##0_);\(&quot;$&quot;#,##0\)"/>
    <numFmt numFmtId="6" formatCode="&quot;$&quot;#,##0_);[Red]\(&quot;$&quot;#,##0\)"/>
    <numFmt numFmtId="8" formatCode="&quot;$&quot;#,##0.00_);[Red]\(&quot;$&quot;#,##0.00\)"/>
    <numFmt numFmtId="41" formatCode="_(* #,##0_);_(* \(#,##0\);_(* &quot;-&quot;_);_(@_)"/>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F800]dddd\,\ mmmm\ dd\,\ yyyy"/>
    <numFmt numFmtId="167" formatCode="0.0"/>
    <numFmt numFmtId="168" formatCode="m/d/yy;@"/>
    <numFmt numFmtId="169" formatCode="0.0%"/>
    <numFmt numFmtId="170" formatCode="&quot;$&quot;#,##0"/>
    <numFmt numFmtId="171" formatCode="0.000"/>
    <numFmt numFmtId="172" formatCode="[&lt;=9999999]###\-####;\(###\)\ ###\-####"/>
    <numFmt numFmtId="173" formatCode="&quot;year &quot;#"/>
    <numFmt numFmtId="174" formatCode="\$#,##0"/>
    <numFmt numFmtId="175" formatCode="&quot;$&quot;#,##0.00"/>
    <numFmt numFmtId="176" formatCode="&quot;$&quot;#,##0.0000"/>
    <numFmt numFmtId="177" formatCode="00000000000"/>
    <numFmt numFmtId="178" formatCode="0.0\ \t\o\ \1"/>
    <numFmt numFmtId="179" formatCode="&quot;X &quot;#%&quot; =&quot;"/>
    <numFmt numFmtId="180" formatCode="00000"/>
    <numFmt numFmtId="181" formatCode="0.000000"/>
    <numFmt numFmtId="182" formatCode="General_)"/>
    <numFmt numFmtId="183" formatCode="_-* #,##0.00_-;\-* #,##0.00_-;_-* &quot;-&quot;??_-;_-@_-"/>
    <numFmt numFmtId="184" formatCode="0.0000"/>
    <numFmt numFmtId="185" formatCode="#,##0.00000"/>
    <numFmt numFmtId="186" formatCode="&quot;$&quot;#,##0.00000"/>
    <numFmt numFmtId="187" formatCode="0.00000%"/>
    <numFmt numFmtId="188" formatCode="0.00000"/>
  </numFmts>
  <fonts count="17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u/>
      <sz val="10"/>
      <color indexed="12"/>
      <name val="Arial"/>
      <family val="2"/>
    </font>
    <font>
      <b/>
      <sz val="14"/>
      <name val="Arial"/>
      <family val="2"/>
    </font>
    <font>
      <b/>
      <sz val="10"/>
      <name val="Arial"/>
      <family val="2"/>
    </font>
    <font>
      <sz val="12"/>
      <name val="Arial"/>
      <family val="2"/>
    </font>
    <font>
      <sz val="11"/>
      <name val="Arial"/>
      <family val="2"/>
    </font>
    <font>
      <b/>
      <sz val="12"/>
      <name val="Arial"/>
      <family val="2"/>
    </font>
    <font>
      <i/>
      <sz val="11"/>
      <name val="Arial"/>
      <family val="2"/>
    </font>
    <font>
      <sz val="11"/>
      <color indexed="10"/>
      <name val="Arial"/>
      <family val="2"/>
    </font>
    <font>
      <b/>
      <i/>
      <sz val="11"/>
      <name val="Arial"/>
      <family val="2"/>
    </font>
    <font>
      <sz val="10"/>
      <color indexed="8"/>
      <name val="Arial"/>
      <family val="2"/>
    </font>
    <font>
      <b/>
      <i/>
      <sz val="9"/>
      <name val="Arial"/>
      <family val="2"/>
    </font>
    <font>
      <b/>
      <i/>
      <sz val="9"/>
      <color indexed="9"/>
      <name val="Arial"/>
      <family val="2"/>
    </font>
    <font>
      <sz val="11"/>
      <color theme="1"/>
      <name val="Arial"/>
      <family val="2"/>
    </font>
    <font>
      <b/>
      <sz val="11"/>
      <color theme="1"/>
      <name val="Arial"/>
      <family val="2"/>
    </font>
    <font>
      <sz val="11"/>
      <color theme="1"/>
      <name val="Calibri"/>
      <family val="2"/>
      <scheme val="minor"/>
    </font>
    <font>
      <sz val="8"/>
      <color theme="1"/>
      <name val="Arial"/>
      <family val="2"/>
    </font>
    <font>
      <sz val="9"/>
      <color theme="1"/>
      <name val="Arial"/>
      <family val="2"/>
    </font>
    <font>
      <sz val="10"/>
      <color theme="1"/>
      <name val="Arial"/>
      <family val="2"/>
    </font>
    <font>
      <b/>
      <sz val="20"/>
      <color theme="1"/>
      <name val="Arial"/>
      <family val="2"/>
    </font>
    <font>
      <b/>
      <sz val="12"/>
      <color theme="1"/>
      <name val="Arial"/>
      <family val="2"/>
    </font>
    <font>
      <u/>
      <sz val="11"/>
      <color theme="10"/>
      <name val="Arial"/>
      <family val="2"/>
    </font>
    <font>
      <b/>
      <sz val="14"/>
      <color rgb="FF0000FF"/>
      <name val="Arial"/>
      <family val="2"/>
    </font>
    <font>
      <sz val="11"/>
      <color indexed="8"/>
      <name val="Calibri"/>
      <family val="2"/>
    </font>
    <font>
      <sz val="9"/>
      <name val="Arial"/>
      <family val="2"/>
    </font>
    <font>
      <b/>
      <sz val="11"/>
      <name val="Arial"/>
      <family val="2"/>
    </font>
    <font>
      <b/>
      <u/>
      <sz val="11"/>
      <name val="Arial"/>
      <family val="2"/>
    </font>
    <font>
      <u/>
      <sz val="11"/>
      <name val="Arial"/>
      <family val="2"/>
    </font>
    <font>
      <sz val="10"/>
      <name val="MS Sans Serif"/>
      <family val="2"/>
    </font>
    <font>
      <u/>
      <sz val="7.5"/>
      <color indexed="12"/>
      <name val="Arial"/>
      <family val="2"/>
    </font>
    <font>
      <sz val="11"/>
      <color rgb="FF9C0006"/>
      <name val="Arial"/>
      <family val="2"/>
    </font>
    <font>
      <sz val="11"/>
      <color rgb="FF006100"/>
      <name val="Arial"/>
      <family val="2"/>
    </font>
    <font>
      <u/>
      <sz val="10"/>
      <color theme="10"/>
      <name val="Arial"/>
      <family val="2"/>
    </font>
    <font>
      <sz val="11"/>
      <color rgb="FF9C6500"/>
      <name val="Arial"/>
      <family val="2"/>
    </font>
    <font>
      <b/>
      <sz val="11"/>
      <color rgb="FFFF0000"/>
      <name val="Arial"/>
      <family val="2"/>
    </font>
    <font>
      <i/>
      <sz val="11"/>
      <color theme="1"/>
      <name val="Arial"/>
      <family val="2"/>
    </font>
    <font>
      <sz val="11"/>
      <color rgb="FF0000FF"/>
      <name val="Arial"/>
      <family val="2"/>
    </font>
    <font>
      <sz val="11"/>
      <color rgb="FFFF0000"/>
      <name val="Arial"/>
      <family val="2"/>
    </font>
    <font>
      <i/>
      <sz val="11"/>
      <color rgb="FFFF0000"/>
      <name val="Arial"/>
      <family val="2"/>
    </font>
    <font>
      <sz val="11"/>
      <color indexed="12"/>
      <name val="Arial"/>
      <family val="2"/>
    </font>
    <font>
      <b/>
      <sz val="11"/>
      <color rgb="FF0000FF"/>
      <name val="Arial"/>
      <family val="2"/>
    </font>
    <font>
      <b/>
      <sz val="11"/>
      <color rgb="FF000000"/>
      <name val="Arial"/>
      <family val="2"/>
    </font>
    <font>
      <sz val="11"/>
      <color rgb="FF000000"/>
      <name val="Arial"/>
      <family val="2"/>
    </font>
    <font>
      <u/>
      <sz val="11"/>
      <color theme="10"/>
      <name val="Calibri"/>
      <family val="2"/>
      <scheme val="minor"/>
    </font>
    <font>
      <i/>
      <sz val="10"/>
      <color rgb="FFFF0000"/>
      <name val="Arial"/>
      <family val="2"/>
    </font>
    <font>
      <b/>
      <sz val="11"/>
      <color rgb="FFC00000"/>
      <name val="Arial"/>
      <family val="2"/>
    </font>
    <font>
      <sz val="11"/>
      <color rgb="FFC00000"/>
      <name val="Arial"/>
      <family val="2"/>
    </font>
    <font>
      <sz val="11"/>
      <color rgb="FF00B0F0"/>
      <name val="Arial"/>
      <family val="2"/>
    </font>
    <font>
      <b/>
      <sz val="12"/>
      <color rgb="FF0000FF"/>
      <name val="Arial"/>
      <family val="2"/>
    </font>
    <font>
      <b/>
      <i/>
      <sz val="11"/>
      <color indexed="8"/>
      <name val="Arial"/>
      <family val="2"/>
    </font>
    <font>
      <sz val="9"/>
      <name val="Geneva"/>
    </font>
    <font>
      <sz val="11"/>
      <color indexed="63"/>
      <name val="Arial"/>
      <family val="2"/>
    </font>
    <font>
      <sz val="11"/>
      <color indexed="9"/>
      <name val="Arial"/>
      <family val="2"/>
    </font>
    <font>
      <b/>
      <i/>
      <sz val="11"/>
      <color rgb="FFC00000"/>
      <name val="Arial"/>
      <family val="2"/>
    </font>
    <font>
      <sz val="10"/>
      <color rgb="FFC00000"/>
      <name val="Arial"/>
      <family val="2"/>
    </font>
    <font>
      <sz val="11"/>
      <name val="Geneva"/>
    </font>
    <font>
      <sz val="11"/>
      <color indexed="8"/>
      <name val="Arial"/>
      <family val="2"/>
    </font>
    <font>
      <b/>
      <sz val="11"/>
      <color indexed="8"/>
      <name val="Arial"/>
      <family val="2"/>
    </font>
    <font>
      <i/>
      <sz val="11"/>
      <color indexed="12"/>
      <name val="Arial"/>
      <family val="2"/>
    </font>
    <font>
      <sz val="11"/>
      <color theme="0"/>
      <name val="Arial"/>
      <family val="2"/>
    </font>
    <font>
      <b/>
      <sz val="16"/>
      <color theme="1"/>
      <name val="Arial"/>
      <family val="2"/>
    </font>
    <font>
      <b/>
      <sz val="12"/>
      <color theme="0"/>
      <name val="Arial"/>
      <family val="2"/>
    </font>
    <font>
      <i/>
      <sz val="10"/>
      <name val="Arial"/>
      <family val="2"/>
    </font>
    <font>
      <sz val="12"/>
      <color rgb="FF0000FF"/>
      <name val="Arial"/>
      <family val="2"/>
    </font>
    <font>
      <i/>
      <sz val="11"/>
      <color rgb="FFC00000"/>
      <name val="Arial"/>
      <family val="2"/>
    </font>
    <font>
      <u/>
      <sz val="11"/>
      <color indexed="12"/>
      <name val="Arial"/>
      <family val="2"/>
    </font>
    <font>
      <sz val="9"/>
      <color theme="0"/>
      <name val="Arial"/>
      <family val="2"/>
    </font>
    <font>
      <sz val="10"/>
      <name val="Courier"/>
    </font>
    <font>
      <i/>
      <sz val="11"/>
      <color theme="0"/>
      <name val="Arial"/>
      <family val="2"/>
    </font>
    <font>
      <b/>
      <sz val="11"/>
      <color theme="1"/>
      <name val="Calibri"/>
      <family val="2"/>
      <scheme val="minor"/>
    </font>
    <font>
      <sz val="11"/>
      <name val="Calibri"/>
      <family val="2"/>
      <scheme val="minor"/>
    </font>
    <font>
      <sz val="11"/>
      <color theme="0" tint="-0.34998626667073579"/>
      <name val="Arial"/>
      <family val="2"/>
    </font>
    <font>
      <b/>
      <sz val="11"/>
      <color theme="0"/>
      <name val="Arial"/>
      <family val="2"/>
    </font>
    <font>
      <strike/>
      <sz val="11"/>
      <color rgb="FFFF0000"/>
      <name val="Arial"/>
      <family val="2"/>
    </font>
    <font>
      <sz val="12"/>
      <color rgb="FFC00000"/>
      <name val="Arial"/>
      <family val="2"/>
    </font>
    <font>
      <b/>
      <sz val="11"/>
      <color indexed="12"/>
      <name val="Arial"/>
      <family val="2"/>
    </font>
    <font>
      <sz val="11"/>
      <color rgb="FF0A0101"/>
      <name val="Arial"/>
      <family val="2"/>
    </font>
    <font>
      <sz val="11"/>
      <color rgb="FF00B050"/>
      <name val="Arial"/>
      <family val="2"/>
    </font>
    <font>
      <b/>
      <sz val="11"/>
      <color rgb="FF00A33C"/>
      <name val="Arial"/>
      <family val="2"/>
    </font>
    <font>
      <sz val="8"/>
      <color rgb="FFC00000"/>
      <name val="Arial"/>
      <family val="2"/>
    </font>
    <font>
      <sz val="9"/>
      <color rgb="FFC00000"/>
      <name val="Arial"/>
      <family val="2"/>
    </font>
    <font>
      <sz val="11"/>
      <color rgb="FFFFFFCC"/>
      <name val="Calibri"/>
      <family val="2"/>
      <scheme val="minor"/>
    </font>
    <font>
      <u/>
      <sz val="11"/>
      <color rgb="FF008080"/>
      <name val="Arial"/>
      <family val="2"/>
    </font>
    <font>
      <b/>
      <sz val="13"/>
      <color rgb="FF0000FF"/>
      <name val="Arial"/>
      <family val="2"/>
    </font>
    <font>
      <u/>
      <sz val="11"/>
      <color rgb="FF0000FF"/>
      <name val="Arial"/>
      <family val="2"/>
    </font>
    <font>
      <sz val="20"/>
      <color indexed="9"/>
      <name val="Calibri"/>
      <family val="2"/>
    </font>
    <font>
      <u/>
      <sz val="11"/>
      <color indexed="12"/>
      <name val="Calibri"/>
      <family val="2"/>
    </font>
    <font>
      <sz val="11"/>
      <name val="Times New Roman"/>
      <family val="1"/>
    </font>
    <font>
      <sz val="10"/>
      <color rgb="FF0000FF"/>
      <name val="Arial"/>
      <family val="2"/>
    </font>
    <font>
      <sz val="11"/>
      <color theme="9" tint="-0.249977111117893"/>
      <name val="Arial"/>
      <family val="2"/>
    </font>
    <font>
      <b/>
      <sz val="16"/>
      <color rgb="FF00B050"/>
      <name val="Wingdings 2"/>
      <family val="1"/>
      <charset val="2"/>
    </font>
    <font>
      <b/>
      <sz val="11"/>
      <color theme="9" tint="-0.249977111117893"/>
      <name val="Arial"/>
      <family val="2"/>
    </font>
    <font>
      <b/>
      <sz val="12"/>
      <color rgb="FFC00000"/>
      <name val="Arial"/>
      <family val="2"/>
    </font>
    <font>
      <sz val="14"/>
      <color rgb="FF0000FF"/>
      <name val="Arial"/>
      <family val="2"/>
    </font>
    <font>
      <b/>
      <sz val="18"/>
      <color rgb="FF00B050"/>
      <name val="Wingdings 2"/>
      <family val="1"/>
      <charset val="2"/>
    </font>
    <font>
      <sz val="11"/>
      <color rgb="FF0033CC"/>
      <name val="Arial"/>
      <family val="2"/>
    </font>
    <font>
      <sz val="14"/>
      <name val="Arial"/>
      <family val="2"/>
    </font>
    <font>
      <sz val="11"/>
      <color rgb="FF222222"/>
      <name val="Arial"/>
      <family val="2"/>
    </font>
    <font>
      <b/>
      <sz val="16"/>
      <color rgb="FF0000FF"/>
      <name val="Arial"/>
      <family val="2"/>
    </font>
    <font>
      <b/>
      <sz val="9"/>
      <color indexed="12"/>
      <name val="Arial"/>
      <family val="2"/>
    </font>
    <font>
      <sz val="12"/>
      <color theme="1"/>
      <name val="Calibri"/>
      <family val="2"/>
      <scheme val="minor"/>
    </font>
    <font>
      <b/>
      <i/>
      <sz val="11"/>
      <color theme="1"/>
      <name val="Arial"/>
      <family val="2"/>
    </font>
    <font>
      <b/>
      <sz val="11"/>
      <color rgb="FF00B050"/>
      <name val="Arial"/>
      <family val="2"/>
    </font>
    <font>
      <b/>
      <sz val="18"/>
      <color theme="1"/>
      <name val="Arial"/>
      <family val="2"/>
    </font>
    <font>
      <b/>
      <sz val="16"/>
      <name val="Wingdings 2"/>
      <family val="1"/>
      <charset val="2"/>
    </font>
    <font>
      <b/>
      <u/>
      <sz val="11"/>
      <color rgb="FFC00000"/>
      <name val="Arial"/>
      <family val="2"/>
    </font>
    <font>
      <sz val="11"/>
      <name val="Alrial"/>
    </font>
    <font>
      <b/>
      <sz val="10"/>
      <color theme="0"/>
      <name val="Arial"/>
      <family val="2"/>
    </font>
    <font>
      <u/>
      <sz val="12"/>
      <color theme="10"/>
      <name val="Calibri"/>
      <family val="2"/>
      <scheme val="minor"/>
    </font>
    <font>
      <i/>
      <u/>
      <sz val="11"/>
      <color indexed="12"/>
      <name val="Arial"/>
      <family val="2"/>
    </font>
    <font>
      <b/>
      <sz val="10"/>
      <color rgb="FFC00000"/>
      <name val="Arial"/>
      <family val="2"/>
    </font>
    <font>
      <b/>
      <sz val="10"/>
      <color theme="1"/>
      <name val="Arial"/>
      <family val="2"/>
    </font>
    <font>
      <b/>
      <sz val="9"/>
      <color theme="1"/>
      <name val="Arial"/>
      <family val="2"/>
    </font>
    <font>
      <u/>
      <sz val="12"/>
      <color theme="10"/>
      <name val="Arial"/>
      <family val="2"/>
    </font>
    <font>
      <sz val="10"/>
      <color rgb="FFFF0000"/>
      <name val="Arial"/>
      <family val="2"/>
    </font>
    <font>
      <sz val="10"/>
      <color theme="0"/>
      <name val="Arial"/>
      <family val="2"/>
    </font>
    <font>
      <sz val="14"/>
      <color rgb="FFC00000"/>
      <name val="Arial"/>
      <family val="2"/>
    </font>
    <font>
      <sz val="12"/>
      <color theme="1"/>
      <name val="Arial"/>
      <family val="2"/>
    </font>
    <font>
      <b/>
      <sz val="24"/>
      <color rgb="FFC00000"/>
      <name val="Arial"/>
      <family val="2"/>
    </font>
    <font>
      <b/>
      <sz val="22"/>
      <name val="Arial"/>
      <family val="2"/>
    </font>
    <font>
      <sz val="14"/>
      <color rgb="FF3333FF"/>
      <name val="Arial"/>
      <family val="2"/>
    </font>
    <font>
      <b/>
      <sz val="19"/>
      <name val="Arial"/>
      <family val="2"/>
    </font>
    <font>
      <b/>
      <sz val="28"/>
      <name val="Arial"/>
      <family val="2"/>
    </font>
    <font>
      <sz val="11"/>
      <color rgb="FF9900FF"/>
      <name val="Arial"/>
      <family val="2"/>
    </font>
    <font>
      <sz val="16"/>
      <name val="Arial"/>
      <family val="2"/>
    </font>
    <font>
      <sz val="12"/>
      <color theme="0"/>
      <name val="Arial"/>
      <family val="2"/>
    </font>
    <font>
      <sz val="11"/>
      <color rgb="FF231F20"/>
      <name val="Arial"/>
      <family val="2"/>
    </font>
    <font>
      <sz val="16"/>
      <color theme="1"/>
      <name val="Arial"/>
      <family val="2"/>
    </font>
    <font>
      <u/>
      <sz val="11"/>
      <name val="Calibri"/>
      <family val="2"/>
    </font>
    <font>
      <sz val="12"/>
      <color theme="1" tint="4.9989318521683403E-2"/>
      <name val="Calibri"/>
      <family val="2"/>
    </font>
    <font>
      <sz val="10"/>
      <name val="Arial"/>
      <family val="2"/>
    </font>
    <font>
      <sz val="18"/>
      <color theme="1"/>
      <name val="Arial"/>
      <family val="2"/>
    </font>
    <font>
      <b/>
      <sz val="10"/>
      <color rgb="FF0000FF"/>
      <name val="Arial"/>
      <family val="2"/>
    </font>
    <font>
      <b/>
      <sz val="10"/>
      <color rgb="FFFF0000"/>
      <name val="Arial"/>
      <family val="2"/>
    </font>
    <font>
      <sz val="9"/>
      <color indexed="81"/>
      <name val="Tahoma"/>
      <family val="2"/>
    </font>
    <font>
      <b/>
      <sz val="9"/>
      <color indexed="81"/>
      <name val="Tahoma"/>
      <family val="2"/>
    </font>
    <font>
      <b/>
      <sz val="16"/>
      <color theme="0"/>
      <name val="Arial"/>
      <family val="2"/>
    </font>
    <font>
      <b/>
      <sz val="24"/>
      <color theme="0"/>
      <name val="Arial"/>
      <family val="2"/>
    </font>
    <font>
      <b/>
      <sz val="10"/>
      <color rgb="FFFFFFFF"/>
      <name val="Arial"/>
      <family val="2"/>
    </font>
    <font>
      <i/>
      <sz val="10"/>
      <color rgb="FF666666"/>
      <name val="Arial"/>
      <family val="2"/>
    </font>
    <font>
      <b/>
      <sz val="24"/>
      <color theme="1"/>
      <name val="Arial"/>
      <family val="2"/>
    </font>
    <font>
      <b/>
      <sz val="16"/>
      <name val="Arial"/>
      <family val="2"/>
    </font>
    <font>
      <b/>
      <sz val="14"/>
      <color theme="1"/>
      <name val="Arial"/>
      <family val="2"/>
    </font>
    <font>
      <b/>
      <sz val="18"/>
      <name val="Arial"/>
      <family val="2"/>
    </font>
    <font>
      <sz val="11"/>
      <color rgb="FFE26B0A"/>
      <name val="Arial"/>
      <family val="2"/>
    </font>
    <font>
      <sz val="8"/>
      <name val="Arial"/>
      <family val="2"/>
    </font>
    <font>
      <sz val="12"/>
      <color rgb="FFE26B0A"/>
      <name val="Arial"/>
      <family val="2"/>
    </font>
    <font>
      <sz val="12"/>
      <color theme="9" tint="-0.249977111117893"/>
      <name val="Arial"/>
      <family val="2"/>
    </font>
    <font>
      <sz val="12"/>
      <name val="Calibri"/>
      <family val="2"/>
      <scheme val="minor"/>
    </font>
    <font>
      <u/>
      <sz val="11"/>
      <color rgb="FFFF0000"/>
      <name val="Arial"/>
      <family val="2"/>
    </font>
    <font>
      <b/>
      <sz val="12"/>
      <color indexed="12"/>
      <name val="Arial"/>
      <family val="2"/>
    </font>
    <font>
      <sz val="14"/>
      <color theme="1"/>
      <name val="Arial"/>
      <family val="2"/>
    </font>
    <font>
      <sz val="9"/>
      <color theme="3" tint="0.39997558519241921"/>
      <name val="Arial"/>
      <family val="2"/>
    </font>
    <font>
      <sz val="12"/>
      <color rgb="FFFF0000"/>
      <name val="Arial"/>
      <family val="2"/>
    </font>
    <font>
      <sz val="12"/>
      <color theme="3" tint="0.39997558519241921"/>
      <name val="Arial"/>
      <family val="2"/>
    </font>
    <font>
      <sz val="12"/>
      <color rgb="FFFF0000"/>
      <name val="Aptos"/>
      <family val="2"/>
    </font>
    <font>
      <sz val="12"/>
      <color rgb="FF00B050"/>
      <name val="Aptos"/>
      <family val="2"/>
    </font>
    <font>
      <b/>
      <sz val="12"/>
      <color theme="3" tint="0.39997558519241921"/>
      <name val="Arial"/>
      <family val="2"/>
    </font>
    <font>
      <sz val="10"/>
      <color indexed="12"/>
      <name val="Arial"/>
      <family val="2"/>
    </font>
    <font>
      <sz val="11"/>
      <color rgb="FF538DD5"/>
      <name val="Arial"/>
      <family val="2"/>
    </font>
    <font>
      <b/>
      <sz val="11"/>
      <color rgb="FF538DD5"/>
      <name val="Arial"/>
      <family val="2"/>
    </font>
    <font>
      <sz val="10"/>
      <color rgb="FF538DD5"/>
      <name val="Arial"/>
      <family val="2"/>
    </font>
    <font>
      <sz val="10"/>
      <color rgb="FF00B0F0"/>
      <name val="Arial"/>
      <family val="2"/>
    </font>
    <font>
      <sz val="10"/>
      <color theme="3" tint="-0.499984740745262"/>
      <name val="Arial"/>
      <family val="2"/>
    </font>
    <font>
      <u/>
      <sz val="24"/>
      <color theme="3" tint="-0.499984740745262"/>
      <name val="Arial"/>
      <family val="2"/>
    </font>
    <font>
      <b/>
      <sz val="10"/>
      <color theme="3" tint="-0.499984740745262"/>
      <name val="Arial"/>
      <family val="2"/>
    </font>
    <font>
      <sz val="10"/>
      <color rgb="FF000000"/>
      <name val="Arial"/>
      <family val="2"/>
    </font>
    <font>
      <b/>
      <sz val="10"/>
      <color rgb="FF000000"/>
      <name val="Arial"/>
      <family val="2"/>
    </font>
    <font>
      <sz val="8"/>
      <color rgb="FF000000"/>
      <name val="Segoe UI"/>
      <family val="2"/>
    </font>
  </fonts>
  <fills count="76">
    <fill>
      <patternFill patternType="none"/>
    </fill>
    <fill>
      <patternFill patternType="gray125"/>
    </fill>
    <fill>
      <patternFill patternType="solid">
        <fgColor indexed="9"/>
        <bgColor indexed="64"/>
      </patternFill>
    </fill>
    <fill>
      <patternFill patternType="solid">
        <fgColor theme="8" tint="0.79998168889431442"/>
        <bgColor indexed="64"/>
      </patternFill>
    </fill>
    <fill>
      <patternFill patternType="solid">
        <fgColor rgb="FFFFFFCC"/>
        <bgColor indexed="64"/>
      </patternFill>
    </fill>
    <fill>
      <patternFill patternType="solid">
        <fgColor theme="0" tint="-0.14993743705557422"/>
        <bgColor indexed="64"/>
      </patternFill>
    </fill>
    <fill>
      <patternFill patternType="solid">
        <fgColor theme="0"/>
        <bgColor indexed="64"/>
      </patternFill>
    </fill>
    <fill>
      <patternFill patternType="solid">
        <fgColor theme="9" tint="0.7999816888943144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DE9D9"/>
        <bgColor indexed="64"/>
      </patternFill>
    </fill>
    <fill>
      <patternFill patternType="solid">
        <fgColor theme="6" tint="0.59999389629810485"/>
        <bgColor indexed="64"/>
      </patternFill>
    </fill>
    <fill>
      <patternFill patternType="solid">
        <fgColor rgb="FFFF0000"/>
        <bgColor indexed="64"/>
      </patternFill>
    </fill>
    <fill>
      <patternFill patternType="solid">
        <fgColor rgb="FFFFFFCC"/>
        <bgColor rgb="FF000000"/>
      </patternFill>
    </fill>
    <fill>
      <patternFill patternType="solid">
        <fgColor theme="0" tint="-0.249977111117893"/>
        <bgColor indexed="64"/>
      </patternFill>
    </fill>
    <fill>
      <patternFill patternType="solid">
        <fgColor indexed="26"/>
        <bgColor indexed="64"/>
      </patternFill>
    </fill>
    <fill>
      <patternFill patternType="solid">
        <fgColor rgb="FFE5FBFF"/>
        <bgColor indexed="64"/>
      </patternFill>
    </fill>
    <fill>
      <patternFill patternType="solid">
        <fgColor rgb="FFECECEC"/>
        <bgColor indexed="64"/>
      </patternFill>
    </fill>
    <fill>
      <patternFill patternType="solid">
        <fgColor rgb="FFC0C0C0"/>
        <bgColor indexed="64"/>
      </patternFill>
    </fill>
    <fill>
      <patternFill patternType="solid">
        <fgColor rgb="FFFFFFFF"/>
        <bgColor indexed="64"/>
      </patternFill>
    </fill>
    <fill>
      <patternFill patternType="solid">
        <fgColor indexed="65"/>
        <bgColor indexed="64"/>
      </patternFill>
    </fill>
    <fill>
      <patternFill patternType="solid">
        <fgColor rgb="FFFCE9D9"/>
        <bgColor indexed="64"/>
      </patternFill>
    </fill>
    <fill>
      <patternFill patternType="solid">
        <fgColor indexed="27"/>
        <bgColor indexed="64"/>
      </patternFill>
    </fill>
    <fill>
      <patternFill patternType="solid">
        <fgColor rgb="FFC00000"/>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7" tint="0.79998168889431442"/>
        <bgColor indexed="64"/>
      </patternFill>
    </fill>
    <fill>
      <patternFill patternType="solid">
        <fgColor theme="0"/>
        <bgColor theme="4"/>
      </patternFill>
    </fill>
    <fill>
      <patternFill patternType="solid">
        <fgColor theme="0"/>
        <bgColor indexed="9"/>
      </patternFill>
    </fill>
    <fill>
      <patternFill patternType="solid">
        <fgColor theme="7" tint="0.59999389629810485"/>
        <bgColor indexed="64"/>
      </patternFill>
    </fill>
    <fill>
      <patternFill patternType="solid">
        <fgColor theme="0"/>
        <bgColor theme="4" tint="0.59999389629810485"/>
      </patternFill>
    </fill>
    <fill>
      <patternFill patternType="solid">
        <fgColor theme="8" tint="0.39997558519241921"/>
        <bgColor indexed="64"/>
      </patternFill>
    </fill>
    <fill>
      <patternFill patternType="solid">
        <fgColor theme="6" tint="0.39997558519241921"/>
        <bgColor indexed="64"/>
      </patternFill>
    </fill>
    <fill>
      <patternFill patternType="solid">
        <fgColor theme="9" tint="0.39997558519241921"/>
        <bgColor indexed="64"/>
      </patternFill>
    </fill>
    <fill>
      <patternFill patternType="solid">
        <fgColor theme="2" tint="-0.499984740745262"/>
        <bgColor indexed="64"/>
      </patternFill>
    </fill>
    <fill>
      <patternFill patternType="solid">
        <fgColor theme="0" tint="-4.9989318521683403E-2"/>
        <bgColor indexed="64"/>
      </patternFill>
    </fill>
    <fill>
      <patternFill patternType="solid">
        <fgColor indexed="22"/>
        <bgColor indexed="64"/>
      </patternFill>
    </fill>
    <fill>
      <patternFill patternType="solid">
        <fgColor indexed="45"/>
        <bgColor indexed="64"/>
      </patternFill>
    </fill>
    <fill>
      <patternFill patternType="solid">
        <fgColor indexed="49"/>
        <bgColor indexed="64"/>
      </patternFill>
    </fill>
    <fill>
      <patternFill patternType="solid">
        <fgColor indexed="8"/>
      </patternFill>
    </fill>
    <fill>
      <patternFill patternType="solid">
        <fgColor rgb="FFEFF9FF"/>
        <bgColor indexed="64"/>
      </patternFill>
    </fill>
    <fill>
      <patternFill patternType="solid">
        <fgColor rgb="FF92D050"/>
        <bgColor indexed="64"/>
      </patternFill>
    </fill>
    <fill>
      <patternFill patternType="solid">
        <fgColor theme="0" tint="-0.14999847407452621"/>
        <bgColor indexed="64"/>
      </patternFill>
    </fill>
    <fill>
      <patternFill patternType="solid">
        <fgColor rgb="FF0000FF"/>
        <bgColor indexed="64"/>
      </patternFill>
    </fill>
    <fill>
      <patternFill patternType="solid">
        <fgColor theme="3" tint="0.59999389629810485"/>
        <bgColor indexed="64"/>
      </patternFill>
    </fill>
    <fill>
      <patternFill patternType="solid">
        <fgColor theme="7" tint="0.39997558519241921"/>
        <bgColor indexed="64"/>
      </patternFill>
    </fill>
    <fill>
      <patternFill patternType="solid">
        <fgColor rgb="FFFFFF00"/>
        <bgColor indexed="64"/>
      </patternFill>
    </fill>
    <fill>
      <patternFill patternType="solid">
        <fgColor theme="4" tint="0.59999389629810485"/>
        <bgColor theme="4" tint="0.59999389629810485"/>
      </patternFill>
    </fill>
    <fill>
      <patternFill patternType="solid">
        <fgColor theme="4" tint="0.79998168889431442"/>
        <bgColor theme="4" tint="0.79998168889431442"/>
      </patternFill>
    </fill>
    <fill>
      <patternFill patternType="solid">
        <fgColor theme="0"/>
        <bgColor theme="4" tint="0.79998168889431442"/>
      </patternFill>
    </fill>
    <fill>
      <patternFill patternType="solid">
        <fgColor theme="8" tint="-0.249977111117893"/>
        <bgColor indexed="64"/>
      </patternFill>
    </fill>
    <fill>
      <patternFill patternType="solid">
        <fgColor theme="2" tint="-9.9978637043366805E-2"/>
        <bgColor indexed="64"/>
      </patternFill>
    </fill>
    <fill>
      <patternFill patternType="solid">
        <fgColor theme="2" tint="-0.249977111117893"/>
        <bgColor indexed="64"/>
      </patternFill>
    </fill>
    <fill>
      <patternFill patternType="solid">
        <fgColor theme="9" tint="0.59999389629810485"/>
        <bgColor indexed="64"/>
      </patternFill>
    </fill>
    <fill>
      <patternFill patternType="solid">
        <fgColor theme="3" tint="0.39997558519241921"/>
        <bgColor indexed="64"/>
      </patternFill>
    </fill>
    <fill>
      <patternFill patternType="solid">
        <fgColor rgb="FFCCECFF"/>
        <bgColor indexed="64"/>
      </patternFill>
    </fill>
    <fill>
      <patternFill patternType="solid">
        <fgColor rgb="FFD9D9FF"/>
        <bgColor indexed="64"/>
      </patternFill>
    </fill>
    <fill>
      <patternFill patternType="solid">
        <fgColor rgb="FF0070C0"/>
        <bgColor indexed="64"/>
      </patternFill>
    </fill>
    <fill>
      <patternFill patternType="solid">
        <fgColor rgb="FFFEACAE"/>
        <bgColor indexed="64"/>
      </patternFill>
    </fill>
    <fill>
      <patternFill patternType="solid">
        <fgColor rgb="FFCCCCFF"/>
        <bgColor indexed="64"/>
      </patternFill>
    </fill>
    <fill>
      <patternFill patternType="solid">
        <fgColor rgb="FFDCDDDE"/>
      </patternFill>
    </fill>
    <fill>
      <patternFill patternType="solid">
        <fgColor rgb="FF7030A0"/>
        <bgColor indexed="64"/>
      </patternFill>
    </fill>
    <fill>
      <patternFill patternType="solid">
        <fgColor theme="2"/>
        <bgColor indexed="64"/>
      </patternFill>
    </fill>
    <fill>
      <patternFill patternType="solid">
        <fgColor rgb="FFF2F2F2"/>
      </patternFill>
    </fill>
    <fill>
      <patternFill patternType="solid">
        <fgColor rgb="FF002060"/>
        <bgColor indexed="64"/>
      </patternFill>
    </fill>
    <fill>
      <patternFill patternType="solid">
        <fgColor theme="4" tint="-0.249977111117893"/>
        <bgColor indexed="64"/>
      </patternFill>
    </fill>
    <fill>
      <patternFill patternType="solid">
        <fgColor rgb="FF1F4E79"/>
      </patternFill>
    </fill>
    <fill>
      <patternFill patternType="solid">
        <fgColor rgb="FFD9E1F2"/>
      </patternFill>
    </fill>
    <fill>
      <patternFill patternType="solid">
        <fgColor theme="4" tint="0.39997558519241921"/>
        <bgColor indexed="64"/>
      </patternFill>
    </fill>
    <fill>
      <patternFill patternType="solid">
        <fgColor theme="3"/>
        <bgColor indexed="64"/>
      </patternFill>
    </fill>
    <fill>
      <patternFill patternType="solid">
        <fgColor rgb="FFFFF44F"/>
        <bgColor indexed="64"/>
      </patternFill>
    </fill>
    <fill>
      <patternFill patternType="solid">
        <fgColor theme="3" tint="0.79998168889431442"/>
        <bgColor rgb="FF000000"/>
      </patternFill>
    </fill>
    <fill>
      <patternFill patternType="solid">
        <fgColor theme="0" tint="-0.34998626667073579"/>
        <bgColor indexed="64"/>
      </patternFill>
    </fill>
    <fill>
      <patternFill patternType="solid">
        <fgColor theme="4" tint="0.59999389629810485"/>
        <bgColor indexed="64"/>
      </patternFill>
    </fill>
  </fills>
  <borders count="162">
    <border>
      <left/>
      <right/>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right style="thin">
        <color auto="1"/>
      </right>
      <top/>
      <bottom/>
      <diagonal/>
    </border>
    <border>
      <left style="thin">
        <color indexed="64"/>
      </left>
      <right/>
      <top style="thin">
        <color indexed="64"/>
      </top>
      <bottom/>
      <diagonal/>
    </border>
    <border>
      <left style="thick">
        <color theme="0"/>
      </left>
      <right style="thick">
        <color theme="0"/>
      </right>
      <top style="thick">
        <color theme="0"/>
      </top>
      <bottom style="thick">
        <color theme="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auto="1"/>
      </top>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top/>
      <bottom style="thick">
        <color theme="0"/>
      </bottom>
      <diagonal/>
    </border>
    <border>
      <left/>
      <right style="thick">
        <color theme="0"/>
      </right>
      <top/>
      <bottom style="thick">
        <color theme="0"/>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style="thin">
        <color auto="1"/>
      </left>
      <right style="medium">
        <color indexed="64"/>
      </right>
      <top/>
      <bottom/>
      <diagonal/>
    </border>
    <border>
      <left/>
      <right style="thick">
        <color theme="0"/>
      </right>
      <top style="thick">
        <color theme="0"/>
      </top>
      <bottom style="thick">
        <color theme="0"/>
      </bottom>
      <diagonal/>
    </border>
    <border>
      <left/>
      <right/>
      <top style="thick">
        <color theme="0"/>
      </top>
      <bottom style="thick">
        <color theme="0"/>
      </bottom>
      <diagonal/>
    </border>
    <border>
      <left/>
      <right/>
      <top style="thick">
        <color theme="0"/>
      </top>
      <bottom/>
      <diagonal/>
    </border>
    <border>
      <left/>
      <right style="thick">
        <color theme="0"/>
      </right>
      <top style="thick">
        <color theme="0"/>
      </top>
      <bottom/>
      <diagonal/>
    </border>
    <border>
      <left/>
      <right style="thin">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theme="0"/>
      </right>
      <top style="thin">
        <color theme="0"/>
      </top>
      <bottom/>
      <diagonal/>
    </border>
    <border>
      <left/>
      <right style="thin">
        <color theme="0"/>
      </right>
      <top style="thin">
        <color theme="0"/>
      </top>
      <bottom style="thin">
        <color theme="0"/>
      </bottom>
      <diagonal/>
    </border>
    <border>
      <left style="thin">
        <color indexed="8"/>
      </left>
      <right/>
      <top/>
      <bottom style="thin">
        <color indexed="64"/>
      </bottom>
      <diagonal/>
    </border>
    <border>
      <left style="thin">
        <color auto="1"/>
      </left>
      <right/>
      <top/>
      <bottom style="thin">
        <color indexed="64"/>
      </bottom>
      <diagonal/>
    </border>
    <border>
      <left/>
      <right/>
      <top style="thick">
        <color rgb="FFC00000"/>
      </top>
      <bottom style="thin">
        <color auto="1"/>
      </bottom>
      <diagonal/>
    </border>
    <border>
      <left/>
      <right style="thick">
        <color rgb="FFC00000"/>
      </right>
      <top style="thick">
        <color rgb="FFC00000"/>
      </top>
      <bottom style="thin">
        <color auto="1"/>
      </bottom>
      <diagonal/>
    </border>
    <border>
      <left style="thick">
        <color rgb="FFC00000"/>
      </left>
      <right style="thin">
        <color indexed="64"/>
      </right>
      <top/>
      <bottom style="thin">
        <color indexed="64"/>
      </bottom>
      <diagonal/>
    </border>
    <border>
      <left style="thick">
        <color rgb="FFC00000"/>
      </left>
      <right style="thin">
        <color indexed="64"/>
      </right>
      <top style="thin">
        <color indexed="64"/>
      </top>
      <bottom style="thin">
        <color indexed="64"/>
      </bottom>
      <diagonal/>
    </border>
    <border>
      <left style="thick">
        <color rgb="FFC00000"/>
      </left>
      <right style="thin">
        <color indexed="64"/>
      </right>
      <top style="thin">
        <color indexed="64"/>
      </top>
      <bottom style="thick">
        <color rgb="FFC00000"/>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indexed="64"/>
      </left>
      <right style="thin">
        <color theme="0"/>
      </right>
      <top style="thin">
        <color indexed="64"/>
      </top>
      <bottom style="thin">
        <color theme="0"/>
      </bottom>
      <diagonal/>
    </border>
    <border>
      <left style="thin">
        <color theme="0"/>
      </left>
      <right style="thin">
        <color theme="0"/>
      </right>
      <top style="thin">
        <color indexed="64"/>
      </top>
      <bottom style="thin">
        <color theme="0"/>
      </bottom>
      <diagonal/>
    </border>
    <border>
      <left style="thin">
        <color theme="0"/>
      </left>
      <right style="thin">
        <color indexed="64"/>
      </right>
      <top style="thin">
        <color indexed="64"/>
      </top>
      <bottom style="thin">
        <color theme="0"/>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indexed="64"/>
      </left>
      <right style="thin">
        <color theme="0"/>
      </right>
      <top style="thin">
        <color theme="0"/>
      </top>
      <bottom/>
      <diagonal/>
    </border>
    <border>
      <left style="thin">
        <color theme="0"/>
      </left>
      <right style="thin">
        <color indexed="64"/>
      </right>
      <top style="thin">
        <color theme="0"/>
      </top>
      <bottom/>
      <diagonal/>
    </border>
    <border>
      <left style="medium">
        <color indexed="64"/>
      </left>
      <right style="medium">
        <color indexed="64"/>
      </right>
      <top style="thin">
        <color indexed="64"/>
      </top>
      <bottom style="thin">
        <color indexed="64"/>
      </bottom>
      <diagonal/>
    </border>
    <border>
      <left/>
      <right/>
      <top style="medium">
        <color rgb="FFC00000"/>
      </top>
      <bottom style="medium">
        <color rgb="FFC00000"/>
      </bottom>
      <diagonal/>
    </border>
    <border>
      <left/>
      <right style="medium">
        <color rgb="FFC00000"/>
      </right>
      <top style="medium">
        <color rgb="FFC00000"/>
      </top>
      <bottom style="medium">
        <color rgb="FFC00000"/>
      </bottom>
      <diagonal/>
    </border>
    <border>
      <left style="medium">
        <color indexed="64"/>
      </left>
      <right/>
      <top style="thin">
        <color indexed="64"/>
      </top>
      <bottom style="thin">
        <color indexed="64"/>
      </bottom>
      <diagonal/>
    </border>
    <border>
      <left style="thin">
        <color theme="0"/>
      </left>
      <right style="thin">
        <color theme="0"/>
      </right>
      <top/>
      <bottom style="thin">
        <color theme="0"/>
      </bottom>
      <diagonal/>
    </border>
    <border>
      <left style="thin">
        <color indexed="64"/>
      </left>
      <right style="thin">
        <color auto="1"/>
      </right>
      <top style="thin">
        <color indexed="64"/>
      </top>
      <bottom style="thin">
        <color indexed="64"/>
      </bottom>
      <diagonal/>
    </border>
    <border>
      <left style="thin">
        <color auto="1"/>
      </left>
      <right/>
      <top style="thin">
        <color indexed="64"/>
      </top>
      <bottom style="medium">
        <color indexed="64"/>
      </bottom>
      <diagonal/>
    </border>
    <border>
      <left/>
      <right style="medium">
        <color indexed="64"/>
      </right>
      <top style="thin">
        <color auto="1"/>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rgb="FF231F20"/>
      </left>
      <right/>
      <top style="thin">
        <color rgb="FF231F20"/>
      </top>
      <bottom style="thin">
        <color rgb="FF231F20"/>
      </bottom>
      <diagonal/>
    </border>
    <border>
      <left style="thin">
        <color rgb="FF231F20"/>
      </left>
      <right style="thin">
        <color rgb="FF231F20"/>
      </right>
      <top style="thin">
        <color rgb="FF231F20"/>
      </top>
      <bottom style="thin">
        <color rgb="FF231F20"/>
      </bottom>
      <diagonal/>
    </border>
    <border>
      <left style="medium">
        <color rgb="FF0000FF"/>
      </left>
      <right/>
      <top style="medium">
        <color rgb="FF0000FF"/>
      </top>
      <bottom/>
      <diagonal/>
    </border>
    <border>
      <left/>
      <right/>
      <top style="medium">
        <color rgb="FF0000FF"/>
      </top>
      <bottom/>
      <diagonal/>
    </border>
    <border>
      <left/>
      <right style="medium">
        <color rgb="FF0000FF"/>
      </right>
      <top style="medium">
        <color rgb="FF0000FF"/>
      </top>
      <bottom/>
      <diagonal/>
    </border>
    <border>
      <left style="medium">
        <color rgb="FF0000FF"/>
      </left>
      <right/>
      <top style="thin">
        <color indexed="64"/>
      </top>
      <bottom/>
      <diagonal/>
    </border>
    <border>
      <left/>
      <right style="medium">
        <color rgb="FF0000FF"/>
      </right>
      <top/>
      <bottom/>
      <diagonal/>
    </border>
    <border>
      <left style="medium">
        <color rgb="FF0000FF"/>
      </left>
      <right/>
      <top style="thin">
        <color indexed="64"/>
      </top>
      <bottom style="thin">
        <color indexed="64"/>
      </bottom>
      <diagonal/>
    </border>
    <border>
      <left style="medium">
        <color rgb="FF0000FF"/>
      </left>
      <right style="thin">
        <color indexed="64"/>
      </right>
      <top/>
      <bottom style="thin">
        <color indexed="64"/>
      </bottom>
      <diagonal/>
    </border>
    <border>
      <left style="medium">
        <color rgb="FF0000FF"/>
      </left>
      <right/>
      <top/>
      <bottom/>
      <diagonal/>
    </border>
    <border>
      <left/>
      <right style="medium">
        <color rgb="FF0000FF"/>
      </right>
      <top style="thin">
        <color indexed="64"/>
      </top>
      <bottom style="double">
        <color indexed="64"/>
      </bottom>
      <diagonal/>
    </border>
    <border>
      <left/>
      <right style="medium">
        <color rgb="FF0000FF"/>
      </right>
      <top/>
      <bottom style="double">
        <color indexed="64"/>
      </bottom>
      <diagonal/>
    </border>
    <border>
      <left style="medium">
        <color rgb="FF0000FF"/>
      </left>
      <right/>
      <top style="thin">
        <color indexed="64"/>
      </top>
      <bottom style="double">
        <color indexed="64"/>
      </bottom>
      <diagonal/>
    </border>
    <border>
      <left style="medium">
        <color rgb="FF0000FF"/>
      </left>
      <right/>
      <top/>
      <bottom style="medium">
        <color rgb="FF0000FF"/>
      </bottom>
      <diagonal/>
    </border>
    <border>
      <left/>
      <right/>
      <top/>
      <bottom style="medium">
        <color rgb="FF0000FF"/>
      </bottom>
      <diagonal/>
    </border>
    <border>
      <left/>
      <right style="medium">
        <color rgb="FF0000FF"/>
      </right>
      <top/>
      <bottom style="medium">
        <color rgb="FF0000FF"/>
      </bottom>
      <diagonal/>
    </border>
    <border>
      <left style="thin">
        <color indexed="64"/>
      </left>
      <right style="thin">
        <color indexed="64"/>
      </right>
      <top/>
      <bottom style="medium">
        <color indexed="64"/>
      </bottom>
      <diagonal/>
    </border>
    <border>
      <left style="medium">
        <color indexed="64"/>
      </left>
      <right style="medium">
        <color indexed="64"/>
      </right>
      <top/>
      <bottom style="thin">
        <color indexed="64"/>
      </bottom>
      <diagonal/>
    </border>
    <border>
      <left/>
      <right/>
      <top style="thin">
        <color auto="1"/>
      </top>
      <bottom/>
      <diagonal/>
    </border>
    <border>
      <left/>
      <right style="thin">
        <color indexed="64"/>
      </right>
      <top style="thin">
        <color indexed="64"/>
      </top>
      <bottom/>
      <diagonal/>
    </border>
    <border>
      <left/>
      <right style="thin">
        <color indexed="64"/>
      </right>
      <top/>
      <bottom/>
      <diagonal/>
    </border>
    <border>
      <left/>
      <right/>
      <top/>
      <bottom style="thin">
        <color indexed="64"/>
      </bottom>
      <diagonal/>
    </border>
    <border>
      <left/>
      <right style="thin">
        <color auto="1"/>
      </right>
      <top style="thin">
        <color auto="1"/>
      </top>
      <bottom style="thin">
        <color indexed="64"/>
      </bottom>
      <diagonal/>
    </border>
    <border>
      <left style="thin">
        <color indexed="64"/>
      </left>
      <right style="thin">
        <color auto="1"/>
      </right>
      <top style="thin">
        <color indexed="64"/>
      </top>
      <bottom/>
      <diagonal/>
    </border>
    <border>
      <left/>
      <right/>
      <top style="thin">
        <color auto="1"/>
      </top>
      <bottom style="thin">
        <color auto="1"/>
      </bottom>
      <diagonal/>
    </border>
    <border>
      <left/>
      <right style="thin">
        <color indexed="8"/>
      </right>
      <top/>
      <bottom style="thin">
        <color auto="1"/>
      </bottom>
      <diagonal/>
    </border>
    <border>
      <left/>
      <right/>
      <top style="thin">
        <color indexed="64"/>
      </top>
      <bottom style="thick">
        <color rgb="FFC00000"/>
      </bottom>
      <diagonal/>
    </border>
    <border>
      <left/>
      <right style="thin">
        <color indexed="64"/>
      </right>
      <top style="thin">
        <color indexed="64"/>
      </top>
      <bottom style="thick">
        <color rgb="FFC00000"/>
      </bottom>
      <diagonal/>
    </border>
    <border>
      <left style="thick">
        <color rgb="FFC00000"/>
      </left>
      <right style="thick">
        <color rgb="FFC00000"/>
      </right>
      <top style="thick">
        <color rgb="FFC00000"/>
      </top>
      <bottom style="thin">
        <color auto="1"/>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medium">
        <color rgb="FFC00000"/>
      </left>
      <right style="medium">
        <color rgb="FFC00000"/>
      </right>
      <top style="medium">
        <color rgb="FFC00000"/>
      </top>
      <bottom style="medium">
        <color rgb="FFC00000"/>
      </bottom>
      <diagonal/>
    </border>
    <border>
      <left/>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style="medium">
        <color indexed="64"/>
      </right>
      <top style="medium">
        <color indexed="64"/>
      </top>
      <bottom/>
      <diagonal/>
    </border>
    <border>
      <left style="thin">
        <color indexed="64"/>
      </left>
      <right/>
      <top/>
      <bottom style="thin">
        <color auto="1"/>
      </bottom>
      <diagonal/>
    </border>
    <border>
      <left style="thin">
        <color auto="1"/>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medium">
        <color indexed="64"/>
      </right>
      <top/>
      <bottom/>
      <diagonal/>
    </border>
    <border>
      <left style="thin">
        <color indexed="64"/>
      </left>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auto="1"/>
      </bottom>
      <diagonal/>
    </border>
    <border>
      <left style="medium">
        <color indexed="64"/>
      </left>
      <right/>
      <top/>
      <bottom style="thin">
        <color auto="1"/>
      </bottom>
      <diagonal/>
    </border>
    <border>
      <left style="thin">
        <color indexed="64"/>
      </left>
      <right style="thin">
        <color indexed="64"/>
      </right>
      <top/>
      <bottom style="thin">
        <color auto="1"/>
      </bottom>
      <diagonal/>
    </border>
    <border>
      <left style="medium">
        <color indexed="64"/>
      </left>
      <right style="thin">
        <color indexed="64"/>
      </right>
      <top style="thin">
        <color indexed="64"/>
      </top>
      <bottom style="medium">
        <color indexed="64"/>
      </bottom>
      <diagonal/>
    </border>
    <border>
      <left style="thin">
        <color auto="1"/>
      </left>
      <right style="thin">
        <color auto="1"/>
      </right>
      <top style="thin">
        <color indexed="64"/>
      </top>
      <bottom style="medium">
        <color indexed="64"/>
      </bottom>
      <diagonal/>
    </border>
    <border>
      <left style="medium">
        <color indexed="64"/>
      </left>
      <right style="thin">
        <color auto="1"/>
      </right>
      <top style="medium">
        <color indexed="64"/>
      </top>
      <bottom/>
      <diagonal/>
    </border>
    <border>
      <left style="medium">
        <color indexed="64"/>
      </left>
      <right style="thin">
        <color indexed="64"/>
      </right>
      <top/>
      <bottom style="medium">
        <color indexed="64"/>
      </bottom>
      <diagonal/>
    </border>
    <border>
      <left style="thin">
        <color auto="1"/>
      </left>
      <right style="medium">
        <color indexed="64"/>
      </right>
      <top style="medium">
        <color indexed="64"/>
      </top>
      <bottom style="thin">
        <color indexed="64"/>
      </bottom>
      <diagonal/>
    </border>
    <border>
      <left style="thin">
        <color auto="1"/>
      </left>
      <right style="thin">
        <color auto="1"/>
      </right>
      <top/>
      <bottom/>
      <diagonal/>
    </border>
    <border>
      <left/>
      <right style="medium">
        <color rgb="FF0000FF"/>
      </right>
      <top style="thin">
        <color indexed="64"/>
      </top>
      <bottom style="thin">
        <color indexed="64"/>
      </bottom>
      <diagonal/>
    </border>
    <border>
      <left/>
      <right style="medium">
        <color rgb="FF0000FF"/>
      </right>
      <top style="thin">
        <color indexed="64"/>
      </top>
      <bottom/>
      <diagonal/>
    </border>
    <border>
      <left style="medium">
        <color rgb="FF0000FF"/>
      </left>
      <right/>
      <top/>
      <bottom style="thin">
        <color auto="1"/>
      </bottom>
      <diagonal/>
    </border>
    <border>
      <left style="medium">
        <color rgb="FF0000FF"/>
      </left>
      <right style="thin">
        <color auto="1"/>
      </right>
      <top style="thin">
        <color indexed="64"/>
      </top>
      <bottom style="thin">
        <color indexed="64"/>
      </bottom>
      <diagonal/>
    </border>
    <border>
      <left style="medium">
        <color rgb="FF0000FF"/>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thin">
        <color auto="1"/>
      </right>
      <top style="thin">
        <color indexed="64"/>
      </top>
      <bottom style="thin">
        <color auto="1"/>
      </bottom>
      <diagonal/>
    </border>
    <border>
      <left style="medium">
        <color rgb="FF0000FF"/>
      </left>
      <right style="thin">
        <color auto="1"/>
      </right>
      <top style="thin">
        <color indexed="64"/>
      </top>
      <bottom/>
      <diagonal/>
    </border>
    <border>
      <left style="thin">
        <color indexed="64"/>
      </left>
      <right/>
      <top style="thin">
        <color indexed="64"/>
      </top>
      <bottom style="thin">
        <color auto="1"/>
      </bottom>
      <diagonal/>
    </border>
    <border>
      <left style="medium">
        <color indexed="64"/>
      </left>
      <right style="thin">
        <color auto="1"/>
      </right>
      <top style="thin">
        <color indexed="64"/>
      </top>
      <bottom/>
      <diagonal/>
    </border>
    <border>
      <left style="medium">
        <color indexed="64"/>
      </left>
      <right style="medium">
        <color indexed="64"/>
      </right>
      <top style="medium">
        <color indexed="64"/>
      </top>
      <bottom style="medium">
        <color indexed="64"/>
      </bottom>
      <diagonal/>
    </border>
    <border>
      <left style="thin">
        <color rgb="FF808080"/>
      </left>
      <right style="thin">
        <color rgb="FF808080"/>
      </right>
      <top style="thin">
        <color rgb="FF808080"/>
      </top>
      <bottom style="thin">
        <color rgb="FF808080"/>
      </bottom>
      <diagonal/>
    </border>
    <border>
      <left style="thin">
        <color indexed="64"/>
      </left>
      <right style="thin">
        <color rgb="FF808080"/>
      </right>
      <top style="thin">
        <color indexed="64"/>
      </top>
      <bottom style="thin">
        <color indexed="64"/>
      </bottom>
      <diagonal/>
    </border>
    <border>
      <left style="thin">
        <color rgb="FFA6A6A6"/>
      </left>
      <right style="thin">
        <color rgb="FFA6A6A6"/>
      </right>
      <top style="thin">
        <color rgb="FFA6A6A6"/>
      </top>
      <bottom style="thin">
        <color rgb="FFA6A6A6"/>
      </bottom>
      <diagonal/>
    </border>
    <border>
      <left style="thin">
        <color rgb="FF808080"/>
      </left>
      <right style="thin">
        <color rgb="FF808080"/>
      </right>
      <top/>
      <bottom style="thin">
        <color rgb="FF808080"/>
      </bottom>
      <diagonal/>
    </border>
    <border>
      <left style="thin">
        <color indexed="64"/>
      </left>
      <right style="thin">
        <color rgb="FF808080"/>
      </right>
      <top style="thin">
        <color rgb="FF808080"/>
      </top>
      <bottom style="thin">
        <color rgb="FF808080"/>
      </bottom>
      <diagonal/>
    </border>
    <border>
      <left style="thin">
        <color indexed="64"/>
      </left>
      <right/>
      <top style="thin">
        <color rgb="FF808080"/>
      </top>
      <bottom style="thin">
        <color rgb="FF808080"/>
      </bottom>
      <diagonal/>
    </border>
    <border>
      <left style="thin">
        <color rgb="FF808080"/>
      </left>
      <right style="thin">
        <color indexed="64"/>
      </right>
      <top style="thin">
        <color rgb="FF808080"/>
      </top>
      <bottom style="thin">
        <color indexed="64"/>
      </bottom>
      <diagonal/>
    </border>
    <border>
      <left style="thin">
        <color rgb="FF808080"/>
      </left>
      <right style="thin">
        <color rgb="FF808080"/>
      </right>
      <top style="thin">
        <color rgb="FF808080"/>
      </top>
      <bottom/>
      <diagonal/>
    </border>
    <border>
      <left style="thin">
        <color indexed="64"/>
      </left>
      <right style="thin">
        <color rgb="FF808080"/>
      </right>
      <top style="thin">
        <color indexed="64"/>
      </top>
      <bottom style="thin">
        <color rgb="FF808080"/>
      </bottom>
      <diagonal/>
    </border>
    <border>
      <left style="thin">
        <color rgb="FF808080"/>
      </left>
      <right style="thin">
        <color rgb="FF808080"/>
      </right>
      <top style="thin">
        <color indexed="64"/>
      </top>
      <bottom style="thin">
        <color rgb="FF808080"/>
      </bottom>
      <diagonal/>
    </border>
    <border>
      <left style="thin">
        <color rgb="FF808080"/>
      </left>
      <right style="thin">
        <color indexed="64"/>
      </right>
      <top style="thin">
        <color indexed="64"/>
      </top>
      <bottom style="thin">
        <color rgb="FF808080"/>
      </bottom>
      <diagonal/>
    </border>
    <border>
      <left style="thin">
        <color indexed="64"/>
      </left>
      <right/>
      <top style="thin">
        <color rgb="FF808080"/>
      </top>
      <bottom style="thin">
        <color indexed="64"/>
      </bottom>
      <diagonal/>
    </border>
    <border>
      <left/>
      <right style="thick">
        <color rgb="FFC00000"/>
      </right>
      <top style="thin">
        <color auto="1"/>
      </top>
      <bottom style="thin">
        <color indexed="64"/>
      </bottom>
      <diagonal/>
    </border>
    <border>
      <left style="thin">
        <color rgb="FFA6A6A6"/>
      </left>
      <right/>
      <top style="thin">
        <color rgb="FFA6A6A6"/>
      </top>
      <bottom style="thin">
        <color rgb="FFA6A6A6"/>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auto="1"/>
      </right>
      <top style="double">
        <color indexed="64"/>
      </top>
      <bottom style="thin">
        <color indexed="64"/>
      </bottom>
      <diagonal/>
    </border>
    <border>
      <left style="thin">
        <color indexed="8"/>
      </left>
      <right style="thin">
        <color indexed="8"/>
      </right>
      <top/>
      <bottom style="thin">
        <color indexed="64"/>
      </bottom>
      <diagonal/>
    </border>
    <border>
      <left/>
      <right style="thin">
        <color indexed="64"/>
      </right>
      <top/>
      <bottom style="thin">
        <color auto="1"/>
      </bottom>
      <diagonal/>
    </border>
    <border>
      <left/>
      <right/>
      <top style="thick">
        <color auto="1"/>
      </top>
      <bottom/>
      <diagonal/>
    </border>
    <border>
      <left style="thin">
        <color rgb="FF808080"/>
      </left>
      <right/>
      <top/>
      <bottom/>
      <diagonal/>
    </border>
    <border>
      <left style="double">
        <color indexed="64"/>
      </left>
      <right style="thin">
        <color indexed="64"/>
      </right>
      <top style="thin">
        <color indexed="64"/>
      </top>
      <bottom style="thin">
        <color auto="1"/>
      </bottom>
      <diagonal/>
    </border>
    <border>
      <left style="thin">
        <color rgb="FF808080"/>
      </left>
      <right/>
      <top/>
      <bottom style="thin">
        <color auto="1"/>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n">
        <color indexed="64"/>
      </left>
      <right style="thin">
        <color rgb="FF808080"/>
      </right>
      <top style="thin">
        <color rgb="FF808080"/>
      </top>
      <bottom/>
      <diagonal/>
    </border>
    <border>
      <left style="thin">
        <color rgb="FF808080"/>
      </left>
      <right style="thin">
        <color indexed="64"/>
      </right>
      <top style="thin">
        <color indexed="64"/>
      </top>
      <bottom style="thin">
        <color indexed="64"/>
      </bottom>
      <diagonal/>
    </border>
    <border>
      <left style="thin">
        <color rgb="FF808080"/>
      </left>
      <right style="thin">
        <color rgb="FF808080"/>
      </right>
      <top/>
      <bottom/>
      <diagonal/>
    </border>
    <border>
      <left style="thin">
        <color rgb="FF808080"/>
      </left>
      <right style="thin">
        <color rgb="FF808080"/>
      </right>
      <top style="thin">
        <color indexed="64"/>
      </top>
      <bottom style="thin">
        <color indexed="64"/>
      </bottom>
      <diagonal/>
    </border>
  </borders>
  <cellStyleXfs count="215">
    <xf numFmtId="0" fontId="0" fillId="0" borderId="0"/>
    <xf numFmtId="0" fontId="22" fillId="3" borderId="7">
      <alignment horizontal="left" vertical="center" wrapText="1"/>
    </xf>
    <xf numFmtId="0" fontId="23" fillId="3" borderId="7">
      <alignment horizontal="left" vertical="center" wrapText="1"/>
    </xf>
    <xf numFmtId="44" fontId="139" fillId="0" borderId="0"/>
    <xf numFmtId="0" fontId="10" fillId="0" borderId="0">
      <alignment vertical="top"/>
      <protection locked="0"/>
    </xf>
    <xf numFmtId="0" fontId="18" fillId="0" borderId="0"/>
    <xf numFmtId="0" fontId="20" fillId="0" borderId="0"/>
    <xf numFmtId="0" fontId="21" fillId="0" borderId="0"/>
    <xf numFmtId="0" fontId="22" fillId="0" borderId="0">
      <alignment horizontal="left" vertical="center"/>
    </xf>
    <xf numFmtId="0" fontId="24" fillId="0" borderId="0"/>
    <xf numFmtId="0" fontId="14" fillId="0" borderId="0">
      <alignment horizontal="left"/>
    </xf>
    <xf numFmtId="0" fontId="23" fillId="3" borderId="6">
      <alignment horizontal="left" vertical="center" wrapText="1"/>
    </xf>
    <xf numFmtId="0" fontId="22" fillId="3" borderId="6">
      <alignment horizontal="left" vertical="center" wrapText="1"/>
    </xf>
    <xf numFmtId="0" fontId="29" fillId="0" borderId="0">
      <alignment horizontal="center" vertical="center"/>
    </xf>
    <xf numFmtId="0" fontId="30" fillId="0" borderId="0">
      <alignment horizontal="left" vertical="center"/>
    </xf>
    <xf numFmtId="0" fontId="22" fillId="4" borderId="6">
      <alignment horizontal="left" vertical="top" wrapText="1"/>
      <protection locked="0"/>
    </xf>
    <xf numFmtId="0" fontId="139" fillId="0" borderId="0"/>
    <xf numFmtId="0" fontId="22" fillId="4" borderId="7">
      <alignment horizontal="left" vertical="top" wrapText="1"/>
      <protection locked="0"/>
    </xf>
    <xf numFmtId="0" fontId="24" fillId="0" borderId="0"/>
    <xf numFmtId="0" fontId="23" fillId="3" borderId="7">
      <alignment horizontal="left" vertical="center" wrapText="1"/>
    </xf>
    <xf numFmtId="0" fontId="22" fillId="3" borderId="7">
      <alignment horizontal="left" vertical="center" wrapText="1"/>
    </xf>
    <xf numFmtId="0" fontId="139" fillId="0" borderId="0"/>
    <xf numFmtId="0" fontId="16" fillId="5" borderId="7">
      <alignment horizontal="left" vertical="center" wrapText="1"/>
    </xf>
    <xf numFmtId="0" fontId="17" fillId="0" borderId="0"/>
    <xf numFmtId="0" fontId="32" fillId="0" borderId="0"/>
    <xf numFmtId="0" fontId="24" fillId="0" borderId="0"/>
    <xf numFmtId="0" fontId="139" fillId="0" borderId="0"/>
    <xf numFmtId="0" fontId="27" fillId="0" borderId="0"/>
    <xf numFmtId="0" fontId="39" fillId="9" borderId="0"/>
    <xf numFmtId="0" fontId="40" fillId="8" borderId="0"/>
    <xf numFmtId="0" fontId="41" fillId="0" borderId="0"/>
    <xf numFmtId="0" fontId="38" fillId="0" borderId="0">
      <alignment vertical="top"/>
      <protection locked="0"/>
    </xf>
    <xf numFmtId="0" fontId="42" fillId="10" borderId="0"/>
    <xf numFmtId="0" fontId="22" fillId="0" borderId="0"/>
    <xf numFmtId="0" fontId="37" fillId="0" borderId="0"/>
    <xf numFmtId="0" fontId="139" fillId="0" borderId="0"/>
    <xf numFmtId="0" fontId="22" fillId="0" borderId="0"/>
    <xf numFmtId="0" fontId="19" fillId="0" borderId="0"/>
    <xf numFmtId="0" fontId="19" fillId="0" borderId="0"/>
    <xf numFmtId="0" fontId="22" fillId="0" borderId="0"/>
    <xf numFmtId="0" fontId="24" fillId="0" borderId="0"/>
    <xf numFmtId="0" fontId="27" fillId="0" borderId="0"/>
    <xf numFmtId="0" fontId="24" fillId="0" borderId="0"/>
    <xf numFmtId="9" fontId="22" fillId="0" borderId="0"/>
    <xf numFmtId="0" fontId="24" fillId="0" borderId="0"/>
    <xf numFmtId="0" fontId="22" fillId="3" borderId="7">
      <alignment horizontal="left" vertical="center" wrapText="1"/>
    </xf>
    <xf numFmtId="0" fontId="22" fillId="4" borderId="7">
      <alignment horizontal="left" vertical="top" wrapText="1"/>
      <protection locked="0"/>
    </xf>
    <xf numFmtId="0" fontId="52" fillId="0" borderId="0"/>
    <xf numFmtId="0" fontId="24" fillId="0" borderId="0"/>
    <xf numFmtId="0" fontId="139" fillId="0" borderId="0"/>
    <xf numFmtId="0" fontId="139" fillId="0" borderId="0"/>
    <xf numFmtId="0" fontId="59" fillId="0" borderId="0"/>
    <xf numFmtId="0" fontId="59" fillId="0" borderId="0"/>
    <xf numFmtId="43" fontId="139" fillId="0" borderId="0"/>
    <xf numFmtId="0" fontId="10" fillId="0" borderId="0"/>
    <xf numFmtId="9" fontId="139" fillId="0" borderId="0"/>
    <xf numFmtId="0" fontId="139" fillId="0" borderId="0"/>
    <xf numFmtId="0" fontId="24" fillId="0" borderId="0"/>
    <xf numFmtId="0" fontId="24" fillId="0" borderId="0"/>
    <xf numFmtId="0" fontId="24" fillId="0" borderId="0"/>
    <xf numFmtId="0" fontId="139" fillId="0" borderId="0"/>
    <xf numFmtId="0" fontId="24" fillId="0" borderId="0"/>
    <xf numFmtId="0" fontId="139" fillId="0" borderId="0"/>
    <xf numFmtId="0" fontId="22" fillId="0" borderId="0">
      <alignment horizontal="left" vertical="center"/>
    </xf>
    <xf numFmtId="0" fontId="139" fillId="0" borderId="0"/>
    <xf numFmtId="0" fontId="139" fillId="0" borderId="0"/>
    <xf numFmtId="0" fontId="139" fillId="0" borderId="0"/>
    <xf numFmtId="44" fontId="139" fillId="0" borderId="0"/>
    <xf numFmtId="0" fontId="10" fillId="0" borderId="0">
      <alignment vertical="top"/>
      <protection locked="0"/>
    </xf>
    <xf numFmtId="0" fontId="24" fillId="0" borderId="0"/>
    <xf numFmtId="43" fontId="24" fillId="0" borderId="0"/>
    <xf numFmtId="9" fontId="139" fillId="0" borderId="0"/>
    <xf numFmtId="182" fontId="76" fillId="0" borderId="0"/>
    <xf numFmtId="0" fontId="24" fillId="0" borderId="0"/>
    <xf numFmtId="43" fontId="24" fillId="0" borderId="0"/>
    <xf numFmtId="0" fontId="139" fillId="0" borderId="0"/>
    <xf numFmtId="9" fontId="24" fillId="0" borderId="0"/>
    <xf numFmtId="0" fontId="24" fillId="0" borderId="0"/>
    <xf numFmtId="0" fontId="24" fillId="0" borderId="0"/>
    <xf numFmtId="0" fontId="22" fillId="3" borderId="7">
      <alignment horizontal="left" vertical="center" wrapText="1"/>
    </xf>
    <xf numFmtId="0" fontId="22" fillId="4" borderId="7">
      <alignment horizontal="left" vertical="top" wrapText="1"/>
      <protection locked="0"/>
    </xf>
    <xf numFmtId="2" fontId="22" fillId="4" borderId="7">
      <alignment horizontal="left" vertical="center"/>
      <protection locked="0"/>
    </xf>
    <xf numFmtId="2" fontId="65" fillId="16" borderId="7">
      <alignment horizontal="left" vertical="center"/>
      <protection locked="0"/>
    </xf>
    <xf numFmtId="2" fontId="65" fillId="16" borderId="7">
      <alignment horizontal="left" vertical="center"/>
      <protection locked="0"/>
    </xf>
    <xf numFmtId="170" fontId="65" fillId="16" borderId="7">
      <alignment horizontal="left" vertical="top" wrapText="1" indent="2"/>
      <protection locked="0"/>
    </xf>
    <xf numFmtId="170" fontId="65" fillId="16" borderId="7">
      <alignment horizontal="left" vertical="top" wrapText="1" indent="2"/>
      <protection locked="0"/>
    </xf>
    <xf numFmtId="10" fontId="65" fillId="16" borderId="7">
      <alignment horizontal="left" vertical="center"/>
      <protection locked="0"/>
    </xf>
    <xf numFmtId="14" fontId="65" fillId="16" borderId="7">
      <alignment horizontal="left" vertical="center"/>
      <protection locked="0"/>
    </xf>
    <xf numFmtId="14" fontId="65" fillId="16" borderId="7">
      <alignment horizontal="left" vertical="center"/>
      <protection locked="0"/>
    </xf>
    <xf numFmtId="0" fontId="65" fillId="16" borderId="7">
      <alignment horizontal="left" vertical="top" wrapText="1"/>
      <protection locked="0"/>
    </xf>
    <xf numFmtId="0" fontId="65" fillId="16" borderId="7">
      <alignment horizontal="left" vertical="top" wrapText="1"/>
      <protection locked="0"/>
    </xf>
    <xf numFmtId="0" fontId="65" fillId="16" borderId="7">
      <alignment horizontal="left" vertical="top" wrapText="1"/>
      <protection locked="0"/>
    </xf>
    <xf numFmtId="0" fontId="65" fillId="23" borderId="7">
      <alignment horizontal="left" vertical="center" wrapText="1"/>
    </xf>
    <xf numFmtId="0" fontId="65" fillId="23" borderId="7">
      <alignment horizontal="left" vertical="center" wrapText="1"/>
    </xf>
    <xf numFmtId="0" fontId="65" fillId="23" borderId="7">
      <alignment horizontal="left" vertical="center" wrapText="1"/>
    </xf>
    <xf numFmtId="0" fontId="65" fillId="23" borderId="7">
      <alignment horizontal="left" vertical="center" wrapText="1"/>
    </xf>
    <xf numFmtId="0" fontId="66" fillId="23" borderId="7">
      <alignment horizontal="left" vertical="center" wrapText="1"/>
    </xf>
    <xf numFmtId="0" fontId="66" fillId="23" borderId="7">
      <alignment horizontal="left" vertical="center" wrapText="1"/>
    </xf>
    <xf numFmtId="0" fontId="16" fillId="38" borderId="7">
      <alignment horizontal="left" vertical="center" wrapText="1"/>
    </xf>
    <xf numFmtId="0" fontId="16" fillId="38" borderId="7">
      <alignment horizontal="left" vertical="center" wrapText="1"/>
    </xf>
    <xf numFmtId="0" fontId="16" fillId="38" borderId="7">
      <alignment horizontal="left" vertical="center" wrapText="1"/>
    </xf>
    <xf numFmtId="43" fontId="19" fillId="0" borderId="0"/>
    <xf numFmtId="43" fontId="32" fillId="0" borderId="0"/>
    <xf numFmtId="183" fontId="32" fillId="0" borderId="0"/>
    <xf numFmtId="43" fontId="32" fillId="0" borderId="0"/>
    <xf numFmtId="44" fontId="139" fillId="0" borderId="0"/>
    <xf numFmtId="44" fontId="139" fillId="0" borderId="0"/>
    <xf numFmtId="44" fontId="19" fillId="0" borderId="0"/>
    <xf numFmtId="44" fontId="139" fillId="0" borderId="0"/>
    <xf numFmtId="44" fontId="19" fillId="0" borderId="0"/>
    <xf numFmtId="44" fontId="139" fillId="0" borderId="0"/>
    <xf numFmtId="44" fontId="139" fillId="0" borderId="0"/>
    <xf numFmtId="44" fontId="32" fillId="0" borderId="0"/>
    <xf numFmtId="0" fontId="17" fillId="39" borderId="0">
      <alignment horizontal="center"/>
    </xf>
    <xf numFmtId="0" fontId="15" fillId="40" borderId="7">
      <alignment horizontal="center" vertical="center"/>
    </xf>
    <xf numFmtId="0" fontId="15" fillId="40" borderId="7">
      <alignment horizontal="center" vertical="center"/>
    </xf>
    <xf numFmtId="0" fontId="94" fillId="41" borderId="0">
      <protection locked="0"/>
    </xf>
    <xf numFmtId="0" fontId="95" fillId="0" borderId="0"/>
    <xf numFmtId="0" fontId="10" fillId="0" borderId="0">
      <alignment vertical="top"/>
      <protection locked="0"/>
    </xf>
    <xf numFmtId="0" fontId="95" fillId="0" borderId="0"/>
    <xf numFmtId="0" fontId="10" fillId="0" borderId="0"/>
    <xf numFmtId="0" fontId="10" fillId="0" borderId="0"/>
    <xf numFmtId="0" fontId="95" fillId="0" borderId="0"/>
    <xf numFmtId="0" fontId="10" fillId="0" borderId="0">
      <alignment vertical="top"/>
      <protection locked="0"/>
    </xf>
    <xf numFmtId="0" fontId="65" fillId="0" borderId="0">
      <alignment horizontal="left" vertical="center"/>
    </xf>
    <xf numFmtId="0" fontId="32" fillId="0" borderId="0"/>
    <xf numFmtId="0" fontId="139" fillId="0" borderId="0"/>
    <xf numFmtId="0" fontId="139" fillId="0" borderId="0"/>
    <xf numFmtId="0" fontId="32" fillId="0" borderId="0"/>
    <xf numFmtId="0" fontId="139" fillId="0" borderId="0"/>
    <xf numFmtId="0" fontId="139" fillId="0" borderId="0"/>
    <xf numFmtId="0" fontId="139" fillId="0" borderId="0"/>
    <xf numFmtId="0" fontId="139" fillId="0" borderId="0"/>
    <xf numFmtId="0" fontId="139" fillId="0" borderId="0"/>
    <xf numFmtId="0" fontId="139" fillId="0" borderId="0"/>
    <xf numFmtId="0" fontId="32" fillId="0" borderId="0"/>
    <xf numFmtId="0" fontId="32" fillId="0" borderId="0"/>
    <xf numFmtId="0" fontId="32" fillId="0" borderId="0"/>
    <xf numFmtId="0" fontId="139" fillId="0" borderId="0"/>
    <xf numFmtId="0" fontId="139" fillId="0" borderId="0"/>
    <xf numFmtId="0" fontId="32" fillId="0" borderId="0"/>
    <xf numFmtId="0" fontId="32" fillId="0" borderId="0"/>
    <xf numFmtId="0" fontId="32" fillId="0" borderId="0"/>
    <xf numFmtId="0" fontId="32" fillId="0" borderId="0"/>
    <xf numFmtId="0" fontId="139" fillId="0" borderId="0"/>
    <xf numFmtId="0" fontId="32" fillId="0" borderId="0"/>
    <xf numFmtId="0" fontId="32" fillId="0" borderId="0"/>
    <xf numFmtId="0" fontId="32" fillId="0" borderId="0"/>
    <xf numFmtId="0" fontId="139" fillId="0" borderId="0"/>
    <xf numFmtId="0" fontId="32" fillId="0" borderId="0"/>
    <xf numFmtId="0" fontId="32" fillId="0" borderId="0"/>
    <xf numFmtId="0" fontId="139" fillId="0" borderId="0"/>
    <xf numFmtId="0" fontId="32" fillId="0" borderId="0"/>
    <xf numFmtId="0" fontId="139" fillId="0" borderId="0"/>
    <xf numFmtId="0" fontId="139" fillId="0" borderId="0"/>
    <xf numFmtId="0" fontId="32" fillId="0" borderId="0"/>
    <xf numFmtId="0" fontId="32" fillId="0" borderId="0"/>
    <xf numFmtId="0" fontId="32" fillId="0" borderId="0"/>
    <xf numFmtId="0" fontId="32" fillId="0" borderId="0"/>
    <xf numFmtId="0" fontId="139" fillId="0" borderId="0"/>
    <xf numFmtId="0" fontId="139" fillId="0" borderId="0"/>
    <xf numFmtId="0" fontId="139" fillId="0" borderId="0"/>
    <xf numFmtId="0" fontId="32" fillId="0" borderId="0"/>
    <xf numFmtId="0" fontId="32" fillId="0" borderId="0"/>
    <xf numFmtId="0" fontId="32" fillId="0" borderId="0"/>
    <xf numFmtId="0" fontId="32" fillId="0" borderId="0"/>
    <xf numFmtId="0" fontId="139" fillId="0" borderId="0"/>
    <xf numFmtId="0" fontId="32" fillId="0" borderId="0"/>
    <xf numFmtId="0" fontId="32" fillId="0" borderId="0"/>
    <xf numFmtId="0" fontId="32" fillId="0" borderId="0"/>
    <xf numFmtId="0" fontId="32" fillId="0" borderId="0"/>
    <xf numFmtId="0" fontId="96" fillId="0" borderId="0"/>
    <xf numFmtId="0" fontId="32" fillId="0" borderId="0"/>
    <xf numFmtId="0" fontId="32" fillId="0" borderId="0"/>
    <xf numFmtId="0" fontId="32" fillId="0" borderId="0"/>
    <xf numFmtId="0" fontId="32" fillId="0" borderId="0"/>
    <xf numFmtId="0" fontId="32" fillId="0" borderId="0"/>
    <xf numFmtId="0" fontId="32" fillId="0" borderId="0"/>
    <xf numFmtId="0" fontId="19" fillId="0" borderId="0">
      <alignment vertical="top"/>
    </xf>
    <xf numFmtId="0" fontId="19" fillId="0" borderId="0">
      <alignment vertical="top"/>
    </xf>
    <xf numFmtId="0" fontId="32" fillId="0" borderId="0"/>
    <xf numFmtId="0" fontId="32" fillId="0" borderId="0"/>
    <xf numFmtId="0" fontId="32" fillId="0" borderId="0"/>
    <xf numFmtId="0" fontId="32" fillId="0" borderId="0"/>
    <xf numFmtId="0" fontId="19" fillId="0" borderId="0"/>
    <xf numFmtId="9" fontId="139" fillId="0" borderId="0"/>
    <xf numFmtId="0" fontId="24" fillId="0" borderId="0"/>
    <xf numFmtId="43" fontId="109" fillId="0" borderId="0"/>
    <xf numFmtId="0" fontId="109" fillId="0" borderId="0"/>
    <xf numFmtId="0" fontId="139" fillId="0" borderId="0"/>
    <xf numFmtId="0" fontId="117" fillId="0" borderId="0"/>
    <xf numFmtId="0" fontId="23" fillId="3" borderId="7">
      <alignment horizontal="left" vertical="center" wrapText="1"/>
    </xf>
    <xf numFmtId="43" fontId="139" fillId="0" borderId="0"/>
    <xf numFmtId="0" fontId="24" fillId="0" borderId="0"/>
    <xf numFmtId="0" fontId="23" fillId="3" borderId="63">
      <alignment horizontal="left" vertical="center" wrapText="1"/>
    </xf>
    <xf numFmtId="0" fontId="22" fillId="4" borderId="63">
      <alignment horizontal="left" vertical="top" wrapText="1"/>
      <protection locked="0"/>
    </xf>
    <xf numFmtId="0" fontId="22" fillId="3" borderId="63">
      <alignment horizontal="left" vertical="center" wrapText="1"/>
    </xf>
    <xf numFmtId="0" fontId="22" fillId="3" borderId="63">
      <alignment horizontal="left" vertical="center" wrapText="1"/>
    </xf>
    <xf numFmtId="0" fontId="23" fillId="3" borderId="63">
      <alignment horizontal="left" vertical="center" wrapText="1"/>
    </xf>
    <xf numFmtId="0" fontId="24" fillId="0" borderId="0"/>
    <xf numFmtId="0" fontId="139" fillId="0" borderId="0"/>
    <xf numFmtId="0" fontId="24" fillId="0" borderId="0"/>
    <xf numFmtId="0" fontId="24" fillId="0" borderId="0"/>
    <xf numFmtId="0" fontId="22" fillId="3" borderId="63">
      <alignment horizontal="left" vertical="center" wrapText="1"/>
    </xf>
    <xf numFmtId="0" fontId="139" fillId="0" borderId="0"/>
    <xf numFmtId="0" fontId="9" fillId="0" borderId="0"/>
    <xf numFmtId="0" fontId="2" fillId="0" borderId="0"/>
    <xf numFmtId="0" fontId="10" fillId="0" borderId="0" applyNumberFormat="0" applyFill="0" applyBorder="0" applyAlignment="0" applyProtection="0"/>
    <xf numFmtId="0" fontId="9" fillId="0" borderId="0"/>
    <xf numFmtId="0" fontId="1" fillId="0" borderId="0"/>
    <xf numFmtId="0" fontId="22" fillId="4" borderId="127">
      <alignment horizontal="left" vertical="top" wrapText="1"/>
      <protection locked="0"/>
    </xf>
    <xf numFmtId="0" fontId="1" fillId="0" borderId="0"/>
    <xf numFmtId="0" fontId="22" fillId="3" borderId="127">
      <alignment horizontal="left" vertical="center" wrapText="1"/>
    </xf>
    <xf numFmtId="0" fontId="23" fillId="3" borderId="127">
      <alignment horizontal="left" vertical="center" wrapText="1"/>
    </xf>
    <xf numFmtId="0" fontId="9" fillId="0" borderId="0"/>
  </cellStyleXfs>
  <cellXfs count="3873">
    <xf numFmtId="0" fontId="0" fillId="0" borderId="0" xfId="0"/>
    <xf numFmtId="0" fontId="26" fillId="0" borderId="0" xfId="26" applyFont="1" applyAlignment="1">
      <alignment horizontal="left" vertical="center"/>
    </xf>
    <xf numFmtId="0" fontId="22" fillId="0" borderId="0" xfId="26" applyFont="1" applyAlignment="1">
      <alignment vertical="center"/>
    </xf>
    <xf numFmtId="0" fontId="22" fillId="0" borderId="0" xfId="26" quotePrefix="1" applyFont="1" applyAlignment="1">
      <alignment horizontal="left" vertical="top" wrapText="1"/>
    </xf>
    <xf numFmtId="0" fontId="0" fillId="0" borderId="0" xfId="0" applyAlignment="1">
      <alignment vertical="center"/>
    </xf>
    <xf numFmtId="0" fontId="0" fillId="6" borderId="0" xfId="0" applyFill="1"/>
    <xf numFmtId="0" fontId="8" fillId="0" borderId="0" xfId="44" applyFont="1"/>
    <xf numFmtId="0" fontId="0" fillId="0" borderId="0" xfId="0" applyAlignment="1">
      <alignment vertical="top"/>
    </xf>
    <xf numFmtId="49" fontId="0" fillId="0" borderId="0" xfId="0" applyNumberFormat="1"/>
    <xf numFmtId="0" fontId="26" fillId="0" borderId="0" xfId="0" applyFont="1"/>
    <xf numFmtId="0" fontId="28" fillId="0" borderId="0" xfId="0" applyFont="1" applyAlignment="1">
      <alignment vertical="center"/>
    </xf>
    <xf numFmtId="0" fontId="70" fillId="6" borderId="0" xfId="0" applyFont="1" applyFill="1" applyAlignment="1">
      <alignment vertical="center"/>
    </xf>
    <xf numFmtId="0" fontId="14" fillId="6" borderId="0" xfId="0" quotePrefix="1" applyFont="1" applyFill="1" applyAlignment="1">
      <alignment horizontal="left" vertical="center" wrapText="1" indent="1"/>
    </xf>
    <xf numFmtId="0" fontId="22" fillId="6" borderId="0" xfId="0" applyFont="1" applyFill="1" applyAlignment="1">
      <alignment horizontal="center" vertical="center"/>
    </xf>
    <xf numFmtId="0" fontId="9" fillId="0" borderId="0" xfId="0" applyFont="1"/>
    <xf numFmtId="0" fontId="14" fillId="0" borderId="0" xfId="0" applyFont="1"/>
    <xf numFmtId="0" fontId="14" fillId="6" borderId="0" xfId="0" applyFont="1" applyFill="1"/>
    <xf numFmtId="0" fontId="14" fillId="0" borderId="0" xfId="26" applyFont="1"/>
    <xf numFmtId="6" fontId="14" fillId="0" borderId="0" xfId="26" applyNumberFormat="1" applyFont="1"/>
    <xf numFmtId="164" fontId="14" fillId="0" borderId="0" xfId="53" applyNumberFormat="1" applyFont="1" applyAlignment="1">
      <alignment horizontal="center"/>
    </xf>
    <xf numFmtId="164" fontId="14" fillId="0" borderId="0" xfId="53" applyNumberFormat="1" applyFont="1"/>
    <xf numFmtId="164" fontId="34" fillId="0" borderId="0" xfId="53" applyNumberFormat="1" applyFont="1" applyAlignment="1">
      <alignment horizontal="center"/>
    </xf>
    <xf numFmtId="165" fontId="34" fillId="0" borderId="0" xfId="3" applyNumberFormat="1" applyFont="1" applyAlignment="1">
      <alignment horizontal="center"/>
    </xf>
    <xf numFmtId="0" fontId="14" fillId="0" borderId="0" xfId="50" applyFont="1" applyAlignment="1">
      <alignment horizontal="left" vertical="center" wrapText="1"/>
    </xf>
    <xf numFmtId="0" fontId="22" fillId="0" borderId="0" xfId="57" applyFont="1"/>
    <xf numFmtId="0" fontId="23" fillId="0" borderId="0" xfId="57" applyFont="1"/>
    <xf numFmtId="0" fontId="14" fillId="0" borderId="0" xfId="26" applyFont="1" applyAlignment="1">
      <alignment vertical="center"/>
    </xf>
    <xf numFmtId="0" fontId="34" fillId="0" borderId="0" xfId="26" applyFont="1" applyAlignment="1">
      <alignment vertical="center"/>
    </xf>
    <xf numFmtId="0" fontId="14" fillId="0" borderId="0" xfId="26" applyFont="1" applyAlignment="1">
      <alignment horizontal="center" vertical="center"/>
    </xf>
    <xf numFmtId="0" fontId="14" fillId="6" borderId="0" xfId="26" applyFont="1" applyFill="1"/>
    <xf numFmtId="38" fontId="14" fillId="0" borderId="0" xfId="26" applyNumberFormat="1" applyFont="1" applyAlignment="1">
      <alignment horizontal="center"/>
    </xf>
    <xf numFmtId="0" fontId="58" fillId="0" borderId="0" xfId="26" applyFont="1" applyAlignment="1">
      <alignment vertical="center"/>
    </xf>
    <xf numFmtId="0" fontId="34" fillId="6" borderId="0" xfId="26" applyFont="1" applyFill="1"/>
    <xf numFmtId="0" fontId="34" fillId="6" borderId="0" xfId="26" applyFont="1" applyFill="1" applyAlignment="1">
      <alignment horizontal="right" vertical="center"/>
    </xf>
    <xf numFmtId="0" fontId="34" fillId="0" borderId="0" xfId="26" applyFont="1" applyAlignment="1">
      <alignment horizontal="right" vertical="center"/>
    </xf>
    <xf numFmtId="6" fontId="66" fillId="0" borderId="0" xfId="26" applyNumberFormat="1" applyFont="1" applyAlignment="1">
      <alignment horizontal="center" vertical="center" shrinkToFit="1"/>
    </xf>
    <xf numFmtId="6" fontId="34" fillId="0" borderId="0" xfId="26" applyNumberFormat="1" applyFont="1" applyAlignment="1">
      <alignment horizontal="center" vertical="center" shrinkToFit="1"/>
    </xf>
    <xf numFmtId="0" fontId="14" fillId="0" borderId="0" xfId="50" applyFont="1" applyAlignment="1">
      <alignment vertical="top" wrapText="1"/>
    </xf>
    <xf numFmtId="0" fontId="14" fillId="0" borderId="0" xfId="26" applyFont="1" applyAlignment="1">
      <alignment horizontal="left" vertical="top"/>
    </xf>
    <xf numFmtId="0" fontId="14" fillId="0" borderId="0" xfId="26" applyFont="1" applyAlignment="1">
      <alignment vertical="top"/>
    </xf>
    <xf numFmtId="0" fontId="67" fillId="0" borderId="0" xfId="26" applyFont="1" applyAlignment="1">
      <alignment horizontal="left" vertical="top"/>
    </xf>
    <xf numFmtId="0" fontId="14" fillId="0" borderId="0" xfId="26" applyFont="1" applyAlignment="1">
      <alignment horizontal="right" vertical="top"/>
    </xf>
    <xf numFmtId="0" fontId="61" fillId="0" borderId="0" xfId="26" applyFont="1" applyAlignment="1">
      <alignment horizontal="left" vertical="top"/>
    </xf>
    <xf numFmtId="0" fontId="61" fillId="0" borderId="0" xfId="26" applyFont="1" applyAlignment="1">
      <alignment horizontal="right" vertical="top"/>
    </xf>
    <xf numFmtId="0" fontId="14" fillId="6" borderId="0" xfId="26" applyFont="1" applyFill="1" applyAlignment="1">
      <alignment horizontal="center" vertical="center"/>
    </xf>
    <xf numFmtId="0" fontId="65" fillId="0" borderId="0" xfId="26" applyFont="1"/>
    <xf numFmtId="38" fontId="19" fillId="0" borderId="0" xfId="26" applyNumberFormat="1" applyFont="1" applyAlignment="1">
      <alignment horizontal="center"/>
    </xf>
    <xf numFmtId="38" fontId="65" fillId="0" borderId="0" xfId="26" applyNumberFormat="1" applyFont="1" applyAlignment="1">
      <alignment horizontal="center"/>
    </xf>
    <xf numFmtId="38" fontId="65" fillId="0" borderId="0" xfId="26" applyNumberFormat="1" applyFont="1" applyAlignment="1">
      <alignment horizontal="right"/>
    </xf>
    <xf numFmtId="0" fontId="9" fillId="0" borderId="0" xfId="26" applyFont="1" applyAlignment="1">
      <alignment horizontal="center" vertical="center"/>
    </xf>
    <xf numFmtId="38" fontId="14" fillId="0" borderId="0" xfId="26" applyNumberFormat="1" applyFont="1" applyAlignment="1">
      <alignment horizontal="right"/>
    </xf>
    <xf numFmtId="0" fontId="34" fillId="6" borderId="0" xfId="26" applyFont="1" applyFill="1" applyAlignment="1">
      <alignment vertical="center"/>
    </xf>
    <xf numFmtId="40" fontId="12" fillId="6" borderId="0" xfId="26" applyNumberFormat="1" applyFont="1" applyFill="1" applyAlignment="1">
      <alignment horizontal="center" vertical="center"/>
    </xf>
    <xf numFmtId="0" fontId="9" fillId="0" borderId="0" xfId="26" applyFont="1"/>
    <xf numFmtId="38" fontId="9" fillId="0" borderId="0" xfId="26" applyNumberFormat="1" applyFont="1"/>
    <xf numFmtId="0" fontId="22" fillId="0" borderId="0" xfId="8">
      <alignment horizontal="left" vertical="center"/>
    </xf>
    <xf numFmtId="0" fontId="27" fillId="0" borderId="0" xfId="8" applyFont="1">
      <alignment horizontal="left" vertical="center"/>
    </xf>
    <xf numFmtId="0" fontId="14" fillId="0" borderId="0" xfId="8" applyFont="1">
      <alignment horizontal="left" vertical="center"/>
    </xf>
    <xf numFmtId="0" fontId="14" fillId="0" borderId="0" xfId="0" applyFont="1" applyAlignment="1">
      <alignment vertical="center"/>
    </xf>
    <xf numFmtId="0" fontId="27" fillId="0" borderId="0" xfId="0" applyFont="1" applyAlignment="1">
      <alignment vertical="center"/>
    </xf>
    <xf numFmtId="0" fontId="26" fillId="0" borderId="0" xfId="26" applyFont="1" applyAlignment="1">
      <alignment horizontal="left" vertical="top" wrapText="1"/>
    </xf>
    <xf numFmtId="0" fontId="26" fillId="0" borderId="0" xfId="26" applyFont="1" applyAlignment="1">
      <alignment horizontal="left" vertical="top"/>
    </xf>
    <xf numFmtId="0" fontId="56" fillId="0" borderId="0" xfId="26" applyFont="1" applyAlignment="1">
      <alignment vertical="center"/>
    </xf>
    <xf numFmtId="0" fontId="9" fillId="0" borderId="0" xfId="21" applyFont="1"/>
    <xf numFmtId="0" fontId="9" fillId="0" borderId="0" xfId="21" applyFont="1" applyAlignment="1">
      <alignment horizontal="left"/>
    </xf>
    <xf numFmtId="0" fontId="13" fillId="0" borderId="0" xfId="21" applyFont="1"/>
    <xf numFmtId="0" fontId="53" fillId="0" borderId="0" xfId="21" applyFont="1" applyAlignment="1">
      <alignment horizontal="left"/>
    </xf>
    <xf numFmtId="0" fontId="22" fillId="0" borderId="0" xfId="61" applyFont="1" applyAlignment="1">
      <alignment horizontal="center" vertical="center"/>
    </xf>
    <xf numFmtId="0" fontId="13" fillId="6" borderId="0" xfId="16" applyFont="1" applyFill="1" applyAlignment="1">
      <alignment horizontal="left" vertical="center" wrapText="1"/>
    </xf>
    <xf numFmtId="0" fontId="22" fillId="0" borderId="0" xfId="69" applyFont="1"/>
    <xf numFmtId="0" fontId="14" fillId="6" borderId="0" xfId="26" applyFont="1" applyFill="1" applyAlignment="1">
      <alignment vertical="top"/>
    </xf>
    <xf numFmtId="0" fontId="45" fillId="0" borderId="0" xfId="16" applyFont="1"/>
    <xf numFmtId="0" fontId="9" fillId="0" borderId="0" xfId="0" applyFont="1" applyAlignment="1">
      <alignment horizontal="left" vertical="center"/>
    </xf>
    <xf numFmtId="0" fontId="72" fillId="0" borderId="0" xfId="0" applyFont="1"/>
    <xf numFmtId="0" fontId="9" fillId="0" borderId="0" xfId="21" applyFont="1" applyAlignment="1">
      <alignment horizontal="left" vertical="center" wrapText="1"/>
    </xf>
    <xf numFmtId="0" fontId="14" fillId="0" borderId="0" xfId="26" quotePrefix="1" applyFont="1" applyAlignment="1">
      <alignment vertical="center" wrapText="1"/>
    </xf>
    <xf numFmtId="0" fontId="22" fillId="0" borderId="0" xfId="26" applyFont="1" applyAlignment="1">
      <alignment vertical="top"/>
    </xf>
    <xf numFmtId="0" fontId="22" fillId="0" borderId="0" xfId="73" applyFont="1"/>
    <xf numFmtId="0" fontId="22" fillId="0" borderId="0" xfId="73" applyFont="1" applyAlignment="1">
      <alignment horizontal="center" vertical="center"/>
    </xf>
    <xf numFmtId="0" fontId="78" fillId="0" borderId="0" xfId="78" applyFont="1"/>
    <xf numFmtId="0" fontId="6" fillId="0" borderId="0" xfId="78" applyFont="1"/>
    <xf numFmtId="0" fontId="22" fillId="0" borderId="0" xfId="73" applyFont="1" applyAlignment="1">
      <alignment horizontal="left" vertical="center"/>
    </xf>
    <xf numFmtId="0" fontId="81" fillId="29" borderId="0" xfId="73" applyFont="1" applyFill="1" applyAlignment="1">
      <alignment horizontal="center" vertical="center"/>
    </xf>
    <xf numFmtId="0" fontId="79" fillId="6" borderId="0" xfId="73" applyFont="1" applyFill="1"/>
    <xf numFmtId="0" fontId="26" fillId="0" borderId="0" xfId="8" applyFont="1">
      <alignment horizontal="left" vertical="center"/>
    </xf>
    <xf numFmtId="0" fontId="27" fillId="6" borderId="0" xfId="0" applyFont="1" applyFill="1" applyAlignment="1">
      <alignment vertical="center"/>
    </xf>
    <xf numFmtId="166" fontId="22" fillId="0" borderId="0" xfId="0" applyNumberFormat="1" applyFont="1" applyAlignment="1">
      <alignment horizontal="left" vertical="center" wrapText="1" indent="1"/>
    </xf>
    <xf numFmtId="0" fontId="49" fillId="0" borderId="0" xfId="0" applyFont="1" applyAlignment="1">
      <alignment horizontal="left" vertical="center" wrapText="1" indent="1"/>
    </xf>
    <xf numFmtId="0" fontId="14" fillId="0" borderId="0" xfId="0" quotePrefix="1" applyFont="1" applyAlignment="1">
      <alignment horizontal="left" vertical="center" wrapText="1" indent="1"/>
    </xf>
    <xf numFmtId="167" fontId="14" fillId="0" borderId="0" xfId="8" applyNumberFormat="1" applyFont="1" applyAlignment="1">
      <alignment horizontal="left" vertical="center" wrapText="1" indent="1"/>
    </xf>
    <xf numFmtId="0" fontId="14" fillId="0" borderId="0" xfId="8" applyFont="1" applyAlignment="1">
      <alignment horizontal="center" vertical="center"/>
    </xf>
    <xf numFmtId="0" fontId="14" fillId="6" borderId="0" xfId="19" applyFont="1" applyFill="1" applyBorder="1" applyAlignment="1">
      <alignment horizontal="center" vertical="center" wrapText="1"/>
    </xf>
    <xf numFmtId="0" fontId="49" fillId="0" borderId="0" xfId="0" applyFont="1" applyAlignment="1">
      <alignment horizontal="center" vertical="center" wrapText="1"/>
    </xf>
    <xf numFmtId="0" fontId="22" fillId="0" borderId="0" xfId="46" applyFill="1" applyBorder="1" applyAlignment="1" applyProtection="1">
      <alignment horizontal="left" vertical="center" wrapText="1" indent="1"/>
    </xf>
    <xf numFmtId="0" fontId="81" fillId="0" borderId="0" xfId="0" applyFont="1" applyAlignment="1">
      <alignment horizontal="center" vertical="center"/>
    </xf>
    <xf numFmtId="0" fontId="22" fillId="0" borderId="0" xfId="8" applyAlignment="1">
      <alignment vertical="center"/>
    </xf>
    <xf numFmtId="0" fontId="11" fillId="0" borderId="0" xfId="16" applyFont="1" applyAlignment="1">
      <alignment vertical="center"/>
    </xf>
    <xf numFmtId="0" fontId="45" fillId="0" borderId="0" xfId="16" applyFont="1" applyAlignment="1">
      <alignment vertical="center"/>
    </xf>
    <xf numFmtId="0" fontId="9" fillId="0" borderId="0" xfId="26" applyFont="1" applyAlignment="1">
      <alignment vertical="center"/>
    </xf>
    <xf numFmtId="0" fontId="9" fillId="0" borderId="0" xfId="26" applyFont="1" applyAlignment="1">
      <alignment vertical="center" wrapText="1"/>
    </xf>
    <xf numFmtId="0" fontId="13" fillId="0" borderId="0" xfId="16" applyFont="1" applyAlignment="1">
      <alignment vertical="center"/>
    </xf>
    <xf numFmtId="0" fontId="12" fillId="0" borderId="0" xfId="26" applyFont="1" applyAlignment="1">
      <alignment vertical="center" wrapText="1"/>
    </xf>
    <xf numFmtId="0" fontId="14" fillId="0" borderId="0" xfId="16" applyFont="1" applyAlignment="1">
      <alignment vertical="center"/>
    </xf>
    <xf numFmtId="9" fontId="13" fillId="0" borderId="0" xfId="71" applyFont="1" applyAlignment="1">
      <alignment vertical="center"/>
    </xf>
    <xf numFmtId="0" fontId="31" fillId="0" borderId="0" xfId="26" applyFont="1" applyAlignment="1">
      <alignment vertical="center"/>
    </xf>
    <xf numFmtId="168" fontId="71" fillId="0" borderId="0" xfId="26" applyNumberFormat="1" applyFont="1" applyAlignment="1">
      <alignment vertical="center"/>
    </xf>
    <xf numFmtId="0" fontId="14" fillId="0" borderId="0" xfId="50" applyFont="1" applyAlignment="1">
      <alignment horizontal="center" vertical="top" wrapText="1"/>
    </xf>
    <xf numFmtId="0" fontId="22" fillId="6" borderId="0" xfId="57" applyFont="1" applyFill="1"/>
    <xf numFmtId="0" fontId="14" fillId="0" borderId="0" xfId="26" applyFont="1" applyAlignment="1">
      <alignment horizontal="left" vertical="center" indent="1"/>
    </xf>
    <xf numFmtId="0" fontId="23" fillId="6" borderId="0" xfId="8" applyFont="1" applyFill="1" applyAlignment="1">
      <alignment vertical="center"/>
    </xf>
    <xf numFmtId="0" fontId="22" fillId="0" borderId="0" xfId="26" applyFont="1" applyAlignment="1">
      <alignment horizontal="left" vertical="top"/>
    </xf>
    <xf numFmtId="0" fontId="34" fillId="0" borderId="0" xfId="50" applyFont="1" applyAlignment="1">
      <alignment wrapText="1"/>
    </xf>
    <xf numFmtId="0" fontId="34" fillId="6" borderId="0" xfId="26" applyFont="1" applyFill="1" applyAlignment="1">
      <alignment horizontal="right" vertical="center" indent="1"/>
    </xf>
    <xf numFmtId="6" fontId="65" fillId="6" borderId="0" xfId="53" applyNumberFormat="1" applyFont="1" applyFill="1" applyAlignment="1">
      <alignment horizontal="center" vertical="center" shrinkToFit="1"/>
    </xf>
    <xf numFmtId="0" fontId="14" fillId="6" borderId="0" xfId="50" applyFont="1" applyFill="1" applyAlignment="1">
      <alignment horizontal="center" vertical="top" wrapText="1"/>
    </xf>
    <xf numFmtId="0" fontId="22" fillId="0" borderId="0" xfId="57" applyFont="1" applyAlignment="1">
      <alignment horizontal="center"/>
    </xf>
    <xf numFmtId="0" fontId="34" fillId="0" borderId="0" xfId="69" applyFont="1" applyAlignment="1">
      <alignment horizontal="right" vertical="center"/>
    </xf>
    <xf numFmtId="0" fontId="14" fillId="0" borderId="0" xfId="69" applyFont="1" applyAlignment="1">
      <alignment horizontal="left" vertical="center"/>
    </xf>
    <xf numFmtId="0" fontId="14" fillId="0" borderId="0" xfId="69" applyFont="1" applyAlignment="1">
      <alignment horizontal="center" vertical="center"/>
    </xf>
    <xf numFmtId="1" fontId="22" fillId="0" borderId="0" xfId="12" applyNumberFormat="1" applyFill="1" applyBorder="1" applyAlignment="1">
      <alignment horizontal="center" vertical="center" wrapText="1"/>
    </xf>
    <xf numFmtId="0" fontId="22" fillId="0" borderId="0" xfId="0" applyFont="1" applyAlignment="1">
      <alignment vertical="center"/>
    </xf>
    <xf numFmtId="0" fontId="22" fillId="0" borderId="0" xfId="0" applyFont="1" applyAlignment="1">
      <alignment horizontal="center" vertical="center" wrapText="1"/>
    </xf>
    <xf numFmtId="0" fontId="22" fillId="6" borderId="0" xfId="8" applyFill="1" applyAlignment="1">
      <alignment vertical="center"/>
    </xf>
    <xf numFmtId="0" fontId="14" fillId="6" borderId="0" xfId="8" applyFont="1" applyFill="1">
      <alignment horizontal="left" vertical="center"/>
    </xf>
    <xf numFmtId="0" fontId="22" fillId="6" borderId="0" xfId="0" applyFont="1" applyFill="1" applyAlignment="1">
      <alignment horizontal="right" vertical="center"/>
    </xf>
    <xf numFmtId="0" fontId="14" fillId="0" borderId="0" xfId="26" applyFont="1" applyAlignment="1">
      <alignment vertical="center" wrapText="1"/>
    </xf>
    <xf numFmtId="0" fontId="22" fillId="0" borderId="0" xfId="58" applyFont="1" applyAlignment="1">
      <alignment vertical="center"/>
    </xf>
    <xf numFmtId="0" fontId="14" fillId="0" borderId="0" xfId="56" applyFont="1" applyAlignment="1">
      <alignment vertical="center"/>
    </xf>
    <xf numFmtId="0" fontId="56" fillId="0" borderId="0" xfId="58" applyFont="1" applyAlignment="1">
      <alignment vertical="center"/>
    </xf>
    <xf numFmtId="0" fontId="22" fillId="0" borderId="0" xfId="58" applyFont="1" applyAlignment="1">
      <alignment horizontal="left" vertical="center"/>
    </xf>
    <xf numFmtId="0" fontId="22" fillId="6" borderId="0" xfId="58" applyFont="1" applyFill="1" applyAlignment="1">
      <alignment vertical="center"/>
    </xf>
    <xf numFmtId="0" fontId="33" fillId="0" borderId="0" xfId="21" applyFont="1" applyAlignment="1">
      <alignment vertical="center" wrapText="1"/>
    </xf>
    <xf numFmtId="0" fontId="33" fillId="0" borderId="0" xfId="21" applyFont="1" applyAlignment="1">
      <alignment vertical="center"/>
    </xf>
    <xf numFmtId="0" fontId="14" fillId="4" borderId="12" xfId="26" applyFont="1" applyFill="1" applyBorder="1" applyAlignment="1" applyProtection="1">
      <alignment horizontal="left" vertical="center" indent="1" shrinkToFit="1"/>
      <protection locked="0"/>
    </xf>
    <xf numFmtId="0" fontId="31" fillId="2" borderId="0" xfId="44" applyFont="1" applyFill="1" applyAlignment="1">
      <alignment horizontal="center" vertical="center" wrapText="1"/>
    </xf>
    <xf numFmtId="5" fontId="14" fillId="6" borderId="0" xfId="8" applyNumberFormat="1" applyFont="1" applyFill="1" applyAlignment="1">
      <alignment horizontal="left" vertical="center" indent="1"/>
    </xf>
    <xf numFmtId="0" fontId="14" fillId="6" borderId="0" xfId="0" applyFont="1" applyFill="1" applyAlignment="1">
      <alignment vertical="center"/>
    </xf>
    <xf numFmtId="0" fontId="22" fillId="6" borderId="0" xfId="0" applyFont="1" applyFill="1" applyAlignment="1">
      <alignment vertical="center"/>
    </xf>
    <xf numFmtId="0" fontId="22" fillId="0" borderId="0" xfId="8" applyAlignment="1">
      <alignment horizontal="center" vertical="center"/>
    </xf>
    <xf numFmtId="0" fontId="31" fillId="0" borderId="0" xfId="8" applyFont="1" applyAlignment="1">
      <alignment vertical="center"/>
    </xf>
    <xf numFmtId="0" fontId="78" fillId="0" borderId="0" xfId="78" applyFont="1" applyAlignment="1">
      <alignment horizontal="left"/>
    </xf>
    <xf numFmtId="0" fontId="6" fillId="0" borderId="0" xfId="78" applyFont="1" applyAlignment="1">
      <alignment horizontal="left"/>
    </xf>
    <xf numFmtId="0" fontId="23" fillId="6" borderId="0" xfId="8" applyFont="1" applyFill="1" applyAlignment="1">
      <alignment horizontal="center" vertical="center"/>
    </xf>
    <xf numFmtId="0" fontId="22" fillId="0" borderId="0" xfId="8" applyAlignment="1">
      <alignment horizontal="center" vertical="center" wrapText="1"/>
    </xf>
    <xf numFmtId="0" fontId="31" fillId="0" borderId="0" xfId="26" applyFont="1" applyAlignment="1">
      <alignment horizontal="center" vertical="center"/>
    </xf>
    <xf numFmtId="0" fontId="31" fillId="0" borderId="0" xfId="26" applyFont="1" applyAlignment="1">
      <alignment horizontal="left" vertical="center" indent="1"/>
    </xf>
    <xf numFmtId="0" fontId="14" fillId="6" borderId="0" xfId="26" applyFont="1" applyFill="1" applyAlignment="1">
      <alignment horizontal="center"/>
    </xf>
    <xf numFmtId="168" fontId="16" fillId="0" borderId="0" xfId="26" applyNumberFormat="1" applyFont="1" applyAlignment="1">
      <alignment horizontal="center" vertical="center"/>
    </xf>
    <xf numFmtId="0" fontId="14" fillId="4" borderId="12" xfId="26" applyFont="1" applyFill="1" applyBorder="1" applyAlignment="1" applyProtection="1">
      <alignment horizontal="center" vertical="center"/>
      <protection locked="0"/>
    </xf>
    <xf numFmtId="168" fontId="71" fillId="6" borderId="0" xfId="26" applyNumberFormat="1" applyFont="1" applyFill="1" applyAlignment="1">
      <alignment horizontal="center" vertical="center"/>
    </xf>
    <xf numFmtId="0" fontId="11" fillId="6" borderId="0" xfId="26" applyFont="1" applyFill="1" applyAlignment="1">
      <alignment horizontal="center" vertical="center"/>
    </xf>
    <xf numFmtId="164" fontId="14" fillId="0" borderId="0" xfId="53" applyNumberFormat="1" applyFont="1" applyAlignment="1">
      <alignment horizontal="left" vertical="center" indent="1"/>
    </xf>
    <xf numFmtId="164" fontId="14" fillId="0" borderId="0" xfId="53" applyNumberFormat="1" applyFont="1" applyAlignment="1">
      <alignment horizontal="center" vertical="center"/>
    </xf>
    <xf numFmtId="14" fontId="14" fillId="4" borderId="12" xfId="26" applyNumberFormat="1" applyFont="1" applyFill="1" applyBorder="1" applyAlignment="1" applyProtection="1">
      <alignment horizontal="center" vertical="center"/>
      <protection locked="0"/>
    </xf>
    <xf numFmtId="10" fontId="14" fillId="4" borderId="19" xfId="26" applyNumberFormat="1" applyFont="1" applyFill="1" applyBorder="1" applyAlignment="1" applyProtection="1">
      <alignment horizontal="center" vertical="center"/>
      <protection locked="0"/>
    </xf>
    <xf numFmtId="0" fontId="14" fillId="4" borderId="17" xfId="26" applyFont="1" applyFill="1" applyBorder="1" applyAlignment="1" applyProtection="1">
      <alignment horizontal="center" vertical="center"/>
      <protection locked="0"/>
    </xf>
    <xf numFmtId="10" fontId="14" fillId="4" borderId="23" xfId="26" applyNumberFormat="1" applyFont="1" applyFill="1" applyBorder="1" applyAlignment="1" applyProtection="1">
      <alignment horizontal="center" vertical="center"/>
      <protection locked="0"/>
    </xf>
    <xf numFmtId="10" fontId="14" fillId="4" borderId="18" xfId="26" applyNumberFormat="1" applyFont="1" applyFill="1" applyBorder="1" applyAlignment="1" applyProtection="1">
      <alignment horizontal="center" vertical="center"/>
      <protection locked="0"/>
    </xf>
    <xf numFmtId="0" fontId="23" fillId="6" borderId="0" xfId="57" applyFont="1" applyFill="1"/>
    <xf numFmtId="0" fontId="14" fillId="3" borderId="18" xfId="26" applyFont="1" applyFill="1" applyBorder="1" applyAlignment="1">
      <alignment horizontal="center" vertical="center" wrapText="1"/>
    </xf>
    <xf numFmtId="0" fontId="14" fillId="3" borderId="16" xfId="26" applyFont="1" applyFill="1" applyBorder="1" applyAlignment="1">
      <alignment horizontal="center" vertical="center" wrapText="1"/>
    </xf>
    <xf numFmtId="0" fontId="14" fillId="27" borderId="18" xfId="26" applyFont="1" applyFill="1" applyBorder="1" applyAlignment="1">
      <alignment horizontal="center" vertical="center"/>
    </xf>
    <xf numFmtId="0" fontId="14" fillId="27" borderId="16" xfId="26" applyFont="1" applyFill="1" applyBorder="1" applyAlignment="1">
      <alignment horizontal="center" vertical="center" wrapText="1"/>
    </xf>
    <xf numFmtId="0" fontId="90" fillId="0" borderId="0" xfId="78" applyFont="1" applyAlignment="1">
      <alignment horizontal="center" vertical="center"/>
    </xf>
    <xf numFmtId="0" fontId="22" fillId="0" borderId="0" xfId="8" applyAlignment="1">
      <alignment horizontal="left" vertical="center" indent="2"/>
    </xf>
    <xf numFmtId="0" fontId="54" fillId="6" borderId="0" xfId="13" applyFont="1" applyFill="1" applyAlignment="1">
      <alignment horizontal="left" vertical="center" indent="1"/>
    </xf>
    <xf numFmtId="168" fontId="54" fillId="6" borderId="0" xfId="13" applyNumberFormat="1" applyFont="1" applyFill="1">
      <alignment horizontal="center" vertical="center"/>
    </xf>
    <xf numFmtId="0" fontId="31" fillId="6" borderId="0" xfId="8" applyFont="1" applyFill="1" applyAlignment="1">
      <alignment vertical="top"/>
    </xf>
    <xf numFmtId="0" fontId="31" fillId="6" borderId="0" xfId="8" applyFont="1" applyFill="1" applyAlignment="1">
      <alignment horizontal="center" vertical="center"/>
    </xf>
    <xf numFmtId="0" fontId="34" fillId="6" borderId="0" xfId="8" applyFont="1" applyFill="1" applyAlignment="1">
      <alignment horizontal="right" vertical="center" indent="1"/>
    </xf>
    <xf numFmtId="2" fontId="81" fillId="6" borderId="0" xfId="8" applyNumberFormat="1" applyFont="1" applyFill="1" applyAlignment="1">
      <alignment horizontal="center" vertical="center"/>
    </xf>
    <xf numFmtId="0" fontId="14" fillId="0" borderId="0" xfId="8" applyFont="1" applyAlignment="1">
      <alignment vertical="center"/>
    </xf>
    <xf numFmtId="0" fontId="22" fillId="6" borderId="0" xfId="73" applyFont="1" applyFill="1"/>
    <xf numFmtId="0" fontId="22" fillId="0" borderId="0" xfId="73" applyFont="1" applyAlignment="1">
      <alignment horizontal="left" vertical="center" indent="1"/>
    </xf>
    <xf numFmtId="0" fontId="23" fillId="0" borderId="0" xfId="73" applyFont="1" applyAlignment="1">
      <alignment horizontal="left" vertical="center" indent="1"/>
    </xf>
    <xf numFmtId="0" fontId="14" fillId="6" borderId="0" xfId="26" applyFont="1" applyFill="1" applyAlignment="1">
      <alignment horizontal="left" vertical="center"/>
    </xf>
    <xf numFmtId="0" fontId="23" fillId="0" borderId="0" xfId="8" applyFont="1" applyAlignment="1">
      <alignment horizontal="center" vertical="center"/>
    </xf>
    <xf numFmtId="1" fontId="22" fillId="0" borderId="0" xfId="12" applyNumberFormat="1" applyFill="1" applyBorder="1">
      <alignment horizontal="left" vertical="center" wrapText="1"/>
    </xf>
    <xf numFmtId="2" fontId="22" fillId="6" borderId="0" xfId="0" applyNumberFormat="1" applyFont="1" applyFill="1" applyAlignment="1">
      <alignment horizontal="center" vertical="center" wrapText="1"/>
    </xf>
    <xf numFmtId="171" fontId="22" fillId="6" borderId="0" xfId="0" applyNumberFormat="1" applyFont="1" applyFill="1" applyAlignment="1">
      <alignment horizontal="center" vertical="center"/>
    </xf>
    <xf numFmtId="0" fontId="49" fillId="6" borderId="0" xfId="13" applyFont="1" applyFill="1" applyAlignment="1">
      <alignment horizontal="left" vertical="center"/>
    </xf>
    <xf numFmtId="170" fontId="22" fillId="0" borderId="0" xfId="8" applyNumberFormat="1">
      <alignment horizontal="left" vertical="center"/>
    </xf>
    <xf numFmtId="170" fontId="22" fillId="6" borderId="0" xfId="8" applyNumberFormat="1" applyFill="1">
      <alignment horizontal="left" vertical="center"/>
    </xf>
    <xf numFmtId="0" fontId="14" fillId="0" borderId="0" xfId="50" applyFont="1" applyAlignment="1">
      <alignment vertical="center" wrapText="1"/>
    </xf>
    <xf numFmtId="0" fontId="14" fillId="6" borderId="0" xfId="50" applyFont="1" applyFill="1" applyAlignment="1">
      <alignment vertical="center" wrapText="1"/>
    </xf>
    <xf numFmtId="0" fontId="23" fillId="0" borderId="0" xfId="57" applyFont="1" applyAlignment="1">
      <alignment vertical="center"/>
    </xf>
    <xf numFmtId="0" fontId="22" fillId="6" borderId="0" xfId="57" applyFont="1" applyFill="1" applyAlignment="1">
      <alignment vertical="center"/>
    </xf>
    <xf numFmtId="0" fontId="23" fillId="6" borderId="0" xfId="57" applyFont="1" applyFill="1" applyAlignment="1">
      <alignment vertical="center"/>
    </xf>
    <xf numFmtId="170" fontId="14" fillId="6" borderId="0" xfId="50" applyNumberFormat="1" applyFont="1" applyFill="1" applyAlignment="1">
      <alignment horizontal="right" vertical="center" wrapText="1"/>
    </xf>
    <xf numFmtId="170" fontId="14" fillId="6" borderId="0" xfId="26" applyNumberFormat="1" applyFont="1" applyFill="1" applyAlignment="1">
      <alignment horizontal="right" vertical="center" shrinkToFit="1"/>
    </xf>
    <xf numFmtId="0" fontId="14" fillId="0" borderId="24" xfId="26" applyFont="1" applyBorder="1" applyAlignment="1">
      <alignment vertical="center"/>
    </xf>
    <xf numFmtId="0" fontId="68" fillId="0" borderId="0" xfId="26" applyFont="1" applyAlignment="1">
      <alignment horizontal="center" vertical="center" shrinkToFit="1"/>
    </xf>
    <xf numFmtId="0" fontId="64" fillId="0" borderId="0" xfId="26" applyFont="1" applyAlignment="1">
      <alignment horizontal="right" vertical="top"/>
    </xf>
    <xf numFmtId="3" fontId="14" fillId="0" borderId="0" xfId="26" applyNumberFormat="1" applyFont="1" applyAlignment="1">
      <alignment horizontal="left" vertical="center" wrapText="1" indent="1"/>
    </xf>
    <xf numFmtId="6" fontId="65" fillId="0" borderId="0" xfId="26" applyNumberFormat="1" applyFont="1" applyAlignment="1">
      <alignment horizontal="left" vertical="center" indent="1" shrinkToFit="1"/>
    </xf>
    <xf numFmtId="6" fontId="56" fillId="0" borderId="0" xfId="26" applyNumberFormat="1" applyFont="1"/>
    <xf numFmtId="0" fontId="34" fillId="6" borderId="0" xfId="26" applyFont="1" applyFill="1" applyAlignment="1">
      <alignment horizontal="left" vertical="center" indent="1"/>
    </xf>
    <xf numFmtId="0" fontId="34" fillId="30" borderId="0" xfId="26" applyFont="1" applyFill="1" applyAlignment="1">
      <alignment horizontal="center" vertical="center"/>
    </xf>
    <xf numFmtId="0" fontId="34" fillId="6" borderId="0" xfId="26" applyFont="1" applyFill="1" applyAlignment="1">
      <alignment horizontal="center" vertical="center"/>
    </xf>
    <xf numFmtId="0" fontId="14" fillId="0" borderId="24" xfId="26" applyFont="1" applyBorder="1" applyAlignment="1">
      <alignment horizontal="left" vertical="center" indent="1"/>
    </xf>
    <xf numFmtId="0" fontId="34" fillId="0" borderId="12" xfId="26" applyFont="1" applyBorder="1" applyAlignment="1">
      <alignment vertical="center"/>
    </xf>
    <xf numFmtId="6" fontId="14" fillId="0" borderId="0" xfId="26" applyNumberFormat="1" applyFont="1" applyAlignment="1">
      <alignment horizontal="left" vertical="center" indent="1" shrinkToFit="1"/>
    </xf>
    <xf numFmtId="0" fontId="14" fillId="0" borderId="24" xfId="50" applyFont="1" applyBorder="1" applyAlignment="1">
      <alignment vertical="top" wrapText="1"/>
    </xf>
    <xf numFmtId="0" fontId="14" fillId="0" borderId="12" xfId="50" applyFont="1" applyBorder="1" applyAlignment="1">
      <alignment vertical="top" wrapText="1"/>
    </xf>
    <xf numFmtId="6" fontId="14" fillId="6" borderId="0" xfId="26" applyNumberFormat="1" applyFont="1" applyFill="1"/>
    <xf numFmtId="0" fontId="45" fillId="6" borderId="0" xfId="50" applyFont="1" applyFill="1" applyAlignment="1">
      <alignment horizontal="center" vertical="center" textRotation="90" wrapText="1"/>
    </xf>
    <xf numFmtId="0" fontId="14" fillId="0" borderId="24" xfId="8" applyFont="1" applyBorder="1" applyAlignment="1">
      <alignment vertical="center"/>
    </xf>
    <xf numFmtId="170" fontId="22" fillId="6" borderId="0" xfId="8" applyNumberFormat="1" applyFill="1" applyAlignment="1">
      <alignment vertical="center"/>
    </xf>
    <xf numFmtId="0" fontId="45" fillId="0" borderId="0" xfId="26" applyFont="1" applyAlignment="1">
      <alignment vertical="center"/>
    </xf>
    <xf numFmtId="0" fontId="45" fillId="0" borderId="0" xfId="26" applyFont="1" applyAlignment="1">
      <alignment horizontal="left" vertical="center" indent="1"/>
    </xf>
    <xf numFmtId="0" fontId="45" fillId="0" borderId="0" xfId="26" applyFont="1" applyAlignment="1">
      <alignment horizontal="center" vertical="center"/>
    </xf>
    <xf numFmtId="168" fontId="16" fillId="0" borderId="0" xfId="26" applyNumberFormat="1" applyFont="1" applyAlignment="1">
      <alignment vertical="center"/>
    </xf>
    <xf numFmtId="170" fontId="14" fillId="4" borderId="12" xfId="26" applyNumberFormat="1" applyFont="1" applyFill="1" applyBorder="1" applyAlignment="1" applyProtection="1">
      <alignment horizontal="right" vertical="center"/>
      <protection locked="0"/>
    </xf>
    <xf numFmtId="0" fontId="14" fillId="0" borderId="24" xfId="0" applyFont="1" applyBorder="1" applyAlignment="1">
      <alignment vertical="center"/>
    </xf>
    <xf numFmtId="0" fontId="9" fillId="6" borderId="0" xfId="0" applyFont="1" applyFill="1" applyAlignment="1">
      <alignment vertical="center"/>
    </xf>
    <xf numFmtId="0" fontId="14" fillId="6" borderId="0" xfId="8" applyFont="1" applyFill="1" applyAlignment="1">
      <alignment vertical="center"/>
    </xf>
    <xf numFmtId="0" fontId="14" fillId="0" borderId="0" xfId="4" applyFont="1" applyAlignment="1" applyProtection="1">
      <alignment vertical="center"/>
    </xf>
    <xf numFmtId="0" fontId="58" fillId="0" borderId="0" xfId="26" applyFont="1" applyAlignment="1">
      <alignment horizontal="center" vertical="center"/>
    </xf>
    <xf numFmtId="3" fontId="14" fillId="0" borderId="0" xfId="26" applyNumberFormat="1" applyFont="1" applyAlignment="1">
      <alignment horizontal="center" vertical="center" wrapText="1"/>
    </xf>
    <xf numFmtId="6" fontId="14" fillId="0" borderId="0" xfId="26" applyNumberFormat="1" applyFont="1" applyAlignment="1">
      <alignment horizontal="center" vertical="center"/>
    </xf>
    <xf numFmtId="0" fontId="22" fillId="0" borderId="0" xfId="69" applyFont="1" applyAlignment="1">
      <alignment horizontal="center" vertical="center"/>
    </xf>
    <xf numFmtId="0" fontId="22" fillId="0" borderId="0" xfId="73" applyFont="1" applyAlignment="1">
      <alignment vertical="center"/>
    </xf>
    <xf numFmtId="0" fontId="30" fillId="6" borderId="0" xfId="47" applyFont="1" applyFill="1" applyAlignment="1">
      <alignment horizontal="center"/>
    </xf>
    <xf numFmtId="0" fontId="22" fillId="6" borderId="0" xfId="73" applyFont="1" applyFill="1" applyAlignment="1">
      <alignment horizontal="center" vertical="center"/>
    </xf>
    <xf numFmtId="0" fontId="30" fillId="6" borderId="21" xfId="47" applyFont="1" applyFill="1" applyBorder="1" applyAlignment="1">
      <alignment horizontal="center"/>
    </xf>
    <xf numFmtId="0" fontId="30" fillId="6" borderId="3" xfId="47" applyFont="1" applyFill="1" applyBorder="1" applyAlignment="1">
      <alignment horizontal="center"/>
    </xf>
    <xf numFmtId="0" fontId="22" fillId="0" borderId="24" xfId="0" applyFont="1" applyBorder="1" applyAlignment="1">
      <alignment horizontal="center" vertical="center" wrapText="1"/>
    </xf>
    <xf numFmtId="0" fontId="22" fillId="6" borderId="0" xfId="46" applyFill="1" applyBorder="1" applyAlignment="1" applyProtection="1">
      <alignment horizontal="center" vertical="center" wrapText="1"/>
    </xf>
    <xf numFmtId="3" fontId="14" fillId="0" borderId="0" xfId="26" applyNumberFormat="1" applyFont="1" applyAlignment="1">
      <alignment horizontal="center" vertical="center"/>
    </xf>
    <xf numFmtId="170" fontId="14" fillId="6" borderId="12" xfId="26" applyNumberFormat="1" applyFont="1" applyFill="1" applyBorder="1" applyAlignment="1">
      <alignment horizontal="right" vertical="center"/>
    </xf>
    <xf numFmtId="0" fontId="22" fillId="0" borderId="0" xfId="13" applyFont="1" applyAlignment="1">
      <alignment vertical="center" wrapText="1"/>
    </xf>
    <xf numFmtId="0" fontId="45" fillId="0" borderId="0" xfId="12" applyFont="1" applyFill="1" applyBorder="1" applyAlignment="1">
      <alignment horizontal="center" vertical="center" wrapText="1"/>
    </xf>
    <xf numFmtId="0" fontId="45" fillId="0" borderId="0" xfId="12" applyFont="1" applyFill="1" applyBorder="1" applyAlignment="1">
      <alignment vertical="center" wrapText="1"/>
    </xf>
    <xf numFmtId="0" fontId="23" fillId="0" borderId="0" xfId="12" applyFont="1" applyFill="1" applyBorder="1" applyAlignment="1">
      <alignment vertical="center" wrapText="1"/>
    </xf>
    <xf numFmtId="0" fontId="22" fillId="0" borderId="24" xfId="8" applyBorder="1" applyAlignment="1">
      <alignment horizontal="left" vertical="center" indent="2"/>
    </xf>
    <xf numFmtId="0" fontId="45" fillId="0" borderId="0" xfId="0" quotePrefix="1" applyFont="1" applyAlignment="1">
      <alignment horizontal="center" vertical="center" wrapText="1"/>
    </xf>
    <xf numFmtId="0" fontId="22" fillId="0" borderId="24" xfId="0" applyFont="1" applyBorder="1" applyAlignment="1">
      <alignment vertical="center"/>
    </xf>
    <xf numFmtId="0" fontId="22" fillId="0" borderId="12" xfId="0" applyFont="1" applyBorder="1" applyAlignment="1">
      <alignment vertical="center"/>
    </xf>
    <xf numFmtId="0" fontId="26" fillId="0" borderId="0" xfId="26" applyFont="1" applyAlignment="1">
      <alignment vertical="top" wrapText="1"/>
    </xf>
    <xf numFmtId="0" fontId="26" fillId="0" borderId="0" xfId="26" applyFont="1" applyAlignment="1">
      <alignment vertical="top"/>
    </xf>
    <xf numFmtId="0" fontId="33" fillId="0" borderId="0" xfId="26" applyFont="1" applyAlignment="1">
      <alignment vertical="top"/>
    </xf>
    <xf numFmtId="0" fontId="22" fillId="0" borderId="0" xfId="0" applyFont="1" applyAlignment="1">
      <alignment horizontal="left" vertical="center"/>
    </xf>
    <xf numFmtId="0" fontId="22" fillId="0" borderId="24" xfId="0" applyFont="1" applyBorder="1" applyAlignment="1">
      <alignment horizontal="left" vertical="center" wrapText="1"/>
    </xf>
    <xf numFmtId="0" fontId="45" fillId="0" borderId="24" xfId="0" quotePrefix="1" applyFont="1" applyBorder="1" applyAlignment="1">
      <alignment horizontal="center" vertical="center" wrapText="1"/>
    </xf>
    <xf numFmtId="0" fontId="49" fillId="0" borderId="0" xfId="0" applyFont="1" applyAlignment="1">
      <alignment horizontal="center" vertical="center"/>
    </xf>
    <xf numFmtId="0" fontId="14" fillId="0" borderId="0" xfId="4" applyFont="1" applyAlignment="1" applyProtection="1">
      <alignment horizontal="left" vertical="center"/>
    </xf>
    <xf numFmtId="0" fontId="14" fillId="0" borderId="0" xfId="19" applyFont="1" applyFill="1" applyBorder="1" applyAlignment="1">
      <alignment vertical="center" wrapText="1"/>
    </xf>
    <xf numFmtId="0" fontId="14" fillId="6" borderId="0" xfId="8" applyFont="1" applyFill="1" applyAlignment="1">
      <alignment vertical="center" wrapText="1"/>
    </xf>
    <xf numFmtId="0" fontId="14" fillId="6" borderId="0" xfId="60" applyFont="1" applyFill="1" applyAlignment="1">
      <alignment vertical="center" wrapText="1"/>
    </xf>
    <xf numFmtId="0" fontId="34" fillId="0" borderId="0" xfId="58" applyFont="1" applyAlignment="1">
      <alignment vertical="center"/>
    </xf>
    <xf numFmtId="170" fontId="34" fillId="0" borderId="0" xfId="60" applyNumberFormat="1" applyFont="1" applyAlignment="1">
      <alignment vertical="center"/>
    </xf>
    <xf numFmtId="0" fontId="34" fillId="0" borderId="0" xfId="60" applyFont="1" applyAlignment="1">
      <alignment horizontal="right" vertical="center" indent="1"/>
    </xf>
    <xf numFmtId="0" fontId="14" fillId="0" borderId="0" xfId="58" applyFont="1" applyAlignment="1">
      <alignment vertical="top" wrapText="1"/>
    </xf>
    <xf numFmtId="0" fontId="14" fillId="0" borderId="0" xfId="62" applyFont="1" applyAlignment="1">
      <alignment horizontal="center" vertical="center"/>
    </xf>
    <xf numFmtId="0" fontId="18" fillId="0" borderId="0" xfId="60" applyFont="1" applyAlignment="1">
      <alignment vertical="center" wrapText="1"/>
    </xf>
    <xf numFmtId="0" fontId="14" fillId="6" borderId="24" xfId="8" applyFont="1" applyFill="1" applyBorder="1" applyAlignment="1">
      <alignment vertical="center"/>
    </xf>
    <xf numFmtId="0" fontId="14" fillId="4" borderId="30" xfId="26" applyFont="1" applyFill="1" applyBorder="1" applyAlignment="1" applyProtection="1">
      <alignment horizontal="center" vertical="center"/>
      <protection locked="0"/>
    </xf>
    <xf numFmtId="6" fontId="14" fillId="21" borderId="12" xfId="26" applyNumberFormat="1" applyFont="1" applyFill="1" applyBorder="1" applyAlignment="1">
      <alignment horizontal="left" vertical="center" indent="1" shrinkToFit="1"/>
    </xf>
    <xf numFmtId="0" fontId="14" fillId="0" borderId="12" xfId="0" applyFont="1" applyBorder="1" applyAlignment="1">
      <alignment vertical="center"/>
    </xf>
    <xf numFmtId="0" fontId="14" fillId="0" borderId="0" xfId="0" applyFont="1" applyAlignment="1">
      <alignment horizontal="left" vertical="center" wrapText="1" indent="1"/>
    </xf>
    <xf numFmtId="0" fontId="30" fillId="0" borderId="0" xfId="47" applyFont="1" applyAlignment="1">
      <alignment horizontal="center"/>
    </xf>
    <xf numFmtId="170" fontId="22" fillId="6" borderId="0" xfId="0" applyNumberFormat="1" applyFont="1" applyFill="1" applyAlignment="1">
      <alignment vertical="center"/>
    </xf>
    <xf numFmtId="0" fontId="49" fillId="0" borderId="3" xfId="0" applyFont="1" applyBorder="1" applyAlignment="1">
      <alignment vertical="center" wrapText="1"/>
    </xf>
    <xf numFmtId="0" fontId="14" fillId="13" borderId="0" xfId="0" applyFont="1" applyFill="1"/>
    <xf numFmtId="0" fontId="98" fillId="0" borderId="0" xfId="0" applyFont="1" applyAlignment="1">
      <alignment horizontal="center" vertical="center"/>
    </xf>
    <xf numFmtId="0" fontId="98" fillId="6" borderId="0" xfId="0" applyFont="1" applyFill="1" applyAlignment="1">
      <alignment horizontal="center" vertical="center"/>
    </xf>
    <xf numFmtId="0" fontId="98" fillId="0" borderId="0" xfId="0" quotePrefix="1" applyFont="1" applyAlignment="1">
      <alignment vertical="center"/>
    </xf>
    <xf numFmtId="0" fontId="98" fillId="0" borderId="0" xfId="0" quotePrefix="1" applyFont="1" applyAlignment="1">
      <alignment horizontal="center" vertical="center"/>
    </xf>
    <xf numFmtId="0" fontId="14" fillId="6" borderId="0" xfId="0" applyFont="1" applyFill="1" applyAlignment="1">
      <alignment vertical="top"/>
    </xf>
    <xf numFmtId="0" fontId="98" fillId="0" borderId="0" xfId="0" quotePrefix="1" applyFont="1" applyAlignment="1">
      <alignment horizontal="center" vertical="center" wrapText="1"/>
    </xf>
    <xf numFmtId="0" fontId="98" fillId="6" borderId="0" xfId="0" quotePrefix="1" applyFont="1" applyFill="1" applyAlignment="1">
      <alignment horizontal="center" vertical="center"/>
    </xf>
    <xf numFmtId="0" fontId="45" fillId="0" borderId="0" xfId="0" quotePrefix="1" applyFont="1" applyAlignment="1">
      <alignment horizontal="left" vertical="center"/>
    </xf>
    <xf numFmtId="0" fontId="22" fillId="6" borderId="0" xfId="45" applyFill="1" applyBorder="1" applyAlignment="1">
      <alignment horizontal="center" vertical="center" wrapText="1"/>
    </xf>
    <xf numFmtId="0" fontId="91" fillId="0" borderId="0" xfId="0" applyFont="1" applyAlignment="1">
      <alignment horizontal="left"/>
    </xf>
    <xf numFmtId="0" fontId="13" fillId="0" borderId="0" xfId="0" applyFont="1" applyAlignment="1">
      <alignment horizontal="left" vertical="center"/>
    </xf>
    <xf numFmtId="0" fontId="106" fillId="0" borderId="0" xfId="0" applyFont="1" applyAlignment="1">
      <alignment vertical="center" wrapText="1"/>
    </xf>
    <xf numFmtId="0" fontId="14" fillId="0" borderId="0" xfId="0" applyFont="1" applyAlignment="1">
      <alignment horizontal="left" vertical="center" indent="11"/>
    </xf>
    <xf numFmtId="0" fontId="51" fillId="0" borderId="0" xfId="0" applyFont="1" applyAlignment="1">
      <alignment horizontal="left" vertical="center" indent="11"/>
    </xf>
    <xf numFmtId="0" fontId="65" fillId="0" borderId="0" xfId="124">
      <alignment horizontal="left" vertical="center"/>
    </xf>
    <xf numFmtId="0" fontId="65" fillId="0" borderId="0" xfId="124" applyAlignment="1">
      <alignment horizontal="left" vertical="center" wrapText="1"/>
    </xf>
    <xf numFmtId="9" fontId="14" fillId="0" borderId="0" xfId="0" applyNumberFormat="1" applyFont="1" applyAlignment="1">
      <alignment horizontal="center" vertical="center"/>
    </xf>
    <xf numFmtId="0" fontId="22" fillId="0" borderId="0" xfId="0" applyFont="1" applyAlignment="1">
      <alignment vertical="top"/>
    </xf>
    <xf numFmtId="2" fontId="22" fillId="0" borderId="0" xfId="0" applyNumberFormat="1" applyFont="1" applyAlignment="1">
      <alignment vertical="top"/>
    </xf>
    <xf numFmtId="6" fontId="22" fillId="0" borderId="0" xfId="0" applyNumberFormat="1" applyFont="1" applyAlignment="1">
      <alignment vertical="top"/>
    </xf>
    <xf numFmtId="9" fontId="22" fillId="0" borderId="0" xfId="8" applyNumberFormat="1" applyAlignment="1">
      <alignment vertical="top"/>
    </xf>
    <xf numFmtId="2" fontId="22" fillId="0" borderId="0" xfId="8" applyNumberFormat="1" applyAlignment="1">
      <alignment vertical="top"/>
    </xf>
    <xf numFmtId="0" fontId="68" fillId="6" borderId="0" xfId="57" applyFont="1" applyFill="1"/>
    <xf numFmtId="0" fontId="68" fillId="6" borderId="0" xfId="0" applyFont="1" applyFill="1" applyAlignment="1">
      <alignment horizontal="left" vertical="center"/>
    </xf>
    <xf numFmtId="0" fontId="14" fillId="0" borderId="0" xfId="0" quotePrefix="1" applyFont="1" applyAlignment="1">
      <alignment vertical="center"/>
    </xf>
    <xf numFmtId="0" fontId="98" fillId="0" borderId="0" xfId="58" applyFont="1" applyAlignment="1">
      <alignment vertical="center"/>
    </xf>
    <xf numFmtId="0" fontId="68" fillId="0" borderId="0" xfId="50" applyFont="1" applyAlignment="1">
      <alignment vertical="center" wrapText="1"/>
    </xf>
    <xf numFmtId="0" fontId="68" fillId="6" borderId="0" xfId="50" applyFont="1" applyFill="1" applyAlignment="1">
      <alignment vertical="center" wrapText="1"/>
    </xf>
    <xf numFmtId="0" fontId="22" fillId="0" borderId="0" xfId="50" applyFont="1"/>
    <xf numFmtId="0" fontId="23" fillId="0" borderId="0" xfId="64" quotePrefix="1" applyFont="1" applyAlignment="1">
      <alignment horizontal="center" vertical="center"/>
    </xf>
    <xf numFmtId="0" fontId="14" fillId="0" borderId="0" xfId="50" quotePrefix="1" applyFont="1" applyAlignment="1">
      <alignment horizontal="left" vertical="center"/>
    </xf>
    <xf numFmtId="170" fontId="23" fillId="0" borderId="0" xfId="50" applyNumberFormat="1" applyFont="1" applyAlignment="1">
      <alignment horizontal="center" vertical="center"/>
    </xf>
    <xf numFmtId="0" fontId="23" fillId="0" borderId="24" xfId="64" quotePrefix="1" applyFont="1" applyBorder="1" applyAlignment="1">
      <alignment horizontal="center" vertical="center"/>
    </xf>
    <xf numFmtId="0" fontId="23" fillId="0" borderId="24" xfId="63" applyFont="1" applyBorder="1" applyAlignment="1">
      <alignment horizontal="center" vertical="center"/>
    </xf>
    <xf numFmtId="0" fontId="34" fillId="0" borderId="24" xfId="63" applyFont="1" applyBorder="1" applyAlignment="1">
      <alignment horizontal="center" vertical="center" wrapText="1"/>
    </xf>
    <xf numFmtId="0" fontId="34" fillId="0" borderId="24" xfId="63" applyFont="1" applyBorder="1" applyAlignment="1">
      <alignment horizontal="center" vertical="center"/>
    </xf>
    <xf numFmtId="0" fontId="23" fillId="0" borderId="24" xfId="63" applyFont="1" applyBorder="1" applyAlignment="1">
      <alignment horizontal="center"/>
    </xf>
    <xf numFmtId="0" fontId="22" fillId="0" borderId="24" xfId="63" applyBorder="1" applyAlignment="1">
      <alignment horizontal="center" vertical="center"/>
    </xf>
    <xf numFmtId="0" fontId="14" fillId="0" borderId="24" xfId="0" applyFont="1" applyBorder="1"/>
    <xf numFmtId="5" fontId="22" fillId="0" borderId="0" xfId="67" applyNumberFormat="1" applyFont="1" applyAlignment="1">
      <alignment horizontal="center" vertical="center"/>
    </xf>
    <xf numFmtId="0" fontId="46" fillId="0" borderId="0" xfId="8" applyFont="1">
      <alignment horizontal="left" vertical="center"/>
    </xf>
    <xf numFmtId="0" fontId="22" fillId="4" borderId="12" xfId="8" applyFill="1" applyBorder="1" applyAlignment="1" applyProtection="1">
      <alignment horizontal="center" vertical="center" wrapText="1"/>
      <protection locked="0"/>
    </xf>
    <xf numFmtId="0" fontId="14" fillId="0" borderId="0" xfId="73" applyFont="1" applyAlignment="1">
      <alignment vertical="center" wrapText="1"/>
    </xf>
    <xf numFmtId="170" fontId="22" fillId="0" borderId="0" xfId="73" applyNumberFormat="1" applyFont="1" applyAlignment="1">
      <alignment horizontal="center" vertical="center"/>
    </xf>
    <xf numFmtId="0" fontId="22" fillId="0" borderId="0" xfId="73" applyFont="1" applyAlignment="1">
      <alignment horizontal="center" wrapText="1"/>
    </xf>
    <xf numFmtId="9" fontId="22" fillId="0" borderId="0" xfId="73" applyNumberFormat="1" applyFont="1" applyAlignment="1">
      <alignment horizontal="center" vertical="center"/>
    </xf>
    <xf numFmtId="0" fontId="7" fillId="0" borderId="0" xfId="73" applyFont="1" applyAlignment="1">
      <alignment horizontal="center" vertical="center"/>
    </xf>
    <xf numFmtId="0" fontId="79" fillId="0" borderId="0" xfId="73" applyFont="1" applyAlignment="1">
      <alignment horizontal="center" vertical="center"/>
    </xf>
    <xf numFmtId="170" fontId="22" fillId="0" borderId="12" xfId="73" applyNumberFormat="1" applyFont="1" applyBorder="1" applyAlignment="1">
      <alignment horizontal="center" vertical="center"/>
    </xf>
    <xf numFmtId="2" fontId="22" fillId="0" borderId="24" xfId="73" applyNumberFormat="1" applyFont="1" applyBorder="1" applyAlignment="1">
      <alignment vertical="center"/>
    </xf>
    <xf numFmtId="2" fontId="22" fillId="0" borderId="0" xfId="73" applyNumberFormat="1" applyFont="1" applyAlignment="1">
      <alignment vertical="center"/>
    </xf>
    <xf numFmtId="10" fontId="22" fillId="0" borderId="0" xfId="73" applyNumberFormat="1" applyFont="1" applyAlignment="1">
      <alignment horizontal="center" vertical="center"/>
    </xf>
    <xf numFmtId="0" fontId="88" fillId="0" borderId="0" xfId="0" applyFont="1" applyAlignment="1">
      <alignment horizontal="center" vertical="center" wrapText="1"/>
    </xf>
    <xf numFmtId="0" fontId="89" fillId="0" borderId="0" xfId="0" applyFont="1" applyAlignment="1">
      <alignment horizontal="center" vertical="center" wrapText="1"/>
    </xf>
    <xf numFmtId="9" fontId="22" fillId="0" borderId="0" xfId="73" applyNumberFormat="1" applyFont="1" applyAlignment="1">
      <alignment horizontal="left" vertical="center"/>
    </xf>
    <xf numFmtId="10" fontId="14" fillId="6" borderId="19" xfId="26" applyNumberFormat="1" applyFont="1" applyFill="1" applyBorder="1" applyAlignment="1">
      <alignment horizontal="center" vertical="center"/>
    </xf>
    <xf numFmtId="0" fontId="14" fillId="6" borderId="12" xfId="26" applyFont="1" applyFill="1" applyBorder="1" applyAlignment="1">
      <alignment horizontal="center" vertical="center"/>
    </xf>
    <xf numFmtId="10" fontId="14" fillId="6" borderId="1" xfId="26" applyNumberFormat="1" applyFont="1" applyFill="1" applyBorder="1" applyAlignment="1">
      <alignment horizontal="center" vertical="center"/>
    </xf>
    <xf numFmtId="0" fontId="14" fillId="6" borderId="24" xfId="26" applyFont="1" applyFill="1" applyBorder="1" applyAlignment="1">
      <alignment horizontal="center" vertical="center"/>
    </xf>
    <xf numFmtId="10" fontId="14" fillId="6" borderId="18" xfId="26" applyNumberFormat="1" applyFont="1" applyFill="1" applyBorder="1" applyAlignment="1">
      <alignment horizontal="center" vertical="center"/>
    </xf>
    <xf numFmtId="0" fontId="14" fillId="6" borderId="16" xfId="26" applyFont="1" applyFill="1" applyBorder="1" applyAlignment="1">
      <alignment horizontal="center" vertical="center"/>
    </xf>
    <xf numFmtId="0" fontId="14" fillId="6" borderId="17" xfId="26" applyFont="1" applyFill="1" applyBorder="1" applyAlignment="1">
      <alignment horizontal="center" vertical="center"/>
    </xf>
    <xf numFmtId="0" fontId="23" fillId="6" borderId="0" xfId="8" applyFont="1" applyFill="1">
      <alignment horizontal="left" vertical="center"/>
    </xf>
    <xf numFmtId="0" fontId="31" fillId="0" borderId="0" xfId="26" applyFont="1" applyAlignment="1">
      <alignment horizontal="right" vertical="center"/>
    </xf>
    <xf numFmtId="0" fontId="31" fillId="0" borderId="3" xfId="26" applyFont="1" applyBorder="1" applyAlignment="1">
      <alignment horizontal="right" vertical="center"/>
    </xf>
    <xf numFmtId="170" fontId="14" fillId="6" borderId="17" xfId="26" applyNumberFormat="1" applyFont="1" applyFill="1" applyBorder="1" applyAlignment="1">
      <alignment horizontal="right" vertical="center"/>
    </xf>
    <xf numFmtId="170" fontId="14" fillId="6" borderId="30" xfId="26" applyNumberFormat="1" applyFont="1" applyFill="1" applyBorder="1" applyAlignment="1">
      <alignment horizontal="right" vertical="center"/>
    </xf>
    <xf numFmtId="170" fontId="14" fillId="4" borderId="16" xfId="26" applyNumberFormat="1" applyFont="1" applyFill="1" applyBorder="1" applyAlignment="1" applyProtection="1">
      <alignment horizontal="right" vertical="center"/>
      <protection locked="0"/>
    </xf>
    <xf numFmtId="170" fontId="14" fillId="4" borderId="17" xfId="26" applyNumberFormat="1" applyFont="1" applyFill="1" applyBorder="1" applyAlignment="1" applyProtection="1">
      <alignment horizontal="right" vertical="center"/>
      <protection locked="0"/>
    </xf>
    <xf numFmtId="0" fontId="45" fillId="0" borderId="0" xfId="26" applyFont="1" applyAlignment="1">
      <alignment horizontal="right" vertical="center"/>
    </xf>
    <xf numFmtId="164" fontId="14" fillId="0" borderId="0" xfId="53" applyNumberFormat="1" applyFont="1" applyAlignment="1">
      <alignment horizontal="right"/>
    </xf>
    <xf numFmtId="0" fontId="14" fillId="0" borderId="0" xfId="26" applyFont="1" applyAlignment="1">
      <alignment horizontal="right"/>
    </xf>
    <xf numFmtId="0" fontId="22" fillId="0" borderId="24" xfId="73" applyFont="1" applyBorder="1" applyAlignment="1">
      <alignment horizontal="center" vertical="center"/>
    </xf>
    <xf numFmtId="0" fontId="105" fillId="0" borderId="0" xfId="63" applyFont="1" applyAlignment="1">
      <alignment vertical="center" wrapText="1"/>
    </xf>
    <xf numFmtId="0" fontId="22" fillId="0" borderId="0" xfId="69" applyFont="1" applyAlignment="1">
      <alignment wrapText="1"/>
    </xf>
    <xf numFmtId="0" fontId="14" fillId="0" borderId="0" xfId="21" applyFont="1" applyAlignment="1">
      <alignment vertical="center"/>
    </xf>
    <xf numFmtId="0" fontId="55" fillId="6" borderId="0" xfId="26" applyFont="1" applyFill="1" applyAlignment="1">
      <alignment vertical="top"/>
    </xf>
    <xf numFmtId="0" fontId="14" fillId="0" borderId="0" xfId="16" applyFont="1" applyAlignment="1">
      <alignment vertical="center" wrapText="1"/>
    </xf>
    <xf numFmtId="0" fontId="54" fillId="0" borderId="0" xfId="16" applyFont="1" applyAlignment="1">
      <alignment vertical="center" wrapText="1"/>
    </xf>
    <xf numFmtId="0" fontId="22" fillId="0" borderId="0" xfId="57" applyFont="1" applyAlignment="1">
      <alignment horizontal="left"/>
    </xf>
    <xf numFmtId="0" fontId="13" fillId="6" borderId="0" xfId="21" applyFont="1" applyFill="1" applyAlignment="1">
      <alignment vertical="center"/>
    </xf>
    <xf numFmtId="0" fontId="22" fillId="6" borderId="0" xfId="69" applyFont="1" applyFill="1"/>
    <xf numFmtId="0" fontId="22" fillId="6" borderId="0" xfId="0" applyFont="1" applyFill="1" applyAlignment="1">
      <alignment horizontal="left" vertical="center"/>
    </xf>
    <xf numFmtId="0" fontId="14" fillId="6" borderId="0" xfId="73" applyFont="1" applyFill="1" applyAlignment="1">
      <alignment vertical="center" wrapText="1"/>
    </xf>
    <xf numFmtId="0" fontId="49" fillId="0" borderId="0" xfId="0" applyFont="1" applyAlignment="1">
      <alignment vertical="center" wrapText="1"/>
    </xf>
    <xf numFmtId="0" fontId="68" fillId="0" borderId="0" xfId="73" applyFont="1" applyAlignment="1">
      <alignment horizontal="center" vertical="center"/>
    </xf>
    <xf numFmtId="0" fontId="31" fillId="0" borderId="0" xfId="8" applyFont="1">
      <alignment horizontal="left" vertical="center"/>
    </xf>
    <xf numFmtId="0" fontId="57" fillId="6" borderId="0" xfId="0" applyFont="1" applyFill="1" applyAlignment="1">
      <alignment horizontal="left" vertical="center" indent="1"/>
    </xf>
    <xf numFmtId="0" fontId="14" fillId="0" borderId="0" xfId="12" applyFont="1" applyFill="1" applyBorder="1" applyAlignment="1">
      <alignment vertical="center" wrapText="1"/>
    </xf>
    <xf numFmtId="0" fontId="22" fillId="0" borderId="0" xfId="12" applyFill="1" applyBorder="1" applyAlignment="1">
      <alignment vertical="center" wrapText="1"/>
    </xf>
    <xf numFmtId="0" fontId="79" fillId="0" borderId="0" xfId="73" applyFont="1" applyAlignment="1">
      <alignment vertical="center"/>
    </xf>
    <xf numFmtId="9" fontId="22" fillId="0" borderId="0" xfId="8" applyNumberFormat="1">
      <alignment horizontal="left" vertical="center"/>
    </xf>
    <xf numFmtId="0" fontId="49" fillId="0" borderId="12" xfId="8" applyFont="1" applyBorder="1" applyAlignment="1">
      <alignment horizontal="center" vertical="center"/>
    </xf>
    <xf numFmtId="0" fontId="22" fillId="0" borderId="12" xfId="8" applyBorder="1" applyAlignment="1">
      <alignment vertical="center"/>
    </xf>
    <xf numFmtId="0" fontId="22" fillId="6" borderId="12" xfId="0" applyFont="1" applyFill="1" applyBorder="1" applyAlignment="1">
      <alignment vertical="center"/>
    </xf>
    <xf numFmtId="10" fontId="22" fillId="0" borderId="0" xfId="0" applyNumberFormat="1" applyFont="1" applyAlignment="1">
      <alignment vertical="center"/>
    </xf>
    <xf numFmtId="0" fontId="49" fillId="6" borderId="24" xfId="8" applyFont="1" applyFill="1" applyBorder="1" applyAlignment="1">
      <alignment horizontal="center" vertical="center"/>
    </xf>
    <xf numFmtId="0" fontId="22" fillId="6" borderId="24" xfId="8" applyFill="1" applyBorder="1" applyAlignment="1">
      <alignment vertical="center"/>
    </xf>
    <xf numFmtId="170" fontId="22" fillId="0" borderId="2" xfId="73" applyNumberFormat="1" applyFont="1" applyBorder="1" applyAlignment="1">
      <alignment horizontal="center" vertical="center"/>
    </xf>
    <xf numFmtId="3" fontId="22" fillId="0" borderId="0" xfId="73" applyNumberFormat="1" applyFont="1" applyAlignment="1">
      <alignment horizontal="center" vertical="center"/>
    </xf>
    <xf numFmtId="3" fontId="22" fillId="0" borderId="2" xfId="73" applyNumberFormat="1" applyFont="1" applyBorder="1" applyAlignment="1">
      <alignment horizontal="center" vertical="center"/>
    </xf>
    <xf numFmtId="0" fontId="22" fillId="0" borderId="4" xfId="73" applyFont="1" applyBorder="1" applyAlignment="1">
      <alignment horizontal="center" vertical="center"/>
    </xf>
    <xf numFmtId="0" fontId="22" fillId="0" borderId="3" xfId="73" applyFont="1" applyBorder="1" applyAlignment="1">
      <alignment horizontal="center" vertical="center"/>
    </xf>
    <xf numFmtId="3" fontId="22" fillId="0" borderId="3" xfId="73" applyNumberFormat="1" applyFont="1" applyBorder="1" applyAlignment="1">
      <alignment horizontal="center" vertical="center"/>
    </xf>
    <xf numFmtId="3" fontId="22" fillId="0" borderId="5" xfId="73" applyNumberFormat="1" applyFont="1" applyBorder="1" applyAlignment="1">
      <alignment horizontal="center" vertical="center"/>
    </xf>
    <xf numFmtId="0" fontId="4" fillId="0" borderId="0" xfId="73" applyFont="1" applyAlignment="1">
      <alignment horizontal="center" vertical="center"/>
    </xf>
    <xf numFmtId="170" fontId="22" fillId="0" borderId="3" xfId="73" applyNumberFormat="1" applyFont="1" applyBorder="1" applyAlignment="1">
      <alignment horizontal="center" vertical="center"/>
    </xf>
    <xf numFmtId="170" fontId="22" fillId="0" borderId="5" xfId="73" applyNumberFormat="1" applyFont="1" applyBorder="1" applyAlignment="1">
      <alignment horizontal="center" vertical="center"/>
    </xf>
    <xf numFmtId="0" fontId="22" fillId="0" borderId="21" xfId="73" applyFont="1" applyBorder="1"/>
    <xf numFmtId="0" fontId="22" fillId="0" borderId="21" xfId="73" applyFont="1" applyBorder="1" applyAlignment="1">
      <alignment horizontal="center"/>
    </xf>
    <xf numFmtId="0" fontId="22" fillId="0" borderId="22" xfId="73" applyFont="1" applyBorder="1" applyAlignment="1">
      <alignment horizontal="center"/>
    </xf>
    <xf numFmtId="0" fontId="22" fillId="0" borderId="5" xfId="73" applyFont="1" applyBorder="1" applyAlignment="1">
      <alignment horizontal="center" vertical="center"/>
    </xf>
    <xf numFmtId="0" fontId="22" fillId="0" borderId="21" xfId="73" applyFont="1" applyBorder="1" applyAlignment="1">
      <alignment horizontal="left" vertical="center"/>
    </xf>
    <xf numFmtId="0" fontId="26" fillId="6" borderId="0" xfId="26" applyFont="1" applyFill="1" applyAlignment="1">
      <alignment vertical="center" wrapText="1"/>
    </xf>
    <xf numFmtId="0" fontId="26" fillId="6" borderId="0" xfId="0" applyFont="1" applyFill="1"/>
    <xf numFmtId="0" fontId="54" fillId="0" borderId="24" xfId="0" applyFont="1" applyBorder="1" applyAlignment="1">
      <alignment vertical="center"/>
    </xf>
    <xf numFmtId="0" fontId="54" fillId="0" borderId="0" xfId="0" applyFont="1" applyAlignment="1">
      <alignment vertical="center"/>
    </xf>
    <xf numFmtId="0" fontId="22" fillId="0" borderId="0" xfId="26" applyFont="1" applyAlignment="1">
      <alignment vertical="center" wrapText="1"/>
    </xf>
    <xf numFmtId="0" fontId="14" fillId="0" borderId="0" xfId="0" applyFont="1" applyAlignment="1">
      <alignment vertical="center" wrapText="1"/>
    </xf>
    <xf numFmtId="0" fontId="22" fillId="6" borderId="0" xfId="8" applyFill="1" applyAlignment="1">
      <alignment horizontal="center" vertical="center" wrapText="1"/>
    </xf>
    <xf numFmtId="0" fontId="22" fillId="0" borderId="0" xfId="26" applyFont="1" applyAlignment="1">
      <alignment vertical="top" wrapText="1"/>
    </xf>
    <xf numFmtId="0" fontId="22" fillId="0" borderId="0" xfId="26" applyFont="1" applyAlignment="1">
      <alignment horizontal="left" vertical="center" indent="1"/>
    </xf>
    <xf numFmtId="0" fontId="22" fillId="0" borderId="1" xfId="73" applyFont="1" applyBorder="1" applyAlignment="1">
      <alignment horizontal="center" vertical="center"/>
    </xf>
    <xf numFmtId="0" fontId="22" fillId="0" borderId="0" xfId="26" applyFont="1" applyAlignment="1">
      <alignment horizontal="left" vertical="top" wrapText="1"/>
    </xf>
    <xf numFmtId="0" fontId="34" fillId="0" borderId="0" xfId="26" applyFont="1"/>
    <xf numFmtId="0" fontId="22" fillId="6" borderId="0" xfId="26" applyFont="1" applyFill="1" applyAlignment="1">
      <alignment vertical="top"/>
    </xf>
    <xf numFmtId="0" fontId="22" fillId="0" borderId="12" xfId="26" applyFont="1" applyBorder="1" applyAlignment="1">
      <alignment vertical="center"/>
    </xf>
    <xf numFmtId="0" fontId="22" fillId="0" borderId="24" xfId="26" applyFont="1" applyBorder="1" applyAlignment="1">
      <alignment vertical="center"/>
    </xf>
    <xf numFmtId="0" fontId="46" fillId="0" borderId="0" xfId="26" applyFont="1" applyAlignment="1">
      <alignment horizontal="left" vertical="top"/>
    </xf>
    <xf numFmtId="0" fontId="22" fillId="6" borderId="0" xfId="26" applyFont="1" applyFill="1" applyAlignment="1">
      <alignment horizontal="left" vertical="top"/>
    </xf>
    <xf numFmtId="0" fontId="46" fillId="6" borderId="0" xfId="26" applyFont="1" applyFill="1" applyAlignment="1">
      <alignment horizontal="left" vertical="top"/>
    </xf>
    <xf numFmtId="0" fontId="23" fillId="0" borderId="0" xfId="26" applyFont="1" applyAlignment="1">
      <alignment horizontal="center" vertical="top"/>
    </xf>
    <xf numFmtId="0" fontId="23" fillId="0" borderId="0" xfId="26" applyFont="1" applyAlignment="1">
      <alignment vertical="center"/>
    </xf>
    <xf numFmtId="0" fontId="22" fillId="0" borderId="0" xfId="26" applyFont="1" applyAlignment="1">
      <alignment horizontal="left" vertical="center"/>
    </xf>
    <xf numFmtId="0" fontId="22" fillId="0" borderId="0" xfId="26" applyFont="1" applyAlignment="1">
      <alignment horizontal="left" vertical="center" wrapText="1"/>
    </xf>
    <xf numFmtId="0" fontId="22" fillId="0" borderId="0" xfId="26" applyFont="1" applyAlignment="1">
      <alignment horizontal="left" vertical="center" indent="2"/>
    </xf>
    <xf numFmtId="0" fontId="23" fillId="0" borderId="0" xfId="26" applyFont="1" applyAlignment="1">
      <alignment vertical="center" wrapText="1"/>
    </xf>
    <xf numFmtId="20" fontId="22" fillId="0" borderId="0" xfId="26" quotePrefix="1" applyNumberFormat="1" applyFont="1" applyAlignment="1">
      <alignment vertical="center"/>
    </xf>
    <xf numFmtId="0" fontId="44" fillId="0" borderId="0" xfId="26" applyFont="1" applyAlignment="1">
      <alignment horizontal="left" vertical="center" wrapText="1" indent="1"/>
    </xf>
    <xf numFmtId="0" fontId="23" fillId="0" borderId="0" xfId="26" applyFont="1" applyAlignment="1">
      <alignment vertical="top"/>
    </xf>
    <xf numFmtId="0" fontId="49" fillId="0" borderId="0" xfId="26" applyFont="1" applyAlignment="1">
      <alignment horizontal="left" vertical="top" wrapText="1"/>
    </xf>
    <xf numFmtId="0" fontId="55" fillId="0" borderId="0" xfId="26" applyFont="1" applyAlignment="1">
      <alignment vertical="center" wrapText="1"/>
    </xf>
    <xf numFmtId="9" fontId="14" fillId="0" borderId="16" xfId="0" applyNumberFormat="1" applyFont="1" applyBorder="1" applyAlignment="1">
      <alignment horizontal="center" vertical="center"/>
    </xf>
    <xf numFmtId="5" fontId="14" fillId="0" borderId="0" xfId="0" applyNumberFormat="1" applyFont="1" applyAlignment="1">
      <alignment horizontal="center" vertical="center"/>
    </xf>
    <xf numFmtId="170" fontId="14" fillId="0" borderId="0" xfId="0" applyNumberFormat="1" applyFont="1" applyAlignment="1">
      <alignment horizontal="center" vertical="center"/>
    </xf>
    <xf numFmtId="0" fontId="14" fillId="0" borderId="0" xfId="0" quotePrefix="1" applyFont="1" applyAlignment="1">
      <alignment horizontal="left" vertical="center"/>
    </xf>
    <xf numFmtId="0" fontId="84" fillId="0" borderId="0" xfId="0" applyFont="1" applyAlignment="1">
      <alignment horizontal="left" vertical="center"/>
    </xf>
    <xf numFmtId="0" fontId="22" fillId="49" borderId="41" xfId="73" applyFont="1" applyFill="1" applyBorder="1" applyAlignment="1">
      <alignment horizontal="left" vertical="center" wrapText="1"/>
    </xf>
    <xf numFmtId="0" fontId="22" fillId="50" borderId="41" xfId="73" applyFont="1" applyFill="1" applyBorder="1" applyAlignment="1">
      <alignment horizontal="left" vertical="center"/>
    </xf>
    <xf numFmtId="0" fontId="22" fillId="49" borderId="41" xfId="73" applyFont="1" applyFill="1" applyBorder="1" applyAlignment="1">
      <alignment horizontal="left" vertical="center"/>
    </xf>
    <xf numFmtId="0" fontId="22" fillId="49" borderId="40" xfId="73" applyFont="1" applyFill="1" applyBorder="1" applyAlignment="1">
      <alignment horizontal="left" vertical="center"/>
    </xf>
    <xf numFmtId="0" fontId="84" fillId="0" borderId="0" xfId="0" applyFont="1" applyAlignment="1">
      <alignment vertical="center"/>
    </xf>
    <xf numFmtId="0" fontId="84" fillId="0" borderId="0" xfId="0" applyFont="1" applyAlignment="1">
      <alignment horizontal="center" vertical="center"/>
    </xf>
    <xf numFmtId="0" fontId="84" fillId="0" borderId="0" xfId="0" applyFont="1" applyAlignment="1">
      <alignment vertical="center" shrinkToFit="1"/>
    </xf>
    <xf numFmtId="0" fontId="84" fillId="0" borderId="0" xfId="0" applyFont="1" applyAlignment="1">
      <alignment horizontal="center" vertical="center" shrinkToFit="1"/>
    </xf>
    <xf numFmtId="0" fontId="34" fillId="0" borderId="0" xfId="0" applyFont="1" applyAlignment="1">
      <alignment vertical="center" wrapText="1"/>
    </xf>
    <xf numFmtId="0" fontId="23" fillId="0" borderId="0" xfId="26" applyFont="1" applyAlignment="1">
      <alignment vertical="top" wrapText="1"/>
    </xf>
    <xf numFmtId="0" fontId="14" fillId="6" borderId="12" xfId="26" applyFont="1" applyFill="1" applyBorder="1" applyAlignment="1">
      <alignment horizontal="left" vertical="center" wrapText="1" indent="1" shrinkToFit="1"/>
    </xf>
    <xf numFmtId="170" fontId="14" fillId="6" borderId="18" xfId="21" applyNumberFormat="1" applyFont="1" applyFill="1" applyBorder="1" applyAlignment="1">
      <alignment horizontal="right" vertical="center"/>
    </xf>
    <xf numFmtId="0" fontId="14" fillId="6" borderId="16" xfId="21" applyFont="1" applyFill="1" applyBorder="1" applyAlignment="1">
      <alignment horizontal="left" vertical="center"/>
    </xf>
    <xf numFmtId="38" fontId="9" fillId="0" borderId="0" xfId="26" applyNumberFormat="1" applyFont="1" applyAlignment="1">
      <alignment horizontal="right"/>
    </xf>
    <xf numFmtId="0" fontId="22" fillId="0" borderId="0" xfId="59" applyFont="1" applyAlignment="1">
      <alignment horizontal="center" vertical="center" wrapText="1"/>
    </xf>
    <xf numFmtId="0" fontId="14" fillId="0" borderId="0" xfId="0" applyFont="1" applyAlignment="1">
      <alignment horizontal="center" vertical="center"/>
    </xf>
    <xf numFmtId="0" fontId="68" fillId="6" borderId="24" xfId="73" applyFont="1" applyFill="1" applyBorder="1" applyAlignment="1">
      <alignment horizontal="left" vertical="center"/>
    </xf>
    <xf numFmtId="1" fontId="68" fillId="6" borderId="0" xfId="73" applyNumberFormat="1" applyFont="1" applyFill="1" applyAlignment="1">
      <alignment horizontal="center" vertical="center"/>
    </xf>
    <xf numFmtId="0" fontId="68" fillId="6" borderId="43" xfId="73" applyFont="1" applyFill="1" applyBorder="1" applyAlignment="1">
      <alignment horizontal="left" vertical="center"/>
    </xf>
    <xf numFmtId="0" fontId="14" fillId="4" borderId="17" xfId="21" applyFont="1" applyFill="1" applyBorder="1" applyAlignment="1" applyProtection="1">
      <alignment horizontal="left" vertical="center" wrapText="1"/>
      <protection locked="0"/>
    </xf>
    <xf numFmtId="0" fontId="34" fillId="0" borderId="0" xfId="60" applyFont="1" applyAlignment="1">
      <alignment horizontal="center" vertical="center" textRotation="90"/>
    </xf>
    <xf numFmtId="0" fontId="23" fillId="6" borderId="0" xfId="8" applyFont="1" applyFill="1" applyAlignment="1">
      <alignment horizontal="left" vertical="center" wrapText="1"/>
    </xf>
    <xf numFmtId="0" fontId="22" fillId="0" borderId="43" xfId="0" applyFont="1" applyBorder="1" applyAlignment="1">
      <alignment vertical="center"/>
    </xf>
    <xf numFmtId="10" fontId="14" fillId="0" borderId="0" xfId="0" applyNumberFormat="1" applyFont="1" applyAlignment="1">
      <alignment horizontal="left" vertical="center"/>
    </xf>
    <xf numFmtId="9" fontId="22" fillId="0" borderId="24" xfId="78" applyNumberFormat="1" applyFont="1" applyBorder="1" applyAlignment="1">
      <alignment horizontal="center"/>
    </xf>
    <xf numFmtId="9" fontId="22" fillId="7" borderId="24" xfId="78" applyNumberFormat="1" applyFont="1" applyFill="1" applyBorder="1" applyAlignment="1">
      <alignment horizontal="center"/>
    </xf>
    <xf numFmtId="0" fontId="22" fillId="7" borderId="0" xfId="73" applyFont="1" applyFill="1" applyAlignment="1">
      <alignment horizontal="center" vertical="center"/>
    </xf>
    <xf numFmtId="10" fontId="22" fillId="7" borderId="0" xfId="73" applyNumberFormat="1" applyFont="1" applyFill="1" applyAlignment="1">
      <alignment horizontal="center" vertical="center"/>
    </xf>
    <xf numFmtId="0" fontId="8" fillId="0" borderId="0" xfId="44" applyFont="1" applyAlignment="1">
      <alignment wrapText="1"/>
    </xf>
    <xf numFmtId="0" fontId="31" fillId="2" borderId="0" xfId="44" applyFont="1" applyFill="1" applyAlignment="1">
      <alignment horizontal="left" vertical="center" wrapText="1"/>
    </xf>
    <xf numFmtId="0" fontId="8" fillId="0" borderId="0" xfId="44" applyFont="1" applyAlignment="1">
      <alignment horizontal="left" vertical="center"/>
    </xf>
    <xf numFmtId="0" fontId="22" fillId="0" borderId="0" xfId="44" applyFont="1" applyAlignment="1">
      <alignment wrapText="1"/>
    </xf>
    <xf numFmtId="0" fontId="23" fillId="0" borderId="0" xfId="44" applyFont="1" applyAlignment="1">
      <alignment horizontal="center" vertical="center" wrapText="1"/>
    </xf>
    <xf numFmtId="0" fontId="55" fillId="0" borderId="0" xfId="8" applyFont="1" applyAlignment="1">
      <alignment vertical="center"/>
    </xf>
    <xf numFmtId="0" fontId="68" fillId="0" borderId="0" xfId="8" applyFont="1" applyAlignment="1">
      <alignment vertical="center"/>
    </xf>
    <xf numFmtId="0" fontId="14" fillId="6" borderId="24" xfId="57" applyFont="1" applyFill="1" applyBorder="1" applyAlignment="1">
      <alignment horizontal="right" vertical="center"/>
    </xf>
    <xf numFmtId="0" fontId="49" fillId="6" borderId="0" xfId="57" applyFont="1" applyFill="1" applyAlignment="1">
      <alignment vertical="top"/>
    </xf>
    <xf numFmtId="170" fontId="34" fillId="6" borderId="0" xfId="50" applyNumberFormat="1" applyFont="1" applyFill="1" applyAlignment="1">
      <alignment horizontal="right" vertical="center" wrapText="1"/>
    </xf>
    <xf numFmtId="9" fontId="22" fillId="0" borderId="1" xfId="73" applyNumberFormat="1" applyFont="1" applyBorder="1" applyAlignment="1">
      <alignment horizontal="center" vertical="center"/>
    </xf>
    <xf numFmtId="9" fontId="22" fillId="0" borderId="4" xfId="73" applyNumberFormat="1" applyFont="1" applyBorder="1" applyAlignment="1">
      <alignment horizontal="center" vertical="center"/>
    </xf>
    <xf numFmtId="0" fontId="46" fillId="0" borderId="0" xfId="8" applyFont="1" applyAlignment="1">
      <alignment vertical="center"/>
    </xf>
    <xf numFmtId="0" fontId="46" fillId="0" borderId="12" xfId="8" applyFont="1" applyBorder="1" applyAlignment="1">
      <alignment vertical="center"/>
    </xf>
    <xf numFmtId="0" fontId="22" fillId="0" borderId="43" xfId="8" applyBorder="1">
      <alignment horizontal="left" vertical="center"/>
    </xf>
    <xf numFmtId="0" fontId="0" fillId="0" borderId="0" xfId="0" applyAlignment="1">
      <alignment horizontal="left" vertical="center"/>
    </xf>
    <xf numFmtId="0" fontId="9" fillId="0" borderId="0" xfId="0" applyFont="1" applyAlignment="1">
      <alignment horizontal="center" vertical="center"/>
    </xf>
    <xf numFmtId="0" fontId="54" fillId="6" borderId="0" xfId="0" quotePrefix="1" applyFont="1" applyFill="1" applyAlignment="1">
      <alignment vertical="center" wrapText="1"/>
    </xf>
    <xf numFmtId="0" fontId="9" fillId="0" borderId="0" xfId="0" applyFont="1" applyAlignment="1">
      <alignment vertical="center"/>
    </xf>
    <xf numFmtId="0" fontId="54" fillId="6" borderId="0" xfId="26" quotePrefix="1" applyFont="1" applyFill="1"/>
    <xf numFmtId="170" fontId="14" fillId="0" borderId="12" xfId="26" applyNumberFormat="1" applyFont="1" applyBorder="1" applyAlignment="1">
      <alignment horizontal="right" vertical="center" shrinkToFit="1"/>
    </xf>
    <xf numFmtId="170" fontId="14" fillId="0" borderId="43" xfId="26" applyNumberFormat="1" applyFont="1" applyBorder="1" applyAlignment="1">
      <alignment horizontal="right" vertical="center" shrinkToFit="1"/>
    </xf>
    <xf numFmtId="170" fontId="14" fillId="4" borderId="14" xfId="50" applyNumberFormat="1" applyFont="1" applyFill="1" applyBorder="1" applyAlignment="1" applyProtection="1">
      <alignment horizontal="right" vertical="center" wrapText="1"/>
      <protection locked="0"/>
    </xf>
    <xf numFmtId="170" fontId="34" fillId="6" borderId="1" xfId="50" applyNumberFormat="1" applyFont="1" applyFill="1" applyBorder="1" applyAlignment="1">
      <alignment horizontal="right" vertical="center" wrapText="1"/>
    </xf>
    <xf numFmtId="170" fontId="34" fillId="6" borderId="2" xfId="50" applyNumberFormat="1" applyFont="1" applyFill="1" applyBorder="1" applyAlignment="1">
      <alignment horizontal="right" vertical="center" wrapText="1"/>
    </xf>
    <xf numFmtId="170" fontId="34" fillId="6" borderId="61" xfId="50" applyNumberFormat="1" applyFont="1" applyFill="1" applyBorder="1" applyAlignment="1">
      <alignment horizontal="right" vertical="center" wrapText="1"/>
    </xf>
    <xf numFmtId="170" fontId="14" fillId="6" borderId="1" xfId="50" applyNumberFormat="1" applyFont="1" applyFill="1" applyBorder="1" applyAlignment="1">
      <alignment horizontal="right" vertical="center" wrapText="1"/>
    </xf>
    <xf numFmtId="170" fontId="14" fillId="6" borderId="2" xfId="50" applyNumberFormat="1" applyFont="1" applyFill="1" applyBorder="1" applyAlignment="1">
      <alignment horizontal="right" vertical="center" wrapText="1"/>
    </xf>
    <xf numFmtId="170" fontId="34" fillId="6" borderId="4" xfId="50" applyNumberFormat="1" applyFont="1" applyFill="1" applyBorder="1" applyAlignment="1">
      <alignment horizontal="right" vertical="center" wrapText="1"/>
    </xf>
    <xf numFmtId="170" fontId="34" fillId="6" borderId="5" xfId="50" applyNumberFormat="1" applyFont="1" applyFill="1" applyBorder="1" applyAlignment="1">
      <alignment horizontal="right" vertical="center" wrapText="1"/>
    </xf>
    <xf numFmtId="0" fontId="113" fillId="0" borderId="0" xfId="0" applyFont="1" applyAlignment="1">
      <alignment horizontal="left" vertical="center"/>
    </xf>
    <xf numFmtId="0" fontId="11" fillId="0" borderId="0" xfId="8" applyFont="1" applyAlignment="1">
      <alignment vertical="center" wrapText="1"/>
    </xf>
    <xf numFmtId="0" fontId="14" fillId="0" borderId="0" xfId="8" applyFont="1" applyAlignment="1">
      <alignment vertical="center" wrapText="1"/>
    </xf>
    <xf numFmtId="0" fontId="103" fillId="0" borderId="0" xfId="0" applyFont="1" applyAlignment="1">
      <alignment vertical="center"/>
    </xf>
    <xf numFmtId="170" fontId="22" fillId="0" borderId="0" xfId="8" applyNumberFormat="1" applyAlignment="1">
      <alignment horizontal="center" vertical="center"/>
    </xf>
    <xf numFmtId="0" fontId="22" fillId="6" borderId="0" xfId="8" applyFill="1">
      <alignment horizontal="left" vertical="center"/>
    </xf>
    <xf numFmtId="0" fontId="22" fillId="6" borderId="24" xfId="0" applyFont="1" applyFill="1" applyBorder="1" applyAlignment="1">
      <alignment vertical="center"/>
    </xf>
    <xf numFmtId="0" fontId="14" fillId="0" borderId="0" xfId="0" applyFont="1" applyAlignment="1">
      <alignment horizontal="left" vertical="center"/>
    </xf>
    <xf numFmtId="0" fontId="14" fillId="0" borderId="0" xfId="0" applyFont="1" applyAlignment="1">
      <alignment horizontal="left" vertical="top"/>
    </xf>
    <xf numFmtId="0" fontId="14" fillId="0" borderId="0" xfId="0" applyFont="1" applyAlignment="1">
      <alignment horizontal="left" vertical="center" wrapText="1"/>
    </xf>
    <xf numFmtId="0" fontId="22" fillId="0" borderId="0" xfId="73" applyFont="1" applyAlignment="1">
      <alignment horizontal="center"/>
    </xf>
    <xf numFmtId="0" fontId="14" fillId="0" borderId="0" xfId="73" applyFont="1" applyAlignment="1">
      <alignment horizontal="center" vertical="center"/>
    </xf>
    <xf numFmtId="170" fontId="14" fillId="0" borderId="0" xfId="50" applyNumberFormat="1" applyFont="1" applyAlignment="1">
      <alignment horizontal="center" vertical="center"/>
    </xf>
    <xf numFmtId="0" fontId="14" fillId="0" borderId="0" xfId="26" applyFont="1" applyAlignment="1">
      <alignment horizontal="left" vertical="center" wrapText="1"/>
    </xf>
    <xf numFmtId="0" fontId="22" fillId="6" borderId="0" xfId="26" applyFont="1" applyFill="1" applyAlignment="1">
      <alignment horizontal="left" vertical="top" wrapText="1"/>
    </xf>
    <xf numFmtId="0" fontId="14" fillId="0" borderId="12" xfId="26" applyFont="1" applyBorder="1" applyAlignment="1">
      <alignment horizontal="left" vertical="center" indent="1"/>
    </xf>
    <xf numFmtId="0" fontId="14" fillId="0" borderId="0" xfId="26" applyFont="1" applyAlignment="1">
      <alignment horizontal="center"/>
    </xf>
    <xf numFmtId="0" fontId="13" fillId="0" borderId="0" xfId="44" applyFont="1" applyAlignment="1">
      <alignment horizontal="center" vertical="center" wrapText="1"/>
    </xf>
    <xf numFmtId="0" fontId="51" fillId="0" borderId="0" xfId="0" applyFont="1"/>
    <xf numFmtId="0" fontId="68" fillId="32" borderId="51" xfId="73" applyFont="1" applyFill="1" applyBorder="1" applyAlignment="1">
      <alignment horizontal="left" vertical="center" wrapText="1"/>
    </xf>
    <xf numFmtId="170" fontId="68" fillId="32" borderId="52" xfId="73" applyNumberFormat="1" applyFont="1" applyFill="1" applyBorder="1" applyAlignment="1">
      <alignment horizontal="center" vertical="center"/>
    </xf>
    <xf numFmtId="170" fontId="68" fillId="32" borderId="53" xfId="73" applyNumberFormat="1" applyFont="1" applyFill="1" applyBorder="1" applyAlignment="1">
      <alignment horizontal="center" vertical="center"/>
    </xf>
    <xf numFmtId="0" fontId="68" fillId="51" borderId="54" xfId="73" applyFont="1" applyFill="1" applyBorder="1" applyAlignment="1">
      <alignment horizontal="left" vertical="center"/>
    </xf>
    <xf numFmtId="170" fontId="68" fillId="51" borderId="49" xfId="73" applyNumberFormat="1" applyFont="1" applyFill="1" applyBorder="1" applyAlignment="1">
      <alignment horizontal="center" vertical="center"/>
    </xf>
    <xf numFmtId="170" fontId="68" fillId="51" borderId="55" xfId="73" applyNumberFormat="1" applyFont="1" applyFill="1" applyBorder="1" applyAlignment="1">
      <alignment horizontal="center" vertical="center"/>
    </xf>
    <xf numFmtId="0" fontId="68" fillId="32" borderId="54" xfId="73" applyFont="1" applyFill="1" applyBorder="1" applyAlignment="1">
      <alignment horizontal="left" vertical="center"/>
    </xf>
    <xf numFmtId="170" fontId="68" fillId="32" borderId="49" xfId="73" applyNumberFormat="1" applyFont="1" applyFill="1" applyBorder="1" applyAlignment="1">
      <alignment horizontal="center" vertical="center"/>
    </xf>
    <xf numFmtId="170" fontId="68" fillId="32" borderId="55" xfId="73" applyNumberFormat="1" applyFont="1" applyFill="1" applyBorder="1" applyAlignment="1">
      <alignment horizontal="center" vertical="center"/>
    </xf>
    <xf numFmtId="0" fontId="68" fillId="32" borderId="56" xfId="73" applyFont="1" applyFill="1" applyBorder="1" applyAlignment="1">
      <alignment horizontal="left" vertical="center"/>
    </xf>
    <xf numFmtId="170" fontId="68" fillId="32" borderId="50" xfId="73" applyNumberFormat="1" applyFont="1" applyFill="1" applyBorder="1" applyAlignment="1">
      <alignment horizontal="center" vertical="center"/>
    </xf>
    <xf numFmtId="170" fontId="68" fillId="32" borderId="57" xfId="73" applyNumberFormat="1" applyFont="1" applyFill="1" applyBorder="1" applyAlignment="1">
      <alignment horizontal="center" vertical="center"/>
    </xf>
    <xf numFmtId="170" fontId="34" fillId="6" borderId="0" xfId="50" applyNumberFormat="1" applyFont="1" applyFill="1" applyAlignment="1">
      <alignment horizontal="center" wrapText="1"/>
    </xf>
    <xf numFmtId="0" fontId="14" fillId="6" borderId="12" xfId="50" applyFont="1" applyFill="1" applyBorder="1" applyAlignment="1">
      <alignment horizontal="center" vertical="center" wrapText="1"/>
    </xf>
    <xf numFmtId="0" fontId="73" fillId="6" borderId="0" xfId="26" applyFont="1" applyFill="1" applyAlignment="1">
      <alignment vertical="center"/>
    </xf>
    <xf numFmtId="0" fontId="47" fillId="0" borderId="0" xfId="26" applyFont="1" applyAlignment="1">
      <alignment vertical="center"/>
    </xf>
    <xf numFmtId="0" fontId="22" fillId="0" borderId="0" xfId="26" applyFont="1"/>
    <xf numFmtId="49" fontId="22" fillId="0" borderId="0" xfId="26" applyNumberFormat="1" applyFont="1" applyAlignment="1">
      <alignment vertical="top"/>
    </xf>
    <xf numFmtId="0" fontId="55" fillId="6" borderId="0" xfId="26" applyFont="1" applyFill="1" applyAlignment="1">
      <alignment horizontal="left" vertical="top"/>
    </xf>
    <xf numFmtId="170" fontId="22" fillId="0" borderId="0" xfId="26" applyNumberFormat="1" applyFont="1" applyAlignment="1">
      <alignment vertical="center" wrapText="1"/>
    </xf>
    <xf numFmtId="0" fontId="81" fillId="0" borderId="0" xfId="26" applyFont="1" applyAlignment="1">
      <alignment horizontal="center" vertical="center" wrapText="1"/>
    </xf>
    <xf numFmtId="0" fontId="81" fillId="0" borderId="0" xfId="26" applyFont="1" applyAlignment="1">
      <alignment horizontal="center" vertical="center"/>
    </xf>
    <xf numFmtId="0" fontId="68" fillId="0" borderId="0" xfId="26" applyFont="1" applyAlignment="1">
      <alignment horizontal="center"/>
    </xf>
    <xf numFmtId="0" fontId="68" fillId="0" borderId="0" xfId="26" applyFont="1"/>
    <xf numFmtId="6" fontId="68" fillId="0" borderId="0" xfId="26" applyNumberFormat="1" applyFont="1"/>
    <xf numFmtId="0" fontId="68" fillId="0" borderId="0" xfId="26" applyFont="1" applyAlignment="1">
      <alignment horizontal="center" vertical="center"/>
    </xf>
    <xf numFmtId="9" fontId="68" fillId="0" borderId="0" xfId="26" applyNumberFormat="1" applyFont="1"/>
    <xf numFmtId="0" fontId="113" fillId="0" borderId="0" xfId="0" applyFont="1" applyAlignment="1">
      <alignment horizontal="center" vertical="center"/>
    </xf>
    <xf numFmtId="0" fontId="49" fillId="0" borderId="36" xfId="73" applyFont="1" applyBorder="1" applyAlignment="1">
      <alignment vertical="center"/>
    </xf>
    <xf numFmtId="0" fontId="49" fillId="0" borderId="21" xfId="73" applyFont="1" applyBorder="1" applyAlignment="1">
      <alignment vertical="center"/>
    </xf>
    <xf numFmtId="0" fontId="49" fillId="0" borderId="22" xfId="73" applyFont="1" applyBorder="1" applyAlignment="1">
      <alignment vertical="center"/>
    </xf>
    <xf numFmtId="0" fontId="49" fillId="0" borderId="0" xfId="73" applyFont="1" applyAlignment="1">
      <alignment vertical="center"/>
    </xf>
    <xf numFmtId="0" fontId="49" fillId="0" borderId="2" xfId="73" applyFont="1" applyBorder="1" applyAlignment="1">
      <alignment vertical="center"/>
    </xf>
    <xf numFmtId="0" fontId="22" fillId="0" borderId="19" xfId="73" applyFont="1" applyBorder="1" applyAlignment="1">
      <alignment horizontal="center" vertical="center"/>
    </xf>
    <xf numFmtId="0" fontId="22" fillId="0" borderId="0" xfId="73" applyFont="1" applyAlignment="1">
      <alignment horizontal="right" vertical="center"/>
    </xf>
    <xf numFmtId="9" fontId="22" fillId="7" borderId="24" xfId="78" applyNumberFormat="1" applyFont="1" applyFill="1" applyBorder="1" applyAlignment="1">
      <alignment horizontal="center" vertical="center"/>
    </xf>
    <xf numFmtId="0" fontId="22" fillId="0" borderId="0" xfId="58" applyFont="1" applyAlignment="1">
      <alignment vertical="center" wrapText="1"/>
    </xf>
    <xf numFmtId="0" fontId="14" fillId="6" borderId="0" xfId="0" quotePrefix="1" applyFont="1" applyFill="1" applyAlignment="1">
      <alignment vertical="center" wrapText="1"/>
    </xf>
    <xf numFmtId="0" fontId="71" fillId="0" borderId="0" xfId="0" applyFont="1" applyAlignment="1">
      <alignment horizontal="right" vertical="center"/>
    </xf>
    <xf numFmtId="168" fontId="71" fillId="0" borderId="0" xfId="0" applyNumberFormat="1" applyFont="1" applyAlignment="1">
      <alignment horizontal="center" vertical="center"/>
    </xf>
    <xf numFmtId="0" fontId="75" fillId="6" borderId="0" xfId="0" applyFont="1" applyFill="1"/>
    <xf numFmtId="0" fontId="14" fillId="0" borderId="43" xfId="26" applyFont="1" applyBorder="1" applyAlignment="1">
      <alignment vertical="center"/>
    </xf>
    <xf numFmtId="0" fontId="34" fillId="0" borderId="0" xfId="26" applyFont="1" applyAlignment="1">
      <alignment wrapText="1"/>
    </xf>
    <xf numFmtId="0" fontId="22" fillId="6" borderId="0" xfId="26" applyFont="1" applyFill="1" applyAlignment="1">
      <alignment vertical="center" wrapText="1"/>
    </xf>
    <xf numFmtId="0" fontId="14" fillId="0" borderId="0" xfId="188" applyFont="1" applyAlignment="1">
      <alignment vertical="center" wrapText="1"/>
    </xf>
    <xf numFmtId="0" fontId="14" fillId="6" borderId="0" xfId="188" applyFont="1" applyFill="1" applyAlignment="1">
      <alignment vertical="center" wrapText="1"/>
    </xf>
    <xf numFmtId="0" fontId="22" fillId="0" borderId="0" xfId="26" quotePrefix="1" applyFont="1" applyAlignment="1">
      <alignment vertical="top" wrapText="1"/>
    </xf>
    <xf numFmtId="0" fontId="22" fillId="0" borderId="0" xfId="26" applyFont="1" applyAlignment="1">
      <alignment horizontal="right" vertical="center" wrapText="1"/>
    </xf>
    <xf numFmtId="0" fontId="22" fillId="0" borderId="0" xfId="188" applyFont="1" applyAlignment="1">
      <alignment wrapText="1"/>
    </xf>
    <xf numFmtId="0" fontId="14" fillId="0" borderId="0" xfId="188" applyFont="1" applyAlignment="1">
      <alignment vertical="top" wrapText="1"/>
    </xf>
    <xf numFmtId="0" fontId="22" fillId="6" borderId="0" xfId="26" applyFont="1" applyFill="1" applyAlignment="1">
      <alignment vertical="top" wrapText="1"/>
    </xf>
    <xf numFmtId="1" fontId="22" fillId="0" borderId="0" xfId="26" applyNumberFormat="1" applyFont="1" applyAlignment="1">
      <alignment horizontal="left" vertical="top" wrapText="1"/>
    </xf>
    <xf numFmtId="1" fontId="14" fillId="0" borderId="0" xfId="26" applyNumberFormat="1" applyFont="1" applyAlignment="1">
      <alignment horizontal="left" vertical="top" wrapText="1"/>
    </xf>
    <xf numFmtId="10" fontId="22" fillId="0" borderId="0" xfId="26" applyNumberFormat="1" applyFont="1" applyAlignment="1">
      <alignment horizontal="left" vertical="top" wrapText="1"/>
    </xf>
    <xf numFmtId="170" fontId="22" fillId="0" borderId="0" xfId="26" applyNumberFormat="1" applyFont="1" applyAlignment="1">
      <alignment horizontal="left" vertical="top" wrapText="1"/>
    </xf>
    <xf numFmtId="0" fontId="14" fillId="0" borderId="0" xfId="26" applyFont="1" applyAlignment="1">
      <alignment vertical="top" wrapText="1"/>
    </xf>
    <xf numFmtId="0" fontId="3" fillId="0" borderId="0" xfId="188" applyFont="1" applyAlignment="1">
      <alignment wrapText="1"/>
    </xf>
    <xf numFmtId="0" fontId="22" fillId="0" borderId="24" xfId="73" applyFont="1" applyBorder="1" applyAlignment="1">
      <alignment vertical="center" wrapText="1"/>
    </xf>
    <xf numFmtId="0" fontId="22" fillId="0" borderId="2" xfId="73" applyFont="1" applyBorder="1" applyAlignment="1">
      <alignment vertical="center" wrapText="1"/>
    </xf>
    <xf numFmtId="0" fontId="22" fillId="0" borderId="24" xfId="73" applyFont="1" applyBorder="1" applyAlignment="1">
      <alignment vertical="center"/>
    </xf>
    <xf numFmtId="0" fontId="14" fillId="0" borderId="0" xfId="73" applyFont="1" applyAlignment="1">
      <alignment vertical="center"/>
    </xf>
    <xf numFmtId="0" fontId="15" fillId="0" borderId="37" xfId="0" applyFont="1" applyBorder="1" applyAlignment="1">
      <alignment vertical="center" wrapText="1"/>
    </xf>
    <xf numFmtId="1" fontId="22" fillId="6" borderId="0" xfId="73" applyNumberFormat="1" applyFont="1" applyFill="1" applyAlignment="1">
      <alignment horizontal="center" vertical="center"/>
    </xf>
    <xf numFmtId="0" fontId="121" fillId="0" borderId="0" xfId="0" applyFont="1" applyAlignment="1">
      <alignment horizontal="center" vertical="center"/>
    </xf>
    <xf numFmtId="0" fontId="22" fillId="0" borderId="0" xfId="26" applyFont="1" applyAlignment="1" applyProtection="1">
      <alignment horizontal="left" vertical="top" wrapText="1"/>
      <protection locked="0"/>
    </xf>
    <xf numFmtId="3" fontId="22" fillId="6" borderId="0" xfId="73" applyNumberFormat="1" applyFont="1" applyFill="1" applyAlignment="1">
      <alignment horizontal="center" vertical="center"/>
    </xf>
    <xf numFmtId="2" fontId="22" fillId="6" borderId="24" xfId="73" applyNumberFormat="1" applyFont="1" applyFill="1" applyBorder="1" applyAlignment="1">
      <alignment vertical="center"/>
    </xf>
    <xf numFmtId="9" fontId="22" fillId="6" borderId="0" xfId="73" applyNumberFormat="1" applyFont="1" applyFill="1" applyAlignment="1">
      <alignment horizontal="center" vertical="center"/>
    </xf>
    <xf numFmtId="0" fontId="22" fillId="6" borderId="3" xfId="73" applyFont="1" applyFill="1" applyBorder="1" applyAlignment="1">
      <alignment horizontal="center" vertical="center"/>
    </xf>
    <xf numFmtId="1" fontId="22" fillId="6" borderId="3" xfId="73" applyNumberFormat="1" applyFont="1" applyFill="1" applyBorder="1" applyAlignment="1">
      <alignment horizontal="center" vertical="center"/>
    </xf>
    <xf numFmtId="9" fontId="22" fillId="6" borderId="3" xfId="73" applyNumberFormat="1" applyFont="1" applyFill="1" applyBorder="1" applyAlignment="1">
      <alignment horizontal="center" vertical="center"/>
    </xf>
    <xf numFmtId="3" fontId="22" fillId="6" borderId="3" xfId="73" applyNumberFormat="1" applyFont="1" applyFill="1" applyBorder="1" applyAlignment="1">
      <alignment horizontal="center" vertical="center"/>
    </xf>
    <xf numFmtId="0" fontId="14" fillId="6" borderId="12" xfId="0" applyFont="1" applyFill="1" applyBorder="1" applyAlignment="1">
      <alignment vertical="center"/>
    </xf>
    <xf numFmtId="0" fontId="14" fillId="0" borderId="0" xfId="0" quotePrefix="1" applyFont="1" applyAlignment="1">
      <alignment horizontal="center" vertical="center"/>
    </xf>
    <xf numFmtId="0" fontId="22" fillId="48" borderId="0" xfId="0" applyFont="1" applyFill="1" applyAlignment="1">
      <alignment horizontal="left" vertical="center" wrapText="1"/>
    </xf>
    <xf numFmtId="0" fontId="14" fillId="48" borderId="0" xfId="0" applyFont="1" applyFill="1" applyAlignment="1">
      <alignment horizontal="left" vertical="center"/>
    </xf>
    <xf numFmtId="0" fontId="34" fillId="6" borderId="0" xfId="73" applyFont="1" applyFill="1" applyAlignment="1">
      <alignment vertical="center"/>
    </xf>
    <xf numFmtId="0" fontId="49" fillId="6" borderId="12" xfId="8" applyFont="1" applyFill="1" applyBorder="1" applyAlignment="1">
      <alignment horizontal="center" vertical="center"/>
    </xf>
    <xf numFmtId="0" fontId="34" fillId="0" borderId="0" xfId="12" applyFont="1" applyFill="1" applyBorder="1" applyAlignment="1">
      <alignment vertical="center" wrapText="1"/>
    </xf>
    <xf numFmtId="0" fontId="49" fillId="0" borderId="0" xfId="8" quotePrefix="1" applyFont="1" applyAlignment="1">
      <alignment horizontal="center" vertical="center"/>
    </xf>
    <xf numFmtId="0" fontId="49" fillId="6" borderId="0" xfId="8" quotePrefix="1" applyFont="1" applyFill="1" applyAlignment="1">
      <alignment horizontal="center" vertical="center" wrapText="1"/>
    </xf>
    <xf numFmtId="0" fontId="49" fillId="0" borderId="0" xfId="12" applyFont="1" applyFill="1" applyBorder="1" applyAlignment="1">
      <alignment horizontal="center" vertical="center" wrapText="1"/>
    </xf>
    <xf numFmtId="0" fontId="49" fillId="0" borderId="0" xfId="0" quotePrefix="1" applyFont="1" applyAlignment="1">
      <alignment horizontal="center" vertical="center" wrapText="1"/>
    </xf>
    <xf numFmtId="0" fontId="49" fillId="0" borderId="0" xfId="0" quotePrefix="1" applyFont="1" applyAlignment="1">
      <alignment horizontal="center" vertical="center"/>
    </xf>
    <xf numFmtId="0" fontId="49" fillId="0" borderId="0" xfId="8" applyFont="1" applyAlignment="1">
      <alignment horizontal="center" vertical="center"/>
    </xf>
    <xf numFmtId="170" fontId="14" fillId="0" borderId="0" xfId="8" applyNumberFormat="1" applyFont="1" applyAlignment="1">
      <alignment vertical="center"/>
    </xf>
    <xf numFmtId="0" fontId="115" fillId="0" borderId="0" xfId="0" applyFont="1" applyAlignment="1">
      <alignment vertical="center" wrapText="1"/>
    </xf>
    <xf numFmtId="0" fontId="70" fillId="0" borderId="0" xfId="0" applyFont="1" applyAlignment="1">
      <alignment vertical="center"/>
    </xf>
    <xf numFmtId="0" fontId="55" fillId="0" borderId="0" xfId="26" applyFont="1" applyAlignment="1">
      <alignment horizontal="left" vertical="top" wrapText="1"/>
    </xf>
    <xf numFmtId="0" fontId="14" fillId="0" borderId="0" xfId="188" applyFont="1" applyAlignment="1">
      <alignment wrapText="1"/>
    </xf>
    <xf numFmtId="0" fontId="0" fillId="6" borderId="0" xfId="0" applyFill="1" applyAlignment="1">
      <alignment vertical="center"/>
    </xf>
    <xf numFmtId="0" fontId="68" fillId="6" borderId="0" xfId="0" quotePrefix="1" applyFont="1" applyFill="1" applyAlignment="1">
      <alignment vertical="center" wrapText="1"/>
    </xf>
    <xf numFmtId="0" fontId="123" fillId="0" borderId="0" xfId="0" applyFont="1"/>
    <xf numFmtId="0" fontId="99" fillId="0" borderId="0" xfId="0" applyFont="1" applyAlignment="1">
      <alignment horizontal="left" vertical="center"/>
    </xf>
    <xf numFmtId="170" fontId="14" fillId="0" borderId="0" xfId="0" applyNumberFormat="1" applyFont="1" applyAlignment="1">
      <alignment vertical="center"/>
    </xf>
    <xf numFmtId="0" fontId="14" fillId="0" borderId="0" xfId="73" applyFont="1"/>
    <xf numFmtId="0" fontId="14" fillId="0" borderId="0" xfId="73" quotePrefix="1" applyFont="1" applyAlignment="1">
      <alignment horizontal="center" vertical="center"/>
    </xf>
    <xf numFmtId="0" fontId="14" fillId="0" borderId="0" xfId="73" quotePrefix="1" applyFont="1" applyAlignment="1">
      <alignment horizontal="left" vertical="center"/>
    </xf>
    <xf numFmtId="0" fontId="34" fillId="29" borderId="0" xfId="73" applyFont="1" applyFill="1" applyAlignment="1">
      <alignment horizontal="center" vertical="center"/>
    </xf>
    <xf numFmtId="0" fontId="14" fillId="0" borderId="0" xfId="73" applyFont="1" applyAlignment="1">
      <alignment horizontal="left" vertical="center"/>
    </xf>
    <xf numFmtId="0" fontId="34" fillId="29" borderId="0" xfId="73" applyFont="1" applyFill="1" applyAlignment="1">
      <alignment horizontal="left" vertical="center"/>
    </xf>
    <xf numFmtId="0" fontId="98" fillId="0" borderId="0" xfId="73" applyFont="1" applyAlignment="1">
      <alignment horizontal="center" vertical="center"/>
    </xf>
    <xf numFmtId="10" fontId="14" fillId="0" borderId="0" xfId="0" applyNumberFormat="1" applyFont="1" applyAlignment="1">
      <alignment horizontal="center" vertical="center"/>
    </xf>
    <xf numFmtId="0" fontId="14" fillId="6" borderId="0" xfId="73" applyFont="1" applyFill="1" applyAlignment="1">
      <alignment horizontal="left" vertical="center"/>
    </xf>
    <xf numFmtId="0" fontId="14" fillId="0" borderId="13" xfId="0" applyFont="1" applyBorder="1" applyAlignment="1">
      <alignment horizontal="left" vertical="center"/>
    </xf>
    <xf numFmtId="0" fontId="14" fillId="0" borderId="13" xfId="0" applyFont="1" applyBorder="1" applyAlignment="1">
      <alignment vertical="center"/>
    </xf>
    <xf numFmtId="0" fontId="14" fillId="6" borderId="13" xfId="0" applyFont="1" applyFill="1" applyBorder="1" applyAlignment="1">
      <alignment vertical="center"/>
    </xf>
    <xf numFmtId="0" fontId="14" fillId="0" borderId="13" xfId="0" applyFont="1" applyBorder="1" applyAlignment="1">
      <alignment vertical="center" wrapText="1"/>
    </xf>
    <xf numFmtId="0" fontId="14" fillId="0" borderId="13" xfId="0" applyFont="1" applyBorder="1" applyAlignment="1">
      <alignment horizontal="center" vertical="center"/>
    </xf>
    <xf numFmtId="0" fontId="103" fillId="0" borderId="13" xfId="0" applyFont="1" applyBorder="1" applyAlignment="1">
      <alignment vertical="center"/>
    </xf>
    <xf numFmtId="0" fontId="14" fillId="0" borderId="13" xfId="0" applyFont="1" applyBorder="1"/>
    <xf numFmtId="0" fontId="14" fillId="48" borderId="13" xfId="0" applyFont="1" applyFill="1" applyBorder="1" applyAlignment="1">
      <alignment horizontal="center" vertical="center"/>
    </xf>
    <xf numFmtId="1" fontId="14" fillId="0" borderId="0" xfId="0" applyNumberFormat="1" applyFont="1" applyAlignment="1">
      <alignment horizontal="left" vertical="center"/>
    </xf>
    <xf numFmtId="170" fontId="87" fillId="6" borderId="0" xfId="73" applyNumberFormat="1" applyFont="1" applyFill="1" applyAlignment="1">
      <alignment horizontal="center" vertical="center"/>
    </xf>
    <xf numFmtId="0" fontId="23" fillId="6" borderId="0" xfId="73" applyFont="1" applyFill="1" applyAlignment="1">
      <alignment horizontal="center" vertical="center"/>
    </xf>
    <xf numFmtId="49" fontId="14" fillId="6" borderId="0" xfId="73" applyNumberFormat="1" applyFont="1" applyFill="1" applyAlignment="1" applyProtection="1">
      <alignment horizontal="center" vertical="center"/>
      <protection locked="0"/>
    </xf>
    <xf numFmtId="0" fontId="14" fillId="0" borderId="0" xfId="0" quotePrefix="1" applyFont="1"/>
    <xf numFmtId="173" fontId="14" fillId="0" borderId="0" xfId="0" applyNumberFormat="1" applyFont="1" applyAlignment="1">
      <alignment horizontal="left" vertical="center"/>
    </xf>
    <xf numFmtId="173" fontId="14" fillId="0" borderId="0" xfId="0" quotePrefix="1" applyNumberFormat="1" applyFont="1" applyAlignment="1">
      <alignment horizontal="left" vertical="center" wrapText="1"/>
    </xf>
    <xf numFmtId="0" fontId="14" fillId="13" borderId="0" xfId="0" applyFont="1" applyFill="1" applyAlignment="1">
      <alignment horizontal="center" vertical="center"/>
    </xf>
    <xf numFmtId="0" fontId="126" fillId="0" borderId="0" xfId="73" applyFont="1" applyAlignment="1">
      <alignment horizontal="center" vertical="center"/>
    </xf>
    <xf numFmtId="0" fontId="14" fillId="0" borderId="0" xfId="73" quotePrefix="1" applyFont="1" applyAlignment="1">
      <alignment horizontal="center" vertical="center" wrapText="1"/>
    </xf>
    <xf numFmtId="0" fontId="34" fillId="6" borderId="0" xfId="73" applyFont="1" applyFill="1" applyAlignment="1">
      <alignment wrapText="1"/>
    </xf>
    <xf numFmtId="0" fontId="69" fillId="0" borderId="0" xfId="0" applyFont="1"/>
    <xf numFmtId="0" fontId="69" fillId="0" borderId="0" xfId="0" applyFont="1" applyAlignment="1">
      <alignment vertical="center"/>
    </xf>
    <xf numFmtId="0" fontId="29" fillId="0" borderId="0" xfId="0" applyFont="1" applyAlignment="1">
      <alignment vertical="center"/>
    </xf>
    <xf numFmtId="0" fontId="15" fillId="2" borderId="0" xfId="26" applyFont="1" applyFill="1" applyAlignment="1">
      <alignment horizontal="center" vertical="center"/>
    </xf>
    <xf numFmtId="0" fontId="131" fillId="2" borderId="0" xfId="26" applyFont="1" applyFill="1" applyAlignment="1">
      <alignment horizontal="center" vertical="center"/>
    </xf>
    <xf numFmtId="0" fontId="132" fillId="0" borderId="0" xfId="0" applyFont="1" applyAlignment="1">
      <alignment horizontal="center" vertical="center"/>
    </xf>
    <xf numFmtId="9" fontId="14" fillId="0" borderId="0" xfId="0" applyNumberFormat="1" applyFont="1" applyAlignment="1">
      <alignment vertical="center"/>
    </xf>
    <xf numFmtId="0" fontId="22" fillId="0" borderId="0" xfId="63" applyAlignment="1">
      <alignment vertical="center"/>
    </xf>
    <xf numFmtId="0" fontId="22" fillId="0" borderId="0" xfId="63" applyAlignment="1"/>
    <xf numFmtId="0" fontId="45" fillId="6" borderId="24" xfId="50" applyFont="1" applyFill="1" applyBorder="1" applyAlignment="1">
      <alignment vertical="center"/>
    </xf>
    <xf numFmtId="0" fontId="14" fillId="0" borderId="0" xfId="66" applyFont="1" applyAlignment="1">
      <alignment horizontal="left" vertical="top" wrapText="1" indent="2"/>
    </xf>
    <xf numFmtId="0" fontId="14" fillId="0" borderId="0" xfId="0" applyFont="1" applyAlignment="1">
      <alignment horizontal="left" indent="1"/>
    </xf>
    <xf numFmtId="170" fontId="14" fillId="0" borderId="0" xfId="50" applyNumberFormat="1" applyFont="1" applyAlignment="1">
      <alignment horizontal="left" vertical="center" indent="2"/>
    </xf>
    <xf numFmtId="0" fontId="14" fillId="0" borderId="12" xfId="0" applyFont="1" applyBorder="1"/>
    <xf numFmtId="0" fontId="14" fillId="0" borderId="43" xfId="0" applyFont="1" applyBorder="1"/>
    <xf numFmtId="0" fontId="22" fillId="6" borderId="0" xfId="50" applyFont="1" applyFill="1"/>
    <xf numFmtId="5" fontId="14" fillId="6" borderId="0" xfId="50" applyNumberFormat="1" applyFont="1" applyFill="1" applyAlignment="1">
      <alignment vertical="center" wrapText="1"/>
    </xf>
    <xf numFmtId="0" fontId="14" fillId="0" borderId="0" xfId="50" applyFont="1" applyAlignment="1">
      <alignment horizontal="right" vertical="center" indent="1"/>
    </xf>
    <xf numFmtId="0" fontId="14" fillId="0" borderId="0" xfId="0" applyFont="1" applyAlignment="1">
      <alignment horizontal="right" indent="1"/>
    </xf>
    <xf numFmtId="0" fontId="23" fillId="0" borderId="12" xfId="64" quotePrefix="1" applyFont="1" applyBorder="1" applyAlignment="1">
      <alignment horizontal="center" vertical="center"/>
    </xf>
    <xf numFmtId="0" fontId="34" fillId="0" borderId="0" xfId="63" applyFont="1" applyAlignment="1">
      <alignment vertical="center"/>
    </xf>
    <xf numFmtId="0" fontId="34" fillId="0" borderId="0" xfId="63" applyFont="1">
      <alignment horizontal="left" vertical="center"/>
    </xf>
    <xf numFmtId="5" fontId="22" fillId="0" borderId="0" xfId="63" applyNumberFormat="1" applyAlignment="1">
      <alignment horizontal="left" vertical="center" indent="1"/>
    </xf>
    <xf numFmtId="0" fontId="23" fillId="0" borderId="0" xfId="63" applyFont="1" applyAlignment="1">
      <alignment horizontal="center" vertical="center"/>
    </xf>
    <xf numFmtId="0" fontId="98" fillId="6" borderId="0" xfId="0" quotePrefix="1" applyFont="1" applyFill="1" applyAlignment="1">
      <alignment vertical="center"/>
    </xf>
    <xf numFmtId="0" fontId="14" fillId="6" borderId="0" xfId="73" applyFont="1" applyFill="1" applyAlignment="1">
      <alignment horizontal="center" vertical="center"/>
    </xf>
    <xf numFmtId="0" fontId="22" fillId="3" borderId="14" xfId="73" applyFont="1" applyFill="1" applyBorder="1" applyAlignment="1">
      <alignment horizontal="center" vertical="center"/>
    </xf>
    <xf numFmtId="0" fontId="22" fillId="3" borderId="15" xfId="73" applyFont="1" applyFill="1" applyBorder="1" applyAlignment="1">
      <alignment horizontal="center" vertical="center" wrapText="1"/>
    </xf>
    <xf numFmtId="0" fontId="23" fillId="48" borderId="0" xfId="0" applyFont="1" applyFill="1" applyAlignment="1">
      <alignment horizontal="left" vertical="center" wrapText="1"/>
    </xf>
    <xf numFmtId="0" fontId="98" fillId="0" borderId="0" xfId="0" applyFont="1" applyAlignment="1">
      <alignment vertical="center"/>
    </xf>
    <xf numFmtId="0" fontId="34" fillId="56" borderId="43" xfId="0" quotePrefix="1" applyFont="1" applyFill="1" applyBorder="1" applyAlignment="1">
      <alignment horizontal="center" vertical="center"/>
    </xf>
    <xf numFmtId="0" fontId="34" fillId="6" borderId="0" xfId="0" applyFont="1" applyFill="1" applyAlignment="1">
      <alignment horizontal="left" vertical="center" wrapText="1"/>
    </xf>
    <xf numFmtId="0" fontId="55" fillId="6" borderId="0" xfId="0" applyFont="1" applyFill="1" applyAlignment="1">
      <alignment horizontal="left" vertical="center"/>
    </xf>
    <xf numFmtId="0" fontId="55" fillId="0" borderId="0" xfId="0" applyFont="1" applyAlignment="1">
      <alignment horizontal="center" vertical="center"/>
    </xf>
    <xf numFmtId="0" fontId="55" fillId="6" borderId="0" xfId="0" applyFont="1" applyFill="1" applyAlignment="1">
      <alignment horizontal="center" vertical="center"/>
    </xf>
    <xf numFmtId="5" fontId="14" fillId="6" borderId="12" xfId="0" applyNumberFormat="1" applyFont="1" applyFill="1" applyBorder="1" applyAlignment="1">
      <alignment horizontal="center" vertical="center"/>
    </xf>
    <xf numFmtId="1" fontId="14" fillId="6" borderId="0" xfId="0" applyNumberFormat="1" applyFont="1" applyFill="1" applyAlignment="1">
      <alignment horizontal="left" vertical="center"/>
    </xf>
    <xf numFmtId="41" fontId="14" fillId="6" borderId="0" xfId="0" applyNumberFormat="1" applyFont="1" applyFill="1" applyAlignment="1">
      <alignment horizontal="left" vertical="center"/>
    </xf>
    <xf numFmtId="0" fontId="14" fillId="6" borderId="0" xfId="26" applyFont="1" applyFill="1" applyAlignment="1">
      <alignment vertical="center"/>
    </xf>
    <xf numFmtId="5" fontId="14" fillId="6" borderId="0" xfId="0" applyNumberFormat="1" applyFont="1" applyFill="1" applyAlignment="1">
      <alignment horizontal="left" vertical="center"/>
    </xf>
    <xf numFmtId="0" fontId="34" fillId="6" borderId="0" xfId="21" applyFont="1" applyFill="1" applyAlignment="1">
      <alignment horizontal="left" vertical="center"/>
    </xf>
    <xf numFmtId="0" fontId="34" fillId="21" borderId="0" xfId="0" applyFont="1" applyFill="1" applyAlignment="1">
      <alignment horizontal="left" vertical="center"/>
    </xf>
    <xf numFmtId="1" fontId="14" fillId="6" borderId="0" xfId="26" applyNumberFormat="1" applyFont="1" applyFill="1" applyAlignment="1">
      <alignment horizontal="left" vertical="center"/>
    </xf>
    <xf numFmtId="41" fontId="14" fillId="6" borderId="0" xfId="26" applyNumberFormat="1" applyFont="1" applyFill="1" applyAlignment="1">
      <alignment horizontal="left" vertical="center"/>
    </xf>
    <xf numFmtId="0" fontId="22" fillId="6" borderId="0" xfId="73" applyFont="1" applyFill="1" applyAlignment="1">
      <alignment horizontal="center" vertical="center" wrapText="1"/>
    </xf>
    <xf numFmtId="0" fontId="34" fillId="6" borderId="0" xfId="73" applyFont="1" applyFill="1"/>
    <xf numFmtId="170" fontId="14" fillId="0" borderId="64" xfId="73" applyNumberFormat="1" applyFont="1" applyBorder="1" applyAlignment="1">
      <alignment horizontal="left" vertical="center" indent="1"/>
    </xf>
    <xf numFmtId="0" fontId="14" fillId="0" borderId="0" xfId="26" applyFont="1" applyAlignment="1" applyProtection="1">
      <alignment horizontal="center" vertical="center" wrapText="1"/>
      <protection locked="0"/>
    </xf>
    <xf numFmtId="165" fontId="14" fillId="0" borderId="0" xfId="3" applyNumberFormat="1" applyFont="1" applyAlignment="1" applyProtection="1">
      <alignment horizontal="center" vertical="center"/>
      <protection locked="0"/>
    </xf>
    <xf numFmtId="14" fontId="14" fillId="0" borderId="0" xfId="26" applyNumberFormat="1" applyFont="1" applyAlignment="1" applyProtection="1">
      <alignment horizontal="center" vertical="center" shrinkToFit="1"/>
      <protection locked="0"/>
    </xf>
    <xf numFmtId="0" fontId="14" fillId="0" borderId="0" xfId="26" applyFont="1" applyAlignment="1" applyProtection="1">
      <alignment horizontal="center" vertical="center" shrinkToFit="1"/>
      <protection locked="0"/>
    </xf>
    <xf numFmtId="170" fontId="14" fillId="0" borderId="0" xfId="26" applyNumberFormat="1" applyFont="1" applyAlignment="1" applyProtection="1">
      <alignment horizontal="center" vertical="center" shrinkToFit="1"/>
      <protection locked="0"/>
    </xf>
    <xf numFmtId="170" fontId="87" fillId="6" borderId="43" xfId="73" applyNumberFormat="1" applyFont="1" applyFill="1" applyBorder="1" applyAlignment="1">
      <alignment horizontal="center" vertical="center"/>
    </xf>
    <xf numFmtId="0" fontId="15" fillId="0" borderId="0" xfId="8" applyFont="1" applyAlignment="1">
      <alignment vertical="center"/>
    </xf>
    <xf numFmtId="0" fontId="22" fillId="32" borderId="0" xfId="73" applyFont="1" applyFill="1" applyAlignment="1">
      <alignment horizontal="right" vertical="center"/>
    </xf>
    <xf numFmtId="0" fontId="14" fillId="4" borderId="65" xfId="73" applyFont="1" applyFill="1" applyBorder="1" applyAlignment="1" applyProtection="1">
      <alignment horizontal="center" vertical="center"/>
      <protection locked="0"/>
    </xf>
    <xf numFmtId="0" fontId="14" fillId="4" borderId="58" xfId="73" applyFont="1" applyFill="1" applyBorder="1" applyAlignment="1" applyProtection="1">
      <alignment horizontal="center" vertical="center"/>
      <protection locked="0"/>
    </xf>
    <xf numFmtId="0" fontId="14" fillId="4" borderId="68" xfId="73" applyFont="1" applyFill="1" applyBorder="1" applyAlignment="1" applyProtection="1">
      <alignment horizontal="center" vertical="center"/>
      <protection locked="0"/>
    </xf>
    <xf numFmtId="0" fontId="14" fillId="57" borderId="58" xfId="73" applyFont="1" applyFill="1" applyBorder="1" applyAlignment="1">
      <alignment horizontal="center" vertical="center" wrapText="1"/>
    </xf>
    <xf numFmtId="38" fontId="43" fillId="0" borderId="0" xfId="26" applyNumberFormat="1" applyFont="1" applyAlignment="1">
      <alignment vertical="center"/>
    </xf>
    <xf numFmtId="0" fontId="133" fillId="0" borderId="0" xfId="0" applyFont="1" applyAlignment="1">
      <alignment horizontal="center" vertical="center"/>
    </xf>
    <xf numFmtId="10" fontId="14" fillId="0" borderId="0" xfId="73" applyNumberFormat="1" applyFont="1" applyAlignment="1">
      <alignment horizontal="center" vertical="center"/>
    </xf>
    <xf numFmtId="0" fontId="98" fillId="0" borderId="0" xfId="0" quotePrefix="1" applyFont="1" applyAlignment="1">
      <alignment vertical="center" wrapText="1"/>
    </xf>
    <xf numFmtId="0" fontId="14" fillId="6" borderId="0" xfId="73" applyFont="1" applyFill="1"/>
    <xf numFmtId="0" fontId="74" fillId="6" borderId="0" xfId="4" applyFont="1" applyFill="1" applyAlignment="1" applyProtection="1">
      <alignment vertical="center" wrapText="1"/>
    </xf>
    <xf numFmtId="174" fontId="22" fillId="0" borderId="0" xfId="59" applyNumberFormat="1" applyFont="1" applyAlignment="1">
      <alignment horizontal="center" vertical="center" wrapText="1"/>
    </xf>
    <xf numFmtId="174" fontId="135" fillId="62" borderId="69" xfId="0" applyNumberFormat="1" applyFont="1" applyFill="1" applyBorder="1" applyAlignment="1">
      <alignment horizontal="center" vertical="center" shrinkToFit="1"/>
    </xf>
    <xf numFmtId="174" fontId="135" fillId="62" borderId="70" xfId="0" applyNumberFormat="1" applyFont="1" applyFill="1" applyBorder="1" applyAlignment="1">
      <alignment horizontal="center" vertical="center" shrinkToFit="1"/>
    </xf>
    <xf numFmtId="174" fontId="135" fillId="0" borderId="69" xfId="0" applyNumberFormat="1" applyFont="1" applyBorder="1" applyAlignment="1">
      <alignment horizontal="center" vertical="center" shrinkToFit="1"/>
    </xf>
    <xf numFmtId="174" fontId="135" fillId="0" borderId="70" xfId="0" applyNumberFormat="1" applyFont="1" applyBorder="1" applyAlignment="1">
      <alignment horizontal="center" vertical="center" shrinkToFit="1"/>
    </xf>
    <xf numFmtId="170" fontId="14" fillId="6" borderId="0" xfId="0" applyNumberFormat="1" applyFont="1" applyFill="1" applyAlignment="1">
      <alignment vertical="center"/>
    </xf>
    <xf numFmtId="0" fontId="87" fillId="6" borderId="58" xfId="73" applyFont="1" applyFill="1" applyBorder="1" applyAlignment="1">
      <alignment horizontal="center" vertical="center"/>
    </xf>
    <xf numFmtId="0" fontId="136" fillId="0" borderId="0" xfId="26" applyFont="1" applyAlignment="1">
      <alignment horizontal="center" vertical="center" wrapText="1"/>
    </xf>
    <xf numFmtId="0" fontId="133" fillId="0" borderId="0" xfId="8" applyFont="1" applyAlignment="1">
      <alignment horizontal="center" vertical="center"/>
    </xf>
    <xf numFmtId="0" fontId="14" fillId="0" borderId="0" xfId="26" applyFont="1" applyAlignment="1">
      <alignment horizontal="left"/>
    </xf>
    <xf numFmtId="0" fontId="14" fillId="0" borderId="72" xfId="26" applyFont="1" applyBorder="1"/>
    <xf numFmtId="0" fontId="14" fillId="0" borderId="73" xfId="26" applyFont="1" applyBorder="1"/>
    <xf numFmtId="0" fontId="14" fillId="0" borderId="75" xfId="26" applyFont="1" applyBorder="1"/>
    <xf numFmtId="0" fontId="14" fillId="0" borderId="83" xfId="26" applyFont="1" applyBorder="1"/>
    <xf numFmtId="0" fontId="14" fillId="0" borderId="84" xfId="26" applyFont="1" applyBorder="1"/>
    <xf numFmtId="175" fontId="14" fillId="0" borderId="0" xfId="0" applyNumberFormat="1" applyFont="1" applyAlignment="1">
      <alignment vertical="center"/>
    </xf>
    <xf numFmtId="0" fontId="81" fillId="0" borderId="0" xfId="73" applyFont="1" applyAlignment="1">
      <alignment horizontal="center" vertical="center"/>
    </xf>
    <xf numFmtId="0" fontId="68" fillId="0" borderId="0" xfId="73" applyFont="1" applyAlignment="1">
      <alignment horizontal="right" vertical="center"/>
    </xf>
    <xf numFmtId="0" fontId="19" fillId="0" borderId="0" xfId="26" applyFont="1"/>
    <xf numFmtId="169" fontId="9" fillId="0" borderId="0" xfId="26" applyNumberFormat="1" applyFont="1" applyAlignment="1">
      <alignment horizontal="right"/>
    </xf>
    <xf numFmtId="37" fontId="9" fillId="0" borderId="0" xfId="26" applyNumberFormat="1" applyFont="1" applyAlignment="1">
      <alignment horizontal="right"/>
    </xf>
    <xf numFmtId="37" fontId="9" fillId="0" borderId="0" xfId="26" applyNumberFormat="1" applyFont="1"/>
    <xf numFmtId="39" fontId="9" fillId="0" borderId="0" xfId="26" applyNumberFormat="1" applyFont="1" applyAlignment="1">
      <alignment horizontal="left"/>
    </xf>
    <xf numFmtId="37" fontId="9" fillId="0" borderId="0" xfId="26" applyNumberFormat="1" applyFont="1" applyAlignment="1">
      <alignment horizontal="left"/>
    </xf>
    <xf numFmtId="39" fontId="9" fillId="6" borderId="0" xfId="26" applyNumberFormat="1" applyFont="1" applyFill="1" applyAlignment="1">
      <alignment horizontal="center" vertical="center"/>
    </xf>
    <xf numFmtId="0" fontId="9" fillId="0" borderId="71" xfId="26" applyFont="1" applyBorder="1"/>
    <xf numFmtId="0" fontId="9" fillId="0" borderId="72" xfId="26" applyFont="1" applyBorder="1"/>
    <xf numFmtId="0" fontId="9" fillId="0" borderId="78" xfId="26" applyFont="1" applyBorder="1"/>
    <xf numFmtId="0" fontId="9" fillId="0" borderId="82" xfId="26" applyFont="1" applyBorder="1"/>
    <xf numFmtId="0" fontId="9" fillId="0" borderId="83" xfId="26" applyFont="1" applyBorder="1"/>
    <xf numFmtId="0" fontId="9" fillId="0" borderId="83" xfId="26" applyFont="1" applyBorder="1" applyAlignment="1">
      <alignment vertical="center"/>
    </xf>
    <xf numFmtId="164" fontId="9" fillId="0" borderId="0" xfId="53" applyNumberFormat="1" applyFont="1"/>
    <xf numFmtId="164" fontId="9" fillId="0" borderId="0" xfId="53" applyNumberFormat="1" applyFont="1" applyAlignment="1">
      <alignment horizontal="center"/>
    </xf>
    <xf numFmtId="165" fontId="9" fillId="0" borderId="0" xfId="3" applyNumberFormat="1" applyFont="1" applyAlignment="1">
      <alignment horizontal="center"/>
    </xf>
    <xf numFmtId="0" fontId="9" fillId="6" borderId="0" xfId="0" applyFont="1" applyFill="1" applyAlignment="1">
      <alignment horizontal="left" vertical="center"/>
    </xf>
    <xf numFmtId="0" fontId="68" fillId="0" borderId="0" xfId="0" quotePrefix="1" applyFont="1" applyAlignment="1">
      <alignment vertical="center" wrapText="1"/>
    </xf>
    <xf numFmtId="49" fontId="9" fillId="6" borderId="0" xfId="0" applyNumberFormat="1" applyFont="1" applyFill="1"/>
    <xf numFmtId="0" fontId="68" fillId="6" borderId="0" xfId="26" applyFont="1" applyFill="1" applyAlignment="1">
      <alignment vertical="center"/>
    </xf>
    <xf numFmtId="0" fontId="16" fillId="0" borderId="0" xfId="26" applyFont="1" applyAlignment="1">
      <alignment vertical="top"/>
    </xf>
    <xf numFmtId="0" fontId="9" fillId="6" borderId="0" xfId="0" applyFont="1" applyFill="1" applyAlignment="1">
      <alignment vertical="center" wrapText="1"/>
    </xf>
    <xf numFmtId="0" fontId="14" fillId="6" borderId="0" xfId="8" applyFont="1" applyFill="1" applyAlignment="1">
      <alignment horizontal="center" vertical="center"/>
    </xf>
    <xf numFmtId="0" fontId="79" fillId="0" borderId="0" xfId="73" applyFont="1" applyAlignment="1">
      <alignment horizontal="left" vertical="center" wrapText="1" indent="1"/>
    </xf>
    <xf numFmtId="0" fontId="79" fillId="6" borderId="0" xfId="73" applyFont="1" applyFill="1" applyAlignment="1">
      <alignment vertical="center"/>
    </xf>
    <xf numFmtId="0" fontId="79" fillId="0" borderId="0" xfId="73" applyFont="1"/>
    <xf numFmtId="0" fontId="22" fillId="0" borderId="3" xfId="8" applyBorder="1">
      <alignment horizontal="left" vertical="center"/>
    </xf>
    <xf numFmtId="0" fontId="22" fillId="6" borderId="3" xfId="8" applyFill="1" applyBorder="1" applyAlignment="1">
      <alignment vertical="center"/>
    </xf>
    <xf numFmtId="0" fontId="14" fillId="6" borderId="0" xfId="73" applyFont="1" applyFill="1" applyAlignment="1">
      <alignment horizontal="left" vertical="center" indent="1"/>
    </xf>
    <xf numFmtId="0" fontId="22" fillId="6" borderId="0" xfId="73" applyFont="1" applyFill="1" applyAlignment="1">
      <alignment vertical="center"/>
    </xf>
    <xf numFmtId="0" fontId="49" fillId="6" borderId="0" xfId="73" applyFont="1" applyFill="1" applyAlignment="1">
      <alignment vertical="center" wrapText="1"/>
    </xf>
    <xf numFmtId="0" fontId="22" fillId="0" borderId="21" xfId="8" applyBorder="1">
      <alignment horizontal="left" vertical="center"/>
    </xf>
    <xf numFmtId="0" fontId="22" fillId="0" borderId="21" xfId="73" applyFont="1" applyBorder="1" applyAlignment="1">
      <alignment vertical="center"/>
    </xf>
    <xf numFmtId="0" fontId="22" fillId="6" borderId="21" xfId="73" applyFont="1" applyFill="1" applyBorder="1"/>
    <xf numFmtId="0" fontId="22" fillId="0" borderId="0" xfId="8" applyAlignment="1"/>
    <xf numFmtId="0" fontId="22" fillId="0" borderId="3" xfId="73" applyFont="1" applyBorder="1" applyAlignment="1">
      <alignment vertical="center"/>
    </xf>
    <xf numFmtId="0" fontId="22" fillId="6" borderId="3" xfId="73" applyFont="1" applyFill="1" applyBorder="1"/>
    <xf numFmtId="0" fontId="98" fillId="0" borderId="0" xfId="8" applyFont="1" applyAlignment="1">
      <alignment horizontal="center" vertical="center"/>
    </xf>
    <xf numFmtId="0" fontId="22" fillId="6" borderId="11" xfId="8" applyFill="1" applyBorder="1" applyAlignment="1">
      <alignment vertical="center"/>
    </xf>
    <xf numFmtId="0" fontId="22" fillId="6" borderId="0" xfId="45" applyFill="1" applyBorder="1" applyAlignment="1">
      <alignment vertical="center" wrapText="1"/>
    </xf>
    <xf numFmtId="0" fontId="14" fillId="0" borderId="24" xfId="8" applyFont="1" applyBorder="1" applyAlignment="1">
      <alignment horizontal="center" vertical="center"/>
    </xf>
    <xf numFmtId="0" fontId="79" fillId="0" borderId="0" xfId="0" applyFont="1" applyAlignment="1">
      <alignment horizontal="left" vertical="center"/>
    </xf>
    <xf numFmtId="0" fontId="79" fillId="0" borderId="24" xfId="0" applyFont="1" applyBorder="1" applyAlignment="1">
      <alignment horizontal="center" vertical="center"/>
    </xf>
    <xf numFmtId="0" fontId="5" fillId="0" borderId="0" xfId="0" applyFont="1" applyAlignment="1">
      <alignment horizontal="left" vertical="center"/>
    </xf>
    <xf numFmtId="0" fontId="49" fillId="6" borderId="0" xfId="0" applyFont="1" applyFill="1" applyAlignment="1">
      <alignment horizontal="center" wrapText="1"/>
    </xf>
    <xf numFmtId="0" fontId="55" fillId="0" borderId="0" xfId="8" applyFont="1" applyAlignment="1">
      <alignment horizontal="center" vertical="center" wrapText="1"/>
    </xf>
    <xf numFmtId="0" fontId="22" fillId="6" borderId="0" xfId="45" applyFill="1" applyBorder="1" applyAlignment="1">
      <alignment horizontal="left" vertical="center" wrapText="1" indent="1"/>
    </xf>
    <xf numFmtId="0" fontId="46" fillId="6" borderId="0" xfId="45" applyFont="1" applyFill="1" applyBorder="1" applyAlignment="1">
      <alignment horizontal="right" vertical="center" wrapText="1" indent="1"/>
    </xf>
    <xf numFmtId="0" fontId="22" fillId="6" borderId="0" xfId="45" applyFill="1" applyBorder="1" applyAlignment="1">
      <alignment horizontal="right" vertical="center" wrapText="1" indent="1"/>
    </xf>
    <xf numFmtId="2" fontId="22" fillId="0" borderId="0" xfId="45" applyNumberFormat="1" applyFill="1" applyBorder="1" applyAlignment="1">
      <alignment horizontal="center" vertical="center" wrapText="1"/>
    </xf>
    <xf numFmtId="0" fontId="22" fillId="0" borderId="0" xfId="45" applyFill="1" applyBorder="1" applyAlignment="1">
      <alignment horizontal="center" vertical="center" wrapText="1"/>
    </xf>
    <xf numFmtId="0" fontId="14" fillId="6" borderId="0" xfId="0" quotePrefix="1" applyFont="1" applyFill="1" applyAlignment="1">
      <alignment horizontal="center" vertical="center" wrapText="1"/>
    </xf>
    <xf numFmtId="0" fontId="82" fillId="6" borderId="0" xfId="0" applyFont="1" applyFill="1" applyAlignment="1">
      <alignment horizontal="right" vertical="center" indent="1"/>
    </xf>
    <xf numFmtId="0" fontId="22" fillId="6" borderId="0" xfId="0" applyFont="1" applyFill="1" applyAlignment="1">
      <alignment horizontal="right" vertical="center" indent="1"/>
    </xf>
    <xf numFmtId="0" fontId="61" fillId="6" borderId="24" xfId="0" applyFont="1" applyFill="1" applyBorder="1" applyAlignment="1">
      <alignment horizontal="center" vertical="center"/>
    </xf>
    <xf numFmtId="0" fontId="61" fillId="6" borderId="0" xfId="0" applyFont="1" applyFill="1" applyAlignment="1">
      <alignment horizontal="center" vertical="center"/>
    </xf>
    <xf numFmtId="0" fontId="14" fillId="0" borderId="0" xfId="8" quotePrefix="1" applyFont="1">
      <alignment horizontal="left" vertical="center"/>
    </xf>
    <xf numFmtId="0" fontId="14" fillId="6" borderId="24" xfId="0" applyFont="1" applyFill="1" applyBorder="1" applyAlignment="1">
      <alignment vertical="center"/>
    </xf>
    <xf numFmtId="0" fontId="14" fillId="6" borderId="24" xfId="51" applyFont="1" applyFill="1" applyBorder="1" applyAlignment="1">
      <alignment vertical="center"/>
    </xf>
    <xf numFmtId="0" fontId="14" fillId="6" borderId="0" xfId="51" applyFont="1" applyFill="1" applyAlignment="1">
      <alignment vertical="center"/>
    </xf>
    <xf numFmtId="0" fontId="14" fillId="6" borderId="0" xfId="19" applyFont="1" applyFill="1" applyBorder="1" applyAlignment="1">
      <alignment vertical="center" wrapText="1"/>
    </xf>
    <xf numFmtId="0" fontId="14" fillId="6" borderId="24" xfId="19" applyFont="1" applyFill="1" applyBorder="1" applyAlignment="1">
      <alignment vertical="center" wrapText="1"/>
    </xf>
    <xf numFmtId="0" fontId="34" fillId="6" borderId="0" xfId="19" applyFont="1" applyFill="1" applyBorder="1" applyAlignment="1">
      <alignment vertical="center" wrapText="1"/>
    </xf>
    <xf numFmtId="0" fontId="79" fillId="0" borderId="0" xfId="0" applyFont="1" applyAlignment="1">
      <alignment vertical="center"/>
    </xf>
    <xf numFmtId="0" fontId="79" fillId="0" borderId="0" xfId="0" applyFont="1" applyAlignment="1">
      <alignment horizontal="center" vertical="center"/>
    </xf>
    <xf numFmtId="170" fontId="68" fillId="45" borderId="0" xfId="50" applyNumberFormat="1" applyFont="1" applyFill="1" applyAlignment="1">
      <alignment horizontal="left" vertical="center" wrapText="1"/>
    </xf>
    <xf numFmtId="0" fontId="124" fillId="0" borderId="0" xfId="0" applyFont="1" applyAlignment="1">
      <alignment vertical="center"/>
    </xf>
    <xf numFmtId="0" fontId="14" fillId="4" borderId="85" xfId="73" applyFont="1" applyFill="1" applyBorder="1" applyAlignment="1" applyProtection="1">
      <alignment horizontal="center" vertical="center"/>
      <protection locked="0"/>
    </xf>
    <xf numFmtId="0" fontId="14" fillId="0" borderId="0" xfId="35" applyFont="1" applyAlignment="1">
      <alignment vertical="top" wrapText="1"/>
    </xf>
    <xf numFmtId="6" fontId="65" fillId="0" borderId="0" xfId="26" quotePrefix="1" applyNumberFormat="1" applyFont="1" applyAlignment="1">
      <alignment horizontal="left" vertical="center" indent="1" shrinkToFit="1"/>
    </xf>
    <xf numFmtId="164" fontId="0" fillId="0" borderId="0" xfId="192" applyNumberFormat="1" applyFont="1"/>
    <xf numFmtId="0" fontId="14" fillId="0" borderId="0" xfId="0" quotePrefix="1" applyFont="1" applyAlignment="1">
      <alignment vertical="center" wrapText="1"/>
    </xf>
    <xf numFmtId="0" fontId="22" fillId="0" borderId="0" xfId="12" applyFill="1" applyBorder="1" applyAlignment="1">
      <alignment horizontal="left" vertical="center" wrapText="1" indent="1"/>
    </xf>
    <xf numFmtId="38" fontId="43" fillId="0" borderId="0" xfId="26" quotePrefix="1" applyNumberFormat="1" applyFont="1" applyAlignment="1">
      <alignment vertical="center"/>
    </xf>
    <xf numFmtId="170" fontId="14" fillId="0" borderId="12" xfId="26" applyNumberFormat="1" applyFont="1" applyBorder="1" applyAlignment="1">
      <alignment horizontal="right" vertical="center"/>
    </xf>
    <xf numFmtId="0" fontId="22" fillId="0" borderId="0" xfId="57" quotePrefix="1" applyFont="1"/>
    <xf numFmtId="0" fontId="0" fillId="6" borderId="0" xfId="0" applyFill="1" applyAlignment="1">
      <alignment horizontal="left" vertical="center"/>
    </xf>
    <xf numFmtId="0" fontId="0" fillId="0" borderId="0" xfId="0" applyAlignment="1" applyProtection="1">
      <alignment vertical="center"/>
      <protection locked="0"/>
    </xf>
    <xf numFmtId="0" fontId="34" fillId="6" borderId="24" xfId="26" applyFont="1" applyFill="1" applyBorder="1" applyAlignment="1">
      <alignment vertical="center"/>
    </xf>
    <xf numFmtId="0" fontId="14" fillId="6" borderId="24" xfId="26" applyFont="1" applyFill="1" applyBorder="1"/>
    <xf numFmtId="0" fontId="14" fillId="6" borderId="24" xfId="26" applyFont="1" applyFill="1" applyBorder="1" applyAlignment="1">
      <alignment vertical="center"/>
    </xf>
    <xf numFmtId="0" fontId="9" fillId="6" borderId="24" xfId="26" applyFont="1" applyFill="1" applyBorder="1" applyAlignment="1">
      <alignment horizontal="center" vertical="center"/>
    </xf>
    <xf numFmtId="0" fontId="34" fillId="0" borderId="0" xfId="60" applyFont="1" applyAlignment="1">
      <alignment horizontal="center" vertical="center"/>
    </xf>
    <xf numFmtId="0" fontId="22" fillId="6" borderId="0" xfId="0" applyFont="1" applyFill="1" applyAlignment="1">
      <alignment vertical="center" wrapText="1"/>
    </xf>
    <xf numFmtId="0" fontId="14" fillId="0" borderId="0" xfId="0" applyFont="1" applyAlignment="1">
      <alignment horizontal="left" vertical="center" indent="1"/>
    </xf>
    <xf numFmtId="0" fontId="45" fillId="0" borderId="0" xfId="8" applyFont="1">
      <alignment horizontal="left" vertical="center"/>
    </xf>
    <xf numFmtId="0" fontId="22" fillId="0" borderId="12" xfId="8" applyBorder="1">
      <alignment horizontal="left" vertical="center"/>
    </xf>
    <xf numFmtId="0" fontId="14" fillId="6" borderId="0" xfId="0" applyFont="1" applyFill="1" applyAlignment="1">
      <alignment vertical="center" wrapText="1"/>
    </xf>
    <xf numFmtId="0" fontId="22" fillId="0" borderId="20" xfId="73" applyFont="1" applyBorder="1" applyAlignment="1">
      <alignment horizontal="center" vertical="center"/>
    </xf>
    <xf numFmtId="0" fontId="22" fillId="0" borderId="21" xfId="73" applyFont="1" applyBorder="1" applyAlignment="1">
      <alignment horizontal="center" vertical="center"/>
    </xf>
    <xf numFmtId="0" fontId="22" fillId="0" borderId="22" xfId="73" applyFont="1" applyBorder="1" applyAlignment="1">
      <alignment horizontal="center" vertical="center"/>
    </xf>
    <xf numFmtId="0" fontId="23" fillId="0" borderId="0" xfId="73" applyFont="1" applyAlignment="1">
      <alignment horizontal="center" vertical="center"/>
    </xf>
    <xf numFmtId="0" fontId="22" fillId="0" borderId="0" xfId="50" applyFont="1" applyAlignment="1">
      <alignment horizontal="center" vertical="center"/>
    </xf>
    <xf numFmtId="170" fontId="14" fillId="0" borderId="0" xfId="50" applyNumberFormat="1" applyFont="1" applyAlignment="1">
      <alignment horizontal="left" vertical="center" indent="1"/>
    </xf>
    <xf numFmtId="37" fontId="9" fillId="0" borderId="0" xfId="26" applyNumberFormat="1" applyFont="1" applyAlignment="1">
      <alignment vertical="center" wrapText="1"/>
    </xf>
    <xf numFmtId="0" fontId="22" fillId="0" borderId="24" xfId="26" applyFont="1" applyBorder="1" applyAlignment="1">
      <alignment horizontal="left" vertical="top" wrapText="1"/>
    </xf>
    <xf numFmtId="0" fontId="49" fillId="0" borderId="0" xfId="0" applyFont="1" applyAlignment="1">
      <alignment horizontal="left" vertical="center" wrapText="1"/>
    </xf>
    <xf numFmtId="0" fontId="68" fillId="6" borderId="0" xfId="0" quotePrefix="1" applyFont="1" applyFill="1" applyAlignment="1">
      <alignment horizontal="center" vertical="center" wrapText="1"/>
    </xf>
    <xf numFmtId="0" fontId="14" fillId="6" borderId="43" xfId="19" applyFont="1" applyFill="1" applyBorder="1" applyAlignment="1">
      <alignment vertical="center" wrapText="1"/>
    </xf>
    <xf numFmtId="0" fontId="23" fillId="6" borderId="43" xfId="8" applyFont="1" applyFill="1" applyBorder="1" applyAlignment="1">
      <alignment horizontal="center" vertical="center" wrapText="1"/>
    </xf>
    <xf numFmtId="0" fontId="23" fillId="6" borderId="43" xfId="8" applyFont="1" applyFill="1" applyBorder="1" applyAlignment="1">
      <alignment horizontal="center" vertical="center"/>
    </xf>
    <xf numFmtId="0" fontId="22" fillId="0" borderId="43" xfId="73" applyFont="1" applyBorder="1" applyAlignment="1">
      <alignment horizontal="center" vertical="center"/>
    </xf>
    <xf numFmtId="0" fontId="14" fillId="6" borderId="43" xfId="26" applyFont="1" applyFill="1" applyBorder="1" applyAlignment="1">
      <alignment horizontal="center" vertical="center" textRotation="90" wrapText="1"/>
    </xf>
    <xf numFmtId="0" fontId="14" fillId="6" borderId="43" xfId="26" applyFont="1" applyFill="1" applyBorder="1" applyAlignment="1">
      <alignment horizontal="center" vertical="center" wrapText="1"/>
    </xf>
    <xf numFmtId="0" fontId="14" fillId="4" borderId="43" xfId="26" applyFont="1" applyFill="1" applyBorder="1" applyAlignment="1" applyProtection="1">
      <alignment horizontal="left" vertical="center" wrapText="1" indent="1"/>
      <protection locked="0"/>
    </xf>
    <xf numFmtId="6" fontId="65" fillId="4" borderId="43" xfId="26" applyNumberFormat="1" applyFont="1" applyFill="1" applyBorder="1" applyAlignment="1" applyProtection="1">
      <alignment horizontal="left" vertical="center" indent="1" shrinkToFit="1"/>
      <protection locked="0"/>
    </xf>
    <xf numFmtId="0" fontId="14" fillId="0" borderId="43" xfId="26" applyFont="1" applyBorder="1" applyAlignment="1">
      <alignment horizontal="center" vertical="center"/>
    </xf>
    <xf numFmtId="0" fontId="14" fillId="0" borderId="43" xfId="26" applyFont="1" applyBorder="1" applyAlignment="1">
      <alignment horizontal="left" vertical="center" indent="1"/>
    </xf>
    <xf numFmtId="6" fontId="14" fillId="4" borderId="43" xfId="26" applyNumberFormat="1" applyFont="1" applyFill="1" applyBorder="1" applyAlignment="1" applyProtection="1">
      <alignment horizontal="left" vertical="center" indent="1" shrinkToFit="1"/>
      <protection locked="0"/>
    </xf>
    <xf numFmtId="6" fontId="14" fillId="0" borderId="43" xfId="26" applyNumberFormat="1" applyFont="1" applyBorder="1" applyAlignment="1">
      <alignment horizontal="left" vertical="center" indent="1" shrinkToFit="1"/>
    </xf>
    <xf numFmtId="0" fontId="22" fillId="0" borderId="43" xfId="26" applyFont="1" applyBorder="1" applyAlignment="1">
      <alignment vertical="center"/>
    </xf>
    <xf numFmtId="0" fontId="22" fillId="0" borderId="43" xfId="26" applyFont="1" applyBorder="1" applyAlignment="1">
      <alignment horizontal="left" vertical="top" wrapText="1"/>
    </xf>
    <xf numFmtId="0" fontId="22" fillId="0" borderId="43" xfId="0" applyFont="1" applyBorder="1" applyAlignment="1">
      <alignment horizontal="left" vertical="center"/>
    </xf>
    <xf numFmtId="0" fontId="22" fillId="6" borderId="43" xfId="8" applyFill="1" applyBorder="1" applyAlignment="1">
      <alignment vertical="center"/>
    </xf>
    <xf numFmtId="0" fontId="22" fillId="0" borderId="43" xfId="8" applyBorder="1" applyAlignment="1">
      <alignment vertical="center"/>
    </xf>
    <xf numFmtId="0" fontId="45" fillId="6" borderId="43" xfId="0" applyFont="1" applyFill="1" applyBorder="1" applyAlignment="1">
      <alignment vertical="center"/>
    </xf>
    <xf numFmtId="0" fontId="22" fillId="26" borderId="12" xfId="0" applyFont="1" applyFill="1" applyBorder="1" applyAlignment="1">
      <alignment horizontal="center" vertical="center"/>
    </xf>
    <xf numFmtId="0" fontId="22" fillId="6" borderId="24" xfId="0" applyFont="1" applyFill="1" applyBorder="1" applyAlignment="1">
      <alignment horizontal="center" vertical="center"/>
    </xf>
    <xf numFmtId="0" fontId="22" fillId="26" borderId="24" xfId="0" applyFont="1" applyFill="1" applyBorder="1" applyAlignment="1">
      <alignment horizontal="center" vertical="center"/>
    </xf>
    <xf numFmtId="0" fontId="22" fillId="26" borderId="0" xfId="0" applyFont="1" applyFill="1" applyAlignment="1">
      <alignment horizontal="center" vertical="center"/>
    </xf>
    <xf numFmtId="0" fontId="101" fillId="0" borderId="0" xfId="0" quotePrefix="1" applyFont="1" applyAlignment="1">
      <alignment horizontal="left" vertical="center" wrapText="1"/>
    </xf>
    <xf numFmtId="0" fontId="141" fillId="0" borderId="0" xfId="0" applyFont="1" applyAlignment="1">
      <alignment vertical="center"/>
    </xf>
    <xf numFmtId="0" fontId="140" fillId="0" borderId="0" xfId="8" applyFont="1" applyAlignment="1">
      <alignment horizontal="center" vertical="center"/>
    </xf>
    <xf numFmtId="0" fontId="119" fillId="0" borderId="0" xfId="0" quotePrefix="1" applyFont="1" applyAlignment="1">
      <alignment horizontal="left" vertical="center"/>
    </xf>
    <xf numFmtId="0" fontId="45" fillId="0" borderId="0" xfId="0" applyFont="1" applyAlignment="1">
      <alignment horizontal="center" vertical="center" wrapText="1"/>
    </xf>
    <xf numFmtId="0" fontId="112" fillId="0" borderId="0" xfId="8" applyFont="1" applyAlignment="1">
      <alignment horizontal="center" vertical="center"/>
    </xf>
    <xf numFmtId="0" fontId="28" fillId="0" borderId="0" xfId="8" applyFont="1" applyAlignment="1">
      <alignment horizontal="center" vertical="center"/>
    </xf>
    <xf numFmtId="0" fontId="14" fillId="57" borderId="86" xfId="73" applyFont="1" applyFill="1" applyBorder="1" applyAlignment="1">
      <alignment horizontal="center" vertical="center" wrapText="1"/>
    </xf>
    <xf numFmtId="0" fontId="34" fillId="6" borderId="3" xfId="73" applyFont="1" applyFill="1" applyBorder="1"/>
    <xf numFmtId="0" fontId="81" fillId="0" borderId="35" xfId="73" applyFont="1" applyBorder="1" applyAlignment="1">
      <alignment vertical="center" wrapText="1"/>
    </xf>
    <xf numFmtId="0" fontId="0" fillId="6" borderId="0" xfId="0" applyFill="1" applyAlignment="1">
      <alignment horizontal="center" vertical="center"/>
    </xf>
    <xf numFmtId="0" fontId="0" fillId="6" borderId="0" xfId="0" applyFill="1" applyAlignment="1">
      <alignment vertical="top"/>
    </xf>
    <xf numFmtId="0" fontId="9" fillId="6" borderId="0" xfId="0" applyFont="1" applyFill="1" applyAlignment="1">
      <alignment horizontal="center" vertical="center"/>
    </xf>
    <xf numFmtId="0" fontId="9" fillId="6" borderId="0" xfId="0" applyFont="1" applyFill="1" applyAlignment="1">
      <alignment horizontal="center" vertical="center" wrapText="1"/>
    </xf>
    <xf numFmtId="0" fontId="68" fillId="6" borderId="0" xfId="73" applyFont="1" applyFill="1" applyAlignment="1">
      <alignment vertical="center" wrapText="1"/>
    </xf>
    <xf numFmtId="0" fontId="14" fillId="6" borderId="0" xfId="73" applyFont="1" applyFill="1" applyAlignment="1" applyProtection="1">
      <alignment vertical="center" wrapText="1"/>
      <protection locked="0"/>
    </xf>
    <xf numFmtId="0" fontId="0" fillId="13" borderId="0" xfId="0" applyFill="1" applyAlignment="1">
      <alignment vertical="center"/>
    </xf>
    <xf numFmtId="0" fontId="22" fillId="0" borderId="0" xfId="8" applyAlignment="1">
      <alignment horizontal="right" vertical="center"/>
    </xf>
    <xf numFmtId="170" fontId="14" fillId="0" borderId="0" xfId="73" applyNumberFormat="1" applyFont="1" applyAlignment="1">
      <alignment horizontal="left" vertical="center"/>
    </xf>
    <xf numFmtId="170" fontId="14" fillId="6" borderId="0" xfId="73" applyNumberFormat="1" applyFont="1" applyFill="1" applyAlignment="1">
      <alignment horizontal="center" vertical="center"/>
    </xf>
    <xf numFmtId="0" fontId="22" fillId="6" borderId="0" xfId="8" applyFill="1" applyAlignment="1" applyProtection="1">
      <alignment vertical="center"/>
      <protection locked="0"/>
    </xf>
    <xf numFmtId="14" fontId="14" fillId="0" borderId="0" xfId="26" applyNumberFormat="1" applyFont="1" applyAlignment="1" applyProtection="1">
      <alignment horizontal="center" vertical="center"/>
      <protection locked="0"/>
    </xf>
    <xf numFmtId="0" fontId="14" fillId="0" borderId="0" xfId="26" applyFont="1" applyAlignment="1" applyProtection="1">
      <alignment horizontal="left" vertical="center" wrapText="1" indent="1" shrinkToFit="1"/>
      <protection locked="0"/>
    </xf>
    <xf numFmtId="170" fontId="87" fillId="6" borderId="24" xfId="73" applyNumberFormat="1" applyFont="1" applyFill="1" applyBorder="1" applyAlignment="1">
      <alignment horizontal="center" vertical="center"/>
    </xf>
    <xf numFmtId="170" fontId="68" fillId="6" borderId="24" xfId="57" applyNumberFormat="1" applyFont="1" applyFill="1" applyBorder="1" applyAlignment="1">
      <alignment horizontal="left" vertical="center" wrapText="1" indent="1"/>
    </xf>
    <xf numFmtId="170" fontId="14" fillId="0" borderId="24" xfId="50" applyNumberFormat="1" applyFont="1" applyBorder="1" applyAlignment="1">
      <alignment horizontal="right" vertical="center" wrapText="1"/>
    </xf>
    <xf numFmtId="170" fontId="34" fillId="0" borderId="24" xfId="50" applyNumberFormat="1" applyFont="1" applyBorder="1" applyAlignment="1">
      <alignment horizontal="right" vertical="center" wrapText="1"/>
    </xf>
    <xf numFmtId="170" fontId="34" fillId="6" borderId="24" xfId="50" applyNumberFormat="1" applyFont="1" applyFill="1" applyBorder="1" applyAlignment="1">
      <alignment horizontal="right" vertical="center" wrapText="1"/>
    </xf>
    <xf numFmtId="0" fontId="14" fillId="0" borderId="24" xfId="147" applyFont="1" applyBorder="1" applyAlignment="1">
      <alignment horizontal="center" vertical="center" wrapText="1"/>
    </xf>
    <xf numFmtId="0" fontId="22" fillId="13" borderId="0" xfId="0" applyFont="1" applyFill="1" applyAlignment="1">
      <alignment vertical="center"/>
    </xf>
    <xf numFmtId="0" fontId="22" fillId="13" borderId="0" xfId="0" applyFont="1" applyFill="1" applyAlignment="1">
      <alignment horizontal="left" vertical="center"/>
    </xf>
    <xf numFmtId="0" fontId="22" fillId="0" borderId="87" xfId="8" applyBorder="1" applyAlignment="1">
      <alignment vertical="center"/>
    </xf>
    <xf numFmtId="0" fontId="22" fillId="0" borderId="89" xfId="8" applyBorder="1" applyAlignment="1">
      <alignment vertical="center"/>
    </xf>
    <xf numFmtId="0" fontId="14" fillId="0" borderId="90" xfId="0" applyFont="1" applyBorder="1" applyAlignment="1">
      <alignment vertical="center"/>
    </xf>
    <xf numFmtId="0" fontId="14" fillId="0" borderId="89" xfId="8" applyFont="1" applyBorder="1" applyAlignment="1">
      <alignment vertical="center"/>
    </xf>
    <xf numFmtId="0" fontId="56" fillId="0" borderId="0" xfId="8" applyFont="1">
      <alignment horizontal="left" vertical="center"/>
    </xf>
    <xf numFmtId="0" fontId="14" fillId="0" borderId="90" xfId="0" applyFont="1" applyBorder="1" applyAlignment="1">
      <alignment vertical="center" wrapText="1"/>
    </xf>
    <xf numFmtId="0" fontId="22" fillId="4" borderId="12" xfId="73" applyFont="1" applyFill="1" applyBorder="1" applyAlignment="1">
      <alignment horizontal="center" vertical="center" textRotation="90" wrapText="1"/>
    </xf>
    <xf numFmtId="0" fontId="9" fillId="0" borderId="0" xfId="205"/>
    <xf numFmtId="0" fontId="9" fillId="0" borderId="24" xfId="205" applyBorder="1"/>
    <xf numFmtId="0" fontId="12" fillId="0" borderId="24" xfId="205" applyFont="1" applyBorder="1"/>
    <xf numFmtId="0" fontId="12" fillId="0" borderId="0" xfId="205" applyFont="1"/>
    <xf numFmtId="0" fontId="9" fillId="0" borderId="132" xfId="205" applyBorder="1" applyAlignment="1">
      <alignment vertical="top" wrapText="1"/>
    </xf>
    <xf numFmtId="174" fontId="9" fillId="4" borderId="132" xfId="205" applyNumberFormat="1" applyFill="1" applyBorder="1" applyAlignment="1">
      <alignment vertical="top" wrapText="1"/>
    </xf>
    <xf numFmtId="0" fontId="9" fillId="4" borderId="127" xfId="205" applyFill="1" applyBorder="1"/>
    <xf numFmtId="174" fontId="9" fillId="4" borderId="134" xfId="205" applyNumberFormat="1" applyFill="1" applyBorder="1"/>
    <xf numFmtId="2" fontId="9" fillId="4" borderId="134" xfId="205" applyNumberFormat="1" applyFill="1" applyBorder="1"/>
    <xf numFmtId="174" fontId="9" fillId="70" borderId="134" xfId="205" applyNumberFormat="1" applyFill="1" applyBorder="1"/>
    <xf numFmtId="174" fontId="9" fillId="70" borderId="114" xfId="205" applyNumberFormat="1" applyFill="1" applyBorder="1"/>
    <xf numFmtId="170" fontId="9" fillId="4" borderId="134" xfId="205" applyNumberFormat="1" applyFill="1" applyBorder="1"/>
    <xf numFmtId="0" fontId="9" fillId="4" borderId="132" xfId="205" applyFill="1" applyBorder="1" applyAlignment="1">
      <alignment vertical="top" wrapText="1"/>
    </xf>
    <xf numFmtId="0" fontId="148" fillId="0" borderId="0" xfId="205" applyFont="1"/>
    <xf numFmtId="2" fontId="9" fillId="37" borderId="134" xfId="205" applyNumberFormat="1" applyFill="1" applyBorder="1"/>
    <xf numFmtId="174" fontId="9" fillId="37" borderId="134" xfId="205" applyNumberFormat="1" applyFill="1" applyBorder="1"/>
    <xf numFmtId="170" fontId="9" fillId="37" borderId="134" xfId="205" applyNumberFormat="1" applyFill="1" applyBorder="1"/>
    <xf numFmtId="174" fontId="9" fillId="37" borderId="127" xfId="205" applyNumberFormat="1" applyFill="1" applyBorder="1"/>
    <xf numFmtId="0" fontId="12" fillId="65" borderId="135" xfId="205" applyFont="1" applyFill="1" applyBorder="1" applyAlignment="1">
      <alignment horizontal="center" vertical="center" wrapText="1"/>
    </xf>
    <xf numFmtId="0" fontId="12" fillId="0" borderId="136" xfId="205" applyFont="1" applyBorder="1" applyAlignment="1">
      <alignment vertical="center" wrapText="1"/>
    </xf>
    <xf numFmtId="0" fontId="12" fillId="0" borderId="137" xfId="205" applyFont="1" applyBorder="1" applyAlignment="1">
      <alignment horizontal="center" vertical="center" wrapText="1"/>
    </xf>
    <xf numFmtId="0" fontId="9" fillId="0" borderId="139" xfId="205" applyBorder="1" applyAlignment="1">
      <alignment vertical="top" wrapText="1"/>
    </xf>
    <xf numFmtId="0" fontId="9" fillId="0" borderId="141" xfId="205" applyBorder="1" applyAlignment="1">
      <alignment vertical="top" wrapText="1"/>
    </xf>
    <xf numFmtId="0" fontId="9" fillId="0" borderId="142" xfId="205" applyBorder="1" applyAlignment="1">
      <alignment vertical="top" wrapText="1"/>
    </xf>
    <xf numFmtId="0" fontId="15" fillId="0" borderId="143" xfId="205" applyFont="1" applyBorder="1" applyAlignment="1">
      <alignment vertical="center" wrapText="1"/>
    </xf>
    <xf numFmtId="0" fontId="9" fillId="37" borderId="127" xfId="205" applyFill="1" applyBorder="1"/>
    <xf numFmtId="0" fontId="9" fillId="0" borderId="0" xfId="205" applyAlignment="1">
      <alignment horizontal="right"/>
    </xf>
    <xf numFmtId="174" fontId="9" fillId="4" borderId="145" xfId="205" applyNumberFormat="1" applyFill="1" applyBorder="1"/>
    <xf numFmtId="0" fontId="27" fillId="0" borderId="112" xfId="73" applyFont="1" applyBorder="1" applyAlignment="1">
      <alignment horizontal="right" vertical="center"/>
    </xf>
    <xf numFmtId="0" fontId="9" fillId="0" borderId="92" xfId="205" applyBorder="1" applyAlignment="1">
      <alignment horizontal="center"/>
    </xf>
    <xf numFmtId="0" fontId="9" fillId="0" borderId="127" xfId="205" applyBorder="1" applyAlignment="1">
      <alignment horizontal="center"/>
    </xf>
    <xf numFmtId="10" fontId="9" fillId="48" borderId="127" xfId="205" applyNumberFormat="1" applyFill="1" applyBorder="1"/>
    <xf numFmtId="0" fontId="9" fillId="48" borderId="0" xfId="205" applyFill="1" applyAlignment="1">
      <alignment horizontal="center"/>
    </xf>
    <xf numFmtId="0" fontId="22" fillId="44" borderId="127" xfId="8" applyFill="1" applyBorder="1" applyAlignment="1">
      <alignment horizontal="center" vertical="center"/>
    </xf>
    <xf numFmtId="0" fontId="22" fillId="37" borderId="127" xfId="8" applyFill="1" applyBorder="1" applyAlignment="1">
      <alignment horizontal="center" vertical="center"/>
    </xf>
    <xf numFmtId="2" fontId="22" fillId="37" borderId="127" xfId="8" applyNumberFormat="1" applyFill="1" applyBorder="1" applyAlignment="1">
      <alignment horizontal="center" vertical="center"/>
    </xf>
    <xf numFmtId="0" fontId="23" fillId="0" borderId="131" xfId="8" applyFont="1" applyBorder="1" applyAlignment="1">
      <alignment horizontal="center" vertical="center"/>
    </xf>
    <xf numFmtId="0" fontId="23" fillId="0" borderId="39" xfId="8" applyFont="1" applyBorder="1" applyAlignment="1">
      <alignment horizontal="center" vertical="center"/>
    </xf>
    <xf numFmtId="0" fontId="22" fillId="0" borderId="90" xfId="8" applyBorder="1">
      <alignment horizontal="left" vertical="center"/>
    </xf>
    <xf numFmtId="174" fontId="9" fillId="37" borderId="145" xfId="205" applyNumberFormat="1" applyFill="1" applyBorder="1"/>
    <xf numFmtId="10" fontId="9" fillId="48" borderId="114" xfId="205" applyNumberFormat="1" applyFill="1" applyBorder="1"/>
    <xf numFmtId="0" fontId="9" fillId="48" borderId="127" xfId="205" applyFill="1" applyBorder="1"/>
    <xf numFmtId="0" fontId="68" fillId="0" borderId="0" xfId="0" applyFont="1" applyAlignment="1">
      <alignment horizontal="left" vertical="center"/>
    </xf>
    <xf numFmtId="0" fontId="85" fillId="0" borderId="0" xfId="0" applyFont="1" applyAlignment="1">
      <alignment horizontal="left" vertical="center"/>
    </xf>
    <xf numFmtId="0" fontId="46" fillId="0" borderId="0" xfId="0" applyFont="1" applyAlignment="1">
      <alignment horizontal="left" vertical="center"/>
    </xf>
    <xf numFmtId="168" fontId="46" fillId="0" borderId="0" xfId="13" applyNumberFormat="1" applyFont="1">
      <alignment horizontal="center" vertical="center"/>
    </xf>
    <xf numFmtId="168" fontId="46" fillId="0" borderId="0" xfId="13" applyNumberFormat="1" applyFont="1" applyAlignment="1">
      <alignment horizontal="left" vertical="center"/>
    </xf>
    <xf numFmtId="0" fontId="23" fillId="0" borderId="0" xfId="13" applyFont="1" applyAlignment="1">
      <alignment vertical="center" wrapText="1"/>
    </xf>
    <xf numFmtId="1" fontId="22" fillId="0" borderId="0" xfId="8" applyNumberFormat="1" applyAlignment="1">
      <alignment horizontal="center" vertical="center"/>
    </xf>
    <xf numFmtId="0" fontId="14" fillId="0" borderId="0" xfId="13" applyFont="1" applyAlignment="1">
      <alignment horizontal="center" vertical="center" wrapText="1"/>
    </xf>
    <xf numFmtId="1" fontId="22" fillId="0" borderId="0" xfId="8" applyNumberFormat="1">
      <alignment horizontal="left" vertical="center"/>
    </xf>
    <xf numFmtId="0" fontId="22" fillId="6" borderId="87" xfId="0" applyFont="1" applyFill="1" applyBorder="1" applyAlignment="1">
      <alignment vertical="center"/>
    </xf>
    <xf numFmtId="0" fontId="49" fillId="0" borderId="87" xfId="0" quotePrefix="1" applyFont="1" applyBorder="1" applyAlignment="1">
      <alignment horizontal="center" vertical="center"/>
    </xf>
    <xf numFmtId="0" fontId="55" fillId="0" borderId="0" xfId="8" applyFont="1" applyAlignment="1">
      <alignment horizontal="center" vertical="center"/>
    </xf>
    <xf numFmtId="0" fontId="45" fillId="0" borderId="90" xfId="8" applyFont="1" applyBorder="1" applyAlignment="1">
      <alignment horizontal="center" vertical="center"/>
    </xf>
    <xf numFmtId="0" fontId="45" fillId="0" borderId="87" xfId="8" applyFont="1" applyBorder="1" applyAlignment="1">
      <alignment horizontal="center" vertical="center"/>
    </xf>
    <xf numFmtId="170" fontId="14" fillId="4" borderId="129" xfId="26" applyNumberFormat="1" applyFont="1" applyFill="1" applyBorder="1" applyAlignment="1">
      <alignment horizontal="right" vertical="center"/>
    </xf>
    <xf numFmtId="0" fontId="22" fillId="0" borderId="120" xfId="8" applyBorder="1" applyAlignment="1">
      <alignment vertical="center"/>
    </xf>
    <xf numFmtId="14" fontId="22" fillId="0" borderId="0" xfId="8" applyNumberFormat="1" applyAlignment="1">
      <alignment vertical="center"/>
    </xf>
    <xf numFmtId="0" fontId="14" fillId="0" borderId="24" xfId="0" quotePrefix="1" applyFont="1" applyBorder="1" applyAlignment="1">
      <alignment vertical="center" wrapText="1"/>
    </xf>
    <xf numFmtId="0" fontId="22" fillId="0" borderId="90" xfId="8" applyBorder="1" applyAlignment="1">
      <alignment vertical="center" wrapText="1"/>
    </xf>
    <xf numFmtId="0" fontId="22" fillId="0" borderId="90" xfId="46" applyFill="1" applyBorder="1" applyAlignment="1">
      <alignment vertical="center" wrapText="1"/>
      <protection locked="0"/>
    </xf>
    <xf numFmtId="0" fontId="22" fillId="0" borderId="0" xfId="45" applyFill="1" applyBorder="1" applyAlignment="1" applyProtection="1">
      <alignment vertical="center" wrapText="1"/>
      <protection locked="0"/>
    </xf>
    <xf numFmtId="0" fontId="22" fillId="0" borderId="93" xfId="8" applyBorder="1">
      <alignment horizontal="left" vertical="center"/>
    </xf>
    <xf numFmtId="2" fontId="22" fillId="0" borderId="90" xfId="12" applyNumberFormat="1" applyFill="1" applyBorder="1" applyAlignment="1">
      <alignment vertical="center" wrapText="1"/>
    </xf>
    <xf numFmtId="0" fontId="9" fillId="0" borderId="0" xfId="205" applyAlignment="1">
      <alignment vertical="top" wrapText="1"/>
    </xf>
    <xf numFmtId="174" fontId="9" fillId="0" borderId="0" xfId="205" applyNumberFormat="1" applyAlignment="1">
      <alignment vertical="top" wrapText="1"/>
    </xf>
    <xf numFmtId="0" fontId="12" fillId="44" borderId="135" xfId="205" applyFont="1" applyFill="1" applyBorder="1" applyAlignment="1">
      <alignment horizontal="center" vertical="center" wrapText="1"/>
    </xf>
    <xf numFmtId="0" fontId="9" fillId="0" borderId="140" xfId="205" applyBorder="1" applyAlignment="1">
      <alignment horizontal="left" vertical="top" wrapText="1"/>
    </xf>
    <xf numFmtId="0" fontId="9" fillId="0" borderId="132" xfId="205" applyBorder="1" applyAlignment="1">
      <alignment horizontal="left" vertical="top" wrapText="1"/>
    </xf>
    <xf numFmtId="185" fontId="9" fillId="4" borderId="132" xfId="205" applyNumberFormat="1" applyFill="1" applyBorder="1" applyAlignment="1">
      <alignment vertical="top" wrapText="1"/>
    </xf>
    <xf numFmtId="186" fontId="9" fillId="4" borderId="132" xfId="205" applyNumberFormat="1" applyFill="1" applyBorder="1" applyAlignment="1">
      <alignment vertical="top" wrapText="1"/>
    </xf>
    <xf numFmtId="174" fontId="9" fillId="37" borderId="132" xfId="205" applyNumberFormat="1" applyFill="1" applyBorder="1" applyAlignment="1">
      <alignment vertical="top" wrapText="1"/>
    </xf>
    <xf numFmtId="0" fontId="9" fillId="37" borderId="132" xfId="205" applyFill="1" applyBorder="1" applyAlignment="1">
      <alignment vertical="top" wrapText="1"/>
    </xf>
    <xf numFmtId="174" fontId="9" fillId="37" borderId="132" xfId="205" applyNumberFormat="1" applyFill="1" applyBorder="1" applyAlignment="1">
      <alignment horizontal="right" vertical="top" wrapText="1"/>
    </xf>
    <xf numFmtId="0" fontId="9" fillId="0" borderId="132" xfId="205" applyBorder="1" applyAlignment="1">
      <alignment horizontal="right" vertical="top" wrapText="1"/>
    </xf>
    <xf numFmtId="174" fontId="9" fillId="4" borderId="132" xfId="205" applyNumberFormat="1" applyFill="1" applyBorder="1" applyAlignment="1">
      <alignment horizontal="right" vertical="top" wrapText="1"/>
    </xf>
    <xf numFmtId="186" fontId="9" fillId="37" borderId="132" xfId="205" applyNumberFormat="1" applyFill="1" applyBorder="1" applyAlignment="1">
      <alignment vertical="top" wrapText="1"/>
    </xf>
    <xf numFmtId="170" fontId="9" fillId="4" borderId="132" xfId="205" applyNumberFormat="1" applyFill="1" applyBorder="1" applyAlignment="1">
      <alignment vertical="top" wrapText="1"/>
    </xf>
    <xf numFmtId="170" fontId="9" fillId="37" borderId="132" xfId="205" applyNumberFormat="1" applyFill="1" applyBorder="1" applyAlignment="1">
      <alignment vertical="top" wrapText="1"/>
    </xf>
    <xf numFmtId="185" fontId="9" fillId="37" borderId="132" xfId="205" applyNumberFormat="1" applyFill="1" applyBorder="1" applyAlignment="1">
      <alignment vertical="top" wrapText="1"/>
    </xf>
    <xf numFmtId="0" fontId="14" fillId="0" borderId="43" xfId="26" applyFont="1" applyBorder="1" applyAlignment="1" applyProtection="1">
      <alignment horizontal="center" vertical="center" wrapText="1"/>
      <protection locked="0"/>
    </xf>
    <xf numFmtId="0" fontId="70" fillId="0" borderId="0" xfId="73" applyFont="1" applyAlignment="1">
      <alignment horizontal="center" vertical="center" wrapText="1"/>
    </xf>
    <xf numFmtId="0" fontId="134" fillId="0" borderId="0" xfId="73" applyFont="1" applyAlignment="1">
      <alignment horizontal="center" vertical="center"/>
    </xf>
    <xf numFmtId="0" fontId="54" fillId="0" borderId="0" xfId="78" applyFont="1" applyAlignment="1">
      <alignment horizontal="center" vertical="center"/>
    </xf>
    <xf numFmtId="170" fontId="46" fillId="0" borderId="0" xfId="73" applyNumberFormat="1" applyFont="1" applyAlignment="1">
      <alignment horizontal="center" vertical="center"/>
    </xf>
    <xf numFmtId="170" fontId="46" fillId="0" borderId="2" xfId="73" applyNumberFormat="1" applyFont="1" applyBorder="1" applyAlignment="1">
      <alignment horizontal="center" vertical="center"/>
    </xf>
    <xf numFmtId="0" fontId="23" fillId="0" borderId="0" xfId="73" applyFont="1" applyAlignment="1" applyProtection="1">
      <alignment horizontal="center" vertical="center" wrapText="1"/>
      <protection locked="0"/>
    </xf>
    <xf numFmtId="0" fontId="49" fillId="0" borderId="0" xfId="0" quotePrefix="1" applyFont="1" applyAlignment="1">
      <alignment horizontal="left" vertical="center" wrapText="1"/>
    </xf>
    <xf numFmtId="0" fontId="49" fillId="0" borderId="0" xfId="0" quotePrefix="1" applyFont="1" applyAlignment="1">
      <alignment vertical="center"/>
    </xf>
    <xf numFmtId="0" fontId="22" fillId="0" borderId="88" xfId="0" applyFont="1" applyBorder="1" applyAlignment="1">
      <alignment vertical="center"/>
    </xf>
    <xf numFmtId="0" fontId="22" fillId="0" borderId="90" xfId="8" applyBorder="1" applyAlignment="1" applyProtection="1">
      <alignment vertical="center" wrapText="1"/>
      <protection locked="0"/>
    </xf>
    <xf numFmtId="2" fontId="22" fillId="0" borderId="24" xfId="8" applyNumberFormat="1" applyBorder="1" applyAlignment="1">
      <alignment vertical="center"/>
    </xf>
    <xf numFmtId="174" fontId="9" fillId="0" borderId="0" xfId="205" applyNumberFormat="1"/>
    <xf numFmtId="0" fontId="9" fillId="0" borderId="127" xfId="205" applyBorder="1" applyAlignment="1">
      <alignment horizontal="center" vertical="center" wrapText="1"/>
    </xf>
    <xf numFmtId="0" fontId="22" fillId="0" borderId="0" xfId="8" applyAlignment="1">
      <alignment vertical="top" wrapText="1"/>
    </xf>
    <xf numFmtId="0" fontId="98" fillId="0" borderId="0" xfId="8" applyFont="1" applyAlignment="1"/>
    <xf numFmtId="0" fontId="22" fillId="0" borderId="88" xfId="8" applyBorder="1" applyAlignment="1">
      <alignment vertical="center"/>
    </xf>
    <xf numFmtId="0" fontId="22" fillId="6" borderId="89" xfId="8" applyFill="1" applyBorder="1" applyAlignment="1">
      <alignment vertical="center"/>
    </xf>
    <xf numFmtId="0" fontId="23" fillId="0" borderId="0" xfId="8" applyFont="1" applyAlignment="1">
      <alignment horizontal="center" vertical="center" wrapText="1"/>
    </xf>
    <xf numFmtId="0" fontId="126" fillId="0" borderId="0" xfId="8" applyFont="1" applyAlignment="1">
      <alignment vertical="center"/>
    </xf>
    <xf numFmtId="0" fontId="98" fillId="6" borderId="0" xfId="12" applyFont="1" applyFill="1" applyBorder="1" applyAlignment="1">
      <alignment vertical="center" wrapText="1"/>
    </xf>
    <xf numFmtId="187" fontId="9" fillId="37" borderId="132" xfId="205" applyNumberFormat="1" applyFill="1" applyBorder="1" applyAlignment="1">
      <alignment horizontal="right" vertical="top" wrapText="1"/>
    </xf>
    <xf numFmtId="170" fontId="9" fillId="37" borderId="132" xfId="205" applyNumberFormat="1" applyFill="1" applyBorder="1" applyAlignment="1">
      <alignment horizontal="right" vertical="top" wrapText="1"/>
    </xf>
    <xf numFmtId="170" fontId="14" fillId="0" borderId="87" xfId="50" applyNumberFormat="1" applyFont="1" applyBorder="1" applyAlignment="1">
      <alignment horizontal="right" vertical="center" wrapText="1"/>
    </xf>
    <xf numFmtId="0" fontId="14" fillId="48" borderId="0" xfId="8" applyFont="1" applyFill="1" applyAlignment="1">
      <alignment vertical="center"/>
    </xf>
    <xf numFmtId="0" fontId="9" fillId="0" borderId="0" xfId="0" applyFont="1" applyAlignment="1">
      <alignment vertical="top"/>
    </xf>
    <xf numFmtId="9" fontId="14" fillId="0" borderId="92" xfId="0" applyNumberFormat="1" applyFont="1" applyBorder="1" applyAlignment="1">
      <alignment horizontal="center" vertical="center"/>
    </xf>
    <xf numFmtId="9" fontId="14" fillId="0" borderId="120" xfId="0" applyNumberFormat="1" applyFont="1" applyBorder="1" applyAlignment="1">
      <alignment horizontal="center" vertical="center"/>
    </xf>
    <xf numFmtId="9" fontId="14" fillId="0" borderId="114" xfId="0" applyNumberFormat="1" applyFont="1" applyBorder="1" applyAlignment="1">
      <alignment horizontal="center" vertical="center"/>
    </xf>
    <xf numFmtId="0" fontId="80" fillId="0" borderId="127" xfId="73" applyFont="1" applyBorder="1" applyAlignment="1">
      <alignment horizontal="center" vertical="center"/>
    </xf>
    <xf numFmtId="0" fontId="68" fillId="0" borderId="127" xfId="73" applyFont="1" applyBorder="1" applyAlignment="1">
      <alignment horizontal="left" vertical="center" indent="1"/>
    </xf>
    <xf numFmtId="0" fontId="68" fillId="0" borderId="127" xfId="73" applyFont="1" applyBorder="1" applyAlignment="1">
      <alignment horizontal="center" vertical="center" wrapText="1"/>
    </xf>
    <xf numFmtId="0" fontId="68" fillId="0" borderId="127" xfId="73" applyFont="1" applyBorder="1" applyAlignment="1">
      <alignment horizontal="center" vertical="center"/>
    </xf>
    <xf numFmtId="0" fontId="14" fillId="0" borderId="127" xfId="73" applyFont="1" applyBorder="1" applyAlignment="1">
      <alignment horizontal="left" vertical="center" indent="1"/>
    </xf>
    <xf numFmtId="0" fontId="14" fillId="0" borderId="127" xfId="73" applyFont="1" applyBorder="1" applyAlignment="1">
      <alignment horizontal="center" vertical="center"/>
    </xf>
    <xf numFmtId="0" fontId="22" fillId="0" borderId="127" xfId="73" applyFont="1" applyBorder="1" applyAlignment="1">
      <alignment horizontal="left" vertical="center" indent="1"/>
    </xf>
    <xf numFmtId="0" fontId="22" fillId="0" borderId="127" xfId="73" applyFont="1" applyBorder="1" applyAlignment="1">
      <alignment horizontal="center" vertical="center"/>
    </xf>
    <xf numFmtId="0" fontId="14" fillId="0" borderId="127" xfId="73" quotePrefix="1" applyFont="1" applyBorder="1" applyAlignment="1">
      <alignment horizontal="center" vertical="center"/>
    </xf>
    <xf numFmtId="0" fontId="22" fillId="0" borderId="91" xfId="73" applyFont="1" applyBorder="1" applyAlignment="1">
      <alignment horizontal="center" vertical="center"/>
    </xf>
    <xf numFmtId="0" fontId="80" fillId="0" borderId="92" xfId="73" applyFont="1" applyBorder="1" applyAlignment="1">
      <alignment horizontal="center" vertical="center"/>
    </xf>
    <xf numFmtId="0" fontId="14" fillId="0" borderId="91" xfId="73" applyFont="1" applyBorder="1" applyAlignment="1">
      <alignment horizontal="center" vertical="center"/>
    </xf>
    <xf numFmtId="0" fontId="22" fillId="0" borderId="92" xfId="73" applyFont="1" applyBorder="1" applyAlignment="1">
      <alignment horizontal="left" vertical="center" indent="1"/>
    </xf>
    <xf numFmtId="0" fontId="14" fillId="0" borderId="92" xfId="73" applyFont="1" applyBorder="1" applyAlignment="1">
      <alignment horizontal="left" vertical="center" indent="1"/>
    </xf>
    <xf numFmtId="0" fontId="14" fillId="0" borderId="92" xfId="73" applyFont="1" applyBorder="1" applyAlignment="1">
      <alignment horizontal="center" vertical="center"/>
    </xf>
    <xf numFmtId="0" fontId="22" fillId="0" borderId="88" xfId="73" applyFont="1" applyBorder="1" applyAlignment="1">
      <alignment horizontal="center" vertical="center"/>
    </xf>
    <xf numFmtId="0" fontId="22" fillId="0" borderId="87" xfId="8" applyBorder="1">
      <alignment horizontal="left" vertical="center"/>
    </xf>
    <xf numFmtId="0" fontId="22" fillId="0" borderId="87" xfId="73" applyFont="1" applyBorder="1" applyAlignment="1">
      <alignment vertical="center"/>
    </xf>
    <xf numFmtId="0" fontId="30" fillId="6" borderId="87" xfId="47" applyFont="1" applyFill="1" applyBorder="1" applyAlignment="1">
      <alignment horizontal="center"/>
    </xf>
    <xf numFmtId="0" fontId="22" fillId="6" borderId="87" xfId="73" applyFont="1" applyFill="1" applyBorder="1"/>
    <xf numFmtId="0" fontId="22" fillId="6" borderId="88" xfId="73" applyFont="1" applyFill="1" applyBorder="1"/>
    <xf numFmtId="0" fontId="14" fillId="0" borderId="104" xfId="0" applyFont="1" applyBorder="1" applyAlignment="1">
      <alignment vertical="center"/>
    </xf>
    <xf numFmtId="0" fontId="22" fillId="6" borderId="127" xfId="8" applyFill="1" applyBorder="1" applyAlignment="1">
      <alignment vertical="center"/>
    </xf>
    <xf numFmtId="0" fontId="22" fillId="0" borderId="92" xfId="13" applyFont="1" applyBorder="1" applyAlignment="1">
      <alignment vertical="center" wrapText="1"/>
    </xf>
    <xf numFmtId="0" fontId="30" fillId="6" borderId="127" xfId="14" applyFill="1" applyBorder="1" applyAlignment="1">
      <alignment horizontal="center" vertical="center" wrapText="1"/>
    </xf>
    <xf numFmtId="0" fontId="22" fillId="6" borderId="129" xfId="8" applyFill="1" applyBorder="1" applyAlignment="1">
      <alignment vertical="center"/>
    </xf>
    <xf numFmtId="0" fontId="22" fillId="6" borderId="87" xfId="8" applyFill="1" applyBorder="1" applyAlignment="1">
      <alignment vertical="center" wrapText="1"/>
    </xf>
    <xf numFmtId="0" fontId="14" fillId="0" borderId="87" xfId="8" applyFont="1" applyBorder="1">
      <alignment horizontal="left" vertical="center"/>
    </xf>
    <xf numFmtId="0" fontId="14" fillId="6" borderId="87" xfId="0" quotePrefix="1" applyFont="1" applyFill="1" applyBorder="1" applyAlignment="1">
      <alignment horizontal="center" vertical="center" wrapText="1"/>
    </xf>
    <xf numFmtId="0" fontId="14" fillId="6" borderId="87" xfId="19" applyFont="1" applyFill="1" applyBorder="1" applyAlignment="1">
      <alignment horizontal="left" vertical="center" wrapText="1" indent="1"/>
    </xf>
    <xf numFmtId="0" fontId="22" fillId="6" borderId="87" xfId="45" applyFill="1" applyBorder="1" applyAlignment="1">
      <alignment horizontal="left" vertical="center" wrapText="1" indent="1"/>
    </xf>
    <xf numFmtId="0" fontId="46" fillId="6" borderId="87" xfId="0" applyFont="1" applyFill="1" applyBorder="1" applyAlignment="1">
      <alignment horizontal="right" vertical="center"/>
    </xf>
    <xf numFmtId="0" fontId="22" fillId="6" borderId="87" xfId="0" applyFont="1" applyFill="1" applyBorder="1" applyAlignment="1">
      <alignment horizontal="right" vertical="center"/>
    </xf>
    <xf numFmtId="0" fontId="22" fillId="0" borderId="87" xfId="12" applyFill="1" applyBorder="1" applyAlignment="1">
      <alignment horizontal="left" vertical="center" wrapText="1" indent="1"/>
    </xf>
    <xf numFmtId="0" fontId="49" fillId="0" borderId="90" xfId="8" applyFont="1" applyBorder="1" applyAlignment="1">
      <alignment vertical="center"/>
    </xf>
    <xf numFmtId="0" fontId="22" fillId="6" borderId="89" xfId="45" applyFill="1" applyBorder="1" applyAlignment="1">
      <alignment horizontal="center" vertical="center" wrapText="1"/>
    </xf>
    <xf numFmtId="0" fontId="14" fillId="6" borderId="90" xfId="0" applyFont="1" applyFill="1" applyBorder="1" applyAlignment="1">
      <alignment vertical="center"/>
    </xf>
    <xf numFmtId="0" fontId="14" fillId="6" borderId="87" xfId="0" applyFont="1" applyFill="1" applyBorder="1" applyAlignment="1">
      <alignment vertical="center"/>
    </xf>
    <xf numFmtId="0" fontId="14" fillId="6" borderId="89" xfId="0" applyFont="1" applyFill="1" applyBorder="1" applyAlignment="1">
      <alignment vertical="center"/>
    </xf>
    <xf numFmtId="0" fontId="45" fillId="6" borderId="89" xfId="19" applyFont="1" applyFill="1" applyBorder="1" applyAlignment="1">
      <alignment vertical="center" wrapText="1"/>
    </xf>
    <xf numFmtId="0" fontId="14" fillId="6" borderId="89" xfId="19" applyFont="1" applyFill="1" applyBorder="1" applyAlignment="1">
      <alignment vertical="center" wrapText="1"/>
    </xf>
    <xf numFmtId="0" fontId="45" fillId="6" borderId="90" xfId="0" applyFont="1" applyFill="1" applyBorder="1" applyAlignment="1">
      <alignment vertical="center"/>
    </xf>
    <xf numFmtId="0" fontId="49" fillId="6" borderId="90" xfId="19" applyFont="1" applyFill="1" applyBorder="1" applyAlignment="1">
      <alignment vertical="center" wrapText="1"/>
    </xf>
    <xf numFmtId="0" fontId="23" fillId="6" borderId="114" xfId="8" applyFont="1" applyFill="1" applyBorder="1" applyAlignment="1">
      <alignment horizontal="center" vertical="center"/>
    </xf>
    <xf numFmtId="0" fontId="23" fillId="6" borderId="114" xfId="8" applyFont="1" applyFill="1" applyBorder="1" applyAlignment="1">
      <alignment horizontal="center" vertical="center" wrapText="1"/>
    </xf>
    <xf numFmtId="0" fontId="23" fillId="44" borderId="114" xfId="8" applyFont="1" applyFill="1" applyBorder="1" applyAlignment="1">
      <alignment horizontal="center" vertical="center" wrapText="1"/>
    </xf>
    <xf numFmtId="0" fontId="23" fillId="15" borderId="114" xfId="8" applyFont="1" applyFill="1" applyBorder="1" applyAlignment="1">
      <alignment horizontal="center" vertical="center" wrapText="1"/>
    </xf>
    <xf numFmtId="49" fontId="22" fillId="4" borderId="92" xfId="8" applyNumberFormat="1" applyFill="1" applyBorder="1" applyAlignment="1" applyProtection="1">
      <alignment horizontal="left" vertical="center" wrapText="1"/>
      <protection locked="0"/>
    </xf>
    <xf numFmtId="0" fontId="22" fillId="4" borderId="92" xfId="8" applyFill="1" applyBorder="1" applyAlignment="1" applyProtection="1">
      <alignment horizontal="center" vertical="center" wrapText="1"/>
      <protection locked="0"/>
    </xf>
    <xf numFmtId="0" fontId="22" fillId="4" borderId="92" xfId="8" applyFill="1" applyBorder="1" applyAlignment="1" applyProtection="1">
      <alignment horizontal="left" vertical="center" wrapText="1"/>
      <protection locked="0"/>
    </xf>
    <xf numFmtId="0" fontId="14" fillId="6" borderId="127" xfId="8" applyFont="1" applyFill="1" applyBorder="1" applyAlignment="1">
      <alignment horizontal="right" vertical="center" wrapText="1" indent="1"/>
    </xf>
    <xf numFmtId="0" fontId="22" fillId="4" borderId="127" xfId="8" applyFill="1" applyBorder="1" applyAlignment="1">
      <alignment horizontal="left" vertical="center" wrapText="1"/>
    </xf>
    <xf numFmtId="49" fontId="22" fillId="4" borderId="127" xfId="8" applyNumberFormat="1" applyFill="1" applyBorder="1" applyAlignment="1" applyProtection="1">
      <alignment horizontal="left" vertical="center" wrapText="1"/>
      <protection locked="0"/>
    </xf>
    <xf numFmtId="49" fontId="22" fillId="4" borderId="127" xfId="8" applyNumberFormat="1" applyFill="1" applyBorder="1" applyAlignment="1" applyProtection="1">
      <alignment horizontal="center" vertical="center" wrapText="1"/>
      <protection locked="0"/>
    </xf>
    <xf numFmtId="49" fontId="10" fillId="4" borderId="127" xfId="4" applyNumberFormat="1" applyFill="1" applyBorder="1" applyAlignment="1">
      <alignment horizontal="left" vertical="center" wrapText="1"/>
      <protection locked="0"/>
    </xf>
    <xf numFmtId="172" fontId="22" fillId="4" borderId="127" xfId="8" applyNumberFormat="1" applyFill="1" applyBorder="1" applyAlignment="1" applyProtection="1">
      <alignment horizontal="left" vertical="center" wrapText="1"/>
      <protection locked="0"/>
    </xf>
    <xf numFmtId="49" fontId="22" fillId="6" borderId="127" xfId="8" applyNumberFormat="1" applyFill="1" applyBorder="1" applyAlignment="1">
      <alignment horizontal="left" vertical="center" wrapText="1"/>
    </xf>
    <xf numFmtId="49" fontId="10" fillId="6" borderId="127" xfId="4" applyNumberFormat="1" applyFill="1" applyBorder="1" applyAlignment="1" applyProtection="1">
      <alignment horizontal="left" vertical="center" wrapText="1"/>
    </xf>
    <xf numFmtId="172" fontId="22" fillId="6" borderId="127" xfId="8" applyNumberFormat="1" applyFill="1" applyBorder="1" applyAlignment="1">
      <alignment horizontal="left" vertical="center" wrapText="1"/>
    </xf>
    <xf numFmtId="0" fontId="14" fillId="6" borderId="127" xfId="8" applyFont="1" applyFill="1" applyBorder="1" applyAlignment="1" applyProtection="1">
      <alignment horizontal="right" vertical="center" wrapText="1" indent="1"/>
      <protection locked="0"/>
    </xf>
    <xf numFmtId="0" fontId="14" fillId="4" borderId="127" xfId="8" applyFont="1" applyFill="1" applyBorder="1" applyAlignment="1" applyProtection="1">
      <alignment horizontal="right" vertical="center" wrapText="1" indent="1"/>
      <protection locked="0"/>
    </xf>
    <xf numFmtId="49" fontId="22" fillId="4" borderId="91" xfId="8" applyNumberFormat="1" applyFill="1" applyBorder="1" applyAlignment="1" applyProtection="1">
      <alignment horizontal="left" vertical="center" wrapText="1"/>
      <protection locked="0"/>
    </xf>
    <xf numFmtId="0" fontId="22" fillId="4" borderId="129" xfId="8" applyFill="1" applyBorder="1" applyAlignment="1" applyProtection="1">
      <alignment horizontal="center" vertical="center" wrapText="1"/>
      <protection locked="0"/>
    </xf>
    <xf numFmtId="49" fontId="22" fillId="4" borderId="88" xfId="8" applyNumberFormat="1" applyFill="1" applyBorder="1" applyAlignment="1" applyProtection="1">
      <alignment horizontal="left" vertical="center" wrapText="1"/>
      <protection locked="0"/>
    </xf>
    <xf numFmtId="170" fontId="14" fillId="6" borderId="129" xfId="73" applyNumberFormat="1" applyFont="1" applyFill="1" applyBorder="1" applyAlignment="1">
      <alignment horizontal="right" vertical="center"/>
    </xf>
    <xf numFmtId="170" fontId="87" fillId="6" borderId="129" xfId="73" applyNumberFormat="1" applyFont="1" applyFill="1" applyBorder="1" applyAlignment="1">
      <alignment horizontal="right" vertical="center"/>
    </xf>
    <xf numFmtId="170" fontId="87" fillId="6" borderId="91" xfId="73" applyNumberFormat="1" applyFont="1" applyFill="1" applyBorder="1" applyAlignment="1">
      <alignment horizontal="right" vertical="center"/>
    </xf>
    <xf numFmtId="170" fontId="87" fillId="6" borderId="105" xfId="73" applyNumberFormat="1" applyFont="1" applyFill="1" applyBorder="1" applyAlignment="1">
      <alignment horizontal="right" vertical="center"/>
    </xf>
    <xf numFmtId="170" fontId="87" fillId="6" borderId="112" xfId="73" applyNumberFormat="1" applyFont="1" applyFill="1" applyBorder="1" applyAlignment="1">
      <alignment horizontal="right" vertical="center"/>
    </xf>
    <xf numFmtId="0" fontId="14" fillId="0" borderId="105" xfId="26" applyFont="1" applyBorder="1"/>
    <xf numFmtId="0" fontId="49" fillId="0" borderId="127" xfId="73" applyFont="1" applyBorder="1" applyAlignment="1">
      <alignment horizontal="left" vertical="center" wrapText="1"/>
    </xf>
    <xf numFmtId="0" fontId="14" fillId="6" borderId="127" xfId="26" applyFont="1" applyFill="1" applyBorder="1" applyAlignment="1">
      <alignment horizontal="center" vertical="center" textRotation="90" wrapText="1"/>
    </xf>
    <xf numFmtId="0" fontId="14" fillId="6" borderId="114" xfId="26" applyFont="1" applyFill="1" applyBorder="1" applyAlignment="1">
      <alignment horizontal="center" vertical="center" wrapText="1"/>
    </xf>
    <xf numFmtId="0" fontId="14" fillId="28" borderId="129" xfId="26" applyFont="1" applyFill="1" applyBorder="1" applyAlignment="1">
      <alignment horizontal="center" vertical="center" wrapText="1"/>
    </xf>
    <xf numFmtId="0" fontId="14" fillId="3" borderId="114" xfId="26" applyFont="1" applyFill="1" applyBorder="1" applyAlignment="1">
      <alignment horizontal="center" vertical="center" wrapText="1"/>
    </xf>
    <xf numFmtId="0" fontId="14" fillId="27" borderId="114" xfId="26" applyFont="1" applyFill="1" applyBorder="1" applyAlignment="1">
      <alignment horizontal="center" vertical="center"/>
    </xf>
    <xf numFmtId="0" fontId="14" fillId="27" borderId="114" xfId="26" applyFont="1" applyFill="1" applyBorder="1" applyAlignment="1">
      <alignment horizontal="center" vertical="center" textRotation="90" wrapText="1"/>
    </xf>
    <xf numFmtId="0" fontId="14" fillId="27" borderId="114" xfId="26" applyFont="1" applyFill="1" applyBorder="1" applyAlignment="1">
      <alignment horizontal="center" vertical="center" wrapText="1"/>
    </xf>
    <xf numFmtId="0" fontId="14" fillId="6" borderId="112" xfId="26" applyFont="1" applyFill="1" applyBorder="1" applyAlignment="1">
      <alignment horizontal="center" vertical="center" wrapText="1"/>
    </xf>
    <xf numFmtId="0" fontId="14" fillId="6" borderId="105" xfId="21" applyFont="1" applyFill="1" applyBorder="1" applyAlignment="1">
      <alignment horizontal="center" vertical="center"/>
    </xf>
    <xf numFmtId="0" fontId="14" fillId="4" borderId="114" xfId="26" applyFont="1" applyFill="1" applyBorder="1" applyAlignment="1" applyProtection="1">
      <alignment horizontal="left" vertical="center" wrapText="1" indent="1" shrinkToFit="1"/>
      <protection locked="0"/>
    </xf>
    <xf numFmtId="0" fontId="14" fillId="4" borderId="92" xfId="21" applyFont="1" applyFill="1" applyBorder="1" applyAlignment="1" applyProtection="1">
      <alignment horizontal="center" vertical="center"/>
      <protection locked="0"/>
    </xf>
    <xf numFmtId="170" fontId="14" fillId="6" borderId="129" xfId="26" applyNumberFormat="1" applyFont="1" applyFill="1" applyBorder="1" applyAlignment="1">
      <alignment horizontal="right" vertical="center"/>
    </xf>
    <xf numFmtId="10" fontId="14" fillId="4" borderId="130" xfId="26" applyNumberFormat="1" applyFont="1" applyFill="1" applyBorder="1" applyAlignment="1" applyProtection="1">
      <alignment horizontal="center" vertical="center"/>
      <protection locked="0"/>
    </xf>
    <xf numFmtId="170" fontId="14" fillId="4" borderId="92" xfId="26" applyNumberFormat="1" applyFont="1" applyFill="1" applyBorder="1" applyAlignment="1" applyProtection="1">
      <alignment horizontal="center" vertical="center"/>
      <protection locked="0"/>
    </xf>
    <xf numFmtId="0" fontId="14" fillId="6" borderId="92" xfId="26" applyFont="1" applyFill="1" applyBorder="1" applyAlignment="1">
      <alignment horizontal="center" vertical="center"/>
    </xf>
    <xf numFmtId="170" fontId="14" fillId="6" borderId="92" xfId="26" applyNumberFormat="1" applyFont="1" applyFill="1" applyBorder="1" applyAlignment="1">
      <alignment horizontal="right" vertical="center"/>
    </xf>
    <xf numFmtId="170" fontId="14" fillId="4" borderId="88" xfId="26" applyNumberFormat="1" applyFont="1" applyFill="1" applyBorder="1" applyAlignment="1" applyProtection="1">
      <alignment horizontal="right" vertical="center"/>
      <protection locked="0"/>
    </xf>
    <xf numFmtId="170" fontId="14" fillId="4" borderId="112" xfId="21" applyNumberFormat="1" applyFont="1" applyFill="1" applyBorder="1" applyAlignment="1" applyProtection="1">
      <alignment horizontal="right" vertical="center"/>
      <protection locked="0"/>
    </xf>
    <xf numFmtId="0" fontId="14" fillId="4" borderId="105" xfId="21" applyFont="1" applyFill="1" applyBorder="1" applyAlignment="1" applyProtection="1">
      <alignment horizontal="left" vertical="center" wrapText="1"/>
      <protection locked="0"/>
    </xf>
    <xf numFmtId="0" fontId="14" fillId="4" borderId="127" xfId="26" applyFont="1" applyFill="1" applyBorder="1" applyAlignment="1" applyProtection="1">
      <alignment horizontal="left" vertical="center" wrapText="1" indent="1" shrinkToFit="1"/>
      <protection locked="0"/>
    </xf>
    <xf numFmtId="0" fontId="14" fillId="4" borderId="120" xfId="26" applyFont="1" applyFill="1" applyBorder="1" applyAlignment="1" applyProtection="1">
      <alignment horizontal="left" vertical="center" wrapText="1" indent="1" shrinkToFit="1"/>
      <protection locked="0"/>
    </xf>
    <xf numFmtId="0" fontId="14" fillId="6" borderId="127" xfId="26" applyFont="1" applyFill="1" applyBorder="1" applyAlignment="1">
      <alignment horizontal="left" vertical="center" wrapText="1" indent="1"/>
    </xf>
    <xf numFmtId="0" fontId="14" fillId="6" borderId="127" xfId="21" applyFont="1" applyFill="1" applyBorder="1" applyAlignment="1">
      <alignment horizontal="center" vertical="center"/>
    </xf>
    <xf numFmtId="0" fontId="14" fillId="0" borderId="87" xfId="26" applyFont="1" applyBorder="1" applyAlignment="1">
      <alignment horizontal="center" vertical="center"/>
    </xf>
    <xf numFmtId="14" fontId="14" fillId="4" borderId="129" xfId="26" applyNumberFormat="1" applyFont="1" applyFill="1" applyBorder="1" applyAlignment="1" applyProtection="1">
      <alignment horizontal="center" vertical="center"/>
      <protection locked="0"/>
    </xf>
    <xf numFmtId="0" fontId="14" fillId="4" borderId="129" xfId="26" applyFont="1" applyFill="1" applyBorder="1" applyAlignment="1" applyProtection="1">
      <alignment horizontal="center" vertical="center"/>
      <protection locked="0"/>
    </xf>
    <xf numFmtId="10" fontId="14" fillId="4" borderId="112" xfId="26" applyNumberFormat="1" applyFont="1" applyFill="1" applyBorder="1" applyAlignment="1" applyProtection="1">
      <alignment horizontal="center" vertical="center"/>
      <protection locked="0"/>
    </xf>
    <xf numFmtId="0" fontId="14" fillId="4" borderId="105" xfId="26" applyFont="1" applyFill="1" applyBorder="1" applyAlignment="1" applyProtection="1">
      <alignment horizontal="center" vertical="center"/>
      <protection locked="0"/>
    </xf>
    <xf numFmtId="10" fontId="14" fillId="6" borderId="112" xfId="26" applyNumberFormat="1" applyFont="1" applyFill="1" applyBorder="1" applyAlignment="1">
      <alignment horizontal="center" vertical="center"/>
    </xf>
    <xf numFmtId="170" fontId="14" fillId="6" borderId="127" xfId="26" applyNumberFormat="1" applyFont="1" applyFill="1" applyBorder="1" applyAlignment="1">
      <alignment horizontal="right" vertical="center"/>
    </xf>
    <xf numFmtId="170" fontId="14" fillId="6" borderId="105" xfId="26" applyNumberFormat="1" applyFont="1" applyFill="1" applyBorder="1" applyAlignment="1">
      <alignment horizontal="right" vertical="center"/>
    </xf>
    <xf numFmtId="170" fontId="14" fillId="4" borderId="91" xfId="26" applyNumberFormat="1" applyFont="1" applyFill="1" applyBorder="1" applyAlignment="1" applyProtection="1">
      <alignment horizontal="right" vertical="center"/>
      <protection locked="0"/>
    </xf>
    <xf numFmtId="0" fontId="14" fillId="0" borderId="93" xfId="26" applyFont="1" applyBorder="1" applyAlignment="1">
      <alignment horizontal="center" vertical="center"/>
    </xf>
    <xf numFmtId="0" fontId="14" fillId="4" borderId="93" xfId="26" applyFont="1" applyFill="1" applyBorder="1" applyAlignment="1" applyProtection="1">
      <alignment horizontal="center" vertical="center"/>
      <protection locked="0"/>
    </xf>
    <xf numFmtId="0" fontId="14" fillId="6" borderId="120" xfId="26" applyFont="1" applyFill="1" applyBorder="1" applyAlignment="1">
      <alignment horizontal="center" vertical="center"/>
    </xf>
    <xf numFmtId="170" fontId="14" fillId="6" borderId="120" xfId="26" applyNumberFormat="1" applyFont="1" applyFill="1" applyBorder="1" applyAlignment="1">
      <alignment horizontal="right" vertical="center"/>
    </xf>
    <xf numFmtId="170" fontId="14" fillId="4" borderId="89" xfId="26" applyNumberFormat="1" applyFont="1" applyFill="1" applyBorder="1" applyAlignment="1" applyProtection="1">
      <alignment horizontal="right" vertical="center"/>
      <protection locked="0"/>
    </xf>
    <xf numFmtId="0" fontId="14" fillId="6" borderId="129" xfId="26" applyFont="1" applyFill="1" applyBorder="1" applyAlignment="1">
      <alignment horizontal="left" vertical="center" wrapText="1" indent="1" shrinkToFit="1"/>
    </xf>
    <xf numFmtId="0" fontId="102" fillId="0" borderId="127" xfId="26" applyFont="1" applyBorder="1" applyAlignment="1">
      <alignment vertical="center"/>
    </xf>
    <xf numFmtId="0" fontId="14" fillId="4" borderId="88" xfId="26" applyFont="1" applyFill="1" applyBorder="1" applyAlignment="1" applyProtection="1">
      <alignment horizontal="center" vertical="center"/>
      <protection locked="0"/>
    </xf>
    <xf numFmtId="170" fontId="14" fillId="4" borderId="129" xfId="26" applyNumberFormat="1" applyFont="1" applyFill="1" applyBorder="1" applyAlignment="1" applyProtection="1">
      <alignment horizontal="center" vertical="center"/>
      <protection locked="0"/>
    </xf>
    <xf numFmtId="170" fontId="14" fillId="4" borderId="92" xfId="26" applyNumberFormat="1" applyFont="1" applyFill="1" applyBorder="1" applyAlignment="1" applyProtection="1">
      <alignment horizontal="right" vertical="center"/>
      <protection locked="0"/>
    </xf>
    <xf numFmtId="0" fontId="14" fillId="4" borderId="92" xfId="26" applyFont="1" applyFill="1" applyBorder="1" applyAlignment="1" applyProtection="1">
      <alignment horizontal="left" vertical="center" wrapText="1" indent="1" shrinkToFit="1"/>
      <protection locked="0"/>
    </xf>
    <xf numFmtId="10" fontId="14" fillId="6" borderId="130" xfId="26" applyNumberFormat="1" applyFont="1" applyFill="1" applyBorder="1" applyAlignment="1">
      <alignment horizontal="center" vertical="center"/>
    </xf>
    <xf numFmtId="170" fontId="14" fillId="4" borderId="130" xfId="21" applyNumberFormat="1" applyFont="1" applyFill="1" applyBorder="1" applyAlignment="1" applyProtection="1">
      <alignment horizontal="right" vertical="center"/>
      <protection locked="0"/>
    </xf>
    <xf numFmtId="0" fontId="49" fillId="37" borderId="129" xfId="73" applyFont="1" applyFill="1" applyBorder="1" applyAlignment="1">
      <alignment horizontal="left" vertical="center"/>
    </xf>
    <xf numFmtId="14" fontId="14" fillId="37" borderId="93" xfId="26" applyNumberFormat="1" applyFont="1" applyFill="1" applyBorder="1" applyAlignment="1">
      <alignment horizontal="center" vertical="center"/>
    </xf>
    <xf numFmtId="0" fontId="14" fillId="37" borderId="93" xfId="26" applyFont="1" applyFill="1" applyBorder="1" applyAlignment="1">
      <alignment horizontal="center" vertical="center" wrapText="1" shrinkToFit="1"/>
    </xf>
    <xf numFmtId="0" fontId="14" fillId="37" borderId="93" xfId="21" applyFont="1" applyFill="1" applyBorder="1" applyAlignment="1">
      <alignment horizontal="center" vertical="center"/>
    </xf>
    <xf numFmtId="0" fontId="14" fillId="37" borderId="93" xfId="26" applyFont="1" applyFill="1" applyBorder="1" applyAlignment="1">
      <alignment horizontal="center" vertical="center"/>
    </xf>
    <xf numFmtId="10" fontId="14" fillId="37" borderId="93" xfId="26" applyNumberFormat="1" applyFont="1" applyFill="1" applyBorder="1" applyAlignment="1">
      <alignment horizontal="center" vertical="center"/>
    </xf>
    <xf numFmtId="170" fontId="14" fillId="37" borderId="93" xfId="26" applyNumberFormat="1" applyFont="1" applyFill="1" applyBorder="1" applyAlignment="1">
      <alignment horizontal="center" vertical="center"/>
    </xf>
    <xf numFmtId="170" fontId="14" fillId="37" borderId="93" xfId="26" applyNumberFormat="1" applyFont="1" applyFill="1" applyBorder="1" applyAlignment="1">
      <alignment horizontal="right" vertical="center"/>
    </xf>
    <xf numFmtId="170" fontId="14" fillId="37" borderId="93" xfId="21" applyNumberFormat="1" applyFont="1" applyFill="1" applyBorder="1" applyAlignment="1">
      <alignment horizontal="right" vertical="center"/>
    </xf>
    <xf numFmtId="14" fontId="14" fillId="4" borderId="114" xfId="26" applyNumberFormat="1" applyFont="1" applyFill="1" applyBorder="1" applyAlignment="1" applyProtection="1">
      <alignment horizontal="center" vertical="center"/>
      <protection locked="0"/>
    </xf>
    <xf numFmtId="170" fontId="14" fillId="6" borderId="92" xfId="26" applyNumberFormat="1" applyFont="1" applyFill="1" applyBorder="1" applyAlignment="1">
      <alignment horizontal="center" vertical="center"/>
    </xf>
    <xf numFmtId="0" fontId="14" fillId="4" borderId="114" xfId="26" applyFont="1" applyFill="1" applyBorder="1" applyAlignment="1" applyProtection="1">
      <alignment horizontal="center" vertical="center"/>
      <protection locked="0"/>
    </xf>
    <xf numFmtId="170" fontId="14" fillId="4" borderId="114" xfId="26" applyNumberFormat="1" applyFont="1" applyFill="1" applyBorder="1" applyAlignment="1" applyProtection="1">
      <alignment horizontal="right" vertical="center"/>
      <protection locked="0"/>
    </xf>
    <xf numFmtId="170" fontId="14" fillId="6" borderId="112" xfId="21" applyNumberFormat="1" applyFont="1" applyFill="1" applyBorder="1" applyAlignment="1">
      <alignment horizontal="right" vertical="center"/>
    </xf>
    <xf numFmtId="0" fontId="14" fillId="6" borderId="105" xfId="21" applyFont="1" applyFill="1" applyBorder="1" applyAlignment="1">
      <alignment horizontal="left" vertical="center"/>
    </xf>
    <xf numFmtId="0" fontId="14" fillId="6" borderId="127" xfId="26" applyFont="1" applyFill="1" applyBorder="1" applyAlignment="1">
      <alignment vertical="center"/>
    </xf>
    <xf numFmtId="0" fontId="14" fillId="0" borderId="92" xfId="21" applyFont="1" applyBorder="1" applyAlignment="1" applyProtection="1">
      <alignment horizontal="center" vertical="center"/>
      <protection locked="0"/>
    </xf>
    <xf numFmtId="170" fontId="14" fillId="0" borderId="129" xfId="26" applyNumberFormat="1" applyFont="1" applyBorder="1" applyAlignment="1">
      <alignment horizontal="right" vertical="center"/>
    </xf>
    <xf numFmtId="0" fontId="14" fillId="6" borderId="105" xfId="26" applyFont="1" applyFill="1" applyBorder="1" applyAlignment="1">
      <alignment horizontal="center" vertical="center"/>
    </xf>
    <xf numFmtId="170" fontId="14" fillId="0" borderId="92" xfId="26" applyNumberFormat="1" applyFont="1" applyBorder="1" applyAlignment="1">
      <alignment horizontal="right" vertical="center"/>
    </xf>
    <xf numFmtId="170" fontId="14" fillId="4" borderId="105" xfId="26" applyNumberFormat="1" applyFont="1" applyFill="1" applyBorder="1" applyAlignment="1" applyProtection="1">
      <alignment horizontal="right" vertical="center"/>
      <protection locked="0"/>
    </xf>
    <xf numFmtId="0" fontId="14" fillId="6" borderId="129" xfId="26" applyFont="1" applyFill="1" applyBorder="1" applyAlignment="1">
      <alignment horizontal="left" vertical="center" wrapText="1" indent="1"/>
    </xf>
    <xf numFmtId="0" fontId="14" fillId="0" borderId="92" xfId="21" applyFont="1" applyBorder="1" applyAlignment="1">
      <alignment horizontal="center" vertical="center"/>
    </xf>
    <xf numFmtId="170" fontId="14" fillId="4" borderId="127" xfId="26" applyNumberFormat="1" applyFont="1" applyFill="1" applyBorder="1" applyAlignment="1" applyProtection="1">
      <alignment horizontal="right" vertical="center"/>
      <protection locked="0"/>
    </xf>
    <xf numFmtId="0" fontId="14" fillId="4" borderId="129" xfId="26" applyFont="1" applyFill="1" applyBorder="1" applyAlignment="1" applyProtection="1">
      <alignment horizontal="left" vertical="center" wrapText="1" indent="1"/>
      <protection locked="0"/>
    </xf>
    <xf numFmtId="10" fontId="14" fillId="6" borderId="115" xfId="26" applyNumberFormat="1" applyFont="1" applyFill="1" applyBorder="1" applyAlignment="1">
      <alignment horizontal="center" vertical="center"/>
    </xf>
    <xf numFmtId="0" fontId="14" fillId="6" borderId="111" xfId="26" applyFont="1" applyFill="1" applyBorder="1" applyAlignment="1">
      <alignment horizontal="center" vertical="center"/>
    </xf>
    <xf numFmtId="10" fontId="14" fillId="4" borderId="115" xfId="26" applyNumberFormat="1" applyFont="1" applyFill="1" applyBorder="1" applyAlignment="1" applyProtection="1">
      <alignment horizontal="center" vertical="center"/>
      <protection locked="0"/>
    </xf>
    <xf numFmtId="0" fontId="14" fillId="4" borderId="116" xfId="26" applyFont="1" applyFill="1" applyBorder="1" applyAlignment="1" applyProtection="1">
      <alignment horizontal="center" vertical="center"/>
      <protection locked="0"/>
    </xf>
    <xf numFmtId="170" fontId="14" fillId="4" borderId="116" xfId="26" applyNumberFormat="1" applyFont="1" applyFill="1" applyBorder="1" applyAlignment="1" applyProtection="1">
      <alignment horizontal="right" vertical="center"/>
      <protection locked="0"/>
    </xf>
    <xf numFmtId="170" fontId="14" fillId="4" borderId="111" xfId="26" applyNumberFormat="1" applyFont="1" applyFill="1" applyBorder="1" applyAlignment="1" applyProtection="1">
      <alignment horizontal="right" vertical="center"/>
      <protection locked="0"/>
    </xf>
    <xf numFmtId="170" fontId="14" fillId="6" borderId="115" xfId="21" applyNumberFormat="1" applyFont="1" applyFill="1" applyBorder="1" applyAlignment="1">
      <alignment horizontal="right" vertical="center"/>
    </xf>
    <xf numFmtId="0" fontId="14" fillId="6" borderId="111" xfId="21" applyFont="1" applyFill="1" applyBorder="1" applyAlignment="1">
      <alignment horizontal="left" vertical="center"/>
    </xf>
    <xf numFmtId="0" fontId="22" fillId="0" borderId="89" xfId="8" applyBorder="1" applyAlignment="1">
      <alignment vertical="center" wrapText="1"/>
    </xf>
    <xf numFmtId="0" fontId="14" fillId="6" borderId="88" xfId="0" applyFont="1" applyFill="1" applyBorder="1" applyAlignment="1">
      <alignment vertical="center"/>
    </xf>
    <xf numFmtId="0" fontId="14" fillId="0" borderId="93" xfId="0" applyFont="1" applyBorder="1" applyAlignment="1">
      <alignment vertical="center"/>
    </xf>
    <xf numFmtId="0" fontId="55" fillId="0" borderId="87" xfId="8" applyFont="1" applyBorder="1" applyAlignment="1">
      <alignment vertical="center"/>
    </xf>
    <xf numFmtId="0" fontId="55" fillId="0" borderId="88" xfId="8" applyFont="1" applyBorder="1" applyAlignment="1">
      <alignment vertical="center"/>
    </xf>
    <xf numFmtId="0" fontId="14" fillId="61" borderId="93" xfId="8" applyFont="1" applyFill="1" applyBorder="1" applyAlignment="1">
      <alignment vertical="center"/>
    </xf>
    <xf numFmtId="0" fontId="14" fillId="0" borderId="88" xfId="8" applyFont="1" applyBorder="1" applyAlignment="1">
      <alignment vertical="center"/>
    </xf>
    <xf numFmtId="0" fontId="12" fillId="0" borderId="43" xfId="205" applyFont="1" applyBorder="1"/>
    <xf numFmtId="0" fontId="68" fillId="6" borderId="87" xfId="73" applyFont="1" applyFill="1" applyBorder="1" applyAlignment="1">
      <alignment vertical="center" wrapText="1"/>
    </xf>
    <xf numFmtId="0" fontId="22" fillId="0" borderId="127" xfId="78" applyFont="1" applyBorder="1" applyAlignment="1">
      <alignment vertical="center"/>
    </xf>
    <xf numFmtId="0" fontId="22" fillId="0" borderId="112" xfId="73" applyFont="1" applyBorder="1" applyAlignment="1">
      <alignment horizontal="center" vertical="center"/>
    </xf>
    <xf numFmtId="2" fontId="22" fillId="0" borderId="127" xfId="73" applyNumberFormat="1" applyFont="1" applyBorder="1" applyAlignment="1">
      <alignment horizontal="center" vertical="center"/>
    </xf>
    <xf numFmtId="0" fontId="81" fillId="0" borderId="89" xfId="73" applyFont="1" applyBorder="1" applyAlignment="1">
      <alignment vertical="center" wrapText="1"/>
    </xf>
    <xf numFmtId="0" fontId="14" fillId="0" borderId="114" xfId="26" applyFont="1" applyBorder="1" applyAlignment="1">
      <alignment vertical="center"/>
    </xf>
    <xf numFmtId="9" fontId="22" fillId="0" borderId="127" xfId="73" applyNumberFormat="1" applyFont="1" applyBorder="1" applyAlignment="1">
      <alignment horizontal="center" vertical="center"/>
    </xf>
    <xf numFmtId="170" fontId="22" fillId="0" borderId="127" xfId="73" applyNumberFormat="1" applyFont="1" applyBorder="1" applyAlignment="1">
      <alignment horizontal="center" vertical="center"/>
    </xf>
    <xf numFmtId="0" fontId="15" fillId="0" borderId="113" xfId="0" applyFont="1" applyBorder="1" applyAlignment="1">
      <alignment vertical="center" wrapText="1"/>
    </xf>
    <xf numFmtId="0" fontId="15" fillId="0" borderId="90" xfId="0" applyFont="1" applyBorder="1" applyAlignment="1">
      <alignment vertical="center" wrapText="1"/>
    </xf>
    <xf numFmtId="9" fontId="14" fillId="0" borderId="91" xfId="52" applyNumberFormat="1" applyFont="1" applyBorder="1" applyAlignment="1">
      <alignment horizontal="left" vertical="center"/>
    </xf>
    <xf numFmtId="0" fontId="22" fillId="26" borderId="87" xfId="0" applyFont="1" applyFill="1" applyBorder="1" applyAlignment="1">
      <alignment horizontal="center" vertical="center"/>
    </xf>
    <xf numFmtId="0" fontId="22" fillId="26" borderId="88" xfId="0" applyFont="1" applyFill="1" applyBorder="1" applyAlignment="1">
      <alignment horizontal="center" vertical="center"/>
    </xf>
    <xf numFmtId="0" fontId="22" fillId="0" borderId="113" xfId="73" applyFont="1" applyBorder="1" applyAlignment="1">
      <alignment horizontal="center" vertical="center"/>
    </xf>
    <xf numFmtId="0" fontId="22" fillId="0" borderId="90" xfId="73" applyFont="1" applyBorder="1" applyAlignment="1">
      <alignment horizontal="center" vertical="center"/>
    </xf>
    <xf numFmtId="0" fontId="22" fillId="6" borderId="90" xfId="73" applyFont="1" applyFill="1" applyBorder="1" applyAlignment="1">
      <alignment vertical="center"/>
    </xf>
    <xf numFmtId="0" fontId="22" fillId="0" borderId="89" xfId="0" applyFont="1" applyBorder="1" applyAlignment="1">
      <alignment horizontal="center" vertical="center"/>
    </xf>
    <xf numFmtId="175" fontId="22" fillId="0" borderId="127" xfId="73" applyNumberFormat="1" applyFont="1" applyBorder="1" applyAlignment="1">
      <alignment horizontal="center" vertical="center"/>
    </xf>
    <xf numFmtId="0" fontId="14" fillId="0" borderId="105" xfId="73" applyFont="1" applyBorder="1" applyAlignment="1">
      <alignment vertical="center" wrapText="1"/>
    </xf>
    <xf numFmtId="0" fontId="14" fillId="31" borderId="112" xfId="8" applyFont="1" applyFill="1" applyBorder="1" applyAlignment="1">
      <alignment horizontal="center" vertical="center" wrapText="1"/>
    </xf>
    <xf numFmtId="0" fontId="14" fillId="31" borderId="127" xfId="73" applyFont="1" applyFill="1" applyBorder="1" applyAlignment="1">
      <alignment horizontal="center" vertical="center"/>
    </xf>
    <xf numFmtId="0" fontId="14" fillId="31" borderId="127" xfId="8" applyFont="1" applyFill="1" applyBorder="1" applyAlignment="1">
      <alignment horizontal="center" vertical="center" wrapText="1"/>
    </xf>
    <xf numFmtId="0" fontId="14" fillId="31" borderId="127" xfId="4" applyFont="1" applyFill="1" applyBorder="1" applyAlignment="1" applyProtection="1">
      <alignment horizontal="center" vertical="center"/>
    </xf>
    <xf numFmtId="0" fontId="14" fillId="31" borderId="105" xfId="73" applyFont="1" applyFill="1" applyBorder="1" applyAlignment="1">
      <alignment horizontal="center" vertical="center"/>
    </xf>
    <xf numFmtId="0" fontId="22" fillId="27" borderId="87" xfId="73" applyFont="1" applyFill="1" applyBorder="1" applyAlignment="1">
      <alignment horizontal="center" vertical="center"/>
    </xf>
    <xf numFmtId="0" fontId="23" fillId="27" borderId="87" xfId="73" applyFont="1" applyFill="1" applyBorder="1" applyAlignment="1">
      <alignment horizontal="center" vertical="center"/>
    </xf>
    <xf numFmtId="0" fontId="23" fillId="27" borderId="98" xfId="73" applyFont="1" applyFill="1" applyBorder="1" applyAlignment="1">
      <alignment horizontal="center" vertical="center"/>
    </xf>
    <xf numFmtId="169" fontId="14" fillId="0" borderId="127" xfId="0" applyNumberFormat="1" applyFont="1" applyBorder="1" applyAlignment="1">
      <alignment horizontal="center" vertical="center"/>
    </xf>
    <xf numFmtId="0" fontId="22" fillId="26" borderId="89" xfId="0" applyFont="1" applyFill="1" applyBorder="1" applyAlignment="1">
      <alignment horizontal="center" vertical="center"/>
    </xf>
    <xf numFmtId="2" fontId="22" fillId="0" borderId="129" xfId="73" applyNumberFormat="1" applyFont="1" applyBorder="1" applyAlignment="1">
      <alignment horizontal="center" vertical="center"/>
    </xf>
    <xf numFmtId="0" fontId="22" fillId="0" borderId="127" xfId="73" applyFont="1" applyBorder="1" applyAlignment="1">
      <alignment horizontal="center" vertical="center" wrapText="1"/>
    </xf>
    <xf numFmtId="8" fontId="22" fillId="0" borderId="127" xfId="73" applyNumberFormat="1" applyFont="1" applyBorder="1" applyAlignment="1">
      <alignment horizontal="center" vertical="center"/>
    </xf>
    <xf numFmtId="169" fontId="25" fillId="6" borderId="127" xfId="73" applyNumberFormat="1" applyFont="1" applyFill="1" applyBorder="1" applyAlignment="1">
      <alignment horizontal="center" vertical="center"/>
    </xf>
    <xf numFmtId="169" fontId="25" fillId="26" borderId="127" xfId="73" applyNumberFormat="1" applyFont="1" applyFill="1" applyBorder="1" applyAlignment="1">
      <alignment horizontal="center" vertical="center"/>
    </xf>
    <xf numFmtId="10" fontId="25" fillId="27" borderId="127" xfId="73" applyNumberFormat="1" applyFont="1" applyFill="1" applyBorder="1" applyAlignment="1">
      <alignment horizontal="center" vertical="center"/>
    </xf>
    <xf numFmtId="0" fontId="87" fillId="0" borderId="127" xfId="73" applyFont="1" applyBorder="1" applyAlignment="1">
      <alignment horizontal="center" vertical="center"/>
    </xf>
    <xf numFmtId="10" fontId="25" fillId="7" borderId="127" xfId="73" applyNumberFormat="1" applyFont="1" applyFill="1" applyBorder="1" applyAlignment="1">
      <alignment horizontal="center" vertical="center"/>
    </xf>
    <xf numFmtId="0" fontId="87" fillId="6" borderId="127" xfId="73" applyFont="1" applyFill="1" applyBorder="1" applyAlignment="1">
      <alignment horizontal="center" vertical="center"/>
    </xf>
    <xf numFmtId="9" fontId="25" fillId="6" borderId="105" xfId="73" applyNumberFormat="1" applyFont="1" applyFill="1" applyBorder="1" applyAlignment="1">
      <alignment horizontal="center" vertical="center"/>
    </xf>
    <xf numFmtId="0" fontId="87" fillId="6" borderId="112" xfId="73" applyFont="1" applyFill="1" applyBorder="1" applyAlignment="1">
      <alignment horizontal="center" vertical="center"/>
    </xf>
    <xf numFmtId="0" fontId="87" fillId="6" borderId="99" xfId="73" applyFont="1" applyFill="1" applyBorder="1" applyAlignment="1">
      <alignment horizontal="center" vertical="center"/>
    </xf>
    <xf numFmtId="170" fontId="14" fillId="28" borderId="112" xfId="73" applyNumberFormat="1" applyFont="1" applyFill="1" applyBorder="1" applyAlignment="1">
      <alignment horizontal="center" vertical="center"/>
    </xf>
    <xf numFmtId="170" fontId="14" fillId="28" borderId="127" xfId="73" applyNumberFormat="1" applyFont="1" applyFill="1" applyBorder="1" applyAlignment="1">
      <alignment horizontal="center" vertical="center"/>
    </xf>
    <xf numFmtId="170" fontId="14" fillId="28" borderId="105" xfId="73" applyNumberFormat="1" applyFont="1" applyFill="1" applyBorder="1" applyAlignment="1">
      <alignment horizontal="center" vertical="center"/>
    </xf>
    <xf numFmtId="49" fontId="14" fillId="4" borderId="129" xfId="73" applyNumberFormat="1" applyFont="1" applyFill="1" applyBorder="1" applyAlignment="1" applyProtection="1">
      <alignment horizontal="center" vertical="center"/>
      <protection locked="0"/>
    </xf>
    <xf numFmtId="49" fontId="14" fillId="4" borderId="105" xfId="73" applyNumberFormat="1" applyFont="1" applyFill="1" applyBorder="1" applyAlignment="1" applyProtection="1">
      <alignment horizontal="center" vertical="center"/>
      <protection locked="0"/>
    </xf>
    <xf numFmtId="0" fontId="87" fillId="6" borderId="127" xfId="73" applyFont="1" applyFill="1" applyBorder="1" applyAlignment="1">
      <alignment vertical="center"/>
    </xf>
    <xf numFmtId="0" fontId="87" fillId="0" borderId="92" xfId="73" applyFont="1" applyBorder="1" applyAlignment="1">
      <alignment horizontal="center" vertical="center"/>
    </xf>
    <xf numFmtId="0" fontId="87" fillId="26" borderId="92" xfId="73" applyFont="1" applyFill="1" applyBorder="1" applyAlignment="1">
      <alignment horizontal="center" vertical="center"/>
    </xf>
    <xf numFmtId="0" fontId="87" fillId="6" borderId="105" xfId="73" applyFont="1" applyFill="1" applyBorder="1" applyAlignment="1">
      <alignment horizontal="center" vertical="center"/>
    </xf>
    <xf numFmtId="170" fontId="87" fillId="6" borderId="112" xfId="73" applyNumberFormat="1" applyFont="1" applyFill="1" applyBorder="1" applyAlignment="1">
      <alignment horizontal="center" vertical="center"/>
    </xf>
    <xf numFmtId="170" fontId="87" fillId="6" borderId="127" xfId="73" applyNumberFormat="1" applyFont="1" applyFill="1" applyBorder="1" applyAlignment="1">
      <alignment horizontal="center" vertical="center"/>
    </xf>
    <xf numFmtId="170" fontId="87" fillId="6" borderId="105" xfId="73" applyNumberFormat="1" applyFont="1" applyFill="1" applyBorder="1" applyAlignment="1">
      <alignment horizontal="center" vertical="center"/>
    </xf>
    <xf numFmtId="0" fontId="86" fillId="0" borderId="112" xfId="73" applyFont="1" applyBorder="1" applyAlignment="1">
      <alignment horizontal="center" vertical="center"/>
    </xf>
    <xf numFmtId="0" fontId="111" fillId="0" borderId="114" xfId="73" applyFont="1" applyBorder="1" applyAlignment="1">
      <alignment horizontal="center" vertical="center"/>
    </xf>
    <xf numFmtId="10" fontId="81" fillId="6" borderId="113" xfId="73" applyNumberFormat="1" applyFont="1" applyFill="1" applyBorder="1" applyAlignment="1">
      <alignment horizontal="center" vertical="center"/>
    </xf>
    <xf numFmtId="169" fontId="23" fillId="6" borderId="127" xfId="73" applyNumberFormat="1" applyFont="1" applyFill="1" applyBorder="1" applyAlignment="1">
      <alignment horizontal="center" vertical="center"/>
    </xf>
    <xf numFmtId="0" fontId="22" fillId="53" borderId="112" xfId="73" applyFont="1" applyFill="1" applyBorder="1" applyAlignment="1">
      <alignment horizontal="center" vertical="center" textRotation="90" wrapText="1"/>
    </xf>
    <xf numFmtId="0" fontId="22" fillId="53" borderId="127" xfId="73" applyFont="1" applyFill="1" applyBorder="1" applyAlignment="1">
      <alignment horizontal="center" vertical="center" textRotation="90" wrapText="1"/>
    </xf>
    <xf numFmtId="0" fontId="22" fillId="4" borderId="127" xfId="73" applyFont="1" applyFill="1" applyBorder="1" applyAlignment="1">
      <alignment horizontal="center" vertical="center" textRotation="90" wrapText="1"/>
    </xf>
    <xf numFmtId="0" fontId="22" fillId="4" borderId="129" xfId="73" applyFont="1" applyFill="1" applyBorder="1" applyAlignment="1">
      <alignment horizontal="center" vertical="center" textRotation="90" wrapText="1"/>
    </xf>
    <xf numFmtId="0" fontId="22" fillId="4" borderId="92" xfId="73" applyFont="1" applyFill="1" applyBorder="1" applyAlignment="1">
      <alignment horizontal="center" vertical="center" textRotation="90" wrapText="1"/>
    </xf>
    <xf numFmtId="0" fontId="22" fillId="26" borderId="91" xfId="73" applyFont="1" applyFill="1" applyBorder="1" applyAlignment="1">
      <alignment horizontal="center" vertical="center" textRotation="90" wrapText="1"/>
    </xf>
    <xf numFmtId="0" fontId="22" fillId="25" borderId="91" xfId="73" applyFont="1" applyFill="1" applyBorder="1" applyAlignment="1">
      <alignment horizontal="center" vertical="center" textRotation="90" wrapText="1"/>
    </xf>
    <xf numFmtId="0" fontId="22" fillId="27" borderId="127" xfId="73" applyFont="1" applyFill="1" applyBorder="1" applyAlignment="1">
      <alignment horizontal="center" vertical="center" textRotation="90" wrapText="1"/>
    </xf>
    <xf numFmtId="0" fontId="22" fillId="7" borderId="127" xfId="73" applyFont="1" applyFill="1" applyBorder="1" applyAlignment="1">
      <alignment horizontal="center" vertical="center" textRotation="90" wrapText="1"/>
    </xf>
    <xf numFmtId="0" fontId="14" fillId="7" borderId="127" xfId="73" applyFont="1" applyFill="1" applyBorder="1" applyAlignment="1">
      <alignment horizontal="center" vertical="center" textRotation="90" wrapText="1"/>
    </xf>
    <xf numFmtId="0" fontId="22" fillId="37" borderId="127" xfId="73" applyFont="1" applyFill="1" applyBorder="1" applyAlignment="1">
      <alignment horizontal="center" vertical="center" textRotation="90" wrapText="1"/>
    </xf>
    <xf numFmtId="0" fontId="22" fillId="6" borderId="127" xfId="73" applyFont="1" applyFill="1" applyBorder="1" applyAlignment="1">
      <alignment horizontal="center" vertical="center" textRotation="90" wrapText="1"/>
    </xf>
    <xf numFmtId="0" fontId="68" fillId="36" borderId="105" xfId="73" applyFont="1" applyFill="1" applyBorder="1" applyAlignment="1">
      <alignment horizontal="center" vertical="center" textRotation="90" wrapText="1"/>
    </xf>
    <xf numFmtId="0" fontId="14" fillId="60" borderId="112" xfId="73" applyFont="1" applyFill="1" applyBorder="1" applyAlignment="1">
      <alignment horizontal="center" vertical="center" textRotation="90" wrapText="1"/>
    </xf>
    <xf numFmtId="0" fontId="14" fillId="60" borderId="127" xfId="73" applyFont="1" applyFill="1" applyBorder="1" applyAlignment="1">
      <alignment horizontal="center" vertical="center" wrapText="1"/>
    </xf>
    <xf numFmtId="0" fontId="14" fillId="60" borderId="99" xfId="73" applyFont="1" applyFill="1" applyBorder="1" applyAlignment="1">
      <alignment horizontal="center" vertical="center" wrapText="1"/>
    </xf>
    <xf numFmtId="0" fontId="22" fillId="3" borderId="112" xfId="73" applyFont="1" applyFill="1" applyBorder="1" applyAlignment="1">
      <alignment horizontal="center" vertical="center" wrapText="1"/>
    </xf>
    <xf numFmtId="0" fontId="22" fillId="3" borderId="127" xfId="73" applyFont="1" applyFill="1" applyBorder="1" applyAlignment="1">
      <alignment horizontal="center" vertical="center" wrapText="1"/>
    </xf>
    <xf numFmtId="0" fontId="22" fillId="3" borderId="105" xfId="73" applyFont="1" applyFill="1" applyBorder="1" applyAlignment="1">
      <alignment horizontal="center" vertical="center" wrapText="1"/>
    </xf>
    <xf numFmtId="0" fontId="22" fillId="28" borderId="112" xfId="73" applyFont="1" applyFill="1" applyBorder="1" applyAlignment="1">
      <alignment horizontal="center" vertical="center" textRotation="90" wrapText="1"/>
    </xf>
    <xf numFmtId="0" fontId="22" fillId="28" borderId="127" xfId="73" applyFont="1" applyFill="1" applyBorder="1" applyAlignment="1">
      <alignment horizontal="center" vertical="center" wrapText="1"/>
    </xf>
    <xf numFmtId="0" fontId="22" fillId="28" borderId="105" xfId="73" applyFont="1" applyFill="1" applyBorder="1" applyAlignment="1">
      <alignment horizontal="center" vertical="center" wrapText="1"/>
    </xf>
    <xf numFmtId="0" fontId="22" fillId="27" borderId="112" xfId="73" applyFont="1" applyFill="1" applyBorder="1" applyAlignment="1">
      <alignment horizontal="center" vertical="center" wrapText="1"/>
    </xf>
    <xf numFmtId="0" fontId="22" fillId="27" borderId="127" xfId="73" applyFont="1" applyFill="1" applyBorder="1" applyAlignment="1">
      <alignment horizontal="center" vertical="center" wrapText="1"/>
    </xf>
    <xf numFmtId="0" fontId="22" fillId="27" borderId="129" xfId="73" applyFont="1" applyFill="1" applyBorder="1" applyAlignment="1">
      <alignment horizontal="center" vertical="center" wrapText="1"/>
    </xf>
    <xf numFmtId="0" fontId="22" fillId="27" borderId="105" xfId="73" applyFont="1" applyFill="1" applyBorder="1" applyAlignment="1">
      <alignment horizontal="center" vertical="center" wrapText="1"/>
    </xf>
    <xf numFmtId="0" fontId="22" fillId="27" borderId="91" xfId="73" applyFont="1" applyFill="1" applyBorder="1" applyAlignment="1">
      <alignment horizontal="center" vertical="center" wrapText="1"/>
    </xf>
    <xf numFmtId="0" fontId="22" fillId="44" borderId="91" xfId="73" applyFont="1" applyFill="1" applyBorder="1" applyAlignment="1">
      <alignment horizontal="center" vertical="center" wrapText="1"/>
    </xf>
    <xf numFmtId="0" fontId="22" fillId="44" borderId="127" xfId="73" applyFont="1" applyFill="1" applyBorder="1" applyAlignment="1">
      <alignment horizontal="center" vertical="center" wrapText="1"/>
    </xf>
    <xf numFmtId="0" fontId="22" fillId="0" borderId="127" xfId="73" applyFont="1" applyBorder="1" applyAlignment="1">
      <alignment horizontal="center" vertical="center" textRotation="90" wrapText="1"/>
    </xf>
    <xf numFmtId="0" fontId="34" fillId="0" borderId="112" xfId="0" applyFont="1" applyBorder="1" applyAlignment="1">
      <alignment horizontal="center"/>
    </xf>
    <xf numFmtId="0" fontId="34" fillId="0" borderId="127" xfId="0" applyFont="1" applyBorder="1" applyAlignment="1">
      <alignment horizontal="center"/>
    </xf>
    <xf numFmtId="0" fontId="34" fillId="0" borderId="105" xfId="0" applyFont="1" applyBorder="1" applyAlignment="1">
      <alignment horizontal="center"/>
    </xf>
    <xf numFmtId="0" fontId="22" fillId="0" borderId="105" xfId="73" applyFont="1" applyBorder="1" applyAlignment="1">
      <alignment horizontal="center" vertical="center" wrapText="1"/>
    </xf>
    <xf numFmtId="0" fontId="14" fillId="4" borderId="112" xfId="73" applyFont="1" applyFill="1" applyBorder="1" applyAlignment="1" applyProtection="1">
      <alignment horizontal="center" vertical="center"/>
      <protection locked="0"/>
    </xf>
    <xf numFmtId="9" fontId="14" fillId="4" borderId="127" xfId="71" applyFont="1" applyFill="1" applyBorder="1" applyAlignment="1" applyProtection="1">
      <alignment horizontal="center" vertical="center"/>
      <protection locked="0"/>
    </xf>
    <xf numFmtId="0" fontId="14" fillId="4" borderId="127" xfId="73" applyFont="1" applyFill="1" applyBorder="1" applyAlignment="1">
      <alignment horizontal="center" vertical="center"/>
    </xf>
    <xf numFmtId="0" fontId="14" fillId="4" borderId="114" xfId="73" applyFont="1" applyFill="1" applyBorder="1" applyAlignment="1" applyProtection="1">
      <alignment horizontal="center" vertical="center"/>
      <protection locked="0"/>
    </xf>
    <xf numFmtId="0" fontId="22" fillId="4" borderId="127" xfId="73" applyFont="1" applyFill="1" applyBorder="1" applyAlignment="1" applyProtection="1">
      <alignment horizontal="center" vertical="center"/>
      <protection locked="0"/>
    </xf>
    <xf numFmtId="0" fontId="14" fillId="4" borderId="105" xfId="73" applyFont="1" applyFill="1" applyBorder="1" applyAlignment="1">
      <alignment horizontal="center" vertical="center"/>
    </xf>
    <xf numFmtId="0" fontId="14" fillId="4" borderId="99" xfId="73" applyFont="1" applyFill="1" applyBorder="1" applyAlignment="1" applyProtection="1">
      <alignment horizontal="center" vertical="center"/>
      <protection locked="0"/>
    </xf>
    <xf numFmtId="170" fontId="14" fillId="6" borderId="112" xfId="73" applyNumberFormat="1" applyFont="1" applyFill="1" applyBorder="1" applyAlignment="1">
      <alignment horizontal="right" vertical="center" wrapText="1" indent="1"/>
    </xf>
    <xf numFmtId="170" fontId="22" fillId="0" borderId="127" xfId="73" quotePrefix="1" applyNumberFormat="1" applyFont="1" applyBorder="1" applyAlignment="1">
      <alignment horizontal="right" vertical="center" indent="1"/>
    </xf>
    <xf numFmtId="170" fontId="14" fillId="6" borderId="127" xfId="73" applyNumberFormat="1" applyFont="1" applyFill="1" applyBorder="1" applyAlignment="1">
      <alignment horizontal="right" vertical="center" wrapText="1" indent="1"/>
    </xf>
    <xf numFmtId="170" fontId="14" fillId="6" borderId="105" xfId="73" applyNumberFormat="1" applyFont="1" applyFill="1" applyBorder="1" applyAlignment="1">
      <alignment horizontal="right" vertical="center" indent="1"/>
    </xf>
    <xf numFmtId="170" fontId="14" fillId="4" borderId="112" xfId="73" applyNumberFormat="1" applyFont="1" applyFill="1" applyBorder="1" applyAlignment="1" applyProtection="1">
      <alignment horizontal="center" vertical="center"/>
      <protection locked="0"/>
    </xf>
    <xf numFmtId="5" fontId="14" fillId="0" borderId="127" xfId="73" applyNumberFormat="1" applyFont="1" applyBorder="1" applyAlignment="1">
      <alignment horizontal="left" vertical="center" indent="1"/>
    </xf>
    <xf numFmtId="170" fontId="14" fillId="4" borderId="127" xfId="73" applyNumberFormat="1" applyFont="1" applyFill="1" applyBorder="1" applyAlignment="1">
      <alignment horizontal="left" vertical="center" indent="1"/>
    </xf>
    <xf numFmtId="170" fontId="22" fillId="4" borderId="127" xfId="73" applyNumberFormat="1" applyFont="1" applyFill="1" applyBorder="1" applyAlignment="1" applyProtection="1">
      <alignment horizontal="left" vertical="center" indent="1"/>
      <protection locked="0"/>
    </xf>
    <xf numFmtId="170" fontId="14" fillId="0" borderId="127" xfId="73" applyNumberFormat="1" applyFont="1" applyBorder="1" applyAlignment="1">
      <alignment horizontal="left" vertical="center" indent="1"/>
    </xf>
    <xf numFmtId="170" fontId="14" fillId="4" borderId="127" xfId="73" applyNumberFormat="1" applyFont="1" applyFill="1" applyBorder="1" applyAlignment="1" applyProtection="1">
      <alignment horizontal="left" vertical="center" indent="1"/>
      <protection locked="0"/>
    </xf>
    <xf numFmtId="170" fontId="14" fillId="0" borderId="105" xfId="73" applyNumberFormat="1" applyFont="1" applyBorder="1" applyAlignment="1">
      <alignment horizontal="left" vertical="center" indent="1"/>
    </xf>
    <xf numFmtId="170" fontId="14" fillId="4" borderId="112" xfId="73" applyNumberFormat="1" applyFont="1" applyFill="1" applyBorder="1" applyAlignment="1" applyProtection="1">
      <alignment horizontal="left" vertical="center" indent="1"/>
      <protection locked="0"/>
    </xf>
    <xf numFmtId="170" fontId="14" fillId="0" borderId="129" xfId="73" applyNumberFormat="1" applyFont="1" applyBorder="1" applyAlignment="1">
      <alignment horizontal="left" vertical="center" indent="1"/>
    </xf>
    <xf numFmtId="0" fontId="14" fillId="4" borderId="127" xfId="73" applyFont="1" applyFill="1" applyBorder="1" applyAlignment="1" applyProtection="1">
      <alignment horizontal="left" vertical="center" indent="1"/>
      <protection locked="0"/>
    </xf>
    <xf numFmtId="0" fontId="14" fillId="0" borderId="91" xfId="73" applyFont="1" applyBorder="1" applyAlignment="1">
      <alignment horizontal="left" vertical="center" indent="1"/>
    </xf>
    <xf numFmtId="0" fontId="108" fillId="0" borderId="112" xfId="0" applyFont="1" applyBorder="1" applyAlignment="1">
      <alignment horizontal="left" vertical="center" indent="1"/>
    </xf>
    <xf numFmtId="170" fontId="14" fillId="0" borderId="105" xfId="0" applyNumberFormat="1" applyFont="1" applyBorder="1" applyAlignment="1">
      <alignment horizontal="center" vertical="center"/>
    </xf>
    <xf numFmtId="9" fontId="14" fillId="0" borderId="127" xfId="0" quotePrefix="1" applyNumberFormat="1" applyFont="1" applyBorder="1" applyAlignment="1">
      <alignment horizontal="center" vertical="center"/>
    </xf>
    <xf numFmtId="0" fontId="108" fillId="0" borderId="115" xfId="0" applyFont="1" applyBorder="1" applyAlignment="1">
      <alignment horizontal="left" vertical="center" indent="1"/>
    </xf>
    <xf numFmtId="9" fontId="14" fillId="0" borderId="116" xfId="0" applyNumberFormat="1" applyFont="1" applyBorder="1" applyAlignment="1">
      <alignment horizontal="center" vertical="center"/>
    </xf>
    <xf numFmtId="170" fontId="14" fillId="0" borderId="116" xfId="0" applyNumberFormat="1" applyFont="1" applyBorder="1" applyAlignment="1">
      <alignment horizontal="center" vertical="center"/>
    </xf>
    <xf numFmtId="170" fontId="14" fillId="0" borderId="111" xfId="0" applyNumberFormat="1" applyFont="1" applyBorder="1" applyAlignment="1">
      <alignment horizontal="center" vertical="center"/>
    </xf>
    <xf numFmtId="0" fontId="22" fillId="0" borderId="114" xfId="73" applyFont="1" applyBorder="1" applyAlignment="1">
      <alignment horizontal="center" vertical="center"/>
    </xf>
    <xf numFmtId="170" fontId="22" fillId="0" borderId="129" xfId="73" applyNumberFormat="1" applyFont="1" applyBorder="1" applyAlignment="1">
      <alignment horizontal="center" vertical="center"/>
    </xf>
    <xf numFmtId="0" fontId="14" fillId="4" borderId="115" xfId="73" applyFont="1" applyFill="1" applyBorder="1" applyAlignment="1" applyProtection="1">
      <alignment horizontal="center" vertical="center"/>
      <protection locked="0"/>
    </xf>
    <xf numFmtId="0" fontId="14" fillId="4" borderId="116" xfId="73" applyFont="1" applyFill="1" applyBorder="1" applyAlignment="1">
      <alignment horizontal="center" vertical="center"/>
    </xf>
    <xf numFmtId="0" fontId="14" fillId="4" borderId="116" xfId="73" applyFont="1" applyFill="1" applyBorder="1" applyAlignment="1" applyProtection="1">
      <alignment horizontal="center" vertical="center"/>
      <protection locked="0"/>
    </xf>
    <xf numFmtId="170" fontId="14" fillId="6" borderId="115" xfId="73" applyNumberFormat="1" applyFont="1" applyFill="1" applyBorder="1" applyAlignment="1">
      <alignment horizontal="right" vertical="center" wrapText="1" indent="1"/>
    </xf>
    <xf numFmtId="170" fontId="22" fillId="0" borderId="116" xfId="73" quotePrefix="1" applyNumberFormat="1" applyFont="1" applyBorder="1" applyAlignment="1">
      <alignment horizontal="right" vertical="center" indent="1"/>
    </xf>
    <xf numFmtId="170" fontId="14" fillId="6" borderId="116" xfId="73" applyNumberFormat="1" applyFont="1" applyFill="1" applyBorder="1" applyAlignment="1">
      <alignment horizontal="right" vertical="center" wrapText="1" indent="1"/>
    </xf>
    <xf numFmtId="170" fontId="14" fillId="6" borderId="111" xfId="73" applyNumberFormat="1" applyFont="1" applyFill="1" applyBorder="1" applyAlignment="1">
      <alignment horizontal="right" vertical="center" indent="1"/>
    </xf>
    <xf numFmtId="170" fontId="14" fillId="4" borderId="115" xfId="73" applyNumberFormat="1" applyFont="1" applyFill="1" applyBorder="1" applyAlignment="1" applyProtection="1">
      <alignment horizontal="center" vertical="center"/>
      <protection locked="0"/>
    </xf>
    <xf numFmtId="5" fontId="14" fillId="0" borderId="116" xfId="73" applyNumberFormat="1" applyFont="1" applyBorder="1" applyAlignment="1">
      <alignment horizontal="left" vertical="center" indent="1"/>
    </xf>
    <xf numFmtId="170" fontId="22" fillId="4" borderId="116" xfId="73" applyNumberFormat="1" applyFont="1" applyFill="1" applyBorder="1" applyAlignment="1" applyProtection="1">
      <alignment horizontal="left" vertical="center" indent="1"/>
      <protection locked="0"/>
    </xf>
    <xf numFmtId="170" fontId="14" fillId="0" borderId="116" xfId="73" applyNumberFormat="1" applyFont="1" applyBorder="1" applyAlignment="1">
      <alignment horizontal="left" vertical="center" indent="1"/>
    </xf>
    <xf numFmtId="170" fontId="14" fillId="4" borderId="116" xfId="73" applyNumberFormat="1" applyFont="1" applyFill="1" applyBorder="1" applyAlignment="1" applyProtection="1">
      <alignment horizontal="left" vertical="center" indent="1"/>
      <protection locked="0"/>
    </xf>
    <xf numFmtId="170" fontId="14" fillId="0" borderId="111" xfId="73" applyNumberFormat="1" applyFont="1" applyBorder="1" applyAlignment="1">
      <alignment horizontal="left" vertical="center" indent="1"/>
    </xf>
    <xf numFmtId="170" fontId="14" fillId="4" borderId="115" xfId="73" applyNumberFormat="1" applyFont="1" applyFill="1" applyBorder="1" applyAlignment="1" applyProtection="1">
      <alignment horizontal="left" vertical="center" indent="1"/>
      <protection locked="0"/>
    </xf>
    <xf numFmtId="0" fontId="14" fillId="4" borderId="116" xfId="73" applyFont="1" applyFill="1" applyBorder="1" applyAlignment="1" applyProtection="1">
      <alignment horizontal="left" vertical="center" indent="1"/>
      <protection locked="0"/>
    </xf>
    <xf numFmtId="10" fontId="22" fillId="32" borderId="114" xfId="73" applyNumberFormat="1" applyFont="1" applyFill="1" applyBorder="1" applyAlignment="1">
      <alignment horizontal="center" vertical="center"/>
    </xf>
    <xf numFmtId="170" fontId="22" fillId="4" borderId="114" xfId="73" applyNumberFormat="1" applyFont="1" applyFill="1" applyBorder="1" applyAlignment="1" applyProtection="1">
      <alignment horizontal="center" vertical="center"/>
      <protection locked="0"/>
    </xf>
    <xf numFmtId="10" fontId="22" fillId="32" borderId="127" xfId="73" applyNumberFormat="1" applyFont="1" applyFill="1" applyBorder="1" applyAlignment="1">
      <alignment horizontal="center" vertical="center"/>
    </xf>
    <xf numFmtId="170" fontId="22" fillId="4" borderId="127" xfId="73" applyNumberFormat="1" applyFont="1" applyFill="1" applyBorder="1" applyAlignment="1" applyProtection="1">
      <alignment horizontal="center" vertical="center"/>
      <protection locked="0"/>
    </xf>
    <xf numFmtId="9" fontId="22" fillId="32" borderId="127" xfId="73" applyNumberFormat="1" applyFont="1" applyFill="1" applyBorder="1" applyAlignment="1">
      <alignment horizontal="center" vertical="center"/>
    </xf>
    <xf numFmtId="170" fontId="22" fillId="0" borderId="92" xfId="73" applyNumberFormat="1" applyFont="1" applyBorder="1" applyAlignment="1">
      <alignment horizontal="center" vertical="center"/>
    </xf>
    <xf numFmtId="9" fontId="14" fillId="0" borderId="88" xfId="52" applyNumberFormat="1" applyFont="1" applyBorder="1" applyAlignment="1">
      <alignment horizontal="left" vertical="center"/>
    </xf>
    <xf numFmtId="0" fontId="22" fillId="6" borderId="43" xfId="0" applyFont="1" applyFill="1" applyBorder="1" applyAlignment="1">
      <alignment horizontal="center" vertical="center"/>
    </xf>
    <xf numFmtId="0" fontId="22" fillId="0" borderId="90" xfId="0" applyFont="1" applyBorder="1" applyAlignment="1">
      <alignment horizontal="center" vertical="center"/>
    </xf>
    <xf numFmtId="2" fontId="22" fillId="0" borderId="127" xfId="78" applyNumberFormat="1" applyFont="1" applyBorder="1" applyAlignment="1">
      <alignment horizontal="center" vertical="center"/>
    </xf>
    <xf numFmtId="170" fontId="22" fillId="4" borderId="129" xfId="73" applyNumberFormat="1" applyFont="1" applyFill="1" applyBorder="1" applyAlignment="1" applyProtection="1">
      <alignment horizontal="center" vertical="center"/>
      <protection locked="0"/>
    </xf>
    <xf numFmtId="170" fontId="22" fillId="4" borderId="92" xfId="73" applyNumberFormat="1" applyFont="1" applyFill="1" applyBorder="1" applyAlignment="1" applyProtection="1">
      <alignment horizontal="center" vertical="center"/>
      <protection locked="0"/>
    </xf>
    <xf numFmtId="0" fontId="22" fillId="0" borderId="92" xfId="73" applyFont="1" applyBorder="1" applyAlignment="1">
      <alignment vertical="center"/>
    </xf>
    <xf numFmtId="0" fontId="22" fillId="0" borderId="120" xfId="73" applyFont="1" applyBorder="1" applyAlignment="1">
      <alignment vertical="center"/>
    </xf>
    <xf numFmtId="0" fontId="22" fillId="0" borderId="127" xfId="73" applyFont="1" applyBorder="1" applyAlignment="1">
      <alignment horizontal="right" vertical="center"/>
    </xf>
    <xf numFmtId="0" fontId="22" fillId="4" borderId="114" xfId="73" applyFont="1" applyFill="1" applyBorder="1" applyAlignment="1" applyProtection="1">
      <alignment horizontal="center" vertical="center"/>
      <protection locked="0"/>
    </xf>
    <xf numFmtId="2" fontId="22" fillId="0" borderId="92" xfId="78" applyNumberFormat="1" applyFont="1" applyBorder="1" applyAlignment="1">
      <alignment horizontal="center" vertical="center"/>
    </xf>
    <xf numFmtId="2" fontId="22" fillId="0" borderId="120" xfId="78" applyNumberFormat="1" applyFont="1" applyBorder="1" applyAlignment="1">
      <alignment horizontal="center" vertical="center"/>
    </xf>
    <xf numFmtId="2" fontId="22" fillId="0" borderId="114" xfId="73" applyNumberFormat="1" applyFont="1" applyBorder="1" applyAlignment="1">
      <alignment horizontal="center" vertical="center"/>
    </xf>
    <xf numFmtId="10" fontId="22" fillId="0" borderId="90" xfId="73" applyNumberFormat="1" applyFont="1" applyBorder="1" applyAlignment="1">
      <alignment horizontal="center" vertical="center"/>
    </xf>
    <xf numFmtId="0" fontId="22" fillId="0" borderId="114" xfId="73" applyFont="1" applyBorder="1" applyAlignment="1">
      <alignment vertical="center"/>
    </xf>
    <xf numFmtId="0" fontId="68" fillId="6" borderId="89" xfId="73" applyFont="1" applyFill="1" applyBorder="1" applyAlignment="1">
      <alignment horizontal="center" vertical="center"/>
    </xf>
    <xf numFmtId="1" fontId="68" fillId="6" borderId="89" xfId="73" applyNumberFormat="1" applyFont="1" applyFill="1" applyBorder="1" applyAlignment="1">
      <alignment horizontal="center" vertical="center"/>
    </xf>
    <xf numFmtId="1" fontId="68" fillId="6" borderId="90" xfId="73" applyNumberFormat="1" applyFont="1" applyFill="1" applyBorder="1" applyAlignment="1">
      <alignment horizontal="center" vertical="center"/>
    </xf>
    <xf numFmtId="0" fontId="14" fillId="4" borderId="114" xfId="26" applyFont="1" applyFill="1" applyBorder="1" applyAlignment="1" applyProtection="1">
      <alignment horizontal="center" vertical="center" shrinkToFit="1"/>
      <protection locked="0"/>
    </xf>
    <xf numFmtId="2" fontId="14" fillId="4" borderId="114" xfId="26" applyNumberFormat="1" applyFont="1" applyFill="1" applyBorder="1" applyAlignment="1" applyProtection="1">
      <alignment horizontal="center" vertical="center" shrinkToFit="1"/>
      <protection locked="0"/>
    </xf>
    <xf numFmtId="0" fontId="14" fillId="0" borderId="114" xfId="26" applyFont="1" applyBorder="1" applyAlignment="1">
      <alignment horizontal="left" vertical="center" indent="1"/>
    </xf>
    <xf numFmtId="6" fontId="65" fillId="4" borderId="114" xfId="26" applyNumberFormat="1" applyFont="1" applyFill="1" applyBorder="1" applyAlignment="1" applyProtection="1">
      <alignment horizontal="left" vertical="center" indent="1" shrinkToFit="1"/>
      <protection locked="0"/>
    </xf>
    <xf numFmtId="2" fontId="14" fillId="4" borderId="127" xfId="26" applyNumberFormat="1" applyFont="1" applyFill="1" applyBorder="1" applyAlignment="1" applyProtection="1">
      <alignment horizontal="center" vertical="center" shrinkToFit="1"/>
      <protection locked="0"/>
    </xf>
    <xf numFmtId="6" fontId="65" fillId="4" borderId="129" xfId="26" applyNumberFormat="1" applyFont="1" applyFill="1" applyBorder="1" applyAlignment="1" applyProtection="1">
      <alignment horizontal="left" vertical="center" indent="1" shrinkToFit="1"/>
      <protection locked="0"/>
    </xf>
    <xf numFmtId="6" fontId="65" fillId="4" borderId="127" xfId="26" applyNumberFormat="1" applyFont="1" applyFill="1" applyBorder="1" applyAlignment="1" applyProtection="1">
      <alignment horizontal="left" vertical="center" indent="1" shrinkToFit="1"/>
      <protection locked="0"/>
    </xf>
    <xf numFmtId="0" fontId="14" fillId="4" borderId="127" xfId="26" applyFont="1" applyFill="1" applyBorder="1" applyAlignment="1" applyProtection="1">
      <alignment horizontal="left" vertical="center" indent="1" shrinkToFit="1"/>
      <protection locked="0"/>
    </xf>
    <xf numFmtId="0" fontId="14" fillId="4" borderId="92" xfId="26" applyFont="1" applyFill="1" applyBorder="1" applyAlignment="1" applyProtection="1">
      <alignment horizontal="center" vertical="center" shrinkToFit="1"/>
      <protection locked="0"/>
    </xf>
    <xf numFmtId="2" fontId="14" fillId="4" borderId="92" xfId="26" applyNumberFormat="1" applyFont="1" applyFill="1" applyBorder="1" applyAlignment="1" applyProtection="1">
      <alignment horizontal="center" vertical="center" shrinkToFit="1"/>
      <protection locked="0"/>
    </xf>
    <xf numFmtId="0" fontId="14" fillId="4" borderId="92" xfId="26" applyFont="1" applyFill="1" applyBorder="1" applyAlignment="1" applyProtection="1">
      <alignment horizontal="left" vertical="center" indent="1" shrinkToFit="1"/>
      <protection locked="0"/>
    </xf>
    <xf numFmtId="0" fontId="34" fillId="0" borderId="127" xfId="26" applyFont="1" applyBorder="1" applyAlignment="1">
      <alignment horizontal="right" vertical="center" indent="1"/>
    </xf>
    <xf numFmtId="6" fontId="65" fillId="0" borderId="127" xfId="26" applyNumberFormat="1" applyFont="1" applyBorder="1" applyAlignment="1">
      <alignment horizontal="left" vertical="center" indent="1" shrinkToFit="1"/>
    </xf>
    <xf numFmtId="6" fontId="14" fillId="4" borderId="127" xfId="26" applyNumberFormat="1" applyFont="1" applyFill="1" applyBorder="1" applyAlignment="1" applyProtection="1">
      <alignment horizontal="left" vertical="center" indent="1" shrinkToFit="1"/>
      <protection locked="0"/>
    </xf>
    <xf numFmtId="6" fontId="14" fillId="0" borderId="127" xfId="26" applyNumberFormat="1" applyFont="1" applyBorder="1" applyAlignment="1">
      <alignment horizontal="left" vertical="center" indent="1" shrinkToFit="1"/>
    </xf>
    <xf numFmtId="0" fontId="14" fillId="4" borderId="114" xfId="26" applyFont="1" applyFill="1" applyBorder="1" applyAlignment="1" applyProtection="1">
      <alignment vertical="center" shrinkToFit="1"/>
      <protection locked="0"/>
    </xf>
    <xf numFmtId="38" fontId="14" fillId="4" borderId="114" xfId="26" applyNumberFormat="1" applyFont="1" applyFill="1" applyBorder="1" applyAlignment="1" applyProtection="1">
      <alignment horizontal="left" vertical="center" indent="1" shrinkToFit="1"/>
      <protection locked="0"/>
    </xf>
    <xf numFmtId="0" fontId="14" fillId="4" borderId="127" xfId="26" applyFont="1" applyFill="1" applyBorder="1" applyAlignment="1" applyProtection="1">
      <alignment vertical="center" shrinkToFit="1"/>
      <protection locked="0"/>
    </xf>
    <xf numFmtId="38" fontId="14" fillId="4" borderId="127" xfId="26" applyNumberFormat="1" applyFont="1" applyFill="1" applyBorder="1" applyAlignment="1" applyProtection="1">
      <alignment horizontal="left" vertical="center" indent="1" shrinkToFit="1"/>
      <protection locked="0"/>
    </xf>
    <xf numFmtId="38" fontId="14" fillId="0" borderId="127" xfId="26" applyNumberFormat="1" applyFont="1" applyBorder="1" applyAlignment="1">
      <alignment horizontal="left" vertical="center" indent="1" shrinkToFit="1"/>
    </xf>
    <xf numFmtId="0" fontId="34" fillId="6" borderId="90" xfId="26" applyFont="1" applyFill="1" applyBorder="1" applyAlignment="1">
      <alignment horizontal="left" vertical="center" indent="1"/>
    </xf>
    <xf numFmtId="0" fontId="34" fillId="30" borderId="90" xfId="26" applyFont="1" applyFill="1" applyBorder="1" applyAlignment="1">
      <alignment horizontal="center" vertical="center"/>
    </xf>
    <xf numFmtId="6" fontId="65" fillId="0" borderId="114" xfId="26" applyNumberFormat="1" applyFont="1" applyBorder="1" applyAlignment="1">
      <alignment horizontal="left" vertical="center" indent="1" shrinkToFit="1"/>
    </xf>
    <xf numFmtId="6" fontId="14" fillId="4" borderId="114" xfId="26" applyNumberFormat="1" applyFont="1" applyFill="1" applyBorder="1" applyAlignment="1">
      <alignment horizontal="left" vertical="center" indent="1" shrinkToFit="1"/>
    </xf>
    <xf numFmtId="0" fontId="14" fillId="0" borderId="129" xfId="26" applyFont="1" applyBorder="1" applyAlignment="1">
      <alignment horizontal="left" vertical="center" indent="1"/>
    </xf>
    <xf numFmtId="6" fontId="14" fillId="4" borderId="127" xfId="26" applyNumberFormat="1" applyFont="1" applyFill="1" applyBorder="1" applyAlignment="1">
      <alignment horizontal="left" vertical="center" indent="1" shrinkToFit="1"/>
    </xf>
    <xf numFmtId="6" fontId="14" fillId="21" borderId="127" xfId="26" applyNumberFormat="1" applyFont="1" applyFill="1" applyBorder="1" applyAlignment="1">
      <alignment horizontal="left" vertical="center" indent="1" shrinkToFit="1"/>
    </xf>
    <xf numFmtId="6" fontId="65" fillId="0" borderId="92" xfId="26" applyNumberFormat="1" applyFont="1" applyBorder="1" applyAlignment="1">
      <alignment horizontal="left" vertical="center" indent="1" shrinkToFit="1"/>
    </xf>
    <xf numFmtId="169" fontId="65" fillId="4" borderId="127" xfId="55" applyNumberFormat="1" applyFont="1" applyFill="1" applyBorder="1" applyAlignment="1" applyProtection="1">
      <alignment horizontal="left" vertical="center" indent="1" shrinkToFit="1"/>
      <protection locked="0"/>
    </xf>
    <xf numFmtId="0" fontId="14" fillId="4" borderId="127" xfId="26" applyFont="1" applyFill="1" applyBorder="1" applyAlignment="1" applyProtection="1">
      <alignment horizontal="left" vertical="center" indent="1"/>
      <protection locked="0"/>
    </xf>
    <xf numFmtId="0" fontId="14" fillId="0" borderId="92" xfId="26" applyFont="1" applyBorder="1" applyAlignment="1">
      <alignment horizontal="left" vertical="center" indent="1"/>
    </xf>
    <xf numFmtId="6" fontId="14" fillId="6" borderId="127" xfId="26" applyNumberFormat="1" applyFont="1" applyFill="1" applyBorder="1" applyAlignment="1">
      <alignment horizontal="left" vertical="center" indent="1" shrinkToFit="1"/>
    </xf>
    <xf numFmtId="6" fontId="65" fillId="0" borderId="127" xfId="53" applyNumberFormat="1" applyFont="1" applyBorder="1" applyAlignment="1">
      <alignment horizontal="left" vertical="center" indent="1" shrinkToFit="1"/>
    </xf>
    <xf numFmtId="6" fontId="65" fillId="6" borderId="129" xfId="53" applyNumberFormat="1" applyFont="1" applyFill="1" applyBorder="1" applyAlignment="1">
      <alignment horizontal="left" vertical="center" indent="1" shrinkToFit="1"/>
    </xf>
    <xf numFmtId="6" fontId="65" fillId="0" borderId="129" xfId="26" applyNumberFormat="1" applyFont="1" applyBorder="1" applyAlignment="1">
      <alignment horizontal="left" vertical="center" indent="1" shrinkToFit="1"/>
    </xf>
    <xf numFmtId="6" fontId="65" fillId="4" borderId="92" xfId="26" applyNumberFormat="1" applyFont="1" applyFill="1" applyBorder="1" applyAlignment="1" applyProtection="1">
      <alignment horizontal="left" vertical="center" indent="1" shrinkToFit="1"/>
      <protection locked="0"/>
    </xf>
    <xf numFmtId="6" fontId="14" fillId="4" borderId="92" xfId="26" applyNumberFormat="1" applyFont="1" applyFill="1" applyBorder="1" applyAlignment="1" applyProtection="1">
      <alignment horizontal="left" vertical="center" indent="1" shrinkToFit="1"/>
      <protection locked="0"/>
    </xf>
    <xf numFmtId="6" fontId="14" fillId="4" borderId="129" xfId="26" applyNumberFormat="1" applyFont="1" applyFill="1" applyBorder="1" applyAlignment="1" applyProtection="1">
      <alignment horizontal="left" vertical="center" indent="1" shrinkToFit="1"/>
      <protection locked="0"/>
    </xf>
    <xf numFmtId="0" fontId="34" fillId="0" borderId="127" xfId="26" applyFont="1" applyBorder="1" applyAlignment="1">
      <alignment horizontal="right" vertical="center" indent="2"/>
    </xf>
    <xf numFmtId="6" fontId="14" fillId="4" borderId="114" xfId="26" applyNumberFormat="1" applyFont="1" applyFill="1" applyBorder="1" applyAlignment="1" applyProtection="1">
      <alignment horizontal="left" vertical="center" indent="1" shrinkToFit="1"/>
      <protection locked="0"/>
    </xf>
    <xf numFmtId="0" fontId="14" fillId="4" borderId="129" xfId="26" applyFont="1" applyFill="1" applyBorder="1" applyAlignment="1" applyProtection="1">
      <alignment horizontal="left" vertical="center" indent="1" shrinkToFit="1"/>
      <protection locked="0"/>
    </xf>
    <xf numFmtId="6" fontId="14" fillId="0" borderId="129" xfId="26" applyNumberFormat="1" applyFont="1" applyBorder="1" applyAlignment="1">
      <alignment horizontal="left" vertical="center" indent="1" shrinkToFit="1"/>
    </xf>
    <xf numFmtId="6" fontId="65" fillId="4" borderId="114" xfId="26" applyNumberFormat="1" applyFont="1" applyFill="1" applyBorder="1" applyAlignment="1">
      <alignment horizontal="left" vertical="center" indent="1" shrinkToFit="1"/>
    </xf>
    <xf numFmtId="0" fontId="14" fillId="6" borderId="129" xfId="26" applyFont="1" applyFill="1" applyBorder="1" applyAlignment="1">
      <alignment horizontal="left" vertical="center" indent="1" shrinkToFit="1"/>
    </xf>
    <xf numFmtId="0" fontId="14" fillId="4" borderId="129" xfId="26" applyFont="1" applyFill="1" applyBorder="1" applyAlignment="1" applyProtection="1">
      <alignment horizontal="left" vertical="center" indent="1"/>
      <protection locked="0"/>
    </xf>
    <xf numFmtId="0" fontId="34" fillId="6" borderId="129" xfId="26" applyFont="1" applyFill="1" applyBorder="1" applyAlignment="1">
      <alignment horizontal="center" vertical="center"/>
    </xf>
    <xf numFmtId="164" fontId="0" fillId="0" borderId="127" xfId="192" applyNumberFormat="1" applyFont="1" applyBorder="1" applyAlignment="1">
      <alignment horizontal="center" vertical="center"/>
    </xf>
    <xf numFmtId="0" fontId="0" fillId="0" borderId="127" xfId="0" applyBorder="1" applyAlignment="1">
      <alignment horizontal="center" vertical="center"/>
    </xf>
    <xf numFmtId="0" fontId="0" fillId="0" borderId="105" xfId="0" applyBorder="1" applyAlignment="1">
      <alignment horizontal="center" vertical="center"/>
    </xf>
    <xf numFmtId="170" fontId="0" fillId="0" borderId="127" xfId="192" applyNumberFormat="1" applyFont="1" applyBorder="1" applyAlignment="1">
      <alignment horizontal="center" vertical="center"/>
    </xf>
    <xf numFmtId="170" fontId="0" fillId="0" borderId="127" xfId="0" applyNumberFormat="1" applyBorder="1" applyAlignment="1">
      <alignment horizontal="center" vertical="center"/>
    </xf>
    <xf numFmtId="170" fontId="0" fillId="0" borderId="105" xfId="0" applyNumberFormat="1" applyBorder="1" applyAlignment="1">
      <alignment horizontal="center" vertical="center"/>
    </xf>
    <xf numFmtId="170" fontId="0" fillId="0" borderId="116" xfId="0" applyNumberFormat="1" applyBorder="1" applyAlignment="1">
      <alignment horizontal="center" vertical="center"/>
    </xf>
    <xf numFmtId="170" fontId="0" fillId="0" borderId="111" xfId="0" applyNumberFormat="1" applyBorder="1" applyAlignment="1">
      <alignment horizontal="center" vertical="center"/>
    </xf>
    <xf numFmtId="0" fontId="14" fillId="7" borderId="129" xfId="0" quotePrefix="1" applyFont="1" applyFill="1" applyBorder="1" applyAlignment="1">
      <alignment horizontal="center" vertical="center" wrapText="1"/>
    </xf>
    <xf numFmtId="0" fontId="14" fillId="7" borderId="129" xfId="0" applyFont="1" applyFill="1" applyBorder="1" applyAlignment="1">
      <alignment horizontal="center" vertical="center" wrapText="1"/>
    </xf>
    <xf numFmtId="0" fontId="14" fillId="4" borderId="127" xfId="0" applyFont="1" applyFill="1" applyBorder="1" applyAlignment="1" applyProtection="1">
      <alignment vertical="top" wrapText="1"/>
      <protection locked="0"/>
    </xf>
    <xf numFmtId="0" fontId="14" fillId="0" borderId="87" xfId="26" applyFont="1" applyBorder="1"/>
    <xf numFmtId="0" fontId="57" fillId="6" borderId="129" xfId="57" applyFont="1" applyFill="1" applyBorder="1" applyAlignment="1">
      <alignment vertical="center"/>
    </xf>
    <xf numFmtId="0" fontId="57" fillId="6" borderId="93" xfId="57" applyFont="1" applyFill="1" applyBorder="1" applyAlignment="1">
      <alignment vertical="center"/>
    </xf>
    <xf numFmtId="0" fontId="57" fillId="6" borderId="91" xfId="57" applyFont="1" applyFill="1" applyBorder="1" applyAlignment="1">
      <alignment vertical="center"/>
    </xf>
    <xf numFmtId="0" fontId="31" fillId="6" borderId="93" xfId="57" applyFont="1" applyFill="1" applyBorder="1" applyAlignment="1">
      <alignment horizontal="center" vertical="center"/>
    </xf>
    <xf numFmtId="0" fontId="31" fillId="6" borderId="93" xfId="57" applyFont="1" applyFill="1" applyBorder="1" applyAlignment="1">
      <alignment vertical="center"/>
    </xf>
    <xf numFmtId="170" fontId="87" fillId="6" borderId="114" xfId="73" applyNumberFormat="1" applyFont="1" applyFill="1" applyBorder="1" applyAlignment="1">
      <alignment horizontal="center" vertical="center"/>
    </xf>
    <xf numFmtId="170" fontId="87" fillId="6" borderId="129" xfId="73" applyNumberFormat="1" applyFont="1" applyFill="1" applyBorder="1" applyAlignment="1">
      <alignment horizontal="center" vertical="center"/>
    </xf>
    <xf numFmtId="0" fontId="34" fillId="0" borderId="127" xfId="57" applyFont="1" applyBorder="1" applyAlignment="1">
      <alignment horizontal="center" vertical="center"/>
    </xf>
    <xf numFmtId="0" fontId="14" fillId="0" borderId="127" xfId="57" applyFont="1" applyBorder="1" applyAlignment="1">
      <alignment horizontal="center" vertical="center" wrapText="1"/>
    </xf>
    <xf numFmtId="0" fontId="14" fillId="0" borderId="127" xfId="50" applyFont="1" applyBorder="1" applyAlignment="1">
      <alignment horizontal="center" vertical="center" wrapText="1"/>
    </xf>
    <xf numFmtId="0" fontId="14" fillId="4" borderId="127" xfId="57" applyFont="1" applyFill="1" applyBorder="1" applyAlignment="1" applyProtection="1">
      <alignment horizontal="center" vertical="center" wrapText="1"/>
      <protection locked="0"/>
    </xf>
    <xf numFmtId="0" fontId="68" fillId="6" borderId="114" xfId="50" applyFont="1" applyFill="1" applyBorder="1" applyAlignment="1">
      <alignment horizontal="left" vertical="center" wrapText="1"/>
    </xf>
    <xf numFmtId="170" fontId="68" fillId="6" borderId="114" xfId="50" applyNumberFormat="1" applyFont="1" applyFill="1" applyBorder="1" applyAlignment="1">
      <alignment horizontal="left" vertical="center" wrapText="1" indent="1"/>
    </xf>
    <xf numFmtId="170" fontId="68" fillId="6" borderId="114" xfId="26" applyNumberFormat="1" applyFont="1" applyFill="1" applyBorder="1" applyAlignment="1">
      <alignment horizontal="left" vertical="center" indent="1" shrinkToFit="1"/>
    </xf>
    <xf numFmtId="0" fontId="14" fillId="0" borderId="127" xfId="50" applyFont="1" applyBorder="1" applyAlignment="1">
      <alignment vertical="center" wrapText="1"/>
    </xf>
    <xf numFmtId="170" fontId="14" fillId="6" borderId="127" xfId="50" applyNumberFormat="1" applyFont="1" applyFill="1" applyBorder="1" applyAlignment="1">
      <alignment horizontal="right" vertical="center" wrapText="1"/>
    </xf>
    <xf numFmtId="170" fontId="14" fillId="0" borderId="127" xfId="26" applyNumberFormat="1" applyFont="1" applyBorder="1" applyAlignment="1">
      <alignment horizontal="right" vertical="center" shrinkToFit="1"/>
    </xf>
    <xf numFmtId="170" fontId="14" fillId="4" borderId="127" xfId="50" applyNumberFormat="1" applyFont="1" applyFill="1" applyBorder="1" applyAlignment="1" applyProtection="1">
      <alignment horizontal="right" vertical="center" wrapText="1"/>
      <protection locked="0"/>
    </xf>
    <xf numFmtId="0" fontId="14" fillId="4" borderId="127" xfId="50" applyFont="1" applyFill="1" applyBorder="1" applyAlignment="1" applyProtection="1">
      <alignment vertical="center" wrapText="1"/>
      <protection locked="0"/>
    </xf>
    <xf numFmtId="170" fontId="14" fillId="0" borderId="92" xfId="26" applyNumberFormat="1" applyFont="1" applyBorder="1" applyAlignment="1">
      <alignment horizontal="right" vertical="center" shrinkToFit="1"/>
    </xf>
    <xf numFmtId="170" fontId="14" fillId="4" borderId="92" xfId="50" applyNumberFormat="1" applyFont="1" applyFill="1" applyBorder="1" applyAlignment="1" applyProtection="1">
      <alignment horizontal="right" vertical="center" wrapText="1"/>
      <protection locked="0"/>
    </xf>
    <xf numFmtId="0" fontId="14" fillId="6" borderId="127" xfId="50" applyFont="1" applyFill="1" applyBorder="1" applyAlignment="1">
      <alignment vertical="center" wrapText="1"/>
    </xf>
    <xf numFmtId="170" fontId="14" fillId="4" borderId="114" xfId="57" applyNumberFormat="1" applyFont="1" applyFill="1" applyBorder="1" applyAlignment="1">
      <alignment horizontal="right" vertical="center" wrapText="1"/>
    </xf>
    <xf numFmtId="170" fontId="14" fillId="4" borderId="127" xfId="26" applyNumberFormat="1" applyFont="1" applyFill="1" applyBorder="1" applyAlignment="1">
      <alignment horizontal="right" vertical="center" wrapText="1"/>
    </xf>
    <xf numFmtId="170" fontId="14" fillId="0" borderId="129" xfId="26" applyNumberFormat="1" applyFont="1" applyBorder="1" applyAlignment="1">
      <alignment horizontal="right" vertical="center" shrinkToFit="1"/>
    </xf>
    <xf numFmtId="170" fontId="14" fillId="4" borderId="119" xfId="50" applyNumberFormat="1" applyFont="1" applyFill="1" applyBorder="1" applyAlignment="1" applyProtection="1">
      <alignment horizontal="right" vertical="center" wrapText="1"/>
      <protection locked="0"/>
    </xf>
    <xf numFmtId="170" fontId="14" fillId="4" borderId="91" xfId="50" applyNumberFormat="1" applyFont="1" applyFill="1" applyBorder="1" applyAlignment="1" applyProtection="1">
      <alignment horizontal="right" vertical="center" wrapText="1"/>
      <protection locked="0"/>
    </xf>
    <xf numFmtId="170" fontId="14" fillId="4" borderId="112" xfId="50" applyNumberFormat="1" applyFont="1" applyFill="1" applyBorder="1" applyAlignment="1" applyProtection="1">
      <alignment horizontal="right" vertical="center" wrapText="1"/>
      <protection locked="0"/>
    </xf>
    <xf numFmtId="170" fontId="14" fillId="4" borderId="105" xfId="50" applyNumberFormat="1" applyFont="1" applyFill="1" applyBorder="1" applyAlignment="1" applyProtection="1">
      <alignment horizontal="right" vertical="center" wrapText="1"/>
      <protection locked="0"/>
    </xf>
    <xf numFmtId="170" fontId="14" fillId="4" borderId="88" xfId="50" applyNumberFormat="1" applyFont="1" applyFill="1" applyBorder="1" applyAlignment="1" applyProtection="1">
      <alignment horizontal="right" vertical="center" wrapText="1"/>
      <protection locked="0"/>
    </xf>
    <xf numFmtId="170" fontId="34" fillId="6" borderId="93" xfId="50" applyNumberFormat="1" applyFont="1" applyFill="1" applyBorder="1" applyAlignment="1">
      <alignment horizontal="right" vertical="center" wrapText="1"/>
    </xf>
    <xf numFmtId="170" fontId="34" fillId="6" borderId="99" xfId="50" applyNumberFormat="1" applyFont="1" applyFill="1" applyBorder="1" applyAlignment="1">
      <alignment horizontal="right" vertical="center" wrapText="1"/>
    </xf>
    <xf numFmtId="170" fontId="14" fillId="6" borderId="114" xfId="50" applyNumberFormat="1" applyFont="1" applyFill="1" applyBorder="1" applyAlignment="1">
      <alignment horizontal="right" vertical="center" wrapText="1"/>
    </xf>
    <xf numFmtId="170" fontId="14" fillId="4" borderId="114" xfId="50" applyNumberFormat="1" applyFont="1" applyFill="1" applyBorder="1" applyAlignment="1" applyProtection="1">
      <alignment horizontal="right" vertical="center" wrapText="1"/>
      <protection locked="0"/>
    </xf>
    <xf numFmtId="0" fontId="14" fillId="4" borderId="92" xfId="50" applyFont="1" applyFill="1" applyBorder="1" applyAlignment="1" applyProtection="1">
      <alignment vertical="center" wrapText="1"/>
      <protection locked="0"/>
    </xf>
    <xf numFmtId="170" fontId="14" fillId="4" borderId="92" xfId="26" applyNumberFormat="1" applyFont="1" applyFill="1" applyBorder="1" applyAlignment="1">
      <alignment horizontal="right" vertical="center" wrapText="1"/>
    </xf>
    <xf numFmtId="0" fontId="34" fillId="56" borderId="114" xfId="0" quotePrefix="1" applyFont="1" applyFill="1" applyBorder="1" applyAlignment="1">
      <alignment horizontal="center" vertical="center" wrapText="1"/>
    </xf>
    <xf numFmtId="0" fontId="34" fillId="56" borderId="114" xfId="0" quotePrefix="1" applyFont="1" applyFill="1" applyBorder="1" applyAlignment="1">
      <alignment horizontal="center" vertical="center"/>
    </xf>
    <xf numFmtId="1" fontId="14" fillId="6" borderId="91" xfId="0" applyNumberFormat="1" applyFont="1" applyFill="1" applyBorder="1" applyAlignment="1">
      <alignment horizontal="center" vertical="center"/>
    </xf>
    <xf numFmtId="5" fontId="14" fillId="6" borderId="127" xfId="0" applyNumberFormat="1" applyFont="1" applyFill="1" applyBorder="1" applyAlignment="1">
      <alignment horizontal="center" vertical="center"/>
    </xf>
    <xf numFmtId="5" fontId="14" fillId="6" borderId="129" xfId="0" applyNumberFormat="1" applyFont="1" applyFill="1" applyBorder="1" applyAlignment="1">
      <alignment horizontal="center" vertical="center"/>
    </xf>
    <xf numFmtId="0" fontId="34" fillId="6" borderId="114" xfId="0" quotePrefix="1" applyFont="1" applyFill="1" applyBorder="1" applyAlignment="1">
      <alignment horizontal="center" vertical="center"/>
    </xf>
    <xf numFmtId="0" fontId="34" fillId="6" borderId="127" xfId="0" quotePrefix="1" applyFont="1" applyFill="1" applyBorder="1" applyAlignment="1">
      <alignment horizontal="center" vertical="center"/>
    </xf>
    <xf numFmtId="1" fontId="14" fillId="6" borderId="88" xfId="0" applyNumberFormat="1" applyFont="1" applyFill="1" applyBorder="1" applyAlignment="1">
      <alignment horizontal="center" vertical="center"/>
    </xf>
    <xf numFmtId="5" fontId="14" fillId="6" borderId="92" xfId="0" applyNumberFormat="1" applyFont="1" applyFill="1" applyBorder="1" applyAlignment="1">
      <alignment horizontal="center" vertical="center"/>
    </xf>
    <xf numFmtId="0" fontId="31" fillId="0" borderId="90" xfId="69" applyFont="1" applyBorder="1" applyAlignment="1">
      <alignment horizontal="center" vertical="center"/>
    </xf>
    <xf numFmtId="0" fontId="14" fillId="0" borderId="88" xfId="0" applyFont="1" applyBorder="1" applyAlignment="1">
      <alignment vertical="center"/>
    </xf>
    <xf numFmtId="0" fontId="16" fillId="0" borderId="90" xfId="26" applyFont="1" applyBorder="1" applyAlignment="1">
      <alignment vertical="top"/>
    </xf>
    <xf numFmtId="0" fontId="19" fillId="0" borderId="90" xfId="26" applyFont="1" applyBorder="1"/>
    <xf numFmtId="0" fontId="65" fillId="0" borderId="90" xfId="26" applyFont="1" applyBorder="1"/>
    <xf numFmtId="0" fontId="9" fillId="0" borderId="93" xfId="26" applyFont="1" applyBorder="1" applyAlignment="1">
      <alignment vertical="center"/>
    </xf>
    <xf numFmtId="0" fontId="22" fillId="0" borderId="87" xfId="26" applyFont="1" applyBorder="1" applyAlignment="1">
      <alignment vertical="center"/>
    </xf>
    <xf numFmtId="0" fontId="22" fillId="0" borderId="88" xfId="26" applyFont="1" applyBorder="1" applyAlignment="1">
      <alignment vertical="center"/>
    </xf>
    <xf numFmtId="0" fontId="22" fillId="0" borderId="90" xfId="26" applyFont="1" applyBorder="1" applyAlignment="1">
      <alignment vertical="center"/>
    </xf>
    <xf numFmtId="0" fontId="62" fillId="6" borderId="129" xfId="26" applyFont="1" applyFill="1" applyBorder="1" applyAlignment="1">
      <alignment vertical="center"/>
    </xf>
    <xf numFmtId="0" fontId="62" fillId="6" borderId="93" xfId="26" applyFont="1" applyFill="1" applyBorder="1" applyAlignment="1">
      <alignment vertical="center"/>
    </xf>
    <xf numFmtId="0" fontId="62" fillId="6" borderId="91" xfId="26" applyFont="1" applyFill="1" applyBorder="1" applyAlignment="1">
      <alignment vertical="center"/>
    </xf>
    <xf numFmtId="0" fontId="22" fillId="0" borderId="89" xfId="26" applyFont="1" applyBorder="1" applyAlignment="1">
      <alignment vertical="center"/>
    </xf>
    <xf numFmtId="0" fontId="22" fillId="0" borderId="89" xfId="26" applyFont="1" applyBorder="1" applyAlignment="1">
      <alignment horizontal="left" vertical="top" wrapText="1"/>
    </xf>
    <xf numFmtId="0" fontId="22" fillId="0" borderId="90" xfId="26" applyFont="1" applyBorder="1" applyAlignment="1">
      <alignment horizontal="left" vertical="center" wrapText="1"/>
    </xf>
    <xf numFmtId="0" fontId="22" fillId="0" borderId="90" xfId="26" applyFont="1" applyBorder="1" applyAlignment="1">
      <alignment horizontal="center" vertical="center"/>
    </xf>
    <xf numFmtId="0" fontId="22" fillId="0" borderId="127" xfId="26" applyFont="1" applyBorder="1" applyAlignment="1">
      <alignment horizontal="center" vertical="top"/>
    </xf>
    <xf numFmtId="0" fontId="14" fillId="0" borderId="93" xfId="0" applyFont="1" applyBorder="1" applyAlignment="1">
      <alignment horizontal="center" vertical="center"/>
    </xf>
    <xf numFmtId="0" fontId="14" fillId="4" borderId="91" xfId="0" applyFont="1" applyFill="1" applyBorder="1" applyAlignment="1">
      <alignment horizontal="center" vertical="center"/>
    </xf>
    <xf numFmtId="0" fontId="14" fillId="0" borderId="129" xfId="0" applyFont="1" applyBorder="1" applyAlignment="1">
      <alignment vertical="center"/>
    </xf>
    <xf numFmtId="0" fontId="14" fillId="0" borderId="93" xfId="0" quotePrefix="1" applyFont="1" applyBorder="1" applyAlignment="1">
      <alignment horizontal="left" vertical="center"/>
    </xf>
    <xf numFmtId="0" fontId="51" fillId="0" borderId="127" xfId="0" applyFont="1" applyBorder="1" applyAlignment="1">
      <alignment horizontal="center" vertical="center" wrapText="1"/>
    </xf>
    <xf numFmtId="0" fontId="50" fillId="0" borderId="127" xfId="0" applyFont="1" applyBorder="1" applyAlignment="1">
      <alignment vertical="center" wrapText="1"/>
    </xf>
    <xf numFmtId="0" fontId="50" fillId="0" borderId="129" xfId="0" applyFont="1" applyBorder="1" applyAlignment="1">
      <alignment horizontal="center" vertical="center" wrapText="1"/>
    </xf>
    <xf numFmtId="0" fontId="14" fillId="0" borderId="87" xfId="0" applyFont="1" applyBorder="1" applyAlignment="1">
      <alignment vertical="center"/>
    </xf>
    <xf numFmtId="0" fontId="65" fillId="20" borderId="114" xfId="59" applyFont="1" applyFill="1" applyBorder="1" applyAlignment="1">
      <alignment horizontal="center" vertical="center" wrapText="1"/>
    </xf>
    <xf numFmtId="0" fontId="65" fillId="19" borderId="91" xfId="59" applyFont="1" applyFill="1" applyBorder="1" applyAlignment="1">
      <alignment horizontal="center" vertical="center" wrapText="1"/>
    </xf>
    <xf numFmtId="0" fontId="65" fillId="20" borderId="91" xfId="59" applyFont="1" applyFill="1" applyBorder="1" applyAlignment="1">
      <alignment horizontal="center" vertical="center" wrapText="1"/>
    </xf>
    <xf numFmtId="0" fontId="34" fillId="0" borderId="90" xfId="60" applyFont="1" applyBorder="1" applyAlignment="1">
      <alignment vertical="center"/>
    </xf>
    <xf numFmtId="0" fontId="14" fillId="0" borderId="87" xfId="0" applyFont="1" applyBorder="1"/>
    <xf numFmtId="0" fontId="14" fillId="0" borderId="88" xfId="0" applyFont="1" applyBorder="1"/>
    <xf numFmtId="5" fontId="14" fillId="6" borderId="89" xfId="50" applyNumberFormat="1" applyFont="1" applyFill="1" applyBorder="1" applyAlignment="1">
      <alignment vertical="center" wrapText="1"/>
    </xf>
    <xf numFmtId="0" fontId="14" fillId="0" borderId="90" xfId="0" applyFont="1" applyBorder="1"/>
    <xf numFmtId="0" fontId="23" fillId="0" borderId="87" xfId="64" quotePrefix="1" applyFont="1" applyBorder="1" applyAlignment="1">
      <alignment horizontal="center" vertical="center"/>
    </xf>
    <xf numFmtId="0" fontId="14" fillId="0" borderId="87" xfId="50" quotePrefix="1" applyFont="1" applyBorder="1" applyAlignment="1">
      <alignment horizontal="left" vertical="center"/>
    </xf>
    <xf numFmtId="0" fontId="22" fillId="0" borderId="87" xfId="50" applyFont="1" applyBorder="1"/>
    <xf numFmtId="170" fontId="23" fillId="0" borderId="87" xfId="50" applyNumberFormat="1" applyFont="1" applyBorder="1" applyAlignment="1">
      <alignment horizontal="center" vertical="center"/>
    </xf>
    <xf numFmtId="170" fontId="14" fillId="0" borderId="87" xfId="50" applyNumberFormat="1" applyFont="1" applyBorder="1" applyAlignment="1">
      <alignment horizontal="center" vertical="center"/>
    </xf>
    <xf numFmtId="0" fontId="45" fillId="6" borderId="89" xfId="50" applyFont="1" applyFill="1" applyBorder="1" applyAlignment="1">
      <alignment vertical="center"/>
    </xf>
    <xf numFmtId="0" fontId="14" fillId="0" borderId="89" xfId="0" applyFont="1" applyBorder="1" applyAlignment="1">
      <alignment horizontal="left" indent="1"/>
    </xf>
    <xf numFmtId="0" fontId="22" fillId="6" borderId="90" xfId="8" applyFill="1" applyBorder="1" applyAlignment="1">
      <alignment vertical="center"/>
    </xf>
    <xf numFmtId="0" fontId="49" fillId="0" borderId="87" xfId="8" applyFont="1" applyBorder="1">
      <alignment horizontal="left" vertical="center"/>
    </xf>
    <xf numFmtId="0" fontId="22" fillId="0" borderId="89" xfId="12" applyFill="1" applyBorder="1" applyAlignment="1">
      <alignment vertical="center" wrapText="1"/>
    </xf>
    <xf numFmtId="0" fontId="22" fillId="6" borderId="89" xfId="12" applyFill="1" applyBorder="1" applyAlignment="1">
      <alignment vertical="center" wrapText="1"/>
    </xf>
    <xf numFmtId="0" fontId="22" fillId="0" borderId="90" xfId="12" applyFill="1" applyBorder="1" applyAlignment="1">
      <alignment vertical="center" wrapText="1"/>
    </xf>
    <xf numFmtId="0" fontId="22" fillId="0" borderId="43" xfId="8" applyBorder="1" applyAlignment="1">
      <alignment vertical="center" wrapText="1"/>
    </xf>
    <xf numFmtId="0" fontId="49" fillId="0" borderId="87" xfId="8" quotePrefix="1" applyFont="1" applyBorder="1">
      <alignment horizontal="left" vertical="center"/>
    </xf>
    <xf numFmtId="0" fontId="34" fillId="0" borderId="89" xfId="12" applyFont="1" applyFill="1" applyBorder="1" applyAlignment="1">
      <alignment vertical="center" wrapText="1"/>
    </xf>
    <xf numFmtId="0" fontId="22" fillId="26" borderId="127" xfId="8" applyFill="1" applyBorder="1" applyAlignment="1">
      <alignment horizontal="center" vertical="center"/>
    </xf>
    <xf numFmtId="0" fontId="46" fillId="0" borderId="87" xfId="8" applyFont="1" applyBorder="1" applyAlignment="1">
      <alignment vertical="center"/>
    </xf>
    <xf numFmtId="0" fontId="98" fillId="0" borderId="87" xfId="8" applyFont="1" applyBorder="1" applyAlignment="1"/>
    <xf numFmtId="0" fontId="98" fillId="0" borderId="88" xfId="8" applyFont="1" applyBorder="1" applyAlignment="1"/>
    <xf numFmtId="0" fontId="49" fillId="6" borderId="90" xfId="8" quotePrefix="1" applyFont="1" applyFill="1" applyBorder="1" applyAlignment="1">
      <alignment horizontal="center" vertical="center" wrapText="1"/>
    </xf>
    <xf numFmtId="0" fontId="22" fillId="26" borderId="127" xfId="8" applyFill="1" applyBorder="1">
      <alignment horizontal="left" vertical="center"/>
    </xf>
    <xf numFmtId="0" fontId="22" fillId="0" borderId="89" xfId="0" applyFont="1" applyBorder="1" applyAlignment="1">
      <alignment vertical="center"/>
    </xf>
    <xf numFmtId="0" fontId="22" fillId="6" borderId="89" xfId="0" applyFont="1" applyFill="1" applyBorder="1" applyAlignment="1">
      <alignment vertical="center"/>
    </xf>
    <xf numFmtId="0" fontId="22" fillId="0" borderId="91" xfId="0" applyFont="1" applyBorder="1" applyAlignment="1">
      <alignment vertical="center"/>
    </xf>
    <xf numFmtId="0" fontId="49" fillId="6" borderId="87" xfId="8" quotePrefix="1" applyFont="1" applyFill="1" applyBorder="1" applyAlignment="1">
      <alignment vertical="center"/>
    </xf>
    <xf numFmtId="0" fontId="55" fillId="0" borderId="127" xfId="8" applyFont="1" applyBorder="1" applyAlignment="1">
      <alignment horizontal="center" vertical="center"/>
    </xf>
    <xf numFmtId="0" fontId="49" fillId="6" borderId="87" xfId="8" applyFont="1" applyFill="1" applyBorder="1" applyAlignment="1">
      <alignment horizontal="center" vertical="center"/>
    </xf>
    <xf numFmtId="9" fontId="22" fillId="0" borderId="127" xfId="0" applyNumberFormat="1" applyFont="1" applyBorder="1" applyAlignment="1">
      <alignment vertical="center"/>
    </xf>
    <xf numFmtId="9" fontId="22" fillId="0" borderId="92" xfId="0" applyNumberFormat="1" applyFont="1" applyBorder="1" applyAlignment="1">
      <alignment vertical="center"/>
    </xf>
    <xf numFmtId="0" fontId="49" fillId="6" borderId="87" xfId="8" quotePrefix="1" applyFont="1" applyFill="1" applyBorder="1" applyAlignment="1">
      <alignment horizontal="center" vertical="center" wrapText="1"/>
    </xf>
    <xf numFmtId="0" fontId="49" fillId="0" borderId="87" xfId="8" applyFont="1" applyBorder="1" applyAlignment="1">
      <alignment horizontal="center" vertical="center"/>
    </xf>
    <xf numFmtId="0" fontId="49" fillId="0" borderId="127" xfId="0" applyFont="1" applyBorder="1" applyAlignment="1">
      <alignment horizontal="center" vertical="center"/>
    </xf>
    <xf numFmtId="0" fontId="14" fillId="0" borderId="90" xfId="0" applyFont="1" applyBorder="1" applyAlignment="1">
      <alignment horizontal="left" vertical="center" indent="1"/>
    </xf>
    <xf numFmtId="0" fontId="14" fillId="6" borderId="120" xfId="21" applyFont="1" applyFill="1" applyBorder="1" applyAlignment="1">
      <alignment vertical="center" wrapText="1"/>
    </xf>
    <xf numFmtId="0" fontId="13" fillId="6" borderId="120" xfId="21" applyFont="1" applyFill="1" applyBorder="1"/>
    <xf numFmtId="0" fontId="14" fillId="6" borderId="120" xfId="21" applyFont="1" applyFill="1" applyBorder="1"/>
    <xf numFmtId="0" fontId="14" fillId="6" borderId="87" xfId="0" quotePrefix="1" applyFont="1" applyFill="1" applyBorder="1" applyAlignment="1">
      <alignment vertical="center" wrapText="1"/>
    </xf>
    <xf numFmtId="0" fontId="45" fillId="6" borderId="93" xfId="0" applyFont="1" applyFill="1" applyBorder="1" applyAlignment="1">
      <alignment horizontal="left" vertical="center"/>
    </xf>
    <xf numFmtId="0" fontId="45" fillId="6" borderId="93" xfId="0" applyFont="1" applyFill="1" applyBorder="1" applyAlignment="1">
      <alignment vertical="center"/>
    </xf>
    <xf numFmtId="0" fontId="45" fillId="6" borderId="90" xfId="0" applyFont="1" applyFill="1" applyBorder="1" applyAlignment="1">
      <alignment horizontal="left" vertical="center"/>
    </xf>
    <xf numFmtId="0" fontId="14" fillId="6" borderId="89" xfId="0" quotePrefix="1" applyFont="1" applyFill="1" applyBorder="1" applyAlignment="1">
      <alignment vertical="center" wrapText="1"/>
    </xf>
    <xf numFmtId="0" fontId="23" fillId="37" borderId="127" xfId="44" applyFont="1" applyFill="1" applyBorder="1" applyAlignment="1">
      <alignment horizontal="center" vertical="center" wrapText="1"/>
    </xf>
    <xf numFmtId="168" fontId="22" fillId="4" borderId="127" xfId="44" applyNumberFormat="1" applyFont="1" applyFill="1" applyBorder="1" applyAlignment="1" applyProtection="1">
      <alignment horizontal="left" vertical="center" wrapText="1"/>
      <protection locked="0"/>
    </xf>
    <xf numFmtId="0" fontId="126" fillId="6" borderId="0" xfId="8" applyFont="1" applyFill="1" applyAlignment="1">
      <alignment vertical="center"/>
    </xf>
    <xf numFmtId="0" fontId="14" fillId="6" borderId="150" xfId="0" applyFont="1" applyFill="1" applyBorder="1" applyAlignment="1">
      <alignment vertical="center"/>
    </xf>
    <xf numFmtId="0" fontId="22" fillId="6" borderId="150" xfId="8" applyFill="1" applyBorder="1" applyAlignment="1">
      <alignment horizontal="center" vertical="center" wrapText="1"/>
    </xf>
    <xf numFmtId="0" fontId="23" fillId="6" borderId="150" xfId="8" applyFont="1" applyFill="1" applyBorder="1" applyAlignment="1">
      <alignment horizontal="center" vertical="center" wrapText="1"/>
    </xf>
    <xf numFmtId="0" fontId="14" fillId="6" borderId="150" xfId="26" applyFont="1" applyFill="1" applyBorder="1" applyAlignment="1">
      <alignment horizontal="center" vertical="center" wrapText="1"/>
    </xf>
    <xf numFmtId="170" fontId="14" fillId="4" borderId="150" xfId="26" applyNumberFormat="1" applyFont="1" applyFill="1" applyBorder="1" applyAlignment="1" applyProtection="1">
      <alignment horizontal="right" vertical="center"/>
      <protection locked="0"/>
    </xf>
    <xf numFmtId="0" fontId="14" fillId="0" borderId="150" xfId="8" applyFont="1" applyBorder="1" applyAlignment="1">
      <alignment vertical="center"/>
    </xf>
    <xf numFmtId="0" fontId="14" fillId="0" borderId="150" xfId="26" applyFont="1" applyBorder="1" applyAlignment="1">
      <alignment horizontal="left" vertical="center"/>
    </xf>
    <xf numFmtId="10" fontId="23" fillId="27" borderId="150" xfId="73" applyNumberFormat="1" applyFont="1" applyFill="1" applyBorder="1" applyAlignment="1">
      <alignment horizontal="center" vertical="center"/>
    </xf>
    <xf numFmtId="0" fontId="22" fillId="0" borderId="150" xfId="73" applyFont="1" applyBorder="1" applyAlignment="1">
      <alignment horizontal="center" vertical="center"/>
    </xf>
    <xf numFmtId="0" fontId="22" fillId="0" borderId="150" xfId="0" applyFont="1" applyBorder="1" applyAlignment="1">
      <alignment horizontal="center" vertical="center"/>
    </xf>
    <xf numFmtId="1" fontId="68" fillId="6" borderId="150" xfId="73" applyNumberFormat="1" applyFont="1" applyFill="1" applyBorder="1" applyAlignment="1">
      <alignment horizontal="center" vertical="center"/>
    </xf>
    <xf numFmtId="0" fontId="14" fillId="0" borderId="150" xfId="26" applyFont="1" applyBorder="1" applyAlignment="1">
      <alignment horizontal="center" vertical="center"/>
    </xf>
    <xf numFmtId="170" fontId="14" fillId="4" borderId="150" xfId="50" applyNumberFormat="1" applyFont="1" applyFill="1" applyBorder="1" applyAlignment="1" applyProtection="1">
      <alignment horizontal="right" vertical="center" wrapText="1"/>
      <protection locked="0"/>
    </xf>
    <xf numFmtId="0" fontId="34" fillId="56" borderId="150" xfId="0" applyFont="1" applyFill="1" applyBorder="1" applyAlignment="1">
      <alignment horizontal="center" vertical="center" wrapText="1"/>
    </xf>
    <xf numFmtId="0" fontId="22" fillId="0" borderId="150" xfId="26" applyFont="1" applyBorder="1" applyAlignment="1">
      <alignment vertical="center"/>
    </xf>
    <xf numFmtId="168" fontId="65" fillId="3" borderId="150" xfId="59" quotePrefix="1" applyNumberFormat="1" applyFont="1" applyFill="1" applyBorder="1" applyAlignment="1">
      <alignment horizontal="center" vertical="center" wrapText="1"/>
    </xf>
    <xf numFmtId="0" fontId="14" fillId="0" borderId="150" xfId="0" applyFont="1" applyBorder="1"/>
    <xf numFmtId="0" fontId="22" fillId="6" borderId="150" xfId="8" applyFill="1" applyBorder="1" applyAlignment="1">
      <alignment vertical="center"/>
    </xf>
    <xf numFmtId="0" fontId="22" fillId="0" borderId="150" xfId="8" applyBorder="1" applyAlignment="1">
      <alignment vertical="center"/>
    </xf>
    <xf numFmtId="2" fontId="22" fillId="0" borderId="150" xfId="12" applyNumberFormat="1" applyFill="1" applyBorder="1" applyAlignment="1">
      <alignment vertical="center" wrapText="1"/>
    </xf>
    <xf numFmtId="0" fontId="22" fillId="0" borderId="150" xfId="46" applyFill="1" applyBorder="1" applyAlignment="1">
      <alignment vertical="center" wrapText="1"/>
      <protection locked="0"/>
    </xf>
    <xf numFmtId="0" fontId="22" fillId="0" borderId="150" xfId="0" applyFont="1" applyBorder="1" applyAlignment="1">
      <alignment vertical="center"/>
    </xf>
    <xf numFmtId="0" fontId="14" fillId="0" borderId="150" xfId="0" applyFont="1" applyBorder="1" applyAlignment="1">
      <alignment vertical="center"/>
    </xf>
    <xf numFmtId="0" fontId="14" fillId="0" borderId="150" xfId="0" applyFont="1" applyBorder="1" applyAlignment="1">
      <alignment horizontal="left" vertical="center" indent="1"/>
    </xf>
    <xf numFmtId="0" fontId="126" fillId="6" borderId="150" xfId="8" applyFont="1" applyFill="1" applyBorder="1">
      <alignment horizontal="left" vertical="center"/>
    </xf>
    <xf numFmtId="166" fontId="74" fillId="0" borderId="0" xfId="4" applyNumberFormat="1" applyFont="1" applyAlignment="1" applyProtection="1">
      <alignment vertical="center" wrapText="1"/>
    </xf>
    <xf numFmtId="0" fontId="55" fillId="6" borderId="0" xfId="73" applyFont="1" applyFill="1" applyAlignment="1">
      <alignment vertical="center"/>
    </xf>
    <xf numFmtId="0" fontId="55" fillId="0" borderId="0" xfId="73" applyFont="1" applyAlignment="1">
      <alignment vertical="center"/>
    </xf>
    <xf numFmtId="0" fontId="55" fillId="6" borderId="0" xfId="73" applyFont="1" applyFill="1" applyAlignment="1">
      <alignment horizontal="left" vertical="center" indent="1"/>
    </xf>
    <xf numFmtId="0" fontId="22" fillId="0" borderId="0" xfId="8" quotePrefix="1" applyAlignment="1">
      <alignment horizontal="center" vertical="center"/>
    </xf>
    <xf numFmtId="0" fontId="98" fillId="0" borderId="0" xfId="8" quotePrefix="1" applyFont="1" applyAlignment="1">
      <alignment horizontal="center" vertical="center"/>
    </xf>
    <xf numFmtId="0" fontId="160" fillId="0" borderId="0" xfId="0" applyFont="1"/>
    <xf numFmtId="0" fontId="151" fillId="0" borderId="0" xfId="0" applyFont="1"/>
    <xf numFmtId="170" fontId="9" fillId="0" borderId="0" xfId="205" applyNumberFormat="1"/>
    <xf numFmtId="0" fontId="14" fillId="0" borderId="0" xfId="0" applyFont="1" applyAlignment="1">
      <alignment wrapText="1"/>
    </xf>
    <xf numFmtId="0" fontId="45" fillId="0" borderId="0" xfId="8" quotePrefix="1" applyFont="1" applyAlignment="1">
      <alignment horizontal="center" vertical="center"/>
    </xf>
    <xf numFmtId="0" fontId="22" fillId="0" borderId="0" xfId="209" applyFont="1" applyAlignment="1">
      <alignment horizontal="left" vertical="center"/>
    </xf>
    <xf numFmtId="0" fontId="22" fillId="0" borderId="24" xfId="209" applyFont="1" applyBorder="1" applyAlignment="1">
      <alignment vertical="center"/>
    </xf>
    <xf numFmtId="0" fontId="22" fillId="0" borderId="0" xfId="209" applyFont="1" applyAlignment="1">
      <alignment vertical="center"/>
    </xf>
    <xf numFmtId="0" fontId="126" fillId="0" borderId="24" xfId="209" applyFont="1" applyBorder="1" applyAlignment="1">
      <alignment horizontal="left" vertical="center"/>
    </xf>
    <xf numFmtId="0" fontId="126" fillId="0" borderId="0" xfId="209" applyFont="1" applyAlignment="1">
      <alignment horizontal="left" vertical="center"/>
    </xf>
    <xf numFmtId="0" fontId="126" fillId="0" borderId="89" xfId="209" applyFont="1" applyBorder="1" applyAlignment="1">
      <alignment horizontal="left" vertical="center"/>
    </xf>
    <xf numFmtId="0" fontId="126" fillId="0" borderId="0" xfId="8" applyFont="1">
      <alignment horizontal="left" vertical="center"/>
    </xf>
    <xf numFmtId="0" fontId="156" fillId="0" borderId="0" xfId="8" applyFont="1" applyAlignment="1"/>
    <xf numFmtId="0" fontId="13" fillId="6" borderId="89" xfId="8" applyFont="1" applyFill="1" applyBorder="1" applyAlignment="1">
      <alignment vertical="center"/>
    </xf>
    <xf numFmtId="0" fontId="163" fillId="0" borderId="0" xfId="209" applyFont="1" applyAlignment="1">
      <alignment horizontal="left" vertical="center"/>
    </xf>
    <xf numFmtId="0" fontId="156" fillId="6" borderId="0" xfId="213" applyFont="1" applyFill="1" applyBorder="1" applyAlignment="1">
      <alignment vertical="center" wrapText="1"/>
    </xf>
    <xf numFmtId="0" fontId="57" fillId="6" borderId="0" xfId="213" applyFont="1" applyFill="1" applyBorder="1" applyAlignment="1">
      <alignment vertical="center" wrapText="1"/>
    </xf>
    <xf numFmtId="0" fontId="126" fillId="0" borderId="0" xfId="8" applyFont="1" applyAlignment="1">
      <alignment horizontal="center" vertical="center"/>
    </xf>
    <xf numFmtId="0" fontId="126" fillId="0" borderId="87" xfId="209" applyFont="1" applyBorder="1" applyAlignment="1">
      <alignment horizontal="left" vertical="center"/>
    </xf>
    <xf numFmtId="0" fontId="126" fillId="0" borderId="88" xfId="209" applyFont="1" applyBorder="1" applyAlignment="1">
      <alignment horizontal="left" vertical="center"/>
    </xf>
    <xf numFmtId="0" fontId="57" fillId="6" borderId="90" xfId="213" applyFont="1" applyFill="1" applyBorder="1" applyAlignment="1">
      <alignment vertical="center" wrapText="1"/>
    </xf>
    <xf numFmtId="0" fontId="57" fillId="6" borderId="150" xfId="213" applyFont="1" applyFill="1" applyBorder="1" applyAlignment="1">
      <alignment vertical="center" wrapText="1"/>
    </xf>
    <xf numFmtId="0" fontId="29" fillId="6" borderId="0" xfId="213" applyFont="1" applyFill="1" applyBorder="1" applyAlignment="1">
      <alignment vertical="center" wrapText="1"/>
    </xf>
    <xf numFmtId="0" fontId="156" fillId="0" borderId="0" xfId="213" applyFont="1" applyFill="1" applyBorder="1" applyAlignment="1">
      <alignment vertical="center" wrapText="1"/>
    </xf>
    <xf numFmtId="0" fontId="126" fillId="0" borderId="104" xfId="209" applyFont="1" applyBorder="1" applyAlignment="1">
      <alignment horizontal="left" vertical="center"/>
    </xf>
    <xf numFmtId="0" fontId="126" fillId="0" borderId="90" xfId="209" applyFont="1" applyBorder="1" applyAlignment="1">
      <alignment horizontal="left" vertical="center"/>
    </xf>
    <xf numFmtId="0" fontId="22" fillId="0" borderId="24" xfId="209" applyFont="1" applyBorder="1" applyAlignment="1">
      <alignment horizontal="left" vertical="center"/>
    </xf>
    <xf numFmtId="0" fontId="22" fillId="0" borderId="0" xfId="214" applyFont="1" applyAlignment="1">
      <alignment vertical="center" wrapText="1"/>
    </xf>
    <xf numFmtId="0" fontId="22" fillId="0" borderId="0" xfId="210" applyFill="1" applyBorder="1" applyAlignment="1">
      <alignment horizontal="center" vertical="center" wrapText="1"/>
      <protection locked="0"/>
    </xf>
    <xf numFmtId="0" fontId="9" fillId="0" borderId="0" xfId="214"/>
    <xf numFmtId="0" fontId="164" fillId="0" borderId="0" xfId="214" applyFont="1" applyAlignment="1">
      <alignment vertical="center"/>
    </xf>
    <xf numFmtId="0" fontId="165" fillId="0" borderId="0" xfId="214" applyFont="1" applyAlignment="1">
      <alignment vertical="center"/>
    </xf>
    <xf numFmtId="0" fontId="155" fillId="0" borderId="0" xfId="214" quotePrefix="1" applyFont="1" applyAlignment="1">
      <alignment vertical="center" wrapText="1"/>
    </xf>
    <xf numFmtId="0" fontId="14" fillId="6" borderId="0" xfId="214" applyFont="1" applyFill="1"/>
    <xf numFmtId="0" fontId="14" fillId="0" borderId="0" xfId="214" applyFont="1" applyAlignment="1">
      <alignment vertical="center"/>
    </xf>
    <xf numFmtId="0" fontId="126" fillId="6" borderId="0" xfId="214" applyFont="1" applyFill="1" applyAlignment="1">
      <alignment vertical="center"/>
    </xf>
    <xf numFmtId="0" fontId="126" fillId="0" borderId="0" xfId="214" applyFont="1" applyAlignment="1">
      <alignment vertical="center"/>
    </xf>
    <xf numFmtId="0" fontId="109" fillId="0" borderId="0" xfId="214" applyFont="1" applyAlignment="1">
      <alignment vertical="center"/>
    </xf>
    <xf numFmtId="0" fontId="157" fillId="0" borderId="89" xfId="214" applyFont="1" applyBorder="1" applyAlignment="1">
      <alignment horizontal="left" vertical="center"/>
    </xf>
    <xf numFmtId="0" fontId="13" fillId="0" borderId="0" xfId="214" applyFont="1" applyAlignment="1">
      <alignment vertical="center"/>
    </xf>
    <xf numFmtId="0" fontId="13" fillId="0" borderId="89" xfId="214" applyFont="1" applyBorder="1" applyAlignment="1">
      <alignment vertical="center"/>
    </xf>
    <xf numFmtId="0" fontId="22" fillId="0" borderId="0" xfId="214" applyFont="1" applyAlignment="1">
      <alignment vertical="center"/>
    </xf>
    <xf numFmtId="0" fontId="9" fillId="0" borderId="0" xfId="214" applyProtection="1">
      <protection locked="0"/>
    </xf>
    <xf numFmtId="0" fontId="12" fillId="0" borderId="0" xfId="0" applyFont="1"/>
    <xf numFmtId="0" fontId="0" fillId="0" borderId="0" xfId="0" applyAlignment="1">
      <alignment horizontal="left" vertical="center" wrapText="1"/>
    </xf>
    <xf numFmtId="0" fontId="12" fillId="0" borderId="0" xfId="0" applyFont="1" applyAlignment="1">
      <alignment horizontal="left" vertical="center"/>
    </xf>
    <xf numFmtId="0" fontId="142" fillId="0" borderId="0" xfId="0" applyFont="1" applyAlignment="1">
      <alignment horizontal="left" vertical="center"/>
    </xf>
    <xf numFmtId="0" fontId="126" fillId="0" borderId="90" xfId="210" applyFont="1" applyFill="1" applyBorder="1" applyAlignment="1" applyProtection="1">
      <alignment horizontal="center" vertical="center" wrapText="1"/>
    </xf>
    <xf numFmtId="0" fontId="126" fillId="0" borderId="150" xfId="210" applyFont="1" applyFill="1" applyBorder="1" applyAlignment="1" applyProtection="1">
      <alignment horizontal="center" vertical="center" wrapText="1"/>
    </xf>
    <xf numFmtId="0" fontId="126" fillId="0" borderId="91" xfId="210" applyFont="1" applyFill="1" applyBorder="1" applyAlignment="1" applyProtection="1">
      <alignment horizontal="center" vertical="center" wrapText="1"/>
    </xf>
    <xf numFmtId="0" fontId="126" fillId="0" borderId="93" xfId="210" applyFont="1" applyFill="1" applyBorder="1" applyAlignment="1" applyProtection="1">
      <alignment horizontal="center" vertical="center" wrapText="1"/>
    </xf>
    <xf numFmtId="0" fontId="126" fillId="0" borderId="0" xfId="210" applyFont="1" applyFill="1" applyBorder="1" applyAlignment="1" applyProtection="1">
      <alignment horizontal="center" vertical="center" wrapText="1"/>
    </xf>
    <xf numFmtId="0" fontId="13" fillId="0" borderId="89" xfId="214" applyFont="1" applyBorder="1"/>
    <xf numFmtId="0" fontId="1" fillId="0" borderId="0" xfId="78" applyFont="1"/>
    <xf numFmtId="9" fontId="1" fillId="0" borderId="0" xfId="78" applyNumberFormat="1" applyFont="1" applyAlignment="1">
      <alignment horizontal="left"/>
    </xf>
    <xf numFmtId="0" fontId="1" fillId="0" borderId="0" xfId="78" applyFont="1" applyAlignment="1">
      <alignment horizontal="center"/>
    </xf>
    <xf numFmtId="0" fontId="1" fillId="0" borderId="0" xfId="78" applyFont="1" applyAlignment="1">
      <alignment wrapText="1"/>
    </xf>
    <xf numFmtId="169" fontId="1" fillId="0" borderId="0" xfId="78" applyNumberFormat="1" applyFont="1" applyAlignment="1">
      <alignment horizontal="left"/>
    </xf>
    <xf numFmtId="0" fontId="1" fillId="0" borderId="0" xfId="78" applyFont="1" applyAlignment="1">
      <alignment horizontal="left"/>
    </xf>
    <xf numFmtId="0" fontId="1" fillId="0" borderId="0" xfId="73" applyFont="1"/>
    <xf numFmtId="0" fontId="1" fillId="0" borderId="0" xfId="73" applyFont="1" applyAlignment="1">
      <alignment horizontal="right"/>
    </xf>
    <xf numFmtId="0" fontId="1" fillId="0" borderId="0" xfId="0" applyFont="1" applyAlignment="1">
      <alignment vertical="center"/>
    </xf>
    <xf numFmtId="0" fontId="1" fillId="0" borderId="1" xfId="73" applyFont="1" applyBorder="1" applyAlignment="1">
      <alignment horizontal="center" vertical="center"/>
    </xf>
    <xf numFmtId="0" fontId="1" fillId="0" borderId="3" xfId="73" applyFont="1" applyBorder="1" applyAlignment="1">
      <alignment horizontal="center" vertical="center"/>
    </xf>
    <xf numFmtId="170" fontId="1" fillId="49" borderId="62" xfId="73" applyNumberFormat="1" applyFont="1" applyFill="1" applyBorder="1" applyAlignment="1">
      <alignment horizontal="center" vertical="center"/>
    </xf>
    <xf numFmtId="170" fontId="1" fillId="49" borderId="49" xfId="73" applyNumberFormat="1" applyFont="1" applyFill="1" applyBorder="1" applyAlignment="1">
      <alignment horizontal="center" vertical="center"/>
    </xf>
    <xf numFmtId="170" fontId="1" fillId="49" borderId="50" xfId="73" applyNumberFormat="1" applyFont="1" applyFill="1" applyBorder="1" applyAlignment="1">
      <alignment horizontal="center" vertical="center"/>
    </xf>
    <xf numFmtId="0" fontId="1" fillId="0" borderId="0" xfId="188" applyFont="1" applyAlignment="1">
      <alignment wrapText="1"/>
    </xf>
    <xf numFmtId="0" fontId="1" fillId="6" borderId="0" xfId="73" applyFont="1" applyFill="1"/>
    <xf numFmtId="0" fontId="1" fillId="0" borderId="24" xfId="0" applyFont="1" applyBorder="1" applyAlignment="1">
      <alignment vertical="center"/>
    </xf>
    <xf numFmtId="0" fontId="1" fillId="0" borderId="0" xfId="44" applyFont="1" applyAlignment="1">
      <alignment vertical="center"/>
    </xf>
    <xf numFmtId="0" fontId="1" fillId="6" borderId="0" xfId="44" applyFont="1" applyFill="1"/>
    <xf numFmtId="14" fontId="14" fillId="0" borderId="120" xfId="26" applyNumberFormat="1" applyFont="1" applyBorder="1" applyAlignment="1">
      <alignment horizontal="center" vertical="center"/>
    </xf>
    <xf numFmtId="0" fontId="81" fillId="71" borderId="93" xfId="209" applyFont="1" applyFill="1" applyBorder="1" applyAlignment="1">
      <alignment vertical="center"/>
    </xf>
    <xf numFmtId="0" fontId="81" fillId="71" borderId="129" xfId="209" applyFont="1" applyFill="1" applyBorder="1" applyAlignment="1">
      <alignment vertical="center"/>
    </xf>
    <xf numFmtId="0" fontId="22" fillId="71" borderId="93" xfId="209" applyFont="1" applyFill="1" applyBorder="1" applyAlignment="1">
      <alignment horizontal="left" vertical="center"/>
    </xf>
    <xf numFmtId="0" fontId="22" fillId="71" borderId="91" xfId="209" applyFont="1" applyFill="1" applyBorder="1" applyAlignment="1">
      <alignment horizontal="left" vertical="center"/>
    </xf>
    <xf numFmtId="0" fontId="9" fillId="0" borderId="92" xfId="21" applyFont="1" applyBorder="1" applyAlignment="1">
      <alignment horizontal="center" vertical="center"/>
    </xf>
    <xf numFmtId="0" fontId="22" fillId="0" borderId="151" xfId="8" applyBorder="1" applyAlignment="1">
      <alignment vertical="center"/>
    </xf>
    <xf numFmtId="174" fontId="12" fillId="37" borderId="152" xfId="205" applyNumberFormat="1" applyFont="1" applyFill="1" applyBorder="1" applyAlignment="1">
      <alignment horizontal="center" vertical="center" wrapText="1"/>
    </xf>
    <xf numFmtId="0" fontId="14" fillId="37" borderId="127" xfId="147" applyFont="1" applyFill="1" applyBorder="1" applyAlignment="1">
      <alignment horizontal="center" vertical="center" wrapText="1"/>
    </xf>
    <xf numFmtId="170" fontId="68" fillId="6" borderId="114" xfId="57" applyNumberFormat="1" applyFont="1" applyFill="1" applyBorder="1" applyAlignment="1">
      <alignment horizontal="left" vertical="center" wrapText="1" indent="1"/>
    </xf>
    <xf numFmtId="170" fontId="14" fillId="0" borderId="114" xfId="50" applyNumberFormat="1" applyFont="1" applyBorder="1" applyAlignment="1">
      <alignment horizontal="right" vertical="center" wrapText="1"/>
    </xf>
    <xf numFmtId="170" fontId="34" fillId="0" borderId="127" xfId="50" applyNumberFormat="1" applyFont="1" applyBorder="1" applyAlignment="1">
      <alignment horizontal="right" vertical="center" wrapText="1"/>
    </xf>
    <xf numFmtId="170" fontId="34" fillId="0" borderId="89" xfId="50" applyNumberFormat="1" applyFont="1" applyBorder="1" applyAlignment="1">
      <alignment horizontal="right" vertical="center" wrapText="1"/>
    </xf>
    <xf numFmtId="170" fontId="14" fillId="0" borderId="127" xfId="50" applyNumberFormat="1" applyFont="1" applyBorder="1" applyAlignment="1">
      <alignment horizontal="right" vertical="center" wrapText="1"/>
    </xf>
    <xf numFmtId="0" fontId="23" fillId="0" borderId="90" xfId="0" applyFont="1" applyBorder="1" applyAlignment="1">
      <alignment vertical="center" wrapText="1"/>
    </xf>
    <xf numFmtId="0" fontId="45" fillId="0" borderId="87" xfId="0" applyFont="1" applyBorder="1" applyAlignment="1">
      <alignment horizontal="left" vertical="center"/>
    </xf>
    <xf numFmtId="0" fontId="45" fillId="0" borderId="93" xfId="0" applyFont="1" applyBorder="1" applyAlignment="1">
      <alignment horizontal="left" vertical="center"/>
    </xf>
    <xf numFmtId="0" fontId="45" fillId="0" borderId="93" xfId="0" applyFont="1" applyBorder="1" applyAlignment="1">
      <alignment vertical="center"/>
    </xf>
    <xf numFmtId="0" fontId="45" fillId="0" borderId="90" xfId="0" applyFont="1" applyBorder="1" applyAlignment="1">
      <alignment horizontal="left" vertical="center"/>
    </xf>
    <xf numFmtId="0" fontId="45" fillId="0" borderId="90" xfId="0" applyFont="1" applyBorder="1" applyAlignment="1">
      <alignment vertical="center"/>
    </xf>
    <xf numFmtId="0" fontId="45" fillId="0" borderId="0" xfId="19" applyFont="1" applyFill="1" applyBorder="1" applyAlignment="1">
      <alignment vertical="center" wrapText="1"/>
    </xf>
    <xf numFmtId="0" fontId="22" fillId="0" borderId="0" xfId="0" applyFont="1" applyAlignment="1" applyProtection="1">
      <alignment vertical="center" wrapText="1"/>
      <protection locked="0"/>
    </xf>
    <xf numFmtId="0" fontId="22" fillId="0" borderId="89" xfId="0" applyFont="1" applyBorder="1" applyAlignment="1" applyProtection="1">
      <alignment vertical="center" wrapText="1"/>
      <protection locked="0"/>
    </xf>
    <xf numFmtId="0" fontId="9" fillId="13" borderId="0" xfId="205" applyFill="1"/>
    <xf numFmtId="0" fontId="22" fillId="0" borderId="0" xfId="1" applyFill="1" applyBorder="1" applyAlignment="1">
      <alignment vertical="center" wrapText="1"/>
    </xf>
    <xf numFmtId="0" fontId="22" fillId="0" borderId="24" xfId="0" applyFont="1" applyBorder="1" applyAlignment="1" applyProtection="1">
      <alignment vertical="center" wrapText="1"/>
      <protection locked="0"/>
    </xf>
    <xf numFmtId="0" fontId="12" fillId="0" borderId="153" xfId="205" applyFont="1" applyBorder="1" applyAlignment="1">
      <alignment horizontal="center" vertical="center"/>
    </xf>
    <xf numFmtId="0" fontId="9" fillId="65" borderId="132" xfId="205" applyFill="1" applyBorder="1" applyAlignment="1">
      <alignment horizontal="center" vertical="center" wrapText="1"/>
    </xf>
    <xf numFmtId="187" fontId="9" fillId="37" borderId="132" xfId="205" applyNumberFormat="1" applyFill="1" applyBorder="1" applyAlignment="1">
      <alignment horizontal="center" vertical="top" wrapText="1"/>
    </xf>
    <xf numFmtId="174" fontId="9" fillId="65" borderId="141" xfId="205" applyNumberFormat="1" applyFill="1" applyBorder="1" applyAlignment="1">
      <alignment horizontal="center" vertical="top" wrapText="1"/>
    </xf>
    <xf numFmtId="187" fontId="9" fillId="37" borderId="139" xfId="205" applyNumberFormat="1" applyFill="1" applyBorder="1" applyAlignment="1">
      <alignment horizontal="center" vertical="top" wrapText="1"/>
    </xf>
    <xf numFmtId="0" fontId="9" fillId="37" borderId="139" xfId="205" applyFill="1" applyBorder="1" applyAlignment="1">
      <alignment vertical="top" wrapText="1"/>
    </xf>
    <xf numFmtId="0" fontId="9" fillId="0" borderId="139" xfId="205" applyBorder="1" applyAlignment="1">
      <alignment horizontal="right" vertical="top" wrapText="1"/>
    </xf>
    <xf numFmtId="0" fontId="9" fillId="0" borderId="158" xfId="205" applyBorder="1" applyAlignment="1">
      <alignment horizontal="left" vertical="top" wrapText="1"/>
    </xf>
    <xf numFmtId="174" fontId="9" fillId="37" borderId="139" xfId="205" applyNumberFormat="1" applyFill="1" applyBorder="1" applyAlignment="1">
      <alignment horizontal="center" vertical="top" wrapText="1"/>
    </xf>
    <xf numFmtId="0" fontId="9" fillId="0" borderId="160" xfId="205" applyBorder="1" applyAlignment="1">
      <alignment horizontal="left" vertical="top" wrapText="1"/>
    </xf>
    <xf numFmtId="174" fontId="9" fillId="65" borderId="160" xfId="205" applyNumberFormat="1" applyFill="1" applyBorder="1" applyAlignment="1">
      <alignment horizontal="center" vertical="top" wrapText="1"/>
    </xf>
    <xf numFmtId="0" fontId="9" fillId="0" borderId="160" xfId="205" applyBorder="1" applyAlignment="1">
      <alignment vertical="top" wrapText="1"/>
    </xf>
    <xf numFmtId="0" fontId="9" fillId="0" borderId="133" xfId="205" applyBorder="1" applyAlignment="1">
      <alignment horizontal="left" vertical="top" wrapText="1"/>
    </xf>
    <xf numFmtId="174" fontId="9" fillId="37" borderId="161" xfId="205" applyNumberFormat="1" applyFill="1" applyBorder="1" applyAlignment="1">
      <alignment horizontal="center" vertical="top" wrapText="1"/>
    </xf>
    <xf numFmtId="0" fontId="9" fillId="0" borderId="161" xfId="205" applyBorder="1" applyAlignment="1">
      <alignment vertical="top" wrapText="1"/>
    </xf>
    <xf numFmtId="0" fontId="9" fillId="0" borderId="138" xfId="205" applyBorder="1" applyAlignment="1">
      <alignment horizontal="center" vertical="center" wrapText="1"/>
    </xf>
    <xf numFmtId="0" fontId="14" fillId="25" borderId="87" xfId="0" quotePrefix="1" applyFont="1" applyFill="1" applyBorder="1" applyAlignment="1">
      <alignment vertical="center" wrapText="1"/>
    </xf>
    <xf numFmtId="0" fontId="54" fillId="25" borderId="0" xfId="0" quotePrefix="1" applyFont="1" applyFill="1" applyAlignment="1">
      <alignment vertical="center" wrapText="1"/>
    </xf>
    <xf numFmtId="0" fontId="45" fillId="25" borderId="87" xfId="0" applyFont="1" applyFill="1" applyBorder="1" applyAlignment="1">
      <alignment horizontal="left" vertical="center"/>
    </xf>
    <xf numFmtId="0" fontId="22" fillId="75" borderId="93" xfId="45" applyFill="1" applyBorder="1" applyAlignment="1">
      <alignment vertical="center" wrapText="1"/>
    </xf>
    <xf numFmtId="0" fontId="74" fillId="0" borderId="0" xfId="4" applyFont="1" applyAlignment="1">
      <alignment horizontal="center" vertical="center" wrapText="1"/>
      <protection locked="0"/>
    </xf>
    <xf numFmtId="0" fontId="9" fillId="0" borderId="0" xfId="205" applyAlignment="1">
      <alignment wrapText="1"/>
    </xf>
    <xf numFmtId="0" fontId="45" fillId="25" borderId="93" xfId="0" applyFont="1" applyFill="1" applyBorder="1" applyAlignment="1">
      <alignment horizontal="left" vertical="center"/>
    </xf>
    <xf numFmtId="170" fontId="34" fillId="6" borderId="91" xfId="50" applyNumberFormat="1" applyFont="1" applyFill="1" applyBorder="1" applyAlignment="1">
      <alignment horizontal="right" vertical="center" wrapText="1"/>
    </xf>
    <xf numFmtId="0" fontId="9" fillId="0" borderId="159" xfId="205" applyBorder="1" applyAlignment="1">
      <alignment horizontal="center" vertical="center" wrapText="1"/>
    </xf>
    <xf numFmtId="0" fontId="22" fillId="0" borderId="92" xfId="73" applyFont="1" applyBorder="1" applyAlignment="1">
      <alignment horizontal="center" vertical="center"/>
    </xf>
    <xf numFmtId="0" fontId="22" fillId="0" borderId="0" xfId="73" applyFont="1" applyAlignment="1">
      <alignment vertical="center" wrapText="1"/>
    </xf>
    <xf numFmtId="0" fontId="22" fillId="0" borderId="0" xfId="73" applyFont="1" applyAlignment="1">
      <alignment horizontal="left" vertical="center" wrapText="1"/>
    </xf>
    <xf numFmtId="0" fontId="126" fillId="0" borderId="0" xfId="214" applyFont="1" applyAlignment="1">
      <alignment horizontal="left" vertical="center" wrapText="1"/>
    </xf>
    <xf numFmtId="0" fontId="126" fillId="0" borderId="0" xfId="209" applyFont="1" applyAlignment="1">
      <alignment horizontal="left" vertical="center" wrapText="1"/>
    </xf>
    <xf numFmtId="0" fontId="0" fillId="0" borderId="93" xfId="0" applyBorder="1" applyProtection="1">
      <protection locked="0"/>
    </xf>
    <xf numFmtId="0" fontId="0" fillId="0" borderId="91" xfId="0" applyBorder="1" applyProtection="1">
      <protection locked="0"/>
    </xf>
    <xf numFmtId="0" fontId="0" fillId="0" borderId="90" xfId="0" applyBorder="1" applyProtection="1">
      <protection locked="0"/>
    </xf>
    <xf numFmtId="0" fontId="0" fillId="0" borderId="150" xfId="0" applyBorder="1" applyProtection="1">
      <protection locked="0"/>
    </xf>
    <xf numFmtId="0" fontId="22" fillId="4" borderId="7" xfId="46" applyAlignment="1">
      <alignment horizontal="center" vertical="center" wrapText="1"/>
      <protection locked="0"/>
    </xf>
    <xf numFmtId="0" fontId="14" fillId="4" borderId="127" xfId="0" applyFont="1" applyFill="1" applyBorder="1" applyAlignment="1" applyProtection="1">
      <alignment horizontal="center" vertical="center"/>
      <protection locked="0"/>
    </xf>
    <xf numFmtId="0" fontId="0" fillId="0" borderId="90" xfId="0" applyBorder="1"/>
    <xf numFmtId="0" fontId="22" fillId="0" borderId="127" xfId="8" applyBorder="1" applyAlignment="1">
      <alignment horizontal="center" vertical="center"/>
    </xf>
    <xf numFmtId="0" fontId="74" fillId="0" borderId="0" xfId="4" applyFont="1" applyAlignment="1" applyProtection="1">
      <alignment horizontal="left" vertical="center" wrapText="1"/>
    </xf>
    <xf numFmtId="0" fontId="0" fillId="0" borderId="89" xfId="0" applyBorder="1"/>
    <xf numFmtId="0" fontId="14" fillId="6" borderId="0" xfId="0" applyFont="1" applyFill="1" applyAlignment="1">
      <alignment horizontal="center" vertical="center"/>
    </xf>
    <xf numFmtId="0" fontId="14" fillId="0" borderId="24" xfId="0" applyFont="1" applyBorder="1" applyAlignment="1">
      <alignment horizontal="left" vertical="center" indent="1"/>
    </xf>
    <xf numFmtId="0" fontId="22" fillId="0" borderId="92" xfId="13" applyFont="1" applyBorder="1">
      <alignment horizontal="center" vertical="center"/>
    </xf>
    <xf numFmtId="0" fontId="14" fillId="6" borderId="0" xfId="73" applyFont="1" applyFill="1" applyAlignment="1">
      <alignment vertical="center"/>
    </xf>
    <xf numFmtId="0" fontId="22" fillId="4" borderId="127" xfId="26" applyFont="1" applyFill="1" applyBorder="1" applyAlignment="1" applyProtection="1">
      <alignment horizontal="center" vertical="center"/>
      <protection locked="0"/>
    </xf>
    <xf numFmtId="0" fontId="22" fillId="0" borderId="0" xfId="0" applyFont="1" applyAlignment="1">
      <alignment vertical="center" wrapText="1"/>
    </xf>
    <xf numFmtId="0" fontId="14" fillId="0" borderId="127" xfId="0" applyFont="1" applyBorder="1" applyAlignment="1">
      <alignment horizontal="center" vertical="center"/>
    </xf>
    <xf numFmtId="0" fontId="49" fillId="6" borderId="0" xfId="19" applyFont="1" applyFill="1" applyBorder="1" applyAlignment="1">
      <alignment vertical="center" wrapText="1"/>
    </xf>
    <xf numFmtId="0" fontId="14" fillId="4" borderId="127" xfId="73" applyFont="1" applyFill="1" applyBorder="1" applyAlignment="1" applyProtection="1">
      <alignment horizontal="center" vertical="center"/>
      <protection locked="0"/>
    </xf>
    <xf numFmtId="0" fontId="22" fillId="0" borderId="127" xfId="13" applyFont="1" applyBorder="1">
      <alignment horizontal="center" vertical="center"/>
    </xf>
    <xf numFmtId="0" fontId="22" fillId="0" borderId="0" xfId="8" applyAlignment="1">
      <alignment horizontal="left" vertical="center" wrapText="1"/>
    </xf>
    <xf numFmtId="0" fontId="14" fillId="0" borderId="129" xfId="0" applyFont="1" applyBorder="1" applyAlignment="1">
      <alignment horizontal="left" vertical="center"/>
    </xf>
    <xf numFmtId="0" fontId="0" fillId="0" borderId="89" xfId="0" applyBorder="1" applyProtection="1">
      <protection locked="0"/>
    </xf>
    <xf numFmtId="0" fontId="22" fillId="0" borderId="24" xfId="8" applyBorder="1" applyAlignment="1">
      <alignment vertical="center"/>
    </xf>
    <xf numFmtId="170" fontId="14" fillId="0" borderId="127" xfId="0" applyNumberFormat="1" applyFont="1" applyBorder="1" applyAlignment="1">
      <alignment horizontal="center" vertical="center"/>
    </xf>
    <xf numFmtId="0" fontId="22" fillId="0" borderId="24" xfId="8" applyBorder="1">
      <alignment horizontal="left" vertical="center"/>
    </xf>
    <xf numFmtId="0" fontId="14" fillId="0" borderId="43" xfId="0" applyFont="1" applyBorder="1" applyAlignment="1">
      <alignment horizontal="left" vertical="center" indent="1"/>
    </xf>
    <xf numFmtId="0" fontId="22" fillId="0" borderId="90" xfId="0" applyFont="1" applyBorder="1" applyAlignment="1">
      <alignment horizontal="left" vertical="center"/>
    </xf>
    <xf numFmtId="0" fontId="14" fillId="0" borderId="24" xfId="0" applyFont="1" applyBorder="1" applyAlignment="1">
      <alignment horizontal="left" vertical="center"/>
    </xf>
    <xf numFmtId="0" fontId="34" fillId="0" borderId="0" xfId="0" applyFont="1" applyAlignment="1">
      <alignment horizontal="center" vertical="center"/>
    </xf>
    <xf numFmtId="0" fontId="22" fillId="0" borderId="0" xfId="8" applyAlignment="1">
      <alignment horizontal="left"/>
    </xf>
    <xf numFmtId="0" fontId="14" fillId="0" borderId="89" xfId="0" applyFont="1" applyBorder="1" applyAlignment="1">
      <alignment horizontal="center" vertical="center"/>
    </xf>
    <xf numFmtId="0" fontId="22" fillId="6" borderId="0" xfId="12" applyFill="1" applyBorder="1" applyAlignment="1">
      <alignment vertical="center" wrapText="1"/>
    </xf>
    <xf numFmtId="0" fontId="23" fillId="0" borderId="0" xfId="26" applyFont="1" applyAlignment="1">
      <alignment horizontal="left" vertical="center"/>
    </xf>
    <xf numFmtId="0" fontId="1" fillId="0" borderId="0" xfId="0" applyFont="1" applyAlignment="1">
      <alignment horizontal="left" vertical="center"/>
    </xf>
    <xf numFmtId="0" fontId="22" fillId="0" borderId="24" xfId="8" applyBorder="1" applyAlignment="1">
      <alignment vertical="center" wrapText="1"/>
    </xf>
    <xf numFmtId="0" fontId="14" fillId="0" borderId="0" xfId="0" quotePrefix="1" applyFont="1" applyAlignment="1">
      <alignment horizontal="center" vertical="center" wrapText="1"/>
    </xf>
    <xf numFmtId="0" fontId="14" fillId="0" borderId="24" xfId="0" applyFont="1" applyBorder="1" applyAlignment="1">
      <alignment horizontal="center" vertical="center"/>
    </xf>
    <xf numFmtId="0" fontId="23" fillId="0" borderId="0" xfId="26" applyFont="1" applyAlignment="1">
      <alignment horizontal="center" vertical="center"/>
    </xf>
    <xf numFmtId="0" fontId="22" fillId="6" borderId="127" xfId="8" applyFill="1" applyBorder="1" applyAlignment="1">
      <alignment horizontal="left" vertical="center" wrapText="1"/>
    </xf>
    <xf numFmtId="0" fontId="22" fillId="6" borderId="24" xfId="8" applyFill="1" applyBorder="1">
      <alignment horizontal="left" vertical="center"/>
    </xf>
    <xf numFmtId="0" fontId="22" fillId="6" borderId="127" xfId="8" applyFill="1" applyBorder="1" applyAlignment="1">
      <alignment horizontal="center" vertical="center" wrapText="1"/>
    </xf>
    <xf numFmtId="0" fontId="14" fillId="0" borderId="24" xfId="0" applyFont="1" applyBorder="1" applyAlignment="1">
      <alignment vertical="center" wrapText="1"/>
    </xf>
    <xf numFmtId="0" fontId="22" fillId="6" borderId="0" xfId="8" applyFill="1" applyAlignment="1">
      <alignment vertical="center" wrapText="1"/>
    </xf>
    <xf numFmtId="0" fontId="98" fillId="6" borderId="0" xfId="19" applyFont="1" applyFill="1" applyBorder="1" applyAlignment="1">
      <alignment vertical="center" wrapText="1"/>
    </xf>
    <xf numFmtId="0" fontId="14" fillId="6" borderId="0" xfId="19" applyFont="1" applyFill="1" applyBorder="1">
      <alignment horizontal="left" vertical="center" wrapText="1"/>
    </xf>
    <xf numFmtId="0" fontId="22" fillId="4" borderId="127" xfId="8" applyFill="1" applyBorder="1" applyAlignment="1" applyProtection="1">
      <alignment horizontal="left" vertical="center" wrapText="1"/>
      <protection locked="0"/>
    </xf>
    <xf numFmtId="0" fontId="22" fillId="0" borderId="93" xfId="8" applyBorder="1" applyAlignment="1">
      <alignment vertical="center"/>
    </xf>
    <xf numFmtId="0" fontId="22" fillId="6" borderId="0" xfId="8" applyFill="1" applyAlignment="1">
      <alignment horizontal="center" vertical="center"/>
    </xf>
    <xf numFmtId="0" fontId="31" fillId="0" borderId="0" xfId="8" applyFont="1" applyAlignment="1">
      <alignment horizontal="center" vertical="center"/>
    </xf>
    <xf numFmtId="0" fontId="14" fillId="0" borderId="0" xfId="26" applyFont="1" applyAlignment="1">
      <alignment horizontal="left" vertical="center"/>
    </xf>
    <xf numFmtId="0" fontId="98" fillId="6" borderId="0" xfId="0" applyFont="1" applyFill="1" applyAlignment="1">
      <alignment horizontal="left" vertical="center"/>
    </xf>
    <xf numFmtId="0" fontId="14" fillId="0" borderId="12" xfId="8" applyFont="1" applyBorder="1">
      <alignment horizontal="left" vertical="center"/>
    </xf>
    <xf numFmtId="0" fontId="14" fillId="0" borderId="24" xfId="8" applyFont="1" applyBorder="1">
      <alignment horizontal="left" vertical="center"/>
    </xf>
    <xf numFmtId="0" fontId="14" fillId="6" borderId="0" xfId="0" applyFont="1" applyFill="1" applyAlignment="1">
      <alignment horizontal="left" vertical="center" wrapText="1"/>
    </xf>
    <xf numFmtId="0" fontId="9" fillId="0" borderId="90" xfId="205" applyBorder="1"/>
    <xf numFmtId="0" fontId="9" fillId="0" borderId="150" xfId="205" applyBorder="1"/>
    <xf numFmtId="174" fontId="12" fillId="37" borderId="129" xfId="205" applyNumberFormat="1" applyFont="1" applyFill="1" applyBorder="1" applyAlignment="1">
      <alignment horizontal="center" vertical="center" wrapText="1"/>
    </xf>
    <xf numFmtId="174" fontId="12" fillId="37" borderId="91" xfId="205" applyNumberFormat="1" applyFont="1" applyFill="1" applyBorder="1" applyAlignment="1">
      <alignment horizontal="center" vertical="center" wrapText="1"/>
    </xf>
    <xf numFmtId="0" fontId="9" fillId="0" borderId="89" xfId="205" applyBorder="1"/>
    <xf numFmtId="0" fontId="0" fillId="0" borderId="24" xfId="0" applyBorder="1" applyProtection="1">
      <protection locked="0"/>
    </xf>
    <xf numFmtId="0" fontId="22" fillId="0" borderId="12" xfId="73" applyFont="1" applyBorder="1" applyAlignment="1">
      <alignment horizontal="center" vertical="center"/>
    </xf>
    <xf numFmtId="0" fontId="22" fillId="0" borderId="2" xfId="73" applyFont="1" applyBorder="1" applyAlignment="1">
      <alignment horizontal="center" vertical="center"/>
    </xf>
    <xf numFmtId="0" fontId="1" fillId="0" borderId="0" xfId="73" applyFont="1" applyAlignment="1">
      <alignment horizontal="center" vertical="center"/>
    </xf>
    <xf numFmtId="0" fontId="68" fillId="6" borderId="0" xfId="73" applyFont="1" applyFill="1" applyAlignment="1">
      <alignment horizontal="center" vertical="center"/>
    </xf>
    <xf numFmtId="170" fontId="87" fillId="6" borderId="58" xfId="73" applyNumberFormat="1" applyFont="1" applyFill="1" applyBorder="1" applyAlignment="1">
      <alignment horizontal="center" vertical="center"/>
    </xf>
    <xf numFmtId="0" fontId="14" fillId="0" borderId="0" xfId="73" applyFont="1" applyAlignment="1">
      <alignment horizontal="center" vertical="center" wrapText="1"/>
    </xf>
    <xf numFmtId="0" fontId="22" fillId="6" borderId="127" xfId="73" applyFont="1" applyFill="1" applyBorder="1" applyAlignment="1">
      <alignment horizontal="center" vertical="center"/>
    </xf>
    <xf numFmtId="0" fontId="14" fillId="4" borderId="127" xfId="26" applyFont="1" applyFill="1" applyBorder="1" applyAlignment="1" applyProtection="1">
      <alignment horizontal="center" vertical="center" shrinkToFit="1"/>
      <protection locked="0"/>
    </xf>
    <xf numFmtId="10" fontId="25" fillId="6" borderId="127" xfId="73" applyNumberFormat="1" applyFont="1" applyFill="1" applyBorder="1" applyAlignment="1">
      <alignment horizontal="center" vertical="center"/>
    </xf>
    <xf numFmtId="0" fontId="34" fillId="0" borderId="0" xfId="26" applyFont="1" applyAlignment="1">
      <alignment horizontal="right" vertical="center" indent="1"/>
    </xf>
    <xf numFmtId="0" fontId="34" fillId="6" borderId="90" xfId="26" applyFont="1" applyFill="1" applyBorder="1" applyAlignment="1">
      <alignment horizontal="center" vertical="center"/>
    </xf>
    <xf numFmtId="0" fontId="34" fillId="0" borderId="0" xfId="26" applyFont="1" applyAlignment="1">
      <alignment horizontal="right" vertical="center" indent="2"/>
    </xf>
    <xf numFmtId="0" fontId="34" fillId="6" borderId="90" xfId="26" applyFont="1" applyFill="1" applyBorder="1" applyAlignment="1">
      <alignment horizontal="center" vertical="center" wrapText="1"/>
    </xf>
    <xf numFmtId="0" fontId="14" fillId="6" borderId="127" xfId="26" applyFont="1" applyFill="1" applyBorder="1" applyAlignment="1">
      <alignment horizontal="center" vertical="center"/>
    </xf>
    <xf numFmtId="0" fontId="57" fillId="6" borderId="90" xfId="69" applyFont="1" applyFill="1" applyBorder="1" applyAlignment="1">
      <alignment vertical="center"/>
    </xf>
    <xf numFmtId="0" fontId="101" fillId="6" borderId="90" xfId="69" applyFont="1" applyFill="1" applyBorder="1" applyAlignment="1">
      <alignment horizontal="left" vertical="center"/>
    </xf>
    <xf numFmtId="38" fontId="9" fillId="0" borderId="0" xfId="26" applyNumberFormat="1" applyFont="1" applyAlignment="1">
      <alignment horizontal="center" vertical="center"/>
    </xf>
    <xf numFmtId="38" fontId="9" fillId="0" borderId="0" xfId="26" applyNumberFormat="1" applyFont="1" applyAlignment="1">
      <alignment horizontal="center"/>
    </xf>
    <xf numFmtId="168" fontId="71" fillId="0" borderId="0" xfId="26" applyNumberFormat="1" applyFont="1" applyAlignment="1">
      <alignment horizontal="center" vertical="center"/>
    </xf>
    <xf numFmtId="0" fontId="14" fillId="0" borderId="89" xfId="0" applyFont="1" applyBorder="1" applyAlignment="1">
      <alignment horizontal="left" vertical="center" wrapText="1"/>
    </xf>
    <xf numFmtId="0" fontId="103" fillId="0" borderId="0" xfId="0" applyFont="1" applyAlignment="1">
      <alignment horizontal="left" vertical="center"/>
    </xf>
    <xf numFmtId="0" fontId="14" fillId="6" borderId="0" xfId="0" applyFont="1" applyFill="1" applyAlignment="1">
      <alignment horizontal="left" vertical="center"/>
    </xf>
    <xf numFmtId="0" fontId="14" fillId="0" borderId="89" xfId="0" applyFont="1" applyBorder="1" applyAlignment="1">
      <alignment horizontal="left" vertical="center"/>
    </xf>
    <xf numFmtId="0" fontId="98" fillId="6" borderId="0" xfId="0" quotePrefix="1" applyFont="1" applyFill="1" applyAlignment="1">
      <alignment horizontal="right" vertical="center"/>
    </xf>
    <xf numFmtId="0" fontId="22" fillId="0" borderId="127" xfId="26" applyFont="1" applyBorder="1" applyAlignment="1">
      <alignment horizontal="center" vertical="center" wrapText="1"/>
    </xf>
    <xf numFmtId="0" fontId="22" fillId="4" borderId="127" xfId="26" applyFont="1" applyFill="1" applyBorder="1" applyAlignment="1" applyProtection="1">
      <alignment horizontal="center" vertical="center" wrapText="1"/>
      <protection locked="0"/>
    </xf>
    <xf numFmtId="0" fontId="22" fillId="0" borderId="127" xfId="26" applyFont="1" applyBorder="1" applyAlignment="1">
      <alignment horizontal="center" vertical="center"/>
    </xf>
    <xf numFmtId="0" fontId="23" fillId="0" borderId="127" xfId="26" applyFont="1" applyBorder="1" applyAlignment="1">
      <alignment horizontal="center" vertical="center"/>
    </xf>
    <xf numFmtId="170" fontId="23" fillId="0" borderId="0" xfId="26" applyNumberFormat="1" applyFont="1" applyAlignment="1">
      <alignment horizontal="center" vertical="center" wrapText="1"/>
    </xf>
    <xf numFmtId="0" fontId="23" fillId="0" borderId="0" xfId="26" applyFont="1" applyAlignment="1">
      <alignment horizontal="center" vertical="center" wrapText="1"/>
    </xf>
    <xf numFmtId="0" fontId="22" fillId="0" borderId="0" xfId="26" applyFont="1" applyAlignment="1">
      <alignment horizontal="center" vertical="top" wrapText="1"/>
    </xf>
    <xf numFmtId="0" fontId="49" fillId="0" borderId="0" xfId="26" applyFont="1" applyAlignment="1">
      <alignment horizontal="center" vertical="center"/>
    </xf>
    <xf numFmtId="0" fontId="23" fillId="0" borderId="0" xfId="26" applyFont="1" applyAlignment="1">
      <alignment horizontal="left" vertical="top" wrapText="1"/>
    </xf>
    <xf numFmtId="0" fontId="22" fillId="0" borderId="0" xfId="26" applyFont="1" applyAlignment="1">
      <alignment horizontal="center" vertical="center"/>
    </xf>
    <xf numFmtId="0" fontId="22" fillId="6" borderId="0" xfId="26" applyFont="1" applyFill="1" applyAlignment="1">
      <alignment horizontal="left" vertical="center" wrapText="1"/>
    </xf>
    <xf numFmtId="0" fontId="22" fillId="0" borderId="0" xfId="26" applyFont="1" applyAlignment="1">
      <alignment horizontal="center" vertical="top"/>
    </xf>
    <xf numFmtId="0" fontId="49" fillId="0" borderId="0" xfId="26" applyFont="1" applyAlignment="1">
      <alignment vertical="top" wrapText="1"/>
    </xf>
    <xf numFmtId="0" fontId="22" fillId="0" borderId="114" xfId="26" applyFont="1" applyBorder="1" applyAlignment="1">
      <alignment horizontal="center" vertical="center"/>
    </xf>
    <xf numFmtId="0" fontId="22" fillId="0" borderId="0" xfId="26" applyFont="1" applyAlignment="1">
      <alignment horizontal="center" vertical="center" wrapText="1"/>
    </xf>
    <xf numFmtId="0" fontId="22" fillId="0" borderId="150" xfId="26" applyFont="1" applyBorder="1" applyAlignment="1">
      <alignment horizontal="left" vertical="center" wrapText="1"/>
    </xf>
    <xf numFmtId="0" fontId="14" fillId="0" borderId="89" xfId="0" applyFont="1" applyBorder="1" applyAlignment="1">
      <alignment vertical="center" wrapText="1"/>
    </xf>
    <xf numFmtId="9" fontId="14" fillId="0" borderId="127" xfId="0" applyNumberFormat="1" applyFont="1" applyBorder="1" applyAlignment="1">
      <alignment horizontal="center" vertical="center"/>
    </xf>
    <xf numFmtId="0" fontId="22" fillId="0" borderId="0" xfId="8" quotePrefix="1">
      <alignment horizontal="left" vertical="center"/>
    </xf>
    <xf numFmtId="0" fontId="98" fillId="0" borderId="0" xfId="0" applyFont="1" applyAlignment="1">
      <alignment horizontal="left" vertical="center"/>
    </xf>
    <xf numFmtId="0" fontId="23" fillId="0" borderId="0" xfId="26" applyFont="1" applyAlignment="1">
      <alignment horizontal="center" vertical="top" wrapText="1"/>
    </xf>
    <xf numFmtId="0" fontId="31" fillId="6" borderId="0" xfId="0" applyFont="1" applyFill="1" applyAlignment="1">
      <alignment horizontal="center" vertical="center" wrapText="1"/>
    </xf>
    <xf numFmtId="0" fontId="50" fillId="0" borderId="127" xfId="0" applyFont="1" applyBorder="1" applyAlignment="1">
      <alignment horizontal="center" vertical="center" wrapText="1"/>
    </xf>
    <xf numFmtId="0" fontId="22" fillId="4" borderId="91" xfId="12" applyFill="1" applyBorder="1" applyAlignment="1" applyProtection="1">
      <alignment horizontal="center" vertical="center" wrapText="1"/>
      <protection locked="0"/>
    </xf>
    <xf numFmtId="0" fontId="22" fillId="4" borderId="127" xfId="12" applyFill="1" applyBorder="1" applyAlignment="1" applyProtection="1">
      <alignment horizontal="center" vertical="center" wrapText="1"/>
      <protection locked="0"/>
    </xf>
    <xf numFmtId="0" fontId="22" fillId="4" borderId="127" xfId="8" applyFill="1" applyBorder="1" applyAlignment="1" applyProtection="1">
      <alignment horizontal="center" vertical="center" wrapText="1"/>
      <protection locked="0"/>
    </xf>
    <xf numFmtId="0" fontId="14" fillId="4" borderId="127" xfId="26" applyFont="1" applyFill="1" applyBorder="1" applyAlignment="1" applyProtection="1">
      <alignment horizontal="left" vertical="center" wrapText="1" indent="1"/>
      <protection locked="0"/>
    </xf>
    <xf numFmtId="0" fontId="31" fillId="0" borderId="0" xfId="0" applyFont="1" applyAlignment="1">
      <alignment horizontal="center" vertical="center" wrapText="1"/>
    </xf>
    <xf numFmtId="0" fontId="14" fillId="0" borderId="90" xfId="0" applyFont="1" applyBorder="1" applyAlignment="1">
      <alignment horizontal="left" vertical="center"/>
    </xf>
    <xf numFmtId="170" fontId="14" fillId="0" borderId="89" xfId="50" applyNumberFormat="1" applyFont="1" applyBorder="1" applyAlignment="1">
      <alignment horizontal="left" vertical="center" indent="1"/>
    </xf>
    <xf numFmtId="0" fontId="45" fillId="6" borderId="0" xfId="50" applyFont="1" applyFill="1" applyAlignment="1">
      <alignment vertical="center"/>
    </xf>
    <xf numFmtId="0" fontId="14" fillId="6" borderId="0" xfId="56" applyFont="1" applyFill="1" applyAlignment="1">
      <alignment horizontal="center" vertical="center"/>
    </xf>
    <xf numFmtId="0" fontId="22" fillId="0" borderId="0" xfId="58" applyFont="1" applyAlignment="1">
      <alignment horizontal="center" vertical="center"/>
    </xf>
    <xf numFmtId="0" fontId="34" fillId="0" borderId="127" xfId="60" applyFont="1" applyBorder="1" applyAlignment="1">
      <alignment horizontal="center" vertical="center"/>
    </xf>
    <xf numFmtId="0" fontId="34" fillId="0" borderId="127" xfId="60" applyFont="1" applyBorder="1" applyAlignment="1">
      <alignment horizontal="center" vertical="center" wrapText="1"/>
    </xf>
    <xf numFmtId="0" fontId="22" fillId="0" borderId="114" xfId="8" applyBorder="1" applyAlignment="1">
      <alignment horizontal="center" vertical="center"/>
    </xf>
    <xf numFmtId="0" fontId="22" fillId="0" borderId="0" xfId="0" applyFont="1" applyAlignment="1">
      <alignment horizontal="left" vertical="center" wrapText="1"/>
    </xf>
    <xf numFmtId="0" fontId="22" fillId="0" borderId="93" xfId="0" applyFont="1" applyBorder="1" applyAlignment="1">
      <alignment vertical="center"/>
    </xf>
    <xf numFmtId="0" fontId="22" fillId="0" borderId="24" xfId="0" applyFont="1" applyBorder="1" applyAlignment="1">
      <alignment horizontal="left" vertical="center"/>
    </xf>
    <xf numFmtId="0" fontId="22" fillId="0" borderId="0" xfId="8" applyAlignment="1">
      <alignment horizontal="left" vertical="center" indent="1"/>
    </xf>
    <xf numFmtId="0" fontId="22" fillId="0" borderId="0" xfId="0" applyFont="1" applyAlignment="1">
      <alignment horizontal="center" vertical="center"/>
    </xf>
    <xf numFmtId="0" fontId="22" fillId="0" borderId="0" xfId="8" applyAlignment="1">
      <alignment vertical="center" wrapText="1"/>
    </xf>
    <xf numFmtId="0" fontId="49" fillId="0" borderId="87" xfId="0" applyFont="1" applyBorder="1" applyAlignment="1">
      <alignment horizontal="left" vertical="center"/>
    </xf>
    <xf numFmtId="0" fontId="14" fillId="0" borderId="89" xfId="0" applyFont="1" applyBorder="1" applyAlignment="1">
      <alignment vertical="center"/>
    </xf>
    <xf numFmtId="0" fontId="22" fillId="0" borderId="90" xfId="8" applyBorder="1" applyAlignment="1">
      <alignment vertical="center"/>
    </xf>
    <xf numFmtId="0" fontId="14" fillId="0" borderId="89" xfId="0" applyFont="1" applyBorder="1"/>
    <xf numFmtId="0" fontId="14" fillId="0" borderId="24" xfId="0" applyFont="1" applyBorder="1" applyAlignment="1">
      <alignment horizontal="center" vertical="center" wrapText="1"/>
    </xf>
    <xf numFmtId="0" fontId="22" fillId="0" borderId="90" xfId="0" applyFont="1" applyBorder="1" applyAlignment="1">
      <alignment vertical="center"/>
    </xf>
    <xf numFmtId="0" fontId="1" fillId="0" borderId="0" xfId="0" applyFont="1" applyAlignment="1">
      <alignment horizontal="center" vertical="center"/>
    </xf>
    <xf numFmtId="0" fontId="22" fillId="0" borderId="89" xfId="8" applyBorder="1" applyAlignment="1">
      <alignment horizontal="center" vertical="center"/>
    </xf>
    <xf numFmtId="0" fontId="14" fillId="0" borderId="0" xfId="26" applyFont="1" applyAlignment="1">
      <alignment horizontal="right" vertical="center" indent="1"/>
    </xf>
    <xf numFmtId="14" fontId="14" fillId="4" borderId="127" xfId="26" applyNumberFormat="1" applyFont="1" applyFill="1" applyBorder="1" applyAlignment="1" applyProtection="1">
      <alignment horizontal="center" vertical="center"/>
      <protection locked="0"/>
    </xf>
    <xf numFmtId="0" fontId="14" fillId="0" borderId="127" xfId="26" applyFont="1" applyBorder="1" applyAlignment="1">
      <alignment horizontal="left" vertical="center" indent="1"/>
    </xf>
    <xf numFmtId="0" fontId="14" fillId="4" borderId="92" xfId="26" applyFont="1" applyFill="1" applyBorder="1" applyAlignment="1" applyProtection="1">
      <alignment horizontal="center" vertical="center"/>
      <protection locked="0"/>
    </xf>
    <xf numFmtId="0" fontId="14" fillId="4" borderId="127" xfId="26" applyFont="1" applyFill="1" applyBorder="1" applyAlignment="1" applyProtection="1">
      <alignment horizontal="center" vertical="center"/>
      <protection locked="0"/>
    </xf>
    <xf numFmtId="0" fontId="10" fillId="0" borderId="0" xfId="4" applyAlignment="1" applyProtection="1">
      <alignment horizontal="center" vertical="center"/>
    </xf>
    <xf numFmtId="0" fontId="14" fillId="0" borderId="0" xfId="21" applyFont="1" applyAlignment="1">
      <alignment vertical="center" wrapText="1"/>
    </xf>
    <xf numFmtId="0" fontId="14" fillId="0" borderId="0" xfId="21" applyFont="1" applyAlignment="1">
      <alignment horizontal="center" vertical="center" wrapText="1"/>
    </xf>
    <xf numFmtId="0" fontId="14" fillId="0" borderId="0" xfId="21" applyFont="1" applyAlignment="1">
      <alignment horizontal="center" vertical="center"/>
    </xf>
    <xf numFmtId="0" fontId="9" fillId="0" borderId="0" xfId="0" applyFont="1" applyAlignment="1">
      <alignment horizontal="left"/>
    </xf>
    <xf numFmtId="0" fontId="45" fillId="6" borderId="0" xfId="19" applyFont="1" applyFill="1" applyBorder="1" applyAlignment="1">
      <alignment vertical="center" wrapText="1"/>
    </xf>
    <xf numFmtId="0" fontId="13" fillId="0" borderId="0" xfId="44" applyFont="1" applyAlignment="1">
      <alignment horizontal="left" vertical="center" wrapText="1"/>
    </xf>
    <xf numFmtId="0" fontId="1" fillId="0" borderId="0" xfId="44" applyFont="1"/>
    <xf numFmtId="0" fontId="1" fillId="0" borderId="0" xfId="44" applyFont="1" applyAlignment="1">
      <alignment horizontal="left" vertical="center"/>
    </xf>
    <xf numFmtId="0" fontId="1" fillId="0" borderId="0" xfId="44" applyFont="1" applyAlignment="1">
      <alignment wrapText="1"/>
    </xf>
    <xf numFmtId="0" fontId="44" fillId="0" borderId="127" xfId="73" applyFont="1" applyBorder="1" applyAlignment="1">
      <alignment horizontal="center" vertical="center" wrapText="1"/>
    </xf>
    <xf numFmtId="0" fontId="0" fillId="0" borderId="88" xfId="0" applyBorder="1"/>
    <xf numFmtId="0" fontId="0" fillId="0" borderId="104" xfId="0" applyBorder="1"/>
    <xf numFmtId="0" fontId="0" fillId="0" borderId="150" xfId="0" applyBorder="1"/>
    <xf numFmtId="0" fontId="22" fillId="0" borderId="92" xfId="73" applyFont="1" applyBorder="1" applyAlignment="1">
      <alignment horizontal="center" vertical="center"/>
    </xf>
    <xf numFmtId="0" fontId="22" fillId="6" borderId="0" xfId="73" applyFont="1" applyFill="1" applyAlignment="1">
      <alignment horizontal="left" vertical="center"/>
    </xf>
    <xf numFmtId="0" fontId="22" fillId="0" borderId="0" xfId="73" applyFont="1"/>
    <xf numFmtId="0" fontId="44" fillId="0" borderId="127" xfId="73" applyFont="1" applyBorder="1" applyAlignment="1">
      <alignment horizontal="center"/>
    </xf>
    <xf numFmtId="0" fontId="0" fillId="0" borderId="93" xfId="0" applyBorder="1"/>
    <xf numFmtId="0" fontId="0" fillId="0" borderId="91" xfId="0" applyBorder="1"/>
    <xf numFmtId="0" fontId="68" fillId="6" borderId="0" xfId="0" applyFont="1" applyFill="1"/>
    <xf numFmtId="0" fontId="26" fillId="0" borderId="0" xfId="0" applyFont="1"/>
    <xf numFmtId="0" fontId="128" fillId="2" borderId="0" xfId="26" applyFont="1" applyFill="1" applyAlignment="1">
      <alignment horizontal="center" vertical="center" wrapText="1"/>
    </xf>
    <xf numFmtId="0" fontId="149" fillId="0" borderId="0" xfId="0" applyFont="1" applyAlignment="1">
      <alignment horizontal="center" vertical="center" wrapText="1"/>
    </xf>
    <xf numFmtId="0" fontId="121" fillId="0" borderId="0" xfId="0" applyFont="1"/>
    <xf numFmtId="0" fontId="127" fillId="0" borderId="0" xfId="0" applyFont="1" applyAlignment="1">
      <alignment horizontal="center" vertical="center" wrapText="1"/>
    </xf>
    <xf numFmtId="0" fontId="129" fillId="2" borderId="0" xfId="26" applyFont="1" applyFill="1" applyAlignment="1">
      <alignment horizontal="center" vertical="center"/>
    </xf>
    <xf numFmtId="0" fontId="120" fillId="0" borderId="0" xfId="0" applyFont="1" applyAlignment="1">
      <alignment horizontal="left" vertical="center"/>
    </xf>
    <xf numFmtId="0" fontId="130" fillId="2" borderId="0" xfId="26" applyFont="1" applyFill="1" applyAlignment="1">
      <alignment horizontal="center" vertical="center" wrapText="1"/>
    </xf>
    <xf numFmtId="0" fontId="13" fillId="2" borderId="0" xfId="26" applyFont="1" applyFill="1" applyAlignment="1">
      <alignment horizontal="center" vertical="center" wrapText="1"/>
    </xf>
    <xf numFmtId="0" fontId="30" fillId="0" borderId="0" xfId="14" applyAlignment="1">
      <alignment horizontal="center" vertical="center"/>
    </xf>
    <xf numFmtId="0" fontId="159" fillId="0" borderId="0" xfId="4" applyFont="1" applyAlignment="1">
      <alignment horizontal="center" vertical="top"/>
      <protection locked="0"/>
    </xf>
    <xf numFmtId="0" fontId="81" fillId="24" borderId="0" xfId="0" applyFont="1" applyFill="1" applyAlignment="1">
      <alignment horizontal="center" vertical="center"/>
    </xf>
    <xf numFmtId="0" fontId="122" fillId="2" borderId="0" xfId="14" applyFont="1" applyFill="1" applyAlignment="1">
      <alignment horizontal="center" vertical="center" wrapText="1"/>
    </xf>
    <xf numFmtId="0" fontId="11" fillId="0" borderId="0" xfId="0" applyFont="1" applyAlignment="1">
      <alignment horizontal="right" vertical="center"/>
    </xf>
    <xf numFmtId="0" fontId="151" fillId="0" borderId="0" xfId="0" applyFont="1" applyAlignment="1">
      <alignment horizontal="left"/>
    </xf>
    <xf numFmtId="0" fontId="31" fillId="0" borderId="3" xfId="0" applyFont="1" applyBorder="1" applyAlignment="1">
      <alignment horizontal="center" vertical="center" wrapText="1"/>
    </xf>
    <xf numFmtId="0" fontId="0" fillId="0" borderId="3" xfId="0" applyBorder="1"/>
    <xf numFmtId="166" fontId="22" fillId="0" borderId="0" xfId="0" applyNumberFormat="1" applyFont="1" applyAlignment="1">
      <alignment vertical="center" wrapText="1"/>
    </xf>
    <xf numFmtId="0" fontId="14" fillId="0" borderId="0" xfId="0" applyFont="1"/>
    <xf numFmtId="167" fontId="14" fillId="6" borderId="34" xfId="8" applyNumberFormat="1" applyFont="1" applyFill="1" applyBorder="1" applyAlignment="1">
      <alignment vertical="center" wrapText="1"/>
    </xf>
    <xf numFmtId="0" fontId="0" fillId="0" borderId="33" xfId="0" applyBorder="1"/>
    <xf numFmtId="0" fontId="0" fillId="0" borderId="34" xfId="0" applyBorder="1"/>
    <xf numFmtId="0" fontId="14" fillId="0" borderId="0" xfId="0" applyFont="1" applyAlignment="1">
      <alignment horizontal="left" vertical="center" wrapText="1"/>
    </xf>
    <xf numFmtId="0" fontId="14" fillId="4" borderId="13" xfId="0" applyFont="1" applyFill="1" applyBorder="1" applyAlignment="1">
      <alignment horizontal="right" vertical="center" wrapText="1" indent="1"/>
    </xf>
    <xf numFmtId="0" fontId="0" fillId="0" borderId="32" xfId="0" applyBorder="1"/>
    <xf numFmtId="0" fontId="0" fillId="0" borderId="31" xfId="0" applyBorder="1"/>
    <xf numFmtId="0" fontId="14" fillId="0" borderId="0" xfId="0" applyFont="1" applyAlignment="1">
      <alignment vertical="center" wrapText="1"/>
    </xf>
    <xf numFmtId="0" fontId="14" fillId="6" borderId="31" xfId="0" quotePrefix="1" applyFont="1" applyFill="1" applyBorder="1" applyAlignment="1">
      <alignment vertical="center" wrapText="1"/>
    </xf>
    <xf numFmtId="0" fontId="74" fillId="0" borderId="0" xfId="4" applyFont="1">
      <alignment vertical="top"/>
      <protection locked="0"/>
    </xf>
    <xf numFmtId="166" fontId="22" fillId="0" borderId="0" xfId="0" applyNumberFormat="1" applyFont="1" applyAlignment="1">
      <alignment horizontal="left" vertical="center" wrapText="1"/>
    </xf>
    <xf numFmtId="166" fontId="74" fillId="0" borderId="0" xfId="4" applyNumberFormat="1" applyFont="1" applyAlignment="1" applyProtection="1">
      <alignment horizontal="center" vertical="center" wrapText="1"/>
    </xf>
    <xf numFmtId="0" fontId="22" fillId="6" borderId="0" xfId="46" applyFill="1" applyBorder="1" applyAlignment="1" applyProtection="1">
      <alignment vertical="center" wrapText="1"/>
    </xf>
    <xf numFmtId="0" fontId="14" fillId="11" borderId="13" xfId="0" quotePrefix="1" applyFont="1" applyFill="1" applyBorder="1" applyAlignment="1">
      <alignment horizontal="right" vertical="center" wrapText="1" indent="1"/>
    </xf>
    <xf numFmtId="0" fontId="22" fillId="0" borderId="0" xfId="73" applyFont="1" applyAlignment="1">
      <alignment vertical="center" wrapText="1"/>
    </xf>
    <xf numFmtId="0" fontId="22" fillId="0" borderId="0" xfId="73" applyFont="1" applyAlignment="1">
      <alignment horizontal="left" vertical="center" wrapText="1"/>
    </xf>
    <xf numFmtId="167" fontId="14" fillId="3" borderId="13" xfId="8" applyNumberFormat="1" applyFont="1" applyFill="1" applyBorder="1" applyAlignment="1">
      <alignment horizontal="right" vertical="center" wrapText="1" indent="1"/>
    </xf>
    <xf numFmtId="0" fontId="14" fillId="2" borderId="0" xfId="0" applyFont="1" applyFill="1" applyAlignment="1">
      <alignment vertical="center" wrapText="1"/>
    </xf>
    <xf numFmtId="0" fontId="14" fillId="6" borderId="26" xfId="0" applyFont="1" applyFill="1" applyBorder="1" applyAlignment="1">
      <alignment vertical="center" wrapText="1"/>
    </xf>
    <xf numFmtId="0" fontId="0" fillId="0" borderId="25" xfId="0" applyBorder="1"/>
    <xf numFmtId="0" fontId="0" fillId="0" borderId="26" xfId="0" applyBorder="1"/>
    <xf numFmtId="0" fontId="22" fillId="4" borderId="13" xfId="46" applyBorder="1" applyAlignment="1" applyProtection="1">
      <alignment horizontal="right" vertical="center" wrapText="1" indent="1"/>
    </xf>
    <xf numFmtId="0" fontId="163" fillId="6" borderId="0" xfId="213" applyFont="1" applyFill="1" applyBorder="1">
      <alignment horizontal="left" vertical="center" wrapText="1"/>
    </xf>
    <xf numFmtId="0" fontId="126" fillId="0" borderId="0" xfId="214" applyFont="1" applyAlignment="1">
      <alignment horizontal="left" vertical="center" wrapText="1"/>
    </xf>
    <xf numFmtId="0" fontId="126" fillId="0" borderId="89" xfId="214" applyFont="1" applyBorder="1" applyAlignment="1">
      <alignment horizontal="left" vertical="center" wrapText="1"/>
    </xf>
    <xf numFmtId="0" fontId="126" fillId="4" borderId="129" xfId="210" applyFont="1" applyBorder="1" applyAlignment="1">
      <alignment horizontal="center" vertical="center" wrapText="1"/>
      <protection locked="0"/>
    </xf>
    <xf numFmtId="0" fontId="126" fillId="4" borderId="91" xfId="210" applyFont="1" applyBorder="1" applyAlignment="1">
      <alignment horizontal="center" vertical="center" wrapText="1"/>
      <protection locked="0"/>
    </xf>
    <xf numFmtId="0" fontId="22" fillId="0" borderId="0" xfId="209" applyFont="1" applyAlignment="1">
      <alignment horizontal="center" vertical="center" wrapText="1"/>
    </xf>
    <xf numFmtId="0" fontId="13" fillId="0" borderId="0" xfId="214" applyFont="1" applyAlignment="1">
      <alignment horizontal="left" vertical="center" wrapText="1"/>
    </xf>
    <xf numFmtId="0" fontId="126" fillId="4" borderId="127" xfId="210" applyFont="1" applyAlignment="1">
      <alignment horizontal="center" vertical="center" wrapText="1"/>
      <protection locked="0"/>
    </xf>
    <xf numFmtId="0" fontId="13" fillId="0" borderId="91" xfId="214" applyFont="1" applyBorder="1" applyProtection="1">
      <protection locked="0"/>
    </xf>
    <xf numFmtId="0" fontId="126" fillId="0" borderId="0" xfId="209" applyFont="1" applyAlignment="1">
      <alignment horizontal="center" vertical="center" wrapText="1"/>
    </xf>
    <xf numFmtId="170" fontId="126" fillId="4" borderId="129" xfId="209" applyNumberFormat="1" applyFont="1" applyFill="1" applyBorder="1" applyAlignment="1">
      <alignment horizontal="center" vertical="center" wrapText="1"/>
    </xf>
    <xf numFmtId="170" fontId="126" fillId="4" borderId="93" xfId="209" applyNumberFormat="1" applyFont="1" applyFill="1" applyBorder="1" applyAlignment="1">
      <alignment horizontal="center" vertical="center" wrapText="1"/>
    </xf>
    <xf numFmtId="170" fontId="126" fillId="4" borderId="91" xfId="209" applyNumberFormat="1" applyFont="1" applyFill="1" applyBorder="1" applyAlignment="1">
      <alignment horizontal="center" vertical="center" wrapText="1"/>
    </xf>
    <xf numFmtId="0" fontId="163" fillId="6" borderId="0" xfId="8" applyFont="1" applyFill="1" applyAlignment="1">
      <alignment horizontal="left"/>
    </xf>
    <xf numFmtId="0" fontId="163" fillId="6" borderId="0" xfId="8" applyFont="1" applyFill="1" applyAlignment="1">
      <alignment vertical="center"/>
    </xf>
    <xf numFmtId="0" fontId="126" fillId="0" borderId="90" xfId="214" applyFont="1" applyBorder="1" applyAlignment="1">
      <alignment horizontal="left" vertical="center" wrapText="1"/>
    </xf>
    <xf numFmtId="0" fontId="126" fillId="0" borderId="150" xfId="214" applyFont="1" applyBorder="1" applyAlignment="1">
      <alignment horizontal="left" vertical="center" wrapText="1"/>
    </xf>
    <xf numFmtId="0" fontId="70" fillId="24" borderId="0" xfId="214" applyFont="1" applyFill="1" applyAlignment="1">
      <alignment horizontal="center" vertical="center"/>
    </xf>
    <xf numFmtId="0" fontId="163" fillId="0" borderId="0" xfId="213" applyFont="1" applyFill="1" applyBorder="1">
      <alignment horizontal="left" vertical="center" wrapText="1"/>
    </xf>
    <xf numFmtId="0" fontId="13" fillId="0" borderId="89" xfId="214" applyFont="1" applyBorder="1" applyAlignment="1">
      <alignment horizontal="left" vertical="center" wrapText="1"/>
    </xf>
    <xf numFmtId="0" fontId="13" fillId="0" borderId="0" xfId="211" applyFont="1" applyAlignment="1">
      <alignment horizontal="left" vertical="center" wrapText="1"/>
    </xf>
    <xf numFmtId="0" fontId="126" fillId="0" borderId="0" xfId="209" applyFont="1" applyAlignment="1">
      <alignment horizontal="left" vertical="center" wrapText="1"/>
    </xf>
    <xf numFmtId="0" fontId="126" fillId="0" borderId="89" xfId="209" applyFont="1" applyBorder="1" applyAlignment="1">
      <alignment horizontal="left" vertical="center" wrapText="1"/>
    </xf>
    <xf numFmtId="0" fontId="126" fillId="4" borderId="129" xfId="209" applyFont="1" applyFill="1" applyBorder="1" applyAlignment="1">
      <alignment horizontal="center" vertical="center"/>
    </xf>
    <xf numFmtId="0" fontId="126" fillId="4" borderId="91" xfId="209" applyFont="1" applyFill="1" applyBorder="1" applyAlignment="1">
      <alignment horizontal="center" vertical="center"/>
    </xf>
    <xf numFmtId="0" fontId="13" fillId="0" borderId="89" xfId="211" applyFont="1" applyBorder="1" applyAlignment="1">
      <alignment horizontal="left" vertical="center" wrapText="1"/>
    </xf>
    <xf numFmtId="0" fontId="166" fillId="0" borderId="0" xfId="214" applyFont="1" applyAlignment="1">
      <alignment horizontal="left" vertical="center" wrapText="1"/>
    </xf>
    <xf numFmtId="0" fontId="163" fillId="0" borderId="0" xfId="214" quotePrefix="1" applyFont="1" applyAlignment="1">
      <alignment horizontal="left" vertical="center" wrapText="1"/>
    </xf>
    <xf numFmtId="0" fontId="126" fillId="0" borderId="0" xfId="8" applyFont="1" applyAlignment="1">
      <alignment horizontal="left" vertical="top" wrapText="1"/>
    </xf>
    <xf numFmtId="0" fontId="163" fillId="0" borderId="0" xfId="8" applyFont="1" applyAlignment="1">
      <alignment horizontal="left"/>
    </xf>
    <xf numFmtId="0" fontId="163" fillId="0" borderId="0" xfId="8" applyFont="1" applyAlignment="1">
      <alignment vertical="center"/>
    </xf>
    <xf numFmtId="0" fontId="13" fillId="0" borderId="0" xfId="214" applyFont="1" applyAlignment="1">
      <alignment horizontal="left" vertical="top" wrapText="1" shrinkToFit="1" readingOrder="1"/>
    </xf>
    <xf numFmtId="0" fontId="13" fillId="0" borderId="89" xfId="214" applyFont="1" applyBorder="1" applyAlignment="1">
      <alignment horizontal="left" vertical="top" wrapText="1" shrinkToFit="1" readingOrder="1"/>
    </xf>
    <xf numFmtId="0" fontId="126" fillId="6" borderId="0" xfId="212" applyFont="1" applyFill="1" applyBorder="1" applyAlignment="1">
      <alignment horizontal="left" vertical="top" wrapText="1"/>
    </xf>
    <xf numFmtId="0" fontId="146" fillId="66" borderId="90" xfId="209" applyFont="1" applyFill="1" applyBorder="1" applyAlignment="1">
      <alignment horizontal="center" vertical="center" wrapText="1"/>
    </xf>
    <xf numFmtId="0" fontId="161" fillId="0" borderId="93" xfId="209" applyFont="1" applyBorder="1" applyAlignment="1">
      <alignment horizontal="center" vertical="center" wrapText="1"/>
    </xf>
    <xf numFmtId="0" fontId="162" fillId="0" borderId="24" xfId="209" applyFont="1" applyBorder="1" applyAlignment="1">
      <alignment horizontal="center" vertical="center"/>
    </xf>
    <xf numFmtId="0" fontId="162" fillId="0" borderId="0" xfId="209" applyFont="1" applyAlignment="1">
      <alignment horizontal="center" vertical="center"/>
    </xf>
    <xf numFmtId="0" fontId="162" fillId="0" borderId="89" xfId="209" applyFont="1" applyBorder="1" applyAlignment="1">
      <alignment horizontal="center" vertical="center"/>
    </xf>
    <xf numFmtId="0" fontId="14" fillId="4" borderId="127" xfId="0" applyFont="1" applyFill="1" applyBorder="1" applyAlignment="1" applyProtection="1">
      <alignment horizontal="left" vertical="center" indent="1" shrinkToFit="1"/>
      <protection locked="0"/>
    </xf>
    <xf numFmtId="0" fontId="0" fillId="0" borderId="93" xfId="0" applyBorder="1" applyProtection="1">
      <protection locked="0"/>
    </xf>
    <xf numFmtId="0" fontId="0" fillId="0" borderId="91" xfId="0" applyBorder="1" applyProtection="1">
      <protection locked="0"/>
    </xf>
    <xf numFmtId="170" fontId="22" fillId="4" borderId="92" xfId="13" applyNumberFormat="1" applyFont="1" applyFill="1" applyBorder="1" applyProtection="1">
      <alignment horizontal="center" vertical="center"/>
      <protection locked="0"/>
    </xf>
    <xf numFmtId="0" fontId="0" fillId="0" borderId="87" xfId="0" applyBorder="1" applyProtection="1">
      <protection locked="0"/>
    </xf>
    <xf numFmtId="0" fontId="0" fillId="0" borderId="88" xfId="0" applyBorder="1" applyProtection="1">
      <protection locked="0"/>
    </xf>
    <xf numFmtId="0" fontId="14" fillId="11" borderId="127" xfId="0" quotePrefix="1" applyFont="1" applyFill="1" applyBorder="1" applyAlignment="1">
      <alignment horizontal="center" vertical="center" wrapText="1"/>
    </xf>
    <xf numFmtId="0" fontId="14" fillId="11" borderId="127" xfId="19" applyFont="1" applyFill="1" applyBorder="1" applyAlignment="1">
      <alignment horizontal="center" vertical="center" wrapText="1"/>
    </xf>
    <xf numFmtId="0" fontId="14" fillId="4" borderId="114" xfId="0" applyFont="1" applyFill="1" applyBorder="1" applyAlignment="1" applyProtection="1">
      <alignment horizontal="left" vertical="top" wrapText="1" indent="1"/>
      <protection locked="0"/>
    </xf>
    <xf numFmtId="0" fontId="0" fillId="0" borderId="90" xfId="0" applyBorder="1" applyProtection="1">
      <protection locked="0"/>
    </xf>
    <xf numFmtId="0" fontId="0" fillId="0" borderId="150" xfId="0" applyBorder="1" applyProtection="1">
      <protection locked="0"/>
    </xf>
    <xf numFmtId="170" fontId="14" fillId="4" borderId="127" xfId="0" applyNumberFormat="1" applyFont="1" applyFill="1" applyBorder="1" applyAlignment="1" applyProtection="1">
      <alignment horizontal="left" vertical="center" indent="1" shrinkToFit="1"/>
      <protection locked="0"/>
    </xf>
    <xf numFmtId="0" fontId="22" fillId="4" borderId="7" xfId="46" applyAlignment="1">
      <alignment horizontal="center" vertical="center" wrapText="1"/>
      <protection locked="0"/>
    </xf>
    <xf numFmtId="0" fontId="14" fillId="4" borderId="127" xfId="0" applyFont="1" applyFill="1" applyBorder="1" applyAlignment="1" applyProtection="1">
      <alignment horizontal="center" vertical="center"/>
      <protection locked="0"/>
    </xf>
    <xf numFmtId="0" fontId="14" fillId="4" borderId="114" xfId="0" applyFont="1" applyFill="1" applyBorder="1" applyAlignment="1" applyProtection="1">
      <alignment horizontal="left" vertical="top" wrapText="1" indent="1" shrinkToFit="1" readingOrder="1"/>
      <protection locked="0"/>
    </xf>
    <xf numFmtId="0" fontId="14" fillId="4" borderId="127" xfId="0" applyFont="1" applyFill="1" applyBorder="1" applyAlignment="1" applyProtection="1">
      <alignment horizontal="center" vertical="center" shrinkToFit="1"/>
      <protection locked="0"/>
    </xf>
    <xf numFmtId="0" fontId="14" fillId="6" borderId="150" xfId="0" applyFont="1" applyFill="1" applyBorder="1" applyAlignment="1">
      <alignment horizontal="center" vertical="center"/>
    </xf>
    <xf numFmtId="0" fontId="0" fillId="0" borderId="90" xfId="0" applyBorder="1"/>
    <xf numFmtId="3" fontId="14" fillId="4" borderId="91" xfId="0" applyNumberFormat="1" applyFont="1" applyFill="1" applyBorder="1" applyAlignment="1" applyProtection="1">
      <alignment horizontal="center" vertical="center" shrinkToFit="1"/>
      <protection locked="0"/>
    </xf>
    <xf numFmtId="0" fontId="14" fillId="0" borderId="24" xfId="0" applyFont="1" applyBorder="1" applyAlignment="1">
      <alignment horizontal="right" vertical="center" indent="1"/>
    </xf>
    <xf numFmtId="0" fontId="14" fillId="6" borderId="0" xfId="19" applyFont="1" applyFill="1" applyBorder="1" applyAlignment="1">
      <alignment vertical="center" wrapText="1"/>
    </xf>
    <xf numFmtId="0" fontId="22" fillId="11" borderId="7" xfId="45" applyFill="1" applyAlignment="1">
      <alignment horizontal="left" vertical="center" wrapText="1" indent="1"/>
    </xf>
    <xf numFmtId="0" fontId="14" fillId="11" borderId="127" xfId="0" quotePrefix="1" applyFont="1" applyFill="1" applyBorder="1" applyAlignment="1">
      <alignment horizontal="left" vertical="center" wrapText="1" indent="1"/>
    </xf>
    <xf numFmtId="0" fontId="22" fillId="0" borderId="92" xfId="13" applyFont="1" applyBorder="1">
      <alignment horizontal="center" vertical="center"/>
    </xf>
    <xf numFmtId="0" fontId="22" fillId="6" borderId="127" xfId="8" applyFill="1" applyBorder="1">
      <alignment horizontal="left" vertical="center"/>
    </xf>
    <xf numFmtId="0" fontId="22" fillId="7" borderId="127" xfId="45" applyFill="1" applyBorder="1" applyAlignment="1">
      <alignment horizontal="left" vertical="center" wrapText="1" indent="1"/>
    </xf>
    <xf numFmtId="0" fontId="14" fillId="6" borderId="127" xfId="0" applyFont="1" applyFill="1" applyBorder="1" applyAlignment="1">
      <alignment horizontal="center" vertical="center"/>
    </xf>
    <xf numFmtId="0" fontId="14" fillId="11" borderId="120" xfId="0" quotePrefix="1" applyFont="1" applyFill="1" applyBorder="1" applyAlignment="1">
      <alignment horizontal="center" vertical="center" wrapText="1"/>
    </xf>
    <xf numFmtId="0" fontId="22" fillId="0" borderId="0" xfId="8" applyAlignment="1">
      <alignment vertical="center"/>
    </xf>
    <xf numFmtId="0" fontId="0" fillId="0" borderId="89" xfId="0" applyBorder="1"/>
    <xf numFmtId="0" fontId="14" fillId="7" borderId="127" xfId="19" applyFont="1" applyFill="1" applyBorder="1" applyAlignment="1">
      <alignment horizontal="left" vertical="center" wrapText="1" indent="1"/>
    </xf>
    <xf numFmtId="0" fontId="22" fillId="6" borderId="90" xfId="0" applyFont="1" applyFill="1" applyBorder="1" applyAlignment="1">
      <alignment vertical="center" wrapText="1"/>
    </xf>
    <xf numFmtId="0" fontId="22" fillId="4" borderId="91" xfId="8" applyFill="1" applyBorder="1" applyAlignment="1" applyProtection="1">
      <alignment horizontal="left" vertical="center" indent="1"/>
      <protection locked="0"/>
    </xf>
    <xf numFmtId="0" fontId="22" fillId="4" borderId="127" xfId="8" applyFill="1" applyBorder="1" applyAlignment="1" applyProtection="1">
      <alignment horizontal="left" vertical="center" indent="1"/>
      <protection locked="0"/>
    </xf>
    <xf numFmtId="0" fontId="14" fillId="75" borderId="114" xfId="0" quotePrefix="1" applyFont="1" applyFill="1" applyBorder="1" applyAlignment="1">
      <alignment horizontal="left" vertical="center" wrapText="1" indent="1"/>
    </xf>
    <xf numFmtId="0" fontId="0" fillId="75" borderId="90" xfId="0" applyFill="1" applyBorder="1"/>
    <xf numFmtId="0" fontId="0" fillId="75" borderId="150" xfId="0" applyFill="1" applyBorder="1"/>
    <xf numFmtId="0" fontId="14" fillId="0" borderId="127" xfId="0" applyFont="1" applyBorder="1" applyAlignment="1">
      <alignment vertical="center"/>
    </xf>
    <xf numFmtId="170" fontId="22" fillId="4" borderId="127" xfId="13" applyNumberFormat="1" applyFont="1" applyFill="1" applyBorder="1" applyProtection="1">
      <alignment horizontal="center" vertical="center"/>
      <protection locked="0"/>
    </xf>
    <xf numFmtId="0" fontId="22" fillId="4" borderId="127" xfId="13" applyFont="1" applyFill="1" applyBorder="1" applyAlignment="1" applyProtection="1">
      <alignment horizontal="left" vertical="center" wrapText="1"/>
      <protection locked="0"/>
    </xf>
    <xf numFmtId="0" fontId="0" fillId="4" borderId="93" xfId="0" applyFill="1" applyBorder="1" applyAlignment="1" applyProtection="1">
      <alignment wrapText="1"/>
      <protection locked="0"/>
    </xf>
    <xf numFmtId="0" fontId="0" fillId="4" borderId="91" xfId="0" applyFill="1" applyBorder="1" applyAlignment="1" applyProtection="1">
      <alignment wrapText="1"/>
      <protection locked="0"/>
    </xf>
    <xf numFmtId="0" fontId="22" fillId="0" borderId="127" xfId="8" applyBorder="1" applyAlignment="1">
      <alignment horizontal="center" vertical="center"/>
    </xf>
    <xf numFmtId="0" fontId="14" fillId="4" borderId="91" xfId="0" applyFont="1" applyFill="1" applyBorder="1" applyAlignment="1" applyProtection="1">
      <alignment horizontal="left" vertical="top" wrapText="1" shrinkToFit="1"/>
      <protection locked="0"/>
    </xf>
    <xf numFmtId="0" fontId="22" fillId="4" borderId="127" xfId="46" applyBorder="1" applyAlignment="1">
      <alignment horizontal="center" vertical="center" wrapText="1"/>
      <protection locked="0"/>
    </xf>
    <xf numFmtId="0" fontId="74" fillId="0" borderId="0" xfId="4" applyFont="1" applyAlignment="1" applyProtection="1">
      <alignment horizontal="left" vertical="center" wrapText="1"/>
    </xf>
    <xf numFmtId="0" fontId="22" fillId="4" borderId="114" xfId="8" applyFill="1" applyBorder="1" applyAlignment="1" applyProtection="1">
      <alignment horizontal="left" vertical="center" wrapText="1" indent="1"/>
      <protection locked="0"/>
    </xf>
    <xf numFmtId="0" fontId="0" fillId="4" borderId="90" xfId="0" applyFill="1" applyBorder="1" applyProtection="1">
      <protection locked="0"/>
    </xf>
    <xf numFmtId="0" fontId="0" fillId="4" borderId="150" xfId="0" applyFill="1" applyBorder="1" applyProtection="1">
      <protection locked="0"/>
    </xf>
    <xf numFmtId="0" fontId="14" fillId="6" borderId="89" xfId="0" applyFont="1" applyFill="1" applyBorder="1" applyAlignment="1">
      <alignment horizontal="right" vertical="center" indent="1"/>
    </xf>
    <xf numFmtId="0" fontId="22" fillId="0" borderId="0" xfId="8">
      <alignment horizontal="left" vertical="center"/>
    </xf>
    <xf numFmtId="0" fontId="22" fillId="4" borderId="127" xfId="0" applyFont="1" applyFill="1" applyBorder="1" applyAlignment="1" applyProtection="1">
      <alignment horizontal="center" vertical="center"/>
      <protection locked="0"/>
    </xf>
    <xf numFmtId="0" fontId="22" fillId="6" borderId="0" xfId="8" applyFill="1" applyAlignment="1">
      <alignment horizontal="left" vertical="center" wrapText="1"/>
    </xf>
    <xf numFmtId="0" fontId="22" fillId="6" borderId="0" xfId="8" applyFill="1" applyAlignment="1">
      <alignment vertical="center"/>
    </xf>
    <xf numFmtId="0" fontId="14" fillId="4" borderId="150" xfId="0" applyFont="1" applyFill="1" applyBorder="1" applyAlignment="1" applyProtection="1">
      <alignment horizontal="center" vertical="center" shrinkToFit="1"/>
      <protection locked="0"/>
    </xf>
    <xf numFmtId="0" fontId="14" fillId="4" borderId="114" xfId="0" applyFont="1" applyFill="1" applyBorder="1" applyAlignment="1" applyProtection="1">
      <alignment horizontal="center" vertical="center" shrinkToFit="1"/>
      <protection locked="0"/>
    </xf>
    <xf numFmtId="175" fontId="14" fillId="4" borderId="127" xfId="0" applyNumberFormat="1" applyFont="1" applyFill="1" applyBorder="1" applyAlignment="1" applyProtection="1">
      <alignment horizontal="center" vertical="center" shrinkToFit="1"/>
      <protection locked="0"/>
    </xf>
    <xf numFmtId="3" fontId="14" fillId="4" borderId="127" xfId="0" applyNumberFormat="1" applyFont="1" applyFill="1" applyBorder="1" applyAlignment="1" applyProtection="1">
      <alignment horizontal="center" vertical="center" shrinkToFit="1"/>
      <protection locked="0"/>
    </xf>
    <xf numFmtId="0" fontId="14" fillId="6" borderId="0" xfId="0" applyFont="1" applyFill="1" applyAlignment="1">
      <alignment horizontal="center" vertical="center"/>
    </xf>
    <xf numFmtId="0" fontId="45" fillId="6" borderId="24" xfId="0" applyFont="1" applyFill="1" applyBorder="1" applyAlignment="1">
      <alignment horizontal="center" vertical="center"/>
    </xf>
    <xf numFmtId="0" fontId="0" fillId="0" borderId="24" xfId="0" applyBorder="1"/>
    <xf numFmtId="49" fontId="14" fillId="4" borderId="127" xfId="0" applyNumberFormat="1" applyFont="1" applyFill="1" applyBorder="1" applyAlignment="1" applyProtection="1">
      <alignment horizontal="left" vertical="center" indent="1"/>
      <protection locked="0"/>
    </xf>
    <xf numFmtId="0" fontId="22" fillId="6" borderId="129" xfId="8" applyFill="1" applyBorder="1" applyAlignment="1">
      <alignment horizontal="center" vertical="center" wrapText="1"/>
    </xf>
    <xf numFmtId="3" fontId="14" fillId="4" borderId="92" xfId="0" applyNumberFormat="1" applyFont="1" applyFill="1" applyBorder="1" applyAlignment="1" applyProtection="1">
      <alignment horizontal="center" vertical="center" shrinkToFit="1"/>
      <protection locked="0"/>
    </xf>
    <xf numFmtId="0" fontId="22" fillId="0" borderId="0" xfId="8" applyAlignment="1">
      <alignment horizontal="center" vertical="center"/>
    </xf>
    <xf numFmtId="0" fontId="168" fillId="6" borderId="0" xfId="12" applyFont="1" applyFill="1" applyBorder="1" applyAlignment="1">
      <alignment horizontal="center" vertical="center" wrapText="1"/>
    </xf>
    <xf numFmtId="0" fontId="14" fillId="6" borderId="114" xfId="0" applyFont="1" applyFill="1" applyBorder="1" applyAlignment="1">
      <alignment horizontal="center" vertical="center"/>
    </xf>
    <xf numFmtId="0" fontId="22" fillId="0" borderId="127" xfId="46" applyFill="1" applyBorder="1" applyAlignment="1" applyProtection="1">
      <alignment horizontal="left" vertical="center"/>
    </xf>
    <xf numFmtId="0" fontId="45" fillId="6" borderId="90" xfId="0" applyFont="1" applyFill="1" applyBorder="1" applyAlignment="1">
      <alignment horizontal="left" vertical="center" indent="1"/>
    </xf>
    <xf numFmtId="0" fontId="14" fillId="0" borderId="0" xfId="0" applyFont="1" applyAlignment="1">
      <alignment horizontal="center" vertical="center"/>
    </xf>
    <xf numFmtId="0" fontId="14" fillId="0" borderId="24" xfId="0" applyFont="1" applyBorder="1" applyAlignment="1">
      <alignment horizontal="left" vertical="center" indent="1"/>
    </xf>
    <xf numFmtId="0" fontId="14" fillId="0" borderId="0" xfId="8" applyFont="1" applyAlignment="1">
      <alignment vertical="center"/>
    </xf>
    <xf numFmtId="0" fontId="14" fillId="6" borderId="91" xfId="0" applyFont="1" applyFill="1" applyBorder="1" applyAlignment="1">
      <alignment horizontal="left" vertical="center" indent="1"/>
    </xf>
    <xf numFmtId="170" fontId="14" fillId="4" borderId="114" xfId="0" applyNumberFormat="1" applyFont="1" applyFill="1" applyBorder="1" applyAlignment="1" applyProtection="1">
      <alignment horizontal="left" vertical="center" indent="1" shrinkToFit="1"/>
      <protection locked="0"/>
    </xf>
    <xf numFmtId="3" fontId="14" fillId="0" borderId="127" xfId="0" applyNumberFormat="1" applyFont="1" applyBorder="1" applyAlignment="1">
      <alignment horizontal="left" vertical="center" indent="1"/>
    </xf>
    <xf numFmtId="0" fontId="22" fillId="0" borderId="0" xfId="26" applyFont="1" applyAlignment="1">
      <alignment vertical="center" wrapText="1"/>
    </xf>
    <xf numFmtId="1" fontId="14" fillId="4" borderId="127" xfId="0" applyNumberFormat="1" applyFont="1" applyFill="1" applyBorder="1" applyAlignment="1" applyProtection="1">
      <alignment horizontal="center" vertical="center" shrinkToFit="1"/>
      <protection locked="0"/>
    </xf>
    <xf numFmtId="0" fontId="14" fillId="7" borderId="127" xfId="0" quotePrefix="1" applyFont="1" applyFill="1" applyBorder="1" applyAlignment="1">
      <alignment horizontal="left" vertical="center" wrapText="1" indent="1"/>
    </xf>
    <xf numFmtId="0" fontId="14" fillId="11" borderId="43" xfId="0" quotePrefix="1" applyFont="1" applyFill="1" applyBorder="1" applyAlignment="1">
      <alignment horizontal="center" vertical="center" wrapText="1"/>
    </xf>
    <xf numFmtId="0" fontId="14" fillId="4" borderId="129" xfId="0" applyFont="1" applyFill="1" applyBorder="1" applyAlignment="1" applyProtection="1">
      <alignment horizontal="center" vertical="center"/>
      <protection locked="0"/>
    </xf>
    <xf numFmtId="0" fontId="14" fillId="4" borderId="91" xfId="0" applyFont="1" applyFill="1" applyBorder="1" applyAlignment="1" applyProtection="1">
      <alignment horizontal="center" vertical="center"/>
      <protection locked="0"/>
    </xf>
    <xf numFmtId="0" fontId="14" fillId="4" borderId="127" xfId="0" applyFont="1" applyFill="1" applyBorder="1" applyAlignment="1" applyProtection="1">
      <alignment horizontal="left" vertical="center"/>
      <protection locked="0"/>
    </xf>
    <xf numFmtId="0" fontId="14" fillId="7" borderId="127" xfId="11" applyFont="1" applyFill="1" applyBorder="1" applyAlignment="1">
      <alignment horizontal="center" vertical="center" wrapText="1"/>
    </xf>
    <xf numFmtId="0" fontId="22" fillId="0" borderId="127" xfId="45" applyFill="1" applyBorder="1" applyAlignment="1">
      <alignment horizontal="center" vertical="center" wrapText="1"/>
    </xf>
    <xf numFmtId="0" fontId="49" fillId="6" borderId="0" xfId="19" applyFont="1" applyFill="1" applyBorder="1">
      <alignment horizontal="left" vertical="center" wrapText="1"/>
    </xf>
    <xf numFmtId="0" fontId="14" fillId="0" borderId="0" xfId="0" applyFont="1" applyAlignment="1">
      <alignment vertical="center"/>
    </xf>
    <xf numFmtId="0" fontId="22" fillId="4" borderId="129" xfId="0" applyFont="1" applyFill="1" applyBorder="1" applyAlignment="1" applyProtection="1">
      <alignment horizontal="center" vertical="center" wrapText="1"/>
      <protection locked="0"/>
    </xf>
    <xf numFmtId="0" fontId="22" fillId="4" borderId="91" xfId="0" applyFont="1" applyFill="1" applyBorder="1" applyAlignment="1" applyProtection="1">
      <alignment horizontal="center" vertical="center" wrapText="1"/>
      <protection locked="0"/>
    </xf>
    <xf numFmtId="0" fontId="14" fillId="6" borderId="24" xfId="0" applyFont="1" applyFill="1" applyBorder="1" applyAlignment="1">
      <alignment horizontal="left" vertical="center" indent="1"/>
    </xf>
    <xf numFmtId="0" fontId="22" fillId="6" borderId="0" xfId="13" applyFont="1" applyFill="1" applyAlignment="1">
      <alignment horizontal="left" vertical="center" wrapText="1"/>
    </xf>
    <xf numFmtId="0" fontId="14" fillId="0" borderId="0" xfId="8" applyFont="1">
      <alignment horizontal="left" vertical="center"/>
    </xf>
    <xf numFmtId="0" fontId="14" fillId="6" borderId="7" xfId="45" applyFont="1" applyFill="1" applyAlignment="1">
      <alignment horizontal="center" vertical="center" wrapText="1"/>
    </xf>
    <xf numFmtId="0" fontId="34" fillId="6" borderId="88" xfId="19" applyFont="1" applyFill="1" applyBorder="1" applyAlignment="1">
      <alignment horizontal="center" vertical="center" wrapText="1"/>
    </xf>
    <xf numFmtId="0" fontId="0" fillId="0" borderId="87" xfId="0" applyBorder="1"/>
    <xf numFmtId="0" fontId="22" fillId="6" borderId="12" xfId="8" applyFill="1" applyBorder="1" applyAlignment="1">
      <alignment horizontal="left" vertical="center" wrapText="1"/>
    </xf>
    <xf numFmtId="0" fontId="14" fillId="4" borderId="114" xfId="8" applyFont="1" applyFill="1" applyBorder="1" applyProtection="1">
      <alignment horizontal="left" vertical="center"/>
      <protection locked="0"/>
    </xf>
    <xf numFmtId="0" fontId="45" fillId="6" borderId="114" xfId="0" applyFont="1" applyFill="1" applyBorder="1" applyAlignment="1">
      <alignment horizontal="center" vertical="top"/>
    </xf>
    <xf numFmtId="0" fontId="49" fillId="0" borderId="90" xfId="8" applyFont="1" applyBorder="1">
      <alignment horizontal="left" vertical="center"/>
    </xf>
    <xf numFmtId="0" fontId="22" fillId="4" borderId="7" xfId="45" applyFill="1" applyAlignment="1" applyProtection="1">
      <alignment horizontal="center" vertical="center" wrapText="1"/>
      <protection locked="0"/>
    </xf>
    <xf numFmtId="0" fontId="14" fillId="11" borderId="127" xfId="0" quotePrefix="1" applyFont="1" applyFill="1" applyBorder="1" applyAlignment="1">
      <alignment horizontal="left" vertical="center" wrapText="1"/>
    </xf>
    <xf numFmtId="170" fontId="14" fillId="0" borderId="0" xfId="0" applyNumberFormat="1" applyFont="1" applyAlignment="1">
      <alignment horizontal="left" vertical="center" indent="1"/>
    </xf>
    <xf numFmtId="0" fontId="14" fillId="4" borderId="91" xfId="0" applyFont="1" applyFill="1" applyBorder="1" applyAlignment="1" applyProtection="1">
      <alignment horizontal="center" vertical="center" shrinkToFit="1"/>
      <protection locked="0"/>
    </xf>
    <xf numFmtId="0" fontId="22" fillId="11" borderId="127" xfId="45" applyFill="1" applyBorder="1" applyAlignment="1">
      <alignment horizontal="left" vertical="center" wrapText="1" indent="1"/>
    </xf>
    <xf numFmtId="0" fontId="14" fillId="6" borderId="0" xfId="73" applyFont="1" applyFill="1" applyAlignment="1">
      <alignment vertical="center"/>
    </xf>
    <xf numFmtId="0" fontId="22" fillId="6" borderId="0" xfId="8" applyFill="1">
      <alignment horizontal="left" vertical="center"/>
    </xf>
    <xf numFmtId="0" fontId="14" fillId="25" borderId="129" xfId="0" quotePrefix="1" applyFont="1" applyFill="1" applyBorder="1" applyAlignment="1">
      <alignment horizontal="left" vertical="center" wrapText="1" indent="1"/>
    </xf>
    <xf numFmtId="0" fontId="0" fillId="25" borderId="93" xfId="0" applyFill="1" applyBorder="1"/>
    <xf numFmtId="0" fontId="45" fillId="6" borderId="90" xfId="0" applyFont="1" applyFill="1" applyBorder="1" applyAlignment="1">
      <alignment horizontal="center" vertical="center"/>
    </xf>
    <xf numFmtId="0" fontId="22" fillId="4" borderId="127" xfId="26" applyFont="1" applyFill="1" applyBorder="1" applyAlignment="1" applyProtection="1">
      <alignment horizontal="center" vertical="center"/>
      <protection locked="0"/>
    </xf>
    <xf numFmtId="0" fontId="22" fillId="0" borderId="0" xfId="0" applyFont="1" applyAlignment="1">
      <alignment vertical="center" wrapText="1"/>
    </xf>
    <xf numFmtId="0" fontId="22" fillId="0" borderId="0" xfId="0" applyFont="1" applyAlignment="1">
      <alignment vertical="center"/>
    </xf>
    <xf numFmtId="0" fontId="22" fillId="4" borderId="7" xfId="45" applyFill="1" applyAlignment="1" applyProtection="1">
      <alignment horizontal="left" vertical="center" wrapText="1" indent="1"/>
      <protection locked="0"/>
    </xf>
    <xf numFmtId="0" fontId="14" fillId="0" borderId="0" xfId="0" applyFont="1" applyAlignment="1">
      <alignment horizontal="right" vertical="center"/>
    </xf>
    <xf numFmtId="0" fontId="14" fillId="0" borderId="127" xfId="0" applyFont="1" applyBorder="1" applyAlignment="1">
      <alignment horizontal="center" vertical="center"/>
    </xf>
    <xf numFmtId="0" fontId="49" fillId="6" borderId="0" xfId="19" applyFont="1" applyFill="1" applyBorder="1" applyAlignment="1">
      <alignment vertical="center" wrapText="1"/>
    </xf>
    <xf numFmtId="0" fontId="74" fillId="11" borderId="127" xfId="4" applyFont="1" applyFill="1" applyBorder="1" applyAlignment="1" applyProtection="1">
      <alignment horizontal="left" vertical="center" wrapText="1" indent="1"/>
    </xf>
    <xf numFmtId="0" fontId="14" fillId="6" borderId="93" xfId="0" applyFont="1" applyFill="1" applyBorder="1" applyAlignment="1">
      <alignment horizontal="left" vertical="center" indent="1"/>
    </xf>
    <xf numFmtId="0" fontId="14" fillId="0" borderId="87" xfId="0" applyFont="1" applyBorder="1" applyAlignment="1">
      <alignment horizontal="left" vertical="center" wrapText="1"/>
    </xf>
    <xf numFmtId="0" fontId="22" fillId="6" borderId="90" xfId="8" applyFill="1" applyBorder="1" applyAlignment="1">
      <alignment horizontal="center" vertical="center" wrapText="1"/>
    </xf>
    <xf numFmtId="0" fontId="22" fillId="6" borderId="116" xfId="8" applyFill="1" applyBorder="1" applyAlignment="1">
      <alignment horizontal="center" vertical="center"/>
    </xf>
    <xf numFmtId="0" fontId="0" fillId="0" borderId="101" xfId="0" applyBorder="1"/>
    <xf numFmtId="0" fontId="0" fillId="0" borderId="102" xfId="0" applyBorder="1"/>
    <xf numFmtId="0" fontId="14" fillId="6" borderId="127" xfId="45" applyFont="1" applyFill="1" applyBorder="1" applyAlignment="1">
      <alignment horizontal="center" vertical="center" wrapText="1"/>
    </xf>
    <xf numFmtId="0" fontId="45" fillId="6" borderId="12" xfId="51" applyFont="1" applyFill="1" applyBorder="1" applyAlignment="1">
      <alignment horizontal="center" vertical="center"/>
    </xf>
    <xf numFmtId="0" fontId="169" fillId="0" borderId="89" xfId="0" applyFont="1" applyBorder="1" applyAlignment="1">
      <alignment horizontal="left" vertical="center"/>
    </xf>
    <xf numFmtId="0" fontId="168" fillId="6" borderId="0" xfId="8" applyFont="1" applyFill="1" applyAlignment="1">
      <alignment vertical="center"/>
    </xf>
    <xf numFmtId="0" fontId="170" fillId="0" borderId="89" xfId="0" applyFont="1" applyBorder="1"/>
    <xf numFmtId="0" fontId="22" fillId="0" borderId="87" xfId="8" applyBorder="1" applyAlignment="1">
      <alignment horizontal="center" vertical="center" wrapText="1"/>
    </xf>
    <xf numFmtId="0" fontId="14" fillId="6" borderId="90" xfId="0" applyFont="1" applyFill="1" applyBorder="1" applyAlignment="1">
      <alignment horizontal="center" vertical="center"/>
    </xf>
    <xf numFmtId="0" fontId="22" fillId="4" borderId="100" xfId="8" applyFill="1" applyBorder="1" applyAlignment="1" applyProtection="1">
      <alignment horizontal="left" vertical="center" wrapText="1" indent="1"/>
      <protection locked="0"/>
    </xf>
    <xf numFmtId="0" fontId="0" fillId="0" borderId="59" xfId="0" applyBorder="1" applyProtection="1">
      <protection locked="0"/>
    </xf>
    <xf numFmtId="0" fontId="0" fillId="0" borderId="60" xfId="0" applyBorder="1" applyProtection="1">
      <protection locked="0"/>
    </xf>
    <xf numFmtId="3" fontId="14" fillId="4" borderId="47" xfId="0" applyNumberFormat="1" applyFont="1" applyFill="1" applyBorder="1" applyAlignment="1" applyProtection="1">
      <alignment horizontal="center" vertical="center" shrinkToFit="1"/>
      <protection locked="0"/>
    </xf>
    <xf numFmtId="0" fontId="14" fillId="0" borderId="127" xfId="73" applyFont="1" applyBorder="1" applyAlignment="1">
      <alignment horizontal="left" vertical="center" wrapText="1"/>
    </xf>
    <xf numFmtId="0" fontId="14" fillId="4" borderId="127" xfId="73" applyFont="1" applyFill="1" applyBorder="1" applyAlignment="1" applyProtection="1">
      <alignment horizontal="center" vertical="center"/>
      <protection locked="0"/>
    </xf>
    <xf numFmtId="0" fontId="22" fillId="0" borderId="0" xfId="73" applyFont="1" applyAlignment="1">
      <alignment horizontal="left" vertical="center"/>
    </xf>
    <xf numFmtId="0" fontId="55" fillId="0" borderId="0" xfId="73" applyFont="1" applyAlignment="1">
      <alignment horizontal="center" vertical="top" wrapText="1"/>
    </xf>
    <xf numFmtId="0" fontId="22" fillId="37" borderId="129" xfId="73" applyFont="1" applyFill="1" applyBorder="1" applyAlignment="1">
      <alignment horizontal="right" vertical="center" wrapText="1" indent="1"/>
    </xf>
    <xf numFmtId="14" fontId="22" fillId="4" borderId="7" xfId="45" applyNumberFormat="1" applyFill="1" applyAlignment="1" applyProtection="1">
      <alignment horizontal="center" vertical="center" wrapText="1"/>
      <protection locked="0"/>
    </xf>
    <xf numFmtId="0" fontId="23" fillId="6" borderId="127" xfId="8" applyFont="1" applyFill="1" applyBorder="1" applyAlignment="1">
      <alignment horizontal="center" vertical="center"/>
    </xf>
    <xf numFmtId="0" fontId="22" fillId="0" borderId="89" xfId="8" applyBorder="1">
      <alignment horizontal="left" vertical="center"/>
    </xf>
    <xf numFmtId="0" fontId="14" fillId="0" borderId="89" xfId="0" applyFont="1" applyBorder="1" applyAlignment="1">
      <alignment horizontal="right" vertical="center" indent="1"/>
    </xf>
    <xf numFmtId="0" fontId="22" fillId="0" borderId="127" xfId="13" applyFont="1" applyBorder="1">
      <alignment horizontal="center" vertical="center"/>
    </xf>
    <xf numFmtId="0" fontId="14" fillId="4" borderId="127" xfId="0" applyFont="1" applyFill="1" applyBorder="1" applyAlignment="1" applyProtection="1">
      <alignment horizontal="left" vertical="top" wrapText="1"/>
      <protection locked="0"/>
    </xf>
    <xf numFmtId="0" fontId="14" fillId="0" borderId="88" xfId="0" applyFont="1" applyBorder="1" applyAlignment="1">
      <alignment horizontal="center" vertical="center"/>
    </xf>
    <xf numFmtId="0" fontId="14" fillId="6" borderId="114" xfId="0" applyFont="1" applyFill="1" applyBorder="1" applyAlignment="1">
      <alignment horizontal="center" vertical="center" shrinkToFit="1"/>
    </xf>
    <xf numFmtId="0" fontId="22" fillId="0" borderId="0" xfId="8" applyAlignment="1">
      <alignment horizontal="left" vertical="center" wrapText="1"/>
    </xf>
    <xf numFmtId="0" fontId="14" fillId="0" borderId="129" xfId="0" applyFont="1" applyBorder="1" applyAlignment="1">
      <alignment horizontal="left" vertical="center"/>
    </xf>
    <xf numFmtId="0" fontId="14" fillId="0" borderId="0" xfId="8" applyFont="1" applyAlignment="1">
      <alignment horizontal="center" vertical="center"/>
    </xf>
    <xf numFmtId="3" fontId="14" fillId="0" borderId="91" xfId="0" applyNumberFormat="1" applyFont="1" applyBorder="1" applyAlignment="1">
      <alignment horizontal="center" vertical="center"/>
    </xf>
    <xf numFmtId="0" fontId="22" fillId="6" borderId="102" xfId="8" applyFill="1" applyBorder="1" applyAlignment="1">
      <alignment horizontal="center" vertical="center"/>
    </xf>
    <xf numFmtId="0" fontId="22" fillId="0" borderId="7" xfId="45" applyFill="1" applyAlignment="1">
      <alignment horizontal="right" vertical="center" indent="1"/>
    </xf>
    <xf numFmtId="49" fontId="22" fillId="4" borderId="127" xfId="8" applyNumberFormat="1" applyFill="1" applyBorder="1" applyAlignment="1" applyProtection="1">
      <alignment horizontal="left" vertical="center" indent="1"/>
      <protection locked="0"/>
    </xf>
    <xf numFmtId="0" fontId="22" fillId="7" borderId="127" xfId="12" applyFill="1" applyBorder="1" applyAlignment="1">
      <alignment horizontal="left" vertical="center" wrapText="1" indent="1"/>
    </xf>
    <xf numFmtId="0" fontId="14" fillId="0" borderId="0" xfId="19" applyFont="1" applyFill="1" applyBorder="1" applyAlignment="1">
      <alignment horizontal="left" vertical="center" wrapText="1" indent="1"/>
    </xf>
    <xf numFmtId="0" fontId="0" fillId="0" borderId="0" xfId="0"/>
    <xf numFmtId="0" fontId="98" fillId="0" borderId="89" xfId="8" applyFont="1" applyBorder="1">
      <alignment horizontal="left" vertical="center"/>
    </xf>
    <xf numFmtId="0" fontId="22" fillId="37" borderId="127" xfId="73" applyFont="1" applyFill="1" applyBorder="1" applyAlignment="1">
      <alignment horizontal="left" vertical="center" indent="1"/>
    </xf>
    <xf numFmtId="0" fontId="22" fillId="6" borderId="114" xfId="8" applyFill="1" applyBorder="1" applyAlignment="1">
      <alignment horizontal="center" vertical="center"/>
    </xf>
    <xf numFmtId="0" fontId="14" fillId="37" borderId="127" xfId="73" applyFont="1" applyFill="1" applyBorder="1" applyAlignment="1">
      <alignment horizontal="left" vertical="center" indent="1"/>
    </xf>
    <xf numFmtId="0" fontId="14" fillId="0" borderId="0" xfId="0" applyFont="1" applyAlignment="1">
      <alignment horizontal="right" vertical="center" indent="1"/>
    </xf>
    <xf numFmtId="3" fontId="14" fillId="4" borderId="89" xfId="0" applyNumberFormat="1" applyFont="1" applyFill="1" applyBorder="1" applyAlignment="1" applyProtection="1">
      <alignment horizontal="center" vertical="center" shrinkToFit="1"/>
      <protection locked="0"/>
    </xf>
    <xf numFmtId="0" fontId="0" fillId="0" borderId="0" xfId="0" applyProtection="1">
      <protection locked="0"/>
    </xf>
    <xf numFmtId="0" fontId="0" fillId="0" borderId="89" xfId="0" applyBorder="1" applyProtection="1">
      <protection locked="0"/>
    </xf>
    <xf numFmtId="0" fontId="14" fillId="0" borderId="120" xfId="0" applyFont="1" applyBorder="1" applyAlignment="1">
      <alignment horizontal="left" vertical="center" indent="1"/>
    </xf>
    <xf numFmtId="0" fontId="22" fillId="6" borderId="114" xfId="8" applyFill="1" applyBorder="1">
      <alignment horizontal="left" vertical="center"/>
    </xf>
    <xf numFmtId="0" fontId="22" fillId="6" borderId="120" xfId="13" applyFont="1" applyFill="1" applyBorder="1" applyAlignment="1">
      <alignment horizontal="left" vertical="center" wrapText="1"/>
    </xf>
    <xf numFmtId="0" fontId="22" fillId="4" borderId="7" xfId="46" applyAlignment="1">
      <alignment horizontal="left" vertical="center" indent="1"/>
      <protection locked="0"/>
    </xf>
    <xf numFmtId="170" fontId="22" fillId="4" borderId="7" xfId="45" applyNumberFormat="1" applyFill="1" applyAlignment="1" applyProtection="1">
      <alignment horizontal="center" vertical="center" wrapText="1"/>
      <protection locked="0"/>
    </xf>
    <xf numFmtId="0" fontId="14" fillId="0" borderId="127" xfId="0" applyFont="1" applyBorder="1" applyAlignment="1">
      <alignment horizontal="left" vertical="center"/>
    </xf>
    <xf numFmtId="0" fontId="49" fillId="6" borderId="0" xfId="0" applyFont="1" applyFill="1" applyAlignment="1">
      <alignment horizontal="left" vertical="center"/>
    </xf>
    <xf numFmtId="0" fontId="22" fillId="0" borderId="24" xfId="8" applyBorder="1" applyAlignment="1">
      <alignment horizontal="left" vertical="center" indent="1"/>
    </xf>
    <xf numFmtId="14" fontId="22" fillId="4" borderId="127" xfId="13" applyNumberFormat="1" applyFont="1" applyFill="1" applyBorder="1" applyProtection="1">
      <alignment horizontal="center" vertical="center"/>
      <protection locked="0"/>
    </xf>
    <xf numFmtId="0" fontId="22" fillId="0" borderId="24" xfId="8" applyBorder="1" applyAlignment="1">
      <alignment vertical="center"/>
    </xf>
    <xf numFmtId="0" fontId="22" fillId="0" borderId="104" xfId="12" applyFill="1" applyBorder="1">
      <alignment horizontal="left" vertical="center" wrapText="1"/>
    </xf>
    <xf numFmtId="0" fontId="22" fillId="4" borderId="105" xfId="8" applyFill="1" applyBorder="1" applyAlignment="1" applyProtection="1">
      <alignment horizontal="left" vertical="center" indent="1"/>
      <protection locked="0"/>
    </xf>
    <xf numFmtId="0" fontId="0" fillId="0" borderId="99" xfId="0" applyBorder="1" applyProtection="1">
      <protection locked="0"/>
    </xf>
    <xf numFmtId="0" fontId="98" fillId="0" borderId="21" xfId="8" applyFont="1" applyBorder="1" applyAlignment="1">
      <alignment vertical="center" wrapText="1"/>
    </xf>
    <xf numFmtId="0" fontId="14" fillId="6" borderId="129" xfId="0" applyFont="1" applyFill="1" applyBorder="1" applyAlignment="1">
      <alignment horizontal="center" vertical="center"/>
    </xf>
    <xf numFmtId="0" fontId="22" fillId="0" borderId="127" xfId="8" applyBorder="1" applyAlignment="1">
      <alignment horizontal="right" vertical="center" indent="1"/>
    </xf>
    <xf numFmtId="0" fontId="14" fillId="4" borderId="7" xfId="45" applyFont="1" applyFill="1" applyAlignment="1" applyProtection="1">
      <alignment horizontal="center" vertical="center" wrapText="1"/>
      <protection locked="0"/>
    </xf>
    <xf numFmtId="0" fontId="22" fillId="6" borderId="93" xfId="45" applyFill="1" applyBorder="1" applyAlignment="1">
      <alignment horizontal="left" vertical="center" wrapText="1" indent="1"/>
    </xf>
    <xf numFmtId="0" fontId="22" fillId="4" borderId="129" xfId="0" applyFont="1" applyFill="1" applyBorder="1" applyAlignment="1" applyProtection="1">
      <alignment horizontal="center" vertical="center"/>
      <protection locked="0"/>
    </xf>
    <xf numFmtId="0" fontId="22" fillId="4" borderId="91" xfId="0" applyFont="1" applyFill="1" applyBorder="1" applyAlignment="1" applyProtection="1">
      <alignment horizontal="center" vertical="center"/>
      <protection locked="0"/>
    </xf>
    <xf numFmtId="0" fontId="14" fillId="6" borderId="127" xfId="6" applyFont="1" applyFill="1" applyBorder="1" applyAlignment="1">
      <alignment horizontal="center" vertical="center"/>
    </xf>
    <xf numFmtId="10" fontId="14" fillId="4" borderId="127" xfId="0" applyNumberFormat="1" applyFont="1" applyFill="1" applyBorder="1" applyAlignment="1" applyProtection="1">
      <alignment horizontal="center" vertical="center"/>
      <protection locked="0"/>
    </xf>
    <xf numFmtId="0" fontId="22" fillId="4" borderId="127" xfId="45" applyFill="1" applyBorder="1" applyAlignment="1" applyProtection="1">
      <alignment horizontal="left" vertical="center" wrapText="1" indent="1"/>
      <protection locked="0"/>
    </xf>
    <xf numFmtId="14" fontId="22" fillId="4" borderId="127" xfId="8" applyNumberFormat="1" applyFill="1" applyBorder="1" applyAlignment="1" applyProtection="1">
      <alignment horizontal="center" vertical="center" wrapText="1"/>
      <protection locked="0"/>
    </xf>
    <xf numFmtId="0" fontId="22" fillId="4" borderId="91" xfId="8" applyFill="1" applyBorder="1" applyAlignment="1" applyProtection="1">
      <alignment horizontal="left" vertical="top" wrapText="1" indent="1"/>
      <protection locked="0"/>
    </xf>
    <xf numFmtId="0" fontId="14" fillId="0" borderId="127" xfId="11" applyFont="1" applyFill="1" applyBorder="1" applyAlignment="1">
      <alignment horizontal="left" vertical="center"/>
    </xf>
    <xf numFmtId="0" fontId="74" fillId="75" borderId="129" xfId="4" applyFont="1" applyFill="1" applyBorder="1" applyAlignment="1">
      <alignment horizontal="center" vertical="center"/>
      <protection locked="0"/>
    </xf>
    <xf numFmtId="0" fontId="74" fillId="75" borderId="93" xfId="4" applyFont="1" applyFill="1" applyBorder="1" applyAlignment="1">
      <alignment horizontal="center" vertical="center"/>
      <protection locked="0"/>
    </xf>
    <xf numFmtId="0" fontId="74" fillId="75" borderId="91" xfId="4" applyFont="1" applyFill="1" applyBorder="1" applyAlignment="1">
      <alignment horizontal="center" vertical="center"/>
      <protection locked="0"/>
    </xf>
    <xf numFmtId="0" fontId="22" fillId="0" borderId="129" xfId="13" applyFont="1" applyBorder="1">
      <alignment horizontal="center" vertical="center"/>
    </xf>
    <xf numFmtId="0" fontId="22" fillId="0" borderId="91" xfId="13" applyFont="1" applyBorder="1">
      <alignment horizontal="center" vertical="center"/>
    </xf>
    <xf numFmtId="0" fontId="14" fillId="75" borderId="114" xfId="19" applyFont="1" applyFill="1" applyBorder="1" applyAlignment="1">
      <alignment horizontal="center" vertical="center" wrapText="1"/>
    </xf>
    <xf numFmtId="0" fontId="22" fillId="4" borderId="127" xfId="46" applyBorder="1" applyAlignment="1">
      <alignment horizontal="left" vertical="center" indent="1" shrinkToFit="1"/>
      <protection locked="0"/>
    </xf>
    <xf numFmtId="0" fontId="22" fillId="0" borderId="90" xfId="8" applyBorder="1" applyAlignment="1">
      <alignment horizontal="left" vertical="center" wrapText="1"/>
    </xf>
    <xf numFmtId="176" fontId="22" fillId="4" borderId="127" xfId="8" applyNumberFormat="1" applyFill="1" applyBorder="1" applyAlignment="1" applyProtection="1">
      <alignment horizontal="center" vertical="center"/>
      <protection locked="0"/>
    </xf>
    <xf numFmtId="0" fontId="14" fillId="25" borderId="127" xfId="0" quotePrefix="1" applyFont="1" applyFill="1" applyBorder="1" applyAlignment="1">
      <alignment horizontal="left" vertical="center" wrapText="1" indent="1"/>
    </xf>
    <xf numFmtId="0" fontId="0" fillId="25" borderId="91" xfId="0" applyFill="1" applyBorder="1"/>
    <xf numFmtId="0" fontId="22" fillId="7" borderId="120" xfId="45" applyFill="1" applyBorder="1" applyAlignment="1">
      <alignment horizontal="left" vertical="center" wrapText="1" indent="1"/>
    </xf>
    <xf numFmtId="0" fontId="14" fillId="6" borderId="129" xfId="45" applyFont="1" applyFill="1" applyBorder="1" applyAlignment="1">
      <alignment horizontal="center" vertical="center" wrapText="1"/>
    </xf>
    <xf numFmtId="38" fontId="14" fillId="4" borderId="127" xfId="0" applyNumberFormat="1" applyFont="1" applyFill="1" applyBorder="1" applyAlignment="1" applyProtection="1">
      <alignment horizontal="center" vertical="center" shrinkToFit="1"/>
      <protection locked="0"/>
    </xf>
    <xf numFmtId="0" fontId="14" fillId="0" borderId="127" xfId="0" applyFont="1" applyBorder="1" applyAlignment="1">
      <alignment horizontal="center" vertical="center" wrapText="1"/>
    </xf>
    <xf numFmtId="170" fontId="22" fillId="4" borderId="127" xfId="45" applyNumberFormat="1" applyFill="1" applyBorder="1" applyAlignment="1" applyProtection="1">
      <alignment horizontal="center" vertical="center" wrapText="1"/>
      <protection locked="0"/>
    </xf>
    <xf numFmtId="0" fontId="14" fillId="6" borderId="150" xfId="0" applyFont="1" applyFill="1" applyBorder="1" applyAlignment="1">
      <alignment horizontal="center" vertical="center" shrinkToFit="1"/>
    </xf>
    <xf numFmtId="14" fontId="22" fillId="4" borderId="7" xfId="46" applyNumberFormat="1" applyAlignment="1">
      <alignment horizontal="center" vertical="center" wrapText="1"/>
      <protection locked="0"/>
    </xf>
    <xf numFmtId="3" fontId="14" fillId="0" borderId="127" xfId="0" applyNumberFormat="1" applyFont="1" applyBorder="1" applyAlignment="1">
      <alignment horizontal="center" vertical="center"/>
    </xf>
    <xf numFmtId="0" fontId="22" fillId="4" borderId="114" xfId="8" applyFill="1" applyBorder="1" applyAlignment="1" applyProtection="1">
      <alignment horizontal="left" vertical="center" indent="1"/>
      <protection locked="0"/>
    </xf>
    <xf numFmtId="0" fontId="22" fillId="0" borderId="114" xfId="45" applyFill="1" applyBorder="1" applyAlignment="1">
      <alignment horizontal="left" vertical="center" indent="1" shrinkToFit="1"/>
    </xf>
    <xf numFmtId="0" fontId="22" fillId="0" borderId="104" xfId="8" applyBorder="1" applyAlignment="1" applyProtection="1">
      <alignment horizontal="center" vertical="center"/>
      <protection locked="0"/>
    </xf>
    <xf numFmtId="0" fontId="14" fillId="6" borderId="120" xfId="0" applyFont="1" applyFill="1" applyBorder="1" applyAlignment="1">
      <alignment horizontal="left" vertical="center" indent="1"/>
    </xf>
    <xf numFmtId="170" fontId="14" fillId="0" borderId="127" xfId="0" applyNumberFormat="1" applyFont="1" applyBorder="1" applyAlignment="1">
      <alignment horizontal="center" vertical="center"/>
    </xf>
    <xf numFmtId="2" fontId="14" fillId="0" borderId="127" xfId="0" applyNumberFormat="1" applyFont="1" applyBorder="1" applyAlignment="1">
      <alignment horizontal="center" vertical="center"/>
    </xf>
    <xf numFmtId="0" fontId="22" fillId="6" borderId="0" xfId="13" applyFont="1" applyFill="1" applyAlignment="1">
      <alignment vertical="center" wrapText="1"/>
    </xf>
    <xf numFmtId="0" fontId="45" fillId="6" borderId="120" xfId="0" applyFont="1" applyFill="1" applyBorder="1" applyAlignment="1">
      <alignment horizontal="left" vertical="center"/>
    </xf>
    <xf numFmtId="0" fontId="14" fillId="6" borderId="127" xfId="0" applyFont="1" applyFill="1" applyBorder="1" applyAlignment="1">
      <alignment horizontal="center" vertical="center" shrinkToFit="1"/>
    </xf>
    <xf numFmtId="0" fontId="14" fillId="4" borderId="114" xfId="8" applyFont="1" applyFill="1" applyBorder="1" applyAlignment="1" applyProtection="1">
      <alignment vertical="center"/>
      <protection locked="0"/>
    </xf>
    <xf numFmtId="0" fontId="22" fillId="6" borderId="0" xfId="0" applyFont="1" applyFill="1" applyAlignment="1">
      <alignment vertical="center"/>
    </xf>
    <xf numFmtId="0" fontId="14" fillId="0" borderId="0" xfId="0" quotePrefix="1" applyFont="1" applyAlignment="1">
      <alignment horizontal="left" vertical="center" wrapText="1"/>
    </xf>
    <xf numFmtId="0" fontId="14" fillId="0" borderId="0" xfId="0" quotePrefix="1" applyFont="1" applyAlignment="1">
      <alignment vertical="center" wrapText="1"/>
    </xf>
    <xf numFmtId="0" fontId="22" fillId="4" borderId="127" xfId="46" applyBorder="1" applyAlignment="1">
      <alignment horizontal="left" vertical="center" indent="1"/>
      <protection locked="0"/>
    </xf>
    <xf numFmtId="3" fontId="14" fillId="4" borderId="48" xfId="0" applyNumberFormat="1" applyFont="1" applyFill="1" applyBorder="1" applyAlignment="1" applyProtection="1">
      <alignment horizontal="center" vertical="center" shrinkToFit="1"/>
      <protection locked="0"/>
    </xf>
    <xf numFmtId="0" fontId="0" fillId="0" borderId="95" xfId="0" applyBorder="1" applyProtection="1">
      <protection locked="0"/>
    </xf>
    <xf numFmtId="0" fontId="0" fillId="0" borderId="96" xfId="0" applyBorder="1" applyProtection="1">
      <protection locked="0"/>
    </xf>
    <xf numFmtId="0" fontId="14" fillId="4" borderId="127" xfId="0" applyFont="1" applyFill="1" applyBorder="1" applyAlignment="1" applyProtection="1">
      <alignment horizontal="left" vertical="top" wrapText="1" indent="1" shrinkToFit="1" readingOrder="1"/>
      <protection locked="0"/>
    </xf>
    <xf numFmtId="0" fontId="14" fillId="6" borderId="90" xfId="0" applyFont="1" applyFill="1" applyBorder="1" applyAlignment="1">
      <alignment horizontal="left" vertical="center" indent="1"/>
    </xf>
    <xf numFmtId="0" fontId="22" fillId="0" borderId="87" xfId="8" applyBorder="1" applyAlignment="1">
      <alignment horizontal="left" vertical="center" wrapText="1"/>
    </xf>
    <xf numFmtId="0" fontId="22" fillId="0" borderId="90" xfId="12" applyFill="1" applyBorder="1" applyAlignment="1">
      <alignment horizontal="center" vertical="center" wrapText="1"/>
    </xf>
    <xf numFmtId="0" fontId="14" fillId="4" borderId="127" xfId="8" applyFont="1" applyFill="1" applyBorder="1" applyAlignment="1" applyProtection="1">
      <alignment horizontal="center" vertical="center"/>
      <protection locked="0"/>
    </xf>
    <xf numFmtId="0" fontId="22" fillId="4" borderId="129" xfId="45" applyFill="1" applyBorder="1" applyAlignment="1" applyProtection="1">
      <alignment horizontal="left" vertical="center" wrapText="1" indent="1"/>
      <protection locked="0"/>
    </xf>
    <xf numFmtId="0" fontId="22" fillId="4" borderId="127" xfId="8" applyFill="1" applyBorder="1" applyAlignment="1" applyProtection="1">
      <alignment horizontal="center" vertical="center"/>
      <protection locked="0"/>
    </xf>
    <xf numFmtId="0" fontId="22" fillId="0" borderId="127" xfId="45" applyFill="1" applyBorder="1" applyAlignment="1">
      <alignment horizontal="right" vertical="center" indent="1"/>
    </xf>
    <xf numFmtId="0" fontId="14" fillId="6" borderId="150" xfId="19" applyFont="1" applyFill="1" applyBorder="1" applyAlignment="1">
      <alignment vertical="center" wrapText="1"/>
    </xf>
    <xf numFmtId="0" fontId="22" fillId="0" borderId="89" xfId="45" applyFill="1" applyBorder="1">
      <alignment horizontal="left" vertical="center" wrapText="1"/>
    </xf>
    <xf numFmtId="0" fontId="14" fillId="11" borderId="114" xfId="0" quotePrefix="1" applyFont="1" applyFill="1" applyBorder="1" applyAlignment="1">
      <alignment horizontal="left" vertical="center" wrapText="1" indent="1"/>
    </xf>
    <xf numFmtId="0" fontId="45" fillId="6" borderId="24" xfId="19" applyFont="1" applyFill="1" applyBorder="1">
      <alignment horizontal="left" vertical="center" wrapText="1"/>
    </xf>
    <xf numFmtId="0" fontId="14" fillId="6" borderId="129" xfId="0" applyFont="1" applyFill="1" applyBorder="1" applyAlignment="1">
      <alignment horizontal="right" vertical="center" indent="1"/>
    </xf>
    <xf numFmtId="0" fontId="14" fillId="4" borderId="114" xfId="0" applyFont="1" applyFill="1" applyBorder="1" applyAlignment="1" applyProtection="1">
      <alignment horizontal="left" vertical="center"/>
      <protection locked="0"/>
    </xf>
    <xf numFmtId="0" fontId="14" fillId="4" borderId="92" xfId="0" applyFont="1" applyFill="1" applyBorder="1" applyAlignment="1" applyProtection="1">
      <alignment horizontal="center" vertical="center"/>
      <protection locked="0"/>
    </xf>
    <xf numFmtId="0" fontId="14" fillId="6" borderId="93" xfId="0" applyFont="1" applyFill="1" applyBorder="1" applyAlignment="1">
      <alignment horizontal="center" vertical="center"/>
    </xf>
    <xf numFmtId="0" fontId="22" fillId="6" borderId="114" xfId="8" applyFill="1" applyBorder="1" applyAlignment="1">
      <alignment horizontal="left" vertical="center" indent="1"/>
    </xf>
    <xf numFmtId="0" fontId="22" fillId="0" borderId="0" xfId="26" applyFont="1" applyAlignment="1">
      <alignment horizontal="right" vertical="center" wrapText="1" indent="1"/>
    </xf>
    <xf numFmtId="0" fontId="14" fillId="6" borderId="24" xfId="51" applyFont="1" applyFill="1" applyBorder="1" applyAlignment="1">
      <alignment horizontal="right" vertical="center" indent="1"/>
    </xf>
    <xf numFmtId="0" fontId="22" fillId="0" borderId="0" xfId="46" applyFill="1" applyBorder="1" applyAlignment="1">
      <alignment horizontal="center" vertical="center" wrapText="1"/>
      <protection locked="0"/>
    </xf>
    <xf numFmtId="0" fontId="14" fillId="4" borderId="120" xfId="0" applyFont="1" applyFill="1" applyBorder="1" applyAlignment="1" applyProtection="1">
      <alignment horizontal="center" vertical="center" wrapText="1"/>
      <protection locked="0"/>
    </xf>
    <xf numFmtId="0" fontId="22" fillId="0" borderId="87" xfId="8" applyBorder="1" applyAlignment="1">
      <alignment horizontal="right" vertical="center"/>
    </xf>
    <xf numFmtId="0" fontId="22" fillId="0" borderId="88" xfId="8" applyBorder="1" applyAlignment="1">
      <alignment horizontal="right" vertical="center"/>
    </xf>
    <xf numFmtId="0" fontId="14" fillId="75" borderId="129" xfId="4" applyFont="1" applyFill="1" applyBorder="1" applyAlignment="1" applyProtection="1">
      <alignment horizontal="center" vertical="center" wrapText="1"/>
    </xf>
    <xf numFmtId="0" fontId="14" fillId="75" borderId="93" xfId="4" applyFont="1" applyFill="1" applyBorder="1" applyAlignment="1" applyProtection="1">
      <alignment horizontal="center" vertical="center" wrapText="1"/>
    </xf>
    <xf numFmtId="0" fontId="69" fillId="0" borderId="3" xfId="8" applyFont="1" applyBorder="1" applyAlignment="1">
      <alignment horizontal="center" vertical="center"/>
    </xf>
    <xf numFmtId="0" fontId="68" fillId="6" borderId="87" xfId="0" applyFont="1" applyFill="1" applyBorder="1" applyAlignment="1">
      <alignment horizontal="left" vertical="center"/>
    </xf>
    <xf numFmtId="0" fontId="14" fillId="0" borderId="150" xfId="0" applyFont="1" applyBorder="1" applyAlignment="1">
      <alignment horizontal="right" vertical="center" indent="1"/>
    </xf>
    <xf numFmtId="0" fontId="14" fillId="0" borderId="120" xfId="0" applyFont="1" applyBorder="1" applyAlignment="1">
      <alignment horizontal="left" vertical="center"/>
    </xf>
    <xf numFmtId="0" fontId="49" fillId="6" borderId="90" xfId="19" applyFont="1" applyFill="1" applyBorder="1">
      <alignment horizontal="left" vertical="center" wrapText="1"/>
    </xf>
    <xf numFmtId="0" fontId="98" fillId="6" borderId="24" xfId="0" applyFont="1" applyFill="1" applyBorder="1" applyAlignment="1">
      <alignment horizontal="left" vertical="center"/>
    </xf>
    <xf numFmtId="0" fontId="22" fillId="0" borderId="150" xfId="8" applyBorder="1" applyAlignment="1">
      <alignment horizontal="left" vertical="center" wrapText="1"/>
    </xf>
    <xf numFmtId="0" fontId="14" fillId="4" borderId="42" xfId="0" applyFont="1" applyFill="1" applyBorder="1" applyAlignment="1" applyProtection="1">
      <alignment horizontal="center" vertical="center" shrinkToFit="1"/>
      <protection locked="0"/>
    </xf>
    <xf numFmtId="0" fontId="22" fillId="6" borderId="0" xfId="0" applyFont="1" applyFill="1" applyAlignment="1">
      <alignment horizontal="left" vertical="center" wrapText="1"/>
    </xf>
    <xf numFmtId="0" fontId="22" fillId="0" borderId="89" xfId="0" applyFont="1" applyBorder="1" applyAlignment="1">
      <alignment horizontal="left" vertical="top" wrapText="1"/>
    </xf>
    <xf numFmtId="14" fontId="14" fillId="4" borderId="127" xfId="0" applyNumberFormat="1" applyFont="1" applyFill="1" applyBorder="1" applyAlignment="1" applyProtection="1">
      <alignment horizontal="center" vertical="center"/>
      <protection locked="0"/>
    </xf>
    <xf numFmtId="0" fontId="22" fillId="0" borderId="89" xfId="8" applyBorder="1" applyAlignment="1">
      <alignment horizontal="left" vertical="center" wrapText="1"/>
    </xf>
    <xf numFmtId="0" fontId="14" fillId="0" borderId="89" xfId="73" applyFont="1" applyBorder="1" applyAlignment="1">
      <alignment horizontal="left" vertical="center" wrapText="1"/>
    </xf>
    <xf numFmtId="0" fontId="22" fillId="6" borderId="127" xfId="8" applyFill="1" applyBorder="1" applyAlignment="1">
      <alignment horizontal="center" vertical="center"/>
    </xf>
    <xf numFmtId="0" fontId="14" fillId="4" borderId="129" xfId="0" applyFont="1" applyFill="1" applyBorder="1" applyAlignment="1" applyProtection="1">
      <alignment horizontal="center" vertical="center" shrinkToFit="1"/>
      <protection locked="0"/>
    </xf>
    <xf numFmtId="0" fontId="14" fillId="4" borderId="93" xfId="0" applyFont="1" applyFill="1" applyBorder="1" applyAlignment="1" applyProtection="1">
      <alignment horizontal="center" vertical="center" shrinkToFit="1"/>
      <protection locked="0"/>
    </xf>
    <xf numFmtId="0" fontId="14" fillId="4" borderId="144" xfId="0" applyFont="1" applyFill="1" applyBorder="1" applyAlignment="1" applyProtection="1">
      <alignment horizontal="center" vertical="center" shrinkToFit="1"/>
      <protection locked="0"/>
    </xf>
    <xf numFmtId="0" fontId="14" fillId="0" borderId="43" xfId="0" applyFont="1" applyBorder="1" applyAlignment="1">
      <alignment horizontal="left" vertical="center" indent="1"/>
    </xf>
    <xf numFmtId="0" fontId="14" fillId="6" borderId="91" xfId="0" applyFont="1" applyFill="1" applyBorder="1" applyAlignment="1">
      <alignment horizontal="center" vertical="center" shrinkToFit="1"/>
    </xf>
    <xf numFmtId="0" fontId="22" fillId="4" borderId="92" xfId="8" applyFill="1" applyBorder="1" applyAlignment="1" applyProtection="1">
      <alignment horizontal="left" vertical="top" wrapText="1" indent="1"/>
      <protection locked="0"/>
    </xf>
    <xf numFmtId="0" fontId="22" fillId="0" borderId="24" xfId="8" applyBorder="1">
      <alignment horizontal="left" vertical="center"/>
    </xf>
    <xf numFmtId="10" fontId="14" fillId="4" borderId="127" xfId="73" applyNumberFormat="1" applyFont="1" applyFill="1" applyBorder="1" applyAlignment="1" applyProtection="1">
      <alignment horizontal="center" vertical="center"/>
      <protection locked="0"/>
    </xf>
    <xf numFmtId="3" fontId="55" fillId="0" borderId="127" xfId="0" applyNumberFormat="1" applyFont="1" applyBorder="1" applyAlignment="1">
      <alignment horizontal="left" vertical="center" indent="1"/>
    </xf>
    <xf numFmtId="1" fontId="22" fillId="6" borderId="92" xfId="12" applyNumberFormat="1" applyFill="1" applyBorder="1">
      <alignment horizontal="left" vertical="center" wrapText="1"/>
    </xf>
    <xf numFmtId="0" fontId="14" fillId="0" borderId="120" xfId="0" applyFont="1" applyBorder="1" applyAlignment="1">
      <alignment horizontal="right" vertical="center" indent="1"/>
    </xf>
    <xf numFmtId="0" fontId="22" fillId="7" borderId="7" xfId="45" applyFill="1" applyAlignment="1">
      <alignment horizontal="left" vertical="center" wrapText="1" indent="1"/>
    </xf>
    <xf numFmtId="0" fontId="22" fillId="0" borderId="127" xfId="8" applyBorder="1" applyAlignment="1">
      <alignment horizontal="left" vertical="center" wrapText="1"/>
    </xf>
    <xf numFmtId="0" fontId="49" fillId="6" borderId="0" xfId="12" applyFont="1" applyFill="1" applyBorder="1">
      <alignment horizontal="left" vertical="center" wrapText="1"/>
    </xf>
    <xf numFmtId="14" fontId="14" fillId="4" borderId="92" xfId="0" applyNumberFormat="1" applyFont="1" applyFill="1" applyBorder="1" applyAlignment="1" applyProtection="1">
      <alignment horizontal="center" vertical="center"/>
      <protection locked="0"/>
    </xf>
    <xf numFmtId="0" fontId="14" fillId="7" borderId="127" xfId="19" applyFont="1" applyFill="1" applyBorder="1" applyAlignment="1">
      <alignment vertical="center" wrapText="1"/>
    </xf>
    <xf numFmtId="0" fontId="22" fillId="6" borderId="91" xfId="45" applyFill="1" applyBorder="1" applyAlignment="1">
      <alignment horizontal="left" vertical="center" wrapText="1" indent="1"/>
    </xf>
    <xf numFmtId="0" fontId="14" fillId="6" borderId="91" xfId="0" applyFont="1" applyFill="1" applyBorder="1" applyAlignment="1">
      <alignment horizontal="center" vertical="center"/>
    </xf>
    <xf numFmtId="0" fontId="22" fillId="0" borderId="90" xfId="0" applyFont="1" applyBorder="1" applyAlignment="1">
      <alignment horizontal="left" vertical="center"/>
    </xf>
    <xf numFmtId="170" fontId="14" fillId="0" borderId="127" xfId="0" applyNumberFormat="1" applyFont="1" applyBorder="1" applyAlignment="1">
      <alignment horizontal="left" vertical="center" indent="1" shrinkToFit="1"/>
    </xf>
    <xf numFmtId="0" fontId="14" fillId="0" borderId="149" xfId="0" applyFont="1" applyBorder="1" applyAlignment="1">
      <alignment horizontal="center" vertical="center"/>
    </xf>
    <xf numFmtId="0" fontId="0" fillId="0" borderId="94" xfId="0" applyBorder="1"/>
    <xf numFmtId="0" fontId="22" fillId="6" borderId="93" xfId="0" applyFont="1" applyFill="1" applyBorder="1" applyAlignment="1">
      <alignment vertical="center" wrapText="1"/>
    </xf>
    <xf numFmtId="0" fontId="14" fillId="25" borderId="129" xfId="4" applyFont="1" applyFill="1" applyBorder="1" applyAlignment="1" applyProtection="1">
      <alignment horizontal="center" vertical="center" wrapText="1"/>
    </xf>
    <xf numFmtId="0" fontId="14" fillId="25" borderId="93" xfId="4" applyFont="1" applyFill="1" applyBorder="1" applyAlignment="1" applyProtection="1">
      <alignment horizontal="center" vertical="center" wrapText="1"/>
    </xf>
    <xf numFmtId="0" fontId="10" fillId="25" borderId="129" xfId="4" applyFill="1" applyBorder="1" applyAlignment="1" applyProtection="1">
      <alignment horizontal="center" vertical="center" wrapText="1"/>
    </xf>
    <xf numFmtId="0" fontId="10" fillId="25" borderId="93" xfId="4" applyFill="1" applyBorder="1" applyAlignment="1" applyProtection="1">
      <alignment horizontal="center" vertical="center" wrapText="1"/>
    </xf>
    <xf numFmtId="0" fontId="10" fillId="25" borderId="91" xfId="4" applyFill="1" applyBorder="1" applyAlignment="1" applyProtection="1">
      <alignment horizontal="center" vertical="center" wrapText="1"/>
    </xf>
    <xf numFmtId="0" fontId="14" fillId="0" borderId="24" xfId="0" applyFont="1" applyBorder="1" applyAlignment="1">
      <alignment horizontal="left" vertical="center"/>
    </xf>
    <xf numFmtId="0" fontId="45" fillId="0" borderId="127" xfId="0" applyFont="1" applyBorder="1" applyAlignment="1">
      <alignment horizontal="center" vertical="center"/>
    </xf>
    <xf numFmtId="0" fontId="22" fillId="6" borderId="129" xfId="45" applyFill="1" applyBorder="1" applyAlignment="1">
      <alignment horizontal="center" vertical="center" wrapText="1"/>
    </xf>
    <xf numFmtId="0" fontId="14" fillId="6" borderId="0" xfId="0" applyFont="1" applyFill="1" applyAlignment="1">
      <alignment horizontal="center" vertical="center" wrapText="1"/>
    </xf>
    <xf numFmtId="0" fontId="55" fillId="6" borderId="0" xfId="0" applyFont="1" applyFill="1" applyAlignment="1">
      <alignment horizontal="left" vertical="top"/>
    </xf>
    <xf numFmtId="0" fontId="14" fillId="6" borderId="120" xfId="0" applyFont="1" applyFill="1" applyBorder="1" applyAlignment="1">
      <alignment horizontal="center" vertical="center"/>
    </xf>
    <xf numFmtId="0" fontId="14" fillId="6" borderId="24" xfId="0" applyFont="1" applyFill="1" applyBorder="1" applyAlignment="1">
      <alignment horizontal="center" vertical="center"/>
    </xf>
    <xf numFmtId="0" fontId="34" fillId="0" borderId="0" xfId="0" applyFont="1" applyAlignment="1">
      <alignment horizontal="center" vertical="center"/>
    </xf>
    <xf numFmtId="0" fontId="14" fillId="0" borderId="114" xfId="0" applyFont="1" applyBorder="1" applyAlignment="1">
      <alignment horizontal="left" vertical="center" indent="1"/>
    </xf>
    <xf numFmtId="14" fontId="22" fillId="4" borderId="7" xfId="46" applyNumberFormat="1" applyAlignment="1">
      <alignment horizontal="right" vertical="center" wrapText="1" indent="1"/>
      <protection locked="0"/>
    </xf>
    <xf numFmtId="0" fontId="14" fillId="75" borderId="127" xfId="0" quotePrefix="1" applyFont="1" applyFill="1" applyBorder="1" applyAlignment="1">
      <alignment horizontal="center" vertical="center" wrapText="1"/>
    </xf>
    <xf numFmtId="0" fontId="0" fillId="75" borderId="93" xfId="0" applyFill="1" applyBorder="1"/>
    <xf numFmtId="0" fontId="0" fillId="75" borderId="91" xfId="0" applyFill="1" applyBorder="1"/>
    <xf numFmtId="0" fontId="98" fillId="6" borderId="0" xfId="19" applyFont="1" applyFill="1" applyBorder="1">
      <alignment horizontal="left" vertical="center" wrapText="1"/>
    </xf>
    <xf numFmtId="0" fontId="14" fillId="6" borderId="0" xfId="0" applyFont="1" applyFill="1" applyAlignment="1">
      <alignment vertical="center"/>
    </xf>
    <xf numFmtId="0" fontId="14" fillId="6" borderId="90" xfId="7" applyFont="1" applyFill="1" applyBorder="1" applyAlignment="1">
      <alignment horizontal="center" vertical="center"/>
    </xf>
    <xf numFmtId="3" fontId="14" fillId="4" borderId="114" xfId="0" applyNumberFormat="1" applyFont="1" applyFill="1" applyBorder="1" applyAlignment="1" applyProtection="1">
      <alignment horizontal="center" vertical="center" shrinkToFit="1"/>
      <protection locked="0"/>
    </xf>
    <xf numFmtId="0" fontId="22" fillId="0" borderId="0" xfId="8" applyAlignment="1">
      <alignment horizontal="left" wrapText="1"/>
    </xf>
    <xf numFmtId="0" fontId="22" fillId="0" borderId="0" xfId="8" applyAlignment="1">
      <alignment horizontal="left"/>
    </xf>
    <xf numFmtId="49" fontId="22" fillId="4" borderId="92" xfId="8" applyNumberFormat="1" applyFill="1" applyBorder="1" applyAlignment="1" applyProtection="1">
      <alignment horizontal="left" vertical="center" indent="1"/>
      <protection locked="0"/>
    </xf>
    <xf numFmtId="0" fontId="14" fillId="0" borderId="127" xfId="0" applyFont="1" applyBorder="1" applyAlignment="1">
      <alignment horizontal="left" vertical="center" wrapText="1"/>
    </xf>
    <xf numFmtId="0" fontId="98" fillId="0" borderId="3" xfId="73" applyFont="1" applyBorder="1" applyAlignment="1">
      <alignment horizontal="left" vertical="center" wrapText="1"/>
    </xf>
    <xf numFmtId="0" fontId="22" fillId="4" borderId="127" xfId="46" applyBorder="1" applyAlignment="1">
      <alignment horizontal="center" vertical="center" shrinkToFit="1"/>
      <protection locked="0"/>
    </xf>
    <xf numFmtId="0" fontId="22" fillId="0" borderId="0" xfId="45" applyFill="1" applyBorder="1">
      <alignment horizontal="left" vertical="center" wrapText="1"/>
    </xf>
    <xf numFmtId="0" fontId="22" fillId="4" borderId="91" xfId="46" applyBorder="1" applyAlignment="1">
      <alignment horizontal="center" vertical="center" wrapText="1"/>
      <protection locked="0"/>
    </xf>
    <xf numFmtId="170" fontId="14" fillId="0" borderId="92" xfId="0" applyNumberFormat="1" applyFont="1" applyBorder="1" applyAlignment="1">
      <alignment horizontal="left" vertical="center" indent="1" shrinkToFit="1"/>
    </xf>
    <xf numFmtId="0" fontId="22" fillId="7" borderId="127" xfId="20" applyFill="1" applyBorder="1" applyAlignment="1">
      <alignment horizontal="left" vertical="center" wrapText="1" indent="1"/>
    </xf>
    <xf numFmtId="0" fontId="14" fillId="0" borderId="0" xfId="0" applyFont="1" applyAlignment="1">
      <alignment horizontal="left" vertical="center"/>
    </xf>
    <xf numFmtId="0" fontId="22" fillId="0" borderId="0" xfId="26" applyFont="1" applyAlignment="1">
      <alignment horizontal="left" vertical="center" wrapText="1"/>
    </xf>
    <xf numFmtId="0" fontId="1" fillId="0" borderId="0" xfId="0" applyFont="1" applyAlignment="1">
      <alignment horizontal="left" vertical="center"/>
    </xf>
    <xf numFmtId="0" fontId="14" fillId="4" borderId="127" xfId="0" applyFont="1" applyFill="1" applyBorder="1" applyAlignment="1" applyProtection="1">
      <alignment horizontal="left" vertical="top" wrapText="1" indent="1"/>
      <protection locked="0"/>
    </xf>
    <xf numFmtId="0" fontId="14" fillId="0" borderId="89" xfId="0" applyFont="1" applyBorder="1" applyAlignment="1">
      <alignment horizontal="center" vertical="center"/>
    </xf>
    <xf numFmtId="0" fontId="22" fillId="6" borderId="93" xfId="45" applyFill="1" applyBorder="1" applyAlignment="1">
      <alignment horizontal="center" vertical="center" wrapText="1"/>
    </xf>
    <xf numFmtId="0" fontId="22" fillId="6" borderId="0" xfId="12" applyFill="1" applyBorder="1" applyAlignment="1">
      <alignment vertical="center" wrapText="1"/>
    </xf>
    <xf numFmtId="1" fontId="22" fillId="6" borderId="114" xfId="12" applyNumberFormat="1" applyFill="1" applyBorder="1">
      <alignment horizontal="left" vertical="center" wrapText="1"/>
    </xf>
    <xf numFmtId="0" fontId="22" fillId="6" borderId="90" xfId="8" applyFill="1" applyBorder="1">
      <alignment horizontal="left" vertical="center"/>
    </xf>
    <xf numFmtId="0" fontId="14" fillId="0" borderId="24" xfId="0" applyFont="1" applyBorder="1" applyAlignment="1">
      <alignment horizontal="right" vertical="center"/>
    </xf>
    <xf numFmtId="0" fontId="22" fillId="6" borderId="7" xfId="45" applyFill="1" applyAlignment="1">
      <alignment horizontal="center" vertical="center" wrapText="1"/>
    </xf>
    <xf numFmtId="0" fontId="23" fillId="0" borderId="0" xfId="26" applyFont="1" applyAlignment="1">
      <alignment horizontal="left" vertical="center"/>
    </xf>
    <xf numFmtId="175" fontId="14" fillId="0" borderId="87" xfId="0" applyNumberFormat="1" applyFont="1" applyBorder="1" applyAlignment="1">
      <alignment horizontal="right" vertical="center" indent="1"/>
    </xf>
    <xf numFmtId="49" fontId="22" fillId="4" borderId="114" xfId="8" applyNumberFormat="1" applyFill="1" applyBorder="1" applyAlignment="1" applyProtection="1">
      <alignment horizontal="left" vertical="center" indent="1"/>
      <protection locked="0"/>
    </xf>
    <xf numFmtId="0" fontId="14" fillId="4" borderId="12" xfId="0" applyFont="1" applyFill="1" applyBorder="1" applyAlignment="1" applyProtection="1">
      <alignment horizontal="center" vertical="center"/>
      <protection locked="0"/>
    </xf>
    <xf numFmtId="0" fontId="22" fillId="0" borderId="0" xfId="8" applyAlignment="1">
      <alignment horizontal="right" vertical="center" indent="1"/>
    </xf>
    <xf numFmtId="2" fontId="14" fillId="4" borderId="127" xfId="0" applyNumberFormat="1" applyFont="1" applyFill="1" applyBorder="1" applyAlignment="1" applyProtection="1">
      <alignment horizontal="center" vertical="center" shrinkToFit="1"/>
      <protection locked="0"/>
    </xf>
    <xf numFmtId="0" fontId="14" fillId="25" borderId="127" xfId="19" applyFont="1" applyFill="1" applyBorder="1" applyAlignment="1">
      <alignment horizontal="center" vertical="center" wrapText="1"/>
    </xf>
    <xf numFmtId="0" fontId="49" fillId="0" borderId="127" xfId="8" applyFont="1" applyBorder="1">
      <alignment horizontal="left" vertical="center"/>
    </xf>
    <xf numFmtId="0" fontId="22" fillId="4" borderId="92" xfId="46" applyBorder="1" applyAlignment="1">
      <alignment horizontal="center" vertical="center" wrapText="1"/>
      <protection locked="0"/>
    </xf>
    <xf numFmtId="0" fontId="22" fillId="4" borderId="91" xfId="46" applyBorder="1" applyAlignment="1">
      <alignment horizontal="left" vertical="center" wrapText="1" indent="1"/>
      <protection locked="0"/>
    </xf>
    <xf numFmtId="175" fontId="14" fillId="4" borderId="114" xfId="0" applyNumberFormat="1" applyFont="1" applyFill="1" applyBorder="1" applyAlignment="1" applyProtection="1">
      <alignment horizontal="center" vertical="center" shrinkToFit="1"/>
      <protection locked="0"/>
    </xf>
    <xf numFmtId="2" fontId="22" fillId="0" borderId="7" xfId="45" applyNumberFormat="1" applyFill="1" applyAlignment="1">
      <alignment horizontal="center" vertical="center" wrapText="1"/>
    </xf>
    <xf numFmtId="0" fontId="14" fillId="6" borderId="129" xfId="0" applyFont="1" applyFill="1" applyBorder="1" applyAlignment="1">
      <alignment horizontal="left" vertical="center" indent="1"/>
    </xf>
    <xf numFmtId="0" fontId="49" fillId="6" borderId="90" xfId="0" applyFont="1" applyFill="1" applyBorder="1" applyAlignment="1">
      <alignment horizontal="left" vertical="center" wrapText="1"/>
    </xf>
    <xf numFmtId="0" fontId="14" fillId="0" borderId="88" xfId="0" applyFont="1" applyBorder="1" applyAlignment="1">
      <alignment horizontal="right" vertical="center" indent="1"/>
    </xf>
    <xf numFmtId="0" fontId="55" fillId="6" borderId="0" xfId="8" applyFont="1" applyFill="1" applyAlignment="1">
      <alignment horizontal="center" vertical="center" wrapText="1"/>
    </xf>
    <xf numFmtId="0" fontId="14" fillId="4" borderId="114" xfId="0" applyFont="1" applyFill="1" applyBorder="1" applyAlignment="1" applyProtection="1">
      <alignment horizontal="left" vertical="center" indent="1" shrinkToFit="1"/>
      <protection locked="0"/>
    </xf>
    <xf numFmtId="0" fontId="60" fillId="6" borderId="127" xfId="0" applyFont="1" applyFill="1" applyBorder="1" applyAlignment="1">
      <alignment horizontal="center" vertical="center"/>
    </xf>
    <xf numFmtId="0" fontId="45" fillId="0" borderId="127" xfId="8" applyFont="1" applyBorder="1">
      <alignment horizontal="left" vertical="center"/>
    </xf>
    <xf numFmtId="3" fontId="34" fillId="0" borderId="127" xfId="0" applyNumberFormat="1" applyFont="1" applyBorder="1" applyAlignment="1">
      <alignment horizontal="center" vertical="center"/>
    </xf>
    <xf numFmtId="0" fontId="22" fillId="4" borderId="114" xfId="46" applyBorder="1" applyAlignment="1">
      <alignment horizontal="left" vertical="center" indent="1" shrinkToFit="1"/>
      <protection locked="0"/>
    </xf>
    <xf numFmtId="0" fontId="14" fillId="6" borderId="93" xfId="0" applyFont="1" applyFill="1" applyBorder="1" applyAlignment="1">
      <alignment horizontal="center" vertical="center" wrapText="1"/>
    </xf>
    <xf numFmtId="0" fontId="22" fillId="0" borderId="24" xfId="8" applyBorder="1" applyAlignment="1">
      <alignment vertical="center" wrapText="1"/>
    </xf>
    <xf numFmtId="0" fontId="14" fillId="4" borderId="91" xfId="0" applyFont="1" applyFill="1" applyBorder="1" applyAlignment="1" applyProtection="1">
      <alignment horizontal="left" vertical="center" indent="1" shrinkToFit="1"/>
      <protection locked="0"/>
    </xf>
    <xf numFmtId="0" fontId="14" fillId="6" borderId="127" xfId="6" applyFont="1" applyFill="1" applyBorder="1" applyAlignment="1">
      <alignment horizontal="center" vertical="center" wrapText="1"/>
    </xf>
    <xf numFmtId="0" fontId="22" fillId="6" borderId="24" xfId="8" applyFill="1" applyBorder="1" applyAlignment="1">
      <alignment horizontal="left" vertical="center" wrapText="1"/>
    </xf>
    <xf numFmtId="170" fontId="14" fillId="0" borderId="114" xfId="0" applyNumberFormat="1" applyFont="1" applyBorder="1" applyAlignment="1">
      <alignment horizontal="left" vertical="center" indent="1" shrinkToFit="1"/>
    </xf>
    <xf numFmtId="0" fontId="14" fillId="4" borderId="127" xfId="8" applyFont="1" applyFill="1" applyBorder="1" applyAlignment="1" applyProtection="1">
      <alignment vertical="center"/>
      <protection locked="0"/>
    </xf>
    <xf numFmtId="0" fontId="14" fillId="6" borderId="0" xfId="51" applyFont="1" applyFill="1" applyAlignment="1">
      <alignment horizontal="right" vertical="center" indent="1"/>
    </xf>
    <xf numFmtId="0" fontId="14" fillId="4" borderId="92" xfId="0" applyFont="1" applyFill="1" applyBorder="1" applyAlignment="1" applyProtection="1">
      <alignment horizontal="center" vertical="center" shrinkToFit="1"/>
      <protection locked="0"/>
    </xf>
    <xf numFmtId="0" fontId="14" fillId="4" borderId="149" xfId="0" applyFont="1" applyFill="1" applyBorder="1" applyAlignment="1" applyProtection="1">
      <alignment horizontal="center" vertical="center" shrinkToFit="1"/>
      <protection locked="0"/>
    </xf>
    <xf numFmtId="0" fontId="0" fillId="0" borderId="94" xfId="0" applyBorder="1" applyProtection="1">
      <protection locked="0"/>
    </xf>
    <xf numFmtId="0" fontId="45" fillId="6" borderId="127" xfId="0" applyFont="1" applyFill="1" applyBorder="1" applyAlignment="1">
      <alignment horizontal="left" vertical="center"/>
    </xf>
    <xf numFmtId="0" fontId="14" fillId="0" borderId="127" xfId="0" quotePrefix="1" applyFont="1" applyBorder="1" applyAlignment="1">
      <alignment vertical="center" wrapText="1"/>
    </xf>
    <xf numFmtId="0" fontId="22" fillId="6" borderId="90" xfId="45" applyFill="1" applyBorder="1" applyAlignment="1">
      <alignment horizontal="left" vertical="center" wrapText="1" indent="1"/>
    </xf>
    <xf numFmtId="0" fontId="14" fillId="0" borderId="120" xfId="45" applyFont="1" applyFill="1" applyBorder="1" applyAlignment="1">
      <alignment vertical="center" wrapText="1"/>
    </xf>
    <xf numFmtId="0" fontId="55" fillId="0" borderId="92" xfId="0" applyFont="1" applyBorder="1" applyAlignment="1">
      <alignment horizontal="right" vertical="center" indent="1"/>
    </xf>
    <xf numFmtId="0" fontId="22" fillId="6" borderId="90" xfId="8" applyFill="1" applyBorder="1" applyAlignment="1">
      <alignment horizontal="center" vertical="center"/>
    </xf>
    <xf numFmtId="0" fontId="22" fillId="0" borderId="92" xfId="8" applyBorder="1">
      <alignment horizontal="left" vertical="center"/>
    </xf>
    <xf numFmtId="0" fontId="51" fillId="0" borderId="0" xfId="0" applyFont="1" applyAlignment="1">
      <alignment horizontal="left" vertical="center"/>
    </xf>
    <xf numFmtId="0" fontId="74" fillId="0" borderId="0" xfId="4" applyFont="1" applyAlignment="1" applyProtection="1">
      <alignment horizontal="left" vertical="center"/>
    </xf>
    <xf numFmtId="0" fontId="22" fillId="6" borderId="3" xfId="73" applyFont="1" applyFill="1" applyBorder="1" applyAlignment="1">
      <alignment horizontal="center"/>
    </xf>
    <xf numFmtId="0" fontId="55" fillId="6" borderId="0" xfId="73" applyFont="1" applyFill="1" applyAlignment="1">
      <alignment horizontal="center" vertical="center"/>
    </xf>
    <xf numFmtId="0" fontId="14" fillId="6" borderId="104" xfId="0" applyFont="1" applyFill="1" applyBorder="1" applyAlignment="1">
      <alignment horizontal="left" vertical="center" indent="1"/>
    </xf>
    <xf numFmtId="0" fontId="14" fillId="75" borderId="127" xfId="19" applyFont="1" applyFill="1" applyBorder="1" applyAlignment="1">
      <alignment horizontal="left" vertical="center" wrapText="1" indent="1"/>
    </xf>
    <xf numFmtId="0" fontId="22" fillId="0" borderId="127" xfId="8" applyBorder="1" applyAlignment="1">
      <alignment vertical="center"/>
    </xf>
    <xf numFmtId="0" fontId="10" fillId="75" borderId="129" xfId="4" applyFill="1" applyBorder="1" applyAlignment="1" applyProtection="1">
      <alignment horizontal="center" vertical="center" wrapText="1"/>
    </xf>
    <xf numFmtId="0" fontId="10" fillId="75" borderId="93" xfId="4" applyFill="1" applyBorder="1" applyAlignment="1" applyProtection="1">
      <alignment horizontal="center" vertical="center" wrapText="1"/>
    </xf>
    <xf numFmtId="0" fontId="10" fillId="75" borderId="91" xfId="4" applyFill="1" applyBorder="1" applyAlignment="1" applyProtection="1">
      <alignment horizontal="center" vertical="center" wrapText="1"/>
    </xf>
    <xf numFmtId="0" fontId="49" fillId="6" borderId="0" xfId="0" applyFont="1" applyFill="1" applyAlignment="1">
      <alignment vertical="center" wrapText="1"/>
    </xf>
    <xf numFmtId="0" fontId="68" fillId="6" borderId="0" xfId="73" applyFont="1" applyFill="1" applyAlignment="1">
      <alignment horizontal="left" vertical="center" indent="1"/>
    </xf>
    <xf numFmtId="0" fontId="98" fillId="0" borderId="0" xfId="8" applyFont="1" applyAlignment="1">
      <alignment horizontal="left"/>
    </xf>
    <xf numFmtId="0" fontId="45" fillId="6" borderId="43" xfId="0" applyFont="1" applyFill="1" applyBorder="1" applyAlignment="1">
      <alignment horizontal="center" vertical="center"/>
    </xf>
    <xf numFmtId="0" fontId="22" fillId="6" borderId="129" xfId="8" applyFill="1" applyBorder="1" applyAlignment="1">
      <alignment horizontal="center" vertical="center"/>
    </xf>
    <xf numFmtId="0" fontId="98" fillId="0" borderId="0" xfId="0" applyFont="1" applyAlignment="1">
      <alignment horizontal="left" wrapText="1"/>
    </xf>
    <xf numFmtId="0" fontId="22" fillId="6" borderId="92" xfId="8" applyFill="1" applyBorder="1">
      <alignment horizontal="left" vertical="center"/>
    </xf>
    <xf numFmtId="0" fontId="14" fillId="6" borderId="150" xfId="0" applyFont="1" applyFill="1" applyBorder="1" applyAlignment="1">
      <alignment horizontal="left" vertical="center" indent="1"/>
    </xf>
    <xf numFmtId="0" fontId="168" fillId="6" borderId="90" xfId="0" applyFont="1" applyFill="1" applyBorder="1" applyAlignment="1">
      <alignment horizontal="left" vertical="center" wrapText="1"/>
    </xf>
    <xf numFmtId="0" fontId="68" fillId="6" borderId="0" xfId="73" applyFont="1" applyFill="1" applyAlignment="1" applyProtection="1">
      <alignment horizontal="center" vertical="center"/>
      <protection locked="0"/>
    </xf>
    <xf numFmtId="0" fontId="14" fillId="0" borderId="0" xfId="0" quotePrefix="1" applyFont="1" applyAlignment="1">
      <alignment horizontal="center" vertical="center" wrapText="1"/>
    </xf>
    <xf numFmtId="0" fontId="22" fillId="0" borderId="120" xfId="8" applyBorder="1" applyAlignment="1">
      <alignment vertical="center" wrapText="1"/>
    </xf>
    <xf numFmtId="0" fontId="14" fillId="6" borderId="127" xfId="0" applyFont="1" applyFill="1" applyBorder="1" applyAlignment="1">
      <alignment horizontal="right" vertical="center"/>
    </xf>
    <xf numFmtId="0" fontId="22" fillId="0" borderId="0" xfId="8" applyAlignment="1">
      <alignment horizontal="center" vertical="center" wrapText="1"/>
    </xf>
    <xf numFmtId="170" fontId="14" fillId="4" borderId="127" xfId="0" applyNumberFormat="1" applyFont="1" applyFill="1" applyBorder="1" applyAlignment="1" applyProtection="1">
      <alignment horizontal="center" vertical="center" shrinkToFit="1"/>
      <protection locked="0"/>
    </xf>
    <xf numFmtId="0" fontId="14" fillId="4" borderId="92" xfId="0" applyFont="1" applyFill="1" applyBorder="1" applyAlignment="1" applyProtection="1">
      <alignment horizontal="left" vertical="center" indent="1" shrinkToFit="1"/>
      <protection locked="0"/>
    </xf>
    <xf numFmtId="0" fontId="14" fillId="0" borderId="114" xfId="0" applyFont="1" applyBorder="1" applyAlignment="1">
      <alignment horizontal="right" vertical="center" indent="1"/>
    </xf>
    <xf numFmtId="0" fontId="14" fillId="0" borderId="24" xfId="0" applyFont="1" applyBorder="1" applyAlignment="1">
      <alignment horizontal="center" vertical="center"/>
    </xf>
    <xf numFmtId="0" fontId="22" fillId="6" borderId="104" xfId="45" applyFill="1" applyBorder="1" applyAlignment="1">
      <alignment vertical="center" wrapText="1"/>
    </xf>
    <xf numFmtId="9" fontId="22" fillId="4" borderId="127" xfId="8" applyNumberFormat="1" applyFill="1" applyBorder="1" applyAlignment="1" applyProtection="1">
      <alignment horizontal="center" vertical="center"/>
      <protection locked="0"/>
    </xf>
    <xf numFmtId="0" fontId="22" fillId="6" borderId="120" xfId="0" applyFont="1" applyFill="1" applyBorder="1" applyAlignment="1">
      <alignment vertical="center" wrapText="1"/>
    </xf>
    <xf numFmtId="0" fontId="51" fillId="14" borderId="92" xfId="0" applyFont="1" applyFill="1" applyBorder="1" applyAlignment="1" applyProtection="1">
      <alignment horizontal="center" vertical="center"/>
      <protection locked="0"/>
    </xf>
    <xf numFmtId="0" fontId="98" fillId="6" borderId="150" xfId="8" applyFont="1" applyFill="1" applyBorder="1" applyAlignment="1">
      <alignment horizontal="left" vertical="center" wrapText="1"/>
    </xf>
    <xf numFmtId="0" fontId="14" fillId="6" borderId="114" xfId="0" applyFont="1" applyFill="1" applyBorder="1" applyAlignment="1">
      <alignment vertical="center"/>
    </xf>
    <xf numFmtId="0" fontId="14" fillId="0" borderId="87" xfId="0" applyFont="1" applyBorder="1" applyAlignment="1">
      <alignment horizontal="center" vertical="center"/>
    </xf>
    <xf numFmtId="0" fontId="14" fillId="25" borderId="92" xfId="0" quotePrefix="1" applyFont="1" applyFill="1" applyBorder="1" applyAlignment="1">
      <alignment horizontal="left" vertical="center" wrapText="1" indent="1"/>
    </xf>
    <xf numFmtId="0" fontId="0" fillId="25" borderId="87" xfId="0" applyFill="1" applyBorder="1"/>
    <xf numFmtId="0" fontId="0" fillId="25" borderId="88" xfId="0" applyFill="1" applyBorder="1"/>
    <xf numFmtId="0" fontId="14" fillId="7" borderId="127" xfId="19" applyFont="1" applyFill="1" applyBorder="1" applyAlignment="1">
      <alignment horizontal="center" vertical="center" wrapText="1"/>
    </xf>
    <xf numFmtId="0" fontId="14" fillId="0" borderId="0" xfId="35" applyFont="1" applyAlignment="1">
      <alignment horizontal="left" vertical="center" wrapText="1"/>
    </xf>
    <xf numFmtId="0" fontId="14" fillId="11" borderId="114" xfId="0" quotePrefix="1" applyFont="1" applyFill="1" applyBorder="1" applyAlignment="1">
      <alignment horizontal="center" vertical="center" wrapText="1"/>
    </xf>
    <xf numFmtId="0" fontId="14" fillId="7" borderId="127" xfId="0" quotePrefix="1" applyFont="1" applyFill="1" applyBorder="1" applyAlignment="1">
      <alignment horizontal="center" vertical="center" wrapText="1"/>
    </xf>
    <xf numFmtId="0" fontId="14" fillId="11" borderId="129" xfId="0" quotePrefix="1" applyFont="1" applyFill="1" applyBorder="1" applyAlignment="1">
      <alignment horizontal="left" vertical="center" wrapText="1" indent="1"/>
    </xf>
    <xf numFmtId="0" fontId="14" fillId="4" borderId="114" xfId="0" applyFont="1" applyFill="1" applyBorder="1" applyAlignment="1" applyProtection="1">
      <alignment horizontal="center" vertical="center"/>
      <protection locked="0"/>
    </xf>
    <xf numFmtId="0" fontId="14" fillId="0" borderId="129" xfId="8" applyFont="1" applyBorder="1">
      <alignment horizontal="left" vertical="center"/>
    </xf>
    <xf numFmtId="0" fontId="14" fillId="0" borderId="127" xfId="8" applyFont="1" applyBorder="1">
      <alignment horizontal="left" vertical="center"/>
    </xf>
    <xf numFmtId="0" fontId="14" fillId="4" borderId="88" xfId="0" applyFont="1" applyFill="1" applyBorder="1" applyAlignment="1" applyProtection="1">
      <alignment horizontal="left" vertical="center" indent="1" shrinkToFit="1"/>
      <protection locked="0"/>
    </xf>
    <xf numFmtId="170" fontId="14" fillId="0" borderId="87" xfId="0" applyNumberFormat="1" applyFont="1" applyBorder="1" applyAlignment="1">
      <alignment horizontal="left" vertical="center" indent="1" shrinkToFit="1"/>
    </xf>
    <xf numFmtId="0" fontId="14" fillId="4" borderId="127" xfId="8" applyFont="1" applyFill="1" applyBorder="1" applyProtection="1">
      <alignment horizontal="left" vertical="center"/>
      <protection locked="0"/>
    </xf>
    <xf numFmtId="0" fontId="45" fillId="0" borderId="120" xfId="8" applyFont="1" applyBorder="1">
      <alignment horizontal="left" vertical="center"/>
    </xf>
    <xf numFmtId="0" fontId="22" fillId="0" borderId="127" xfId="45" applyFill="1" applyBorder="1">
      <alignment horizontal="left" vertical="center" wrapText="1"/>
    </xf>
    <xf numFmtId="175" fontId="14" fillId="4" borderId="92" xfId="0" applyNumberFormat="1" applyFont="1" applyFill="1" applyBorder="1" applyAlignment="1" applyProtection="1">
      <alignment horizontal="center" vertical="center" shrinkToFit="1"/>
      <protection locked="0"/>
    </xf>
    <xf numFmtId="0" fontId="23" fillId="0" borderId="0" xfId="26" applyFont="1" applyAlignment="1">
      <alignment horizontal="center" vertical="center"/>
    </xf>
    <xf numFmtId="0" fontId="34" fillId="0" borderId="0" xfId="0" applyFont="1" applyAlignment="1">
      <alignment horizontal="right" vertical="center" indent="1"/>
    </xf>
    <xf numFmtId="3" fontId="55" fillId="0" borderId="127" xfId="0" applyNumberFormat="1" applyFont="1" applyBorder="1" applyAlignment="1">
      <alignment horizontal="center" vertical="center"/>
    </xf>
    <xf numFmtId="0" fontId="14" fillId="0" borderId="91" xfId="8" applyFont="1" applyBorder="1" applyAlignment="1">
      <alignment horizontal="center" vertical="center"/>
    </xf>
    <xf numFmtId="0" fontId="22" fillId="6" borderId="127" xfId="45" applyFill="1" applyBorder="1">
      <alignment horizontal="left" vertical="center" wrapText="1"/>
    </xf>
    <xf numFmtId="3" fontId="14" fillId="4" borderId="46" xfId="0" applyNumberFormat="1" applyFont="1" applyFill="1" applyBorder="1" applyAlignment="1" applyProtection="1">
      <alignment horizontal="center" vertical="center" shrinkToFit="1"/>
      <protection locked="0"/>
    </xf>
    <xf numFmtId="0" fontId="74" fillId="0" borderId="0" xfId="4" applyFont="1" applyAlignment="1">
      <alignment horizontal="center" vertical="center"/>
      <protection locked="0"/>
    </xf>
    <xf numFmtId="0" fontId="22" fillId="0" borderId="88" xfId="8" applyBorder="1" applyAlignment="1">
      <alignment horizontal="center" vertical="center"/>
    </xf>
    <xf numFmtId="0" fontId="14" fillId="7" borderId="120" xfId="19" applyFont="1" applyFill="1" applyBorder="1" applyAlignment="1">
      <alignment horizontal="left" vertical="center" wrapText="1" indent="1"/>
    </xf>
    <xf numFmtId="3" fontId="14" fillId="6" borderId="90" xfId="0" applyNumberFormat="1" applyFont="1" applyFill="1" applyBorder="1" applyAlignment="1">
      <alignment horizontal="left" vertical="center" indent="1"/>
    </xf>
    <xf numFmtId="0" fontId="14" fillId="4" borderId="150" xfId="0" applyFont="1" applyFill="1" applyBorder="1" applyAlignment="1" applyProtection="1">
      <alignment horizontal="left" vertical="center" indent="1" shrinkToFit="1"/>
      <protection locked="0"/>
    </xf>
    <xf numFmtId="0" fontId="22" fillId="0" borderId="127" xfId="45" applyFill="1" applyBorder="1" applyAlignment="1">
      <alignment horizontal="center" vertical="center"/>
    </xf>
    <xf numFmtId="0" fontId="14" fillId="0" borderId="87" xfId="0" applyFont="1" applyBorder="1" applyAlignment="1">
      <alignment horizontal="left" vertical="center"/>
    </xf>
    <xf numFmtId="0" fontId="22" fillId="6" borderId="150" xfId="45" applyFill="1" applyBorder="1" applyAlignment="1">
      <alignment horizontal="left" vertical="center" wrapText="1" indent="1"/>
    </xf>
    <xf numFmtId="0" fontId="23" fillId="6" borderId="100" xfId="13" applyFont="1" applyFill="1" applyBorder="1" applyAlignment="1">
      <alignment vertical="center" wrapText="1"/>
    </xf>
    <xf numFmtId="0" fontId="0" fillId="0" borderId="59" xfId="0" applyBorder="1"/>
    <xf numFmtId="0" fontId="0" fillId="0" borderId="60" xfId="0" applyBorder="1"/>
    <xf numFmtId="0" fontId="22" fillId="6" borderId="104" xfId="45" applyFill="1" applyBorder="1">
      <alignment horizontal="left" vertical="center" wrapText="1"/>
    </xf>
    <xf numFmtId="0" fontId="22" fillId="6" borderId="114" xfId="0" applyFont="1" applyFill="1" applyBorder="1" applyAlignment="1">
      <alignment vertical="center" wrapText="1"/>
    </xf>
    <xf numFmtId="0" fontId="22" fillId="0" borderId="127" xfId="24" applyFont="1" applyBorder="1" applyAlignment="1">
      <alignment horizontal="left" vertical="center" indent="1"/>
    </xf>
    <xf numFmtId="0" fontId="22" fillId="4" borderId="114" xfId="46" applyBorder="1" applyAlignment="1">
      <alignment horizontal="center" vertical="center" wrapText="1"/>
      <protection locked="0"/>
    </xf>
    <xf numFmtId="0" fontId="22" fillId="6" borderId="127" xfId="8" applyFill="1" applyBorder="1" applyAlignment="1">
      <alignment horizontal="left" vertical="center" wrapText="1"/>
    </xf>
    <xf numFmtId="0" fontId="22" fillId="0" borderId="127" xfId="46" applyFill="1" applyBorder="1" applyAlignment="1" applyProtection="1">
      <alignment horizontal="center" vertical="center"/>
    </xf>
    <xf numFmtId="0" fontId="22" fillId="0" borderId="0" xfId="8" applyAlignment="1">
      <alignment horizontal="left" vertical="top" wrapText="1"/>
    </xf>
    <xf numFmtId="0" fontId="14" fillId="4" borderId="127" xfId="0" applyFont="1" applyFill="1" applyBorder="1" applyAlignment="1" applyProtection="1">
      <alignment horizontal="left" vertical="center" wrapText="1" indent="1"/>
      <protection locked="0"/>
    </xf>
    <xf numFmtId="0" fontId="22" fillId="6" borderId="129" xfId="45" applyFill="1" applyBorder="1" applyAlignment="1">
      <alignment vertical="center" wrapText="1"/>
    </xf>
    <xf numFmtId="0" fontId="22" fillId="4" borderId="127" xfId="26" applyFont="1" applyFill="1" applyBorder="1" applyAlignment="1" applyProtection="1">
      <alignment horizontal="right" vertical="center" wrapText="1" indent="1"/>
      <protection locked="0"/>
    </xf>
    <xf numFmtId="0" fontId="22" fillId="0" borderId="89" xfId="24" applyFont="1" applyBorder="1" applyAlignment="1">
      <alignment horizontal="center" vertical="center"/>
    </xf>
    <xf numFmtId="0" fontId="22" fillId="6" borderId="127" xfId="13" applyFont="1" applyFill="1" applyBorder="1" applyAlignment="1">
      <alignment horizontal="center" wrapText="1"/>
    </xf>
    <xf numFmtId="0" fontId="22" fillId="0" borderId="90" xfId="8" applyBorder="1" applyAlignment="1" applyProtection="1">
      <alignment horizontal="center" vertical="center"/>
      <protection locked="0"/>
    </xf>
    <xf numFmtId="0" fontId="14" fillId="25" borderId="129" xfId="0" quotePrefix="1" applyFont="1" applyFill="1" applyBorder="1" applyAlignment="1">
      <alignment horizontal="center" vertical="center" wrapText="1"/>
    </xf>
    <xf numFmtId="0" fontId="14" fillId="11" borderId="129" xfId="0" quotePrefix="1" applyFont="1" applyFill="1" applyBorder="1" applyAlignment="1">
      <alignment horizontal="center" vertical="center" wrapText="1"/>
    </xf>
    <xf numFmtId="0" fontId="14" fillId="0" borderId="24" xfId="0" applyFont="1" applyBorder="1" applyAlignment="1">
      <alignment horizontal="left" vertical="center" wrapText="1"/>
    </xf>
    <xf numFmtId="0" fontId="14" fillId="6" borderId="0" xfId="73" applyFont="1" applyFill="1" applyAlignment="1">
      <alignment horizontal="left" vertical="center" wrapText="1"/>
    </xf>
    <xf numFmtId="0" fontId="22" fillId="6" borderId="93" xfId="8" applyFill="1" applyBorder="1">
      <alignment horizontal="left" vertical="center"/>
    </xf>
    <xf numFmtId="0" fontId="14" fillId="0" borderId="129" xfId="0" applyFont="1" applyBorder="1" applyAlignment="1">
      <alignment vertical="center" wrapText="1"/>
    </xf>
    <xf numFmtId="0" fontId="22" fillId="6" borderId="127" xfId="13" applyFont="1" applyFill="1" applyBorder="1" applyAlignment="1">
      <alignment horizontal="center"/>
    </xf>
    <xf numFmtId="0" fontId="34" fillId="0" borderId="0" xfId="8" applyFont="1">
      <alignment horizontal="left" vertical="center"/>
    </xf>
    <xf numFmtId="0" fontId="22" fillId="6" borderId="127" xfId="8" applyFill="1" applyBorder="1" applyAlignment="1">
      <alignment horizontal="center" vertical="center" wrapText="1"/>
    </xf>
    <xf numFmtId="14" fontId="22" fillId="4" borderId="127" xfId="8" applyNumberFormat="1" applyFill="1" applyBorder="1" applyAlignment="1" applyProtection="1">
      <alignment horizontal="center" vertical="center"/>
      <protection locked="0"/>
    </xf>
    <xf numFmtId="0" fontId="22" fillId="6" borderId="127" xfId="13" applyFont="1" applyFill="1" applyBorder="1">
      <alignment horizontal="center" vertical="center"/>
    </xf>
    <xf numFmtId="177" fontId="22" fillId="4" borderId="127" xfId="12" applyNumberFormat="1" applyFill="1" applyBorder="1" applyAlignment="1" applyProtection="1">
      <alignment horizontal="center" vertical="center" wrapText="1"/>
      <protection locked="0"/>
    </xf>
    <xf numFmtId="0" fontId="14" fillId="6" borderId="92" xfId="0" applyFont="1" applyFill="1" applyBorder="1" applyAlignment="1">
      <alignment horizontal="center" vertical="center"/>
    </xf>
    <xf numFmtId="0" fontId="10" fillId="0" borderId="0" xfId="4" applyAlignment="1" applyProtection="1">
      <alignment horizontal="left" vertical="center" indent="1"/>
    </xf>
    <xf numFmtId="0" fontId="22" fillId="4" borderId="127" xfId="8" applyFill="1" applyBorder="1" applyProtection="1">
      <alignment horizontal="left" vertical="center"/>
      <protection locked="0"/>
    </xf>
    <xf numFmtId="0" fontId="22" fillId="4" borderId="92" xfId="8" applyFill="1" applyBorder="1" applyAlignment="1" applyProtection="1">
      <alignment horizontal="left" vertical="center" indent="1"/>
      <protection locked="0"/>
    </xf>
    <xf numFmtId="0" fontId="22" fillId="6" borderId="127" xfId="13" applyFont="1" applyFill="1" applyBorder="1" applyAlignment="1">
      <alignment horizontal="center" vertical="center" wrapText="1"/>
    </xf>
    <xf numFmtId="0" fontId="14" fillId="6" borderId="97" xfId="0" applyFont="1" applyFill="1" applyBorder="1" applyAlignment="1">
      <alignment horizontal="center" vertical="center"/>
    </xf>
    <xf numFmtId="0" fontId="0" fillId="0" borderId="44" xfId="0" applyBorder="1"/>
    <xf numFmtId="0" fontId="0" fillId="0" borderId="45" xfId="0" applyBorder="1"/>
    <xf numFmtId="0" fontId="22" fillId="4" borderId="88" xfId="8" applyFill="1" applyBorder="1" applyAlignment="1" applyProtection="1">
      <alignment horizontal="left" vertical="center" indent="1"/>
      <protection locked="0"/>
    </xf>
    <xf numFmtId="0" fontId="14" fillId="6" borderId="24" xfId="51" applyFont="1" applyFill="1" applyBorder="1" applyAlignment="1">
      <alignment horizontal="right" vertical="center"/>
    </xf>
    <xf numFmtId="0" fontId="14" fillId="4" borderId="104" xfId="0" applyFont="1" applyFill="1" applyBorder="1" applyAlignment="1" applyProtection="1">
      <alignment horizontal="center" vertical="center"/>
      <protection locked="0"/>
    </xf>
    <xf numFmtId="0" fontId="22" fillId="6" borderId="90" xfId="45" applyFill="1" applyBorder="1" applyAlignment="1">
      <alignment horizontal="center" vertical="center" wrapText="1"/>
    </xf>
    <xf numFmtId="0" fontId="14" fillId="0" borderId="24" xfId="0" applyFont="1" applyBorder="1" applyAlignment="1">
      <alignment vertical="center" wrapText="1"/>
    </xf>
    <xf numFmtId="0" fontId="49" fillId="0" borderId="0" xfId="73" applyFont="1" applyAlignment="1">
      <alignment vertical="center" wrapText="1"/>
    </xf>
    <xf numFmtId="0" fontId="14" fillId="6" borderId="120" xfId="0" applyFont="1" applyFill="1" applyBorder="1" applyAlignment="1">
      <alignment horizontal="center" vertical="center" wrapText="1"/>
    </xf>
    <xf numFmtId="0" fontId="22" fillId="4" borderId="92" xfId="0" applyFont="1" applyFill="1" applyBorder="1" applyAlignment="1" applyProtection="1">
      <alignment horizontal="center" vertical="center"/>
      <protection locked="0"/>
    </xf>
    <xf numFmtId="0" fontId="14" fillId="25" borderId="127" xfId="19" applyFont="1" applyFill="1" applyBorder="1">
      <alignment horizontal="left" vertical="center" wrapText="1"/>
    </xf>
    <xf numFmtId="0" fontId="14" fillId="0" borderId="0" xfId="0" applyFont="1" applyAlignment="1">
      <alignment horizontal="left" vertical="top" wrapText="1" shrinkToFit="1" readingOrder="1"/>
    </xf>
    <xf numFmtId="0" fontId="22" fillId="6" borderId="0" xfId="12" applyFill="1" applyBorder="1" applyAlignment="1">
      <alignment horizontal="left" vertical="top" wrapText="1"/>
    </xf>
    <xf numFmtId="0" fontId="22" fillId="6" borderId="0" xfId="8" applyFill="1" applyAlignment="1">
      <alignment vertical="center" wrapText="1"/>
    </xf>
    <xf numFmtId="0" fontId="22" fillId="4" borderId="150" xfId="8" applyFill="1" applyBorder="1" applyAlignment="1" applyProtection="1">
      <alignment horizontal="left" vertical="center" indent="1"/>
      <protection locked="0"/>
    </xf>
    <xf numFmtId="0" fontId="22" fillId="6" borderId="127" xfId="8" applyFill="1" applyBorder="1" applyAlignment="1">
      <alignment horizontal="center"/>
    </xf>
    <xf numFmtId="0" fontId="22" fillId="0" borderId="12" xfId="8" applyBorder="1" applyAlignment="1">
      <alignment horizontal="center" vertical="center"/>
    </xf>
    <xf numFmtId="0" fontId="14" fillId="4" borderId="114" xfId="8" applyFont="1" applyFill="1" applyBorder="1" applyAlignment="1" applyProtection="1">
      <alignment horizontal="center" vertical="center"/>
      <protection locked="0"/>
    </xf>
    <xf numFmtId="14" fontId="22" fillId="4" borderId="92" xfId="13" applyNumberFormat="1" applyFont="1" applyFill="1" applyBorder="1" applyProtection="1">
      <alignment horizontal="center" vertical="center"/>
      <protection locked="0"/>
    </xf>
    <xf numFmtId="0" fontId="14" fillId="4" borderId="92" xfId="0" applyFont="1" applyFill="1" applyBorder="1" applyAlignment="1" applyProtection="1">
      <alignment horizontal="left" vertical="center" indent="1"/>
      <protection locked="0"/>
    </xf>
    <xf numFmtId="170" fontId="22" fillId="4" borderId="127" xfId="8" applyNumberFormat="1" applyFill="1" applyBorder="1" applyAlignment="1" applyProtection="1">
      <alignment horizontal="left" vertical="center" indent="1"/>
      <protection locked="0"/>
    </xf>
    <xf numFmtId="170" fontId="22" fillId="4" borderId="129" xfId="8" applyNumberFormat="1" applyFill="1" applyBorder="1" applyAlignment="1">
      <alignment horizontal="center" vertical="center"/>
    </xf>
    <xf numFmtId="170" fontId="22" fillId="4" borderId="93" xfId="8" applyNumberFormat="1" applyFill="1" applyBorder="1" applyAlignment="1">
      <alignment horizontal="center" vertical="center"/>
    </xf>
    <xf numFmtId="170" fontId="22" fillId="4" borderId="91" xfId="8" applyNumberFormat="1" applyFill="1" applyBorder="1" applyAlignment="1">
      <alignment horizontal="center" vertical="center"/>
    </xf>
    <xf numFmtId="0" fontId="22" fillId="0" borderId="0" xfId="46" applyFill="1" applyBorder="1" applyAlignment="1" applyProtection="1">
      <alignment horizontal="left" vertical="center"/>
    </xf>
    <xf numFmtId="0" fontId="22" fillId="75" borderId="129" xfId="45" quotePrefix="1" applyFill="1" applyBorder="1">
      <alignment horizontal="left" vertical="center" wrapText="1"/>
    </xf>
    <xf numFmtId="0" fontId="22" fillId="75" borderId="93" xfId="45" quotePrefix="1" applyFill="1" applyBorder="1">
      <alignment horizontal="left" vertical="center" wrapText="1"/>
    </xf>
    <xf numFmtId="1" fontId="14" fillId="6" borderId="127" xfId="0" applyNumberFormat="1" applyFont="1" applyFill="1" applyBorder="1" applyAlignment="1">
      <alignment horizontal="center" vertical="center"/>
    </xf>
    <xf numFmtId="0" fontId="22" fillId="6" borderId="24" xfId="8" applyFill="1" applyBorder="1">
      <alignment horizontal="left" vertical="center"/>
    </xf>
    <xf numFmtId="0" fontId="22" fillId="0" borderId="87" xfId="8" applyBorder="1" applyAlignment="1">
      <alignment horizontal="center" vertical="center"/>
    </xf>
    <xf numFmtId="0" fontId="22" fillId="4" borderId="127" xfId="45" applyFill="1" applyBorder="1" applyAlignment="1" applyProtection="1">
      <alignment horizontal="center" vertical="center" wrapText="1"/>
      <protection locked="0"/>
    </xf>
    <xf numFmtId="0" fontId="22" fillId="0" borderId="89" xfId="73" applyFont="1" applyBorder="1" applyAlignment="1">
      <alignment horizontal="left" vertical="center"/>
    </xf>
    <xf numFmtId="0" fontId="14" fillId="4" borderId="120" xfId="0" applyFont="1" applyFill="1" applyBorder="1" applyAlignment="1" applyProtection="1">
      <alignment horizontal="left" vertical="center"/>
      <protection locked="0"/>
    </xf>
    <xf numFmtId="0" fontId="14" fillId="6" borderId="91" xfId="0" applyFont="1" applyFill="1" applyBorder="1" applyAlignment="1">
      <alignment horizontal="center" vertical="center" wrapText="1"/>
    </xf>
    <xf numFmtId="0" fontId="23" fillId="0" borderId="0" xfId="46" applyFont="1" applyFill="1" applyBorder="1" applyAlignment="1" applyProtection="1">
      <alignment horizontal="center" vertical="center" wrapText="1"/>
    </xf>
    <xf numFmtId="0" fontId="14" fillId="6" borderId="0" xfId="19" applyFont="1" applyFill="1" applyBorder="1">
      <alignment horizontal="left" vertical="center" wrapText="1"/>
    </xf>
    <xf numFmtId="0" fontId="22" fillId="6" borderId="150" xfId="0" applyFont="1" applyFill="1" applyBorder="1" applyAlignment="1">
      <alignment horizontal="left" vertical="center" wrapText="1"/>
    </xf>
    <xf numFmtId="0" fontId="98" fillId="6" borderId="0" xfId="19" applyFont="1" applyFill="1" applyBorder="1" applyAlignment="1">
      <alignment vertical="center" wrapText="1"/>
    </xf>
    <xf numFmtId="0" fontId="14" fillId="6" borderId="120" xfId="19" applyFont="1" applyFill="1" applyBorder="1">
      <alignment horizontal="left" vertical="center" wrapText="1"/>
    </xf>
    <xf numFmtId="0" fontId="49" fillId="6" borderId="90" xfId="0" applyFont="1" applyFill="1" applyBorder="1" applyAlignment="1">
      <alignment horizontal="left" vertical="center"/>
    </xf>
    <xf numFmtId="0" fontId="14" fillId="0" borderId="94" xfId="0" applyFont="1" applyBorder="1" applyAlignment="1">
      <alignment horizontal="center" vertical="center"/>
    </xf>
    <xf numFmtId="0" fontId="34" fillId="4" borderId="127" xfId="0" applyFont="1" applyFill="1" applyBorder="1" applyAlignment="1" applyProtection="1">
      <alignment horizontal="left" vertical="center" wrapText="1" indent="1"/>
      <protection locked="0"/>
    </xf>
    <xf numFmtId="0" fontId="49" fillId="6" borderId="0" xfId="8" applyFont="1" applyFill="1" applyAlignment="1">
      <alignment horizontal="left"/>
    </xf>
    <xf numFmtId="0" fontId="49" fillId="6" borderId="0" xfId="8" applyFont="1" applyFill="1" applyAlignment="1">
      <alignment vertical="center"/>
    </xf>
    <xf numFmtId="0" fontId="22" fillId="0" borderId="92" xfId="8" applyBorder="1" applyAlignment="1">
      <alignment horizontal="center" vertical="center"/>
    </xf>
    <xf numFmtId="38" fontId="14" fillId="6" borderId="127" xfId="0" applyNumberFormat="1" applyFont="1" applyFill="1" applyBorder="1" applyAlignment="1">
      <alignment horizontal="center" vertical="center" shrinkToFit="1"/>
    </xf>
    <xf numFmtId="0" fontId="22" fillId="0" borderId="127" xfId="8" applyBorder="1" applyAlignment="1">
      <alignment horizontal="center" vertical="center" wrapText="1"/>
    </xf>
    <xf numFmtId="0" fontId="22" fillId="6" borderId="127" xfId="8" applyFill="1" applyBorder="1" applyAlignment="1">
      <alignment horizontal="left" vertical="center" wrapText="1" indent="1"/>
    </xf>
    <xf numFmtId="0" fontId="153" fillId="0" borderId="0" xfId="8" applyFont="1" applyAlignment="1">
      <alignment horizontal="left" vertical="center" wrapText="1"/>
    </xf>
    <xf numFmtId="0" fontId="153" fillId="0" borderId="0" xfId="8" applyFont="1" applyAlignment="1">
      <alignment vertical="center"/>
    </xf>
    <xf numFmtId="0" fontId="153" fillId="0" borderId="0" xfId="0" quotePrefix="1" applyFont="1" applyAlignment="1">
      <alignment horizontal="left" vertical="center" wrapText="1"/>
    </xf>
    <xf numFmtId="0" fontId="14" fillId="0" borderId="90" xfId="0" applyFont="1" applyBorder="1" applyAlignment="1">
      <alignment horizontal="right" vertical="center" indent="1"/>
    </xf>
    <xf numFmtId="3" fontId="14" fillId="6" borderId="120" xfId="0" applyNumberFormat="1" applyFont="1" applyFill="1" applyBorder="1" applyAlignment="1">
      <alignment horizontal="right" vertical="center" shrinkToFit="1"/>
    </xf>
    <xf numFmtId="0" fontId="45" fillId="6" borderId="0" xfId="0" applyFont="1" applyFill="1" applyAlignment="1">
      <alignment horizontal="left" vertical="center" indent="1"/>
    </xf>
    <xf numFmtId="0" fontId="14" fillId="4" borderId="94" xfId="0" applyFont="1" applyFill="1" applyBorder="1" applyAlignment="1" applyProtection="1">
      <alignment horizontal="center" vertical="center" shrinkToFit="1"/>
      <protection locked="0"/>
    </xf>
    <xf numFmtId="0" fontId="14" fillId="6" borderId="0" xfId="8" applyFont="1" applyFill="1" applyAlignment="1">
      <alignment vertical="center"/>
    </xf>
    <xf numFmtId="0" fontId="22" fillId="0" borderId="87" xfId="46" applyFill="1" applyBorder="1" applyAlignment="1">
      <alignment horizontal="center" vertical="center" wrapText="1"/>
      <protection locked="0"/>
    </xf>
    <xf numFmtId="0" fontId="14" fillId="11" borderId="43" xfId="0" quotePrefix="1" applyFont="1" applyFill="1" applyBorder="1" applyAlignment="1">
      <alignment horizontal="left" vertical="center" wrapText="1" indent="1"/>
    </xf>
    <xf numFmtId="0" fontId="22" fillId="4" borderId="127" xfId="8" applyFill="1" applyBorder="1" applyAlignment="1" applyProtection="1">
      <alignment horizontal="left" vertical="center" wrapText="1"/>
      <protection locked="0"/>
    </xf>
    <xf numFmtId="0" fontId="55" fillId="0" borderId="24" xfId="0" applyFont="1" applyBorder="1" applyAlignment="1">
      <alignment horizontal="right" vertical="center" indent="1"/>
    </xf>
    <xf numFmtId="0" fontId="22" fillId="0" borderId="92" xfId="45" applyFill="1" applyBorder="1" applyAlignment="1">
      <alignment vertical="center" wrapText="1"/>
    </xf>
    <xf numFmtId="0" fontId="14" fillId="25" borderId="127" xfId="0" quotePrefix="1" applyFont="1" applyFill="1" applyBorder="1" applyAlignment="1">
      <alignment horizontal="left" vertical="center" wrapText="1"/>
    </xf>
    <xf numFmtId="0" fontId="14" fillId="0" borderId="127" xfId="0" applyFont="1" applyBorder="1" applyAlignment="1">
      <alignment horizontal="right" vertical="center" indent="1"/>
    </xf>
    <xf numFmtId="0" fontId="14" fillId="0" borderId="92" xfId="0" applyFont="1" applyBorder="1" applyAlignment="1">
      <alignment horizontal="left" vertical="center"/>
    </xf>
    <xf numFmtId="0" fontId="22" fillId="6" borderId="104" xfId="8" applyFill="1" applyBorder="1">
      <alignment horizontal="left" vertical="center"/>
    </xf>
    <xf numFmtId="0" fontId="10" fillId="25" borderId="129" xfId="4" applyFill="1" applyBorder="1" applyAlignment="1">
      <alignment horizontal="center" vertical="center" wrapText="1"/>
      <protection locked="0"/>
    </xf>
    <xf numFmtId="0" fontId="10" fillId="25" borderId="93" xfId="4" applyFill="1" applyBorder="1" applyAlignment="1">
      <alignment horizontal="center" vertical="center" wrapText="1"/>
      <protection locked="0"/>
    </xf>
    <xf numFmtId="0" fontId="10" fillId="25" borderId="91" xfId="4" applyFill="1" applyBorder="1" applyAlignment="1">
      <alignment horizontal="center" vertical="center" wrapText="1"/>
      <protection locked="0"/>
    </xf>
    <xf numFmtId="0" fontId="22" fillId="0" borderId="120" xfId="45" applyFill="1" applyBorder="1">
      <alignment horizontal="left" vertical="center" wrapText="1"/>
    </xf>
    <xf numFmtId="0" fontId="93" fillId="0" borderId="127" xfId="4" applyFont="1" applyBorder="1" applyAlignment="1" applyProtection="1">
      <alignment horizontal="left" vertical="center" wrapText="1"/>
    </xf>
    <xf numFmtId="0" fontId="22" fillId="6" borderId="92" xfId="8" applyFill="1" applyBorder="1" applyAlignment="1">
      <alignment horizontal="center" vertical="center"/>
    </xf>
    <xf numFmtId="0" fontId="49" fillId="0" borderId="12" xfId="8" applyFont="1" applyBorder="1" applyAlignment="1">
      <alignment vertical="center"/>
    </xf>
    <xf numFmtId="0" fontId="22" fillId="4" borderId="129" xfId="8" applyFill="1" applyBorder="1" applyAlignment="1">
      <alignment horizontal="center" vertical="center"/>
    </xf>
    <xf numFmtId="0" fontId="22" fillId="4" borderId="91" xfId="8" applyFill="1" applyBorder="1" applyAlignment="1">
      <alignment horizontal="center" vertical="center"/>
    </xf>
    <xf numFmtId="0" fontId="14" fillId="0" borderId="129" xfId="0" applyFont="1" applyBorder="1" applyAlignment="1">
      <alignment horizontal="center" vertical="center" wrapText="1"/>
    </xf>
    <xf numFmtId="0" fontId="22" fillId="6" borderId="91" xfId="45" applyFill="1" applyBorder="1" applyAlignment="1">
      <alignment horizontal="center" vertical="center" wrapText="1"/>
    </xf>
    <xf numFmtId="0" fontId="14" fillId="0" borderId="120" xfId="0" applyFont="1" applyBorder="1" applyAlignment="1">
      <alignment horizontal="left" vertical="center" wrapText="1"/>
    </xf>
    <xf numFmtId="0" fontId="22" fillId="4" borderId="92" xfId="45" applyFill="1" applyBorder="1" applyAlignment="1" applyProtection="1">
      <alignment horizontal="center" vertical="center" wrapText="1"/>
      <protection locked="0"/>
    </xf>
    <xf numFmtId="0" fontId="22" fillId="0" borderId="91" xfId="45" applyFill="1" applyBorder="1" applyAlignment="1">
      <alignment horizontal="right" vertical="center" indent="1"/>
    </xf>
    <xf numFmtId="0" fontId="34" fillId="0" borderId="0" xfId="8" applyFont="1" applyAlignment="1">
      <alignment horizontal="center" vertical="center" wrapText="1"/>
    </xf>
    <xf numFmtId="170" fontId="22" fillId="0" borderId="129" xfId="8" applyNumberFormat="1" applyBorder="1" applyAlignment="1">
      <alignment horizontal="center" vertical="center"/>
    </xf>
    <xf numFmtId="170" fontId="22" fillId="0" borderId="93" xfId="8" applyNumberFormat="1" applyBorder="1" applyAlignment="1">
      <alignment horizontal="center" vertical="center"/>
    </xf>
    <xf numFmtId="170" fontId="22" fillId="0" borderId="91" xfId="8" applyNumberFormat="1" applyBorder="1" applyAlignment="1">
      <alignment horizontal="center" vertical="center"/>
    </xf>
    <xf numFmtId="0" fontId="14" fillId="0" borderId="0" xfId="8" applyFont="1" applyAlignment="1">
      <alignment horizontal="right" wrapText="1"/>
    </xf>
    <xf numFmtId="0" fontId="22" fillId="4" borderId="127" xfId="8" applyFill="1" applyBorder="1">
      <alignment horizontal="left" vertical="center"/>
    </xf>
    <xf numFmtId="0" fontId="22" fillId="4" borderId="129" xfId="8" applyFill="1" applyBorder="1">
      <alignment horizontal="left" vertical="center"/>
    </xf>
    <xf numFmtId="0" fontId="22" fillId="4" borderId="93" xfId="8" applyFill="1" applyBorder="1">
      <alignment horizontal="left" vertical="center"/>
    </xf>
    <xf numFmtId="0" fontId="22" fillId="4" borderId="91" xfId="8" applyFill="1" applyBorder="1">
      <alignment horizontal="left" vertical="center"/>
    </xf>
    <xf numFmtId="0" fontId="57" fillId="0" borderId="101" xfId="73" applyFont="1" applyBorder="1" applyAlignment="1">
      <alignment horizontal="center" vertical="center" wrapText="1"/>
    </xf>
    <xf numFmtId="0" fontId="49" fillId="0" borderId="3" xfId="73" applyFont="1" applyBorder="1" applyAlignment="1">
      <alignment horizontal="left" vertical="center" wrapText="1"/>
    </xf>
    <xf numFmtId="0" fontId="22" fillId="0" borderId="129" xfId="8" applyBorder="1" applyAlignment="1">
      <alignment horizontal="left" vertical="top" wrapText="1"/>
    </xf>
    <xf numFmtId="0" fontId="22" fillId="0" borderId="93" xfId="8" applyBorder="1" applyAlignment="1">
      <alignment vertical="center"/>
    </xf>
    <xf numFmtId="0" fontId="22" fillId="0" borderId="91" xfId="8" applyBorder="1" applyAlignment="1">
      <alignment vertical="center"/>
    </xf>
    <xf numFmtId="0" fontId="14" fillId="6" borderId="0" xfId="8" applyFont="1" applyFill="1" applyAlignment="1">
      <alignment horizontal="left" wrapText="1"/>
    </xf>
    <xf numFmtId="0" fontId="22" fillId="0" borderId="0" xfId="8" applyAlignment="1">
      <alignment horizontal="center" wrapText="1"/>
    </xf>
    <xf numFmtId="0" fontId="22" fillId="4" borderId="93" xfId="8" applyFill="1" applyBorder="1" applyAlignment="1">
      <alignment horizontal="center" vertical="center"/>
    </xf>
    <xf numFmtId="0" fontId="22" fillId="6" borderId="90" xfId="8" applyFill="1" applyBorder="1" applyAlignment="1">
      <alignment horizontal="left" vertical="center" wrapText="1"/>
    </xf>
    <xf numFmtId="0" fontId="14" fillId="0" borderId="129" xfId="0" applyFont="1" applyBorder="1" applyAlignment="1">
      <alignment horizontal="left" vertical="center" wrapText="1"/>
    </xf>
    <xf numFmtId="0" fontId="22" fillId="25" borderId="129" xfId="45" applyFill="1" applyBorder="1" applyAlignment="1">
      <alignment horizontal="center" vertical="center" wrapText="1"/>
    </xf>
    <xf numFmtId="0" fontId="22" fillId="25" borderId="93" xfId="45" applyFill="1" applyBorder="1" applyAlignment="1">
      <alignment horizontal="center" vertical="center" wrapText="1"/>
    </xf>
    <xf numFmtId="0" fontId="92" fillId="0" borderId="0" xfId="8" applyFont="1">
      <alignment horizontal="left" vertical="center"/>
    </xf>
    <xf numFmtId="0" fontId="22" fillId="6" borderId="0" xfId="8" applyFill="1" applyAlignment="1">
      <alignment horizontal="center" vertical="center"/>
    </xf>
    <xf numFmtId="0" fontId="14" fillId="0" borderId="90" xfId="26" applyFont="1" applyBorder="1" applyAlignment="1">
      <alignment horizontal="left" vertical="center" wrapText="1"/>
    </xf>
    <xf numFmtId="0" fontId="45" fillId="0" borderId="127" xfId="26" applyFont="1" applyBorder="1" applyAlignment="1">
      <alignment horizontal="right" vertical="center" indent="1"/>
    </xf>
    <xf numFmtId="0" fontId="31" fillId="0" borderId="0" xfId="8" applyFont="1" applyAlignment="1">
      <alignment horizontal="center" vertical="center"/>
    </xf>
    <xf numFmtId="0" fontId="14" fillId="0" borderId="0" xfId="26" applyFont="1"/>
    <xf numFmtId="0" fontId="14" fillId="0" borderId="0" xfId="26" applyFont="1" applyAlignment="1">
      <alignment horizontal="left" vertical="center" indent="1"/>
    </xf>
    <xf numFmtId="0" fontId="70" fillId="24" borderId="24" xfId="0" applyFont="1" applyFill="1" applyBorder="1" applyAlignment="1">
      <alignment horizontal="center" vertical="center"/>
    </xf>
    <xf numFmtId="0" fontId="14" fillId="0" borderId="0" xfId="26" applyFont="1" applyAlignment="1">
      <alignment horizontal="center"/>
    </xf>
    <xf numFmtId="0" fontId="14" fillId="0" borderId="0" xfId="26" applyFont="1" applyAlignment="1">
      <alignment horizontal="center" vertical="center"/>
    </xf>
    <xf numFmtId="0" fontId="14" fillId="33" borderId="103" xfId="26" applyFont="1" applyFill="1" applyBorder="1" applyAlignment="1">
      <alignment horizontal="center" vertical="center" wrapText="1"/>
    </xf>
    <xf numFmtId="0" fontId="0" fillId="0" borderId="21" xfId="0" applyBorder="1"/>
    <xf numFmtId="0" fontId="0" fillId="0" borderId="22" xfId="0" applyBorder="1"/>
    <xf numFmtId="0" fontId="0" fillId="0" borderId="1" xfId="0" applyBorder="1"/>
    <xf numFmtId="0" fontId="0" fillId="0" borderId="2" xfId="0" applyBorder="1"/>
    <xf numFmtId="0" fontId="14" fillId="4" borderId="127" xfId="26" applyFont="1" applyFill="1" applyBorder="1" applyAlignment="1" applyProtection="1">
      <alignment horizontal="left" vertical="top" wrapText="1"/>
      <protection locked="0"/>
    </xf>
    <xf numFmtId="0" fontId="34" fillId="0" borderId="129" xfId="26" applyFont="1" applyBorder="1" applyAlignment="1">
      <alignment horizontal="center" vertical="center" wrapText="1"/>
    </xf>
    <xf numFmtId="170" fontId="34" fillId="6" borderId="127" xfId="0" applyNumberFormat="1" applyFont="1" applyFill="1" applyBorder="1" applyAlignment="1">
      <alignment horizontal="center" vertical="center"/>
    </xf>
    <xf numFmtId="0" fontId="34" fillId="35" borderId="14" xfId="21" applyFont="1" applyFill="1" applyBorder="1" applyAlignment="1">
      <alignment horizontal="center" vertical="center"/>
    </xf>
    <xf numFmtId="0" fontId="0" fillId="0" borderId="108" xfId="0" applyBorder="1"/>
    <xf numFmtId="0" fontId="49" fillId="0" borderId="127" xfId="26" applyFont="1" applyBorder="1" applyAlignment="1">
      <alignment horizontal="left" vertical="center" wrapText="1"/>
    </xf>
    <xf numFmtId="0" fontId="34" fillId="0" borderId="127" xfId="26" applyFont="1" applyBorder="1" applyAlignment="1">
      <alignment horizontal="center" vertical="center" wrapText="1"/>
    </xf>
    <xf numFmtId="170" fontId="14" fillId="6" borderId="127" xfId="0" applyNumberFormat="1" applyFont="1" applyFill="1" applyBorder="1" applyAlignment="1">
      <alignment horizontal="center" vertical="center"/>
    </xf>
    <xf numFmtId="170" fontId="22" fillId="0" borderId="127" xfId="8" applyNumberFormat="1" applyBorder="1" applyAlignment="1">
      <alignment horizontal="center" vertical="center"/>
    </xf>
    <xf numFmtId="0" fontId="14" fillId="34" borderId="14" xfId="26" applyFont="1" applyFill="1" applyBorder="1" applyAlignment="1">
      <alignment horizontal="center" vertical="center"/>
    </xf>
    <xf numFmtId="0" fontId="0" fillId="0" borderId="66" xfId="0" applyBorder="1"/>
    <xf numFmtId="0" fontId="14" fillId="0" borderId="112" xfId="26" applyFont="1" applyBorder="1" applyAlignment="1">
      <alignment horizontal="center" vertical="center"/>
    </xf>
    <xf numFmtId="0" fontId="14" fillId="0" borderId="92" xfId="26" applyFont="1" applyBorder="1" applyAlignment="1">
      <alignment horizontal="center" vertical="center"/>
    </xf>
    <xf numFmtId="170" fontId="14" fillId="0" borderId="129" xfId="26" applyNumberFormat="1" applyFont="1" applyBorder="1" applyAlignment="1">
      <alignment horizontal="center" vertical="center"/>
    </xf>
    <xf numFmtId="170" fontId="14" fillId="0" borderId="91" xfId="26" applyNumberFormat="1" applyFont="1" applyBorder="1" applyAlignment="1">
      <alignment horizontal="center" vertical="center"/>
    </xf>
    <xf numFmtId="14" fontId="34" fillId="0" borderId="129" xfId="26" applyNumberFormat="1" applyFont="1" applyBorder="1" applyAlignment="1" applyProtection="1">
      <alignment horizontal="center" vertical="center"/>
      <protection locked="0"/>
    </xf>
    <xf numFmtId="14" fontId="34" fillId="0" borderId="93" xfId="26" applyNumberFormat="1" applyFont="1" applyBorder="1" applyAlignment="1" applyProtection="1">
      <alignment horizontal="center" vertical="center"/>
      <protection locked="0"/>
    </xf>
    <xf numFmtId="14" fontId="34" fillId="0" borderId="91" xfId="26" applyNumberFormat="1" applyFont="1" applyBorder="1" applyAlignment="1" applyProtection="1">
      <alignment horizontal="center" vertical="center"/>
      <protection locked="0"/>
    </xf>
    <xf numFmtId="0" fontId="45" fillId="6" borderId="127" xfId="50" applyFont="1" applyFill="1" applyBorder="1" applyAlignment="1">
      <alignment horizontal="center" vertical="center" textRotation="90" wrapText="1"/>
    </xf>
    <xf numFmtId="0" fontId="0" fillId="0" borderId="120" xfId="0" applyBorder="1"/>
    <xf numFmtId="0" fontId="0" fillId="0" borderId="114" xfId="0" applyBorder="1"/>
    <xf numFmtId="0" fontId="14" fillId="0" borderId="0" xfId="26" applyFont="1" applyAlignment="1">
      <alignment horizontal="left" vertical="center"/>
    </xf>
    <xf numFmtId="0" fontId="14" fillId="4" borderId="127" xfId="26" applyFont="1" applyFill="1" applyBorder="1" applyAlignment="1" applyProtection="1">
      <alignment horizontal="left" vertical="top" wrapText="1" indent="1"/>
      <protection locked="0"/>
    </xf>
    <xf numFmtId="0" fontId="45" fillId="6" borderId="127" xfId="57" applyFont="1" applyFill="1" applyBorder="1" applyAlignment="1">
      <alignment horizontal="center" vertical="center" wrapText="1"/>
    </xf>
    <xf numFmtId="0" fontId="97" fillId="6" borderId="127" xfId="50" applyFont="1" applyFill="1" applyBorder="1" applyAlignment="1">
      <alignment horizontal="center" vertical="center" textRotation="90" wrapText="1"/>
    </xf>
    <xf numFmtId="0" fontId="45" fillId="0" borderId="127" xfId="57" applyFont="1" applyBorder="1" applyAlignment="1">
      <alignment horizontal="center" vertical="center" textRotation="90"/>
    </xf>
    <xf numFmtId="0" fontId="34" fillId="6" borderId="127" xfId="57" applyFont="1" applyFill="1" applyBorder="1" applyAlignment="1">
      <alignment horizontal="center" vertical="center"/>
    </xf>
    <xf numFmtId="0" fontId="22" fillId="0" borderId="89" xfId="57" applyFont="1" applyBorder="1" applyAlignment="1">
      <alignment horizontal="center"/>
    </xf>
    <xf numFmtId="0" fontId="138" fillId="4" borderId="127" xfId="0" applyFont="1" applyFill="1" applyBorder="1" applyAlignment="1" applyProtection="1">
      <alignment horizontal="left" vertical="center" wrapText="1"/>
      <protection locked="0"/>
    </xf>
    <xf numFmtId="0" fontId="138" fillId="4" borderId="127" xfId="0" applyFont="1" applyFill="1" applyBorder="1" applyAlignment="1" applyProtection="1">
      <alignment horizontal="left" vertical="center"/>
      <protection locked="0"/>
    </xf>
    <xf numFmtId="0" fontId="126" fillId="34" borderId="127" xfId="0" applyFont="1" applyFill="1" applyBorder="1" applyAlignment="1">
      <alignment horizontal="center" vertical="center" wrapText="1"/>
    </xf>
    <xf numFmtId="0" fontId="13" fillId="0" borderId="127" xfId="0" applyFont="1" applyBorder="1" applyAlignment="1">
      <alignment horizontal="left" vertical="center" wrapText="1"/>
    </xf>
    <xf numFmtId="170" fontId="22" fillId="0" borderId="127" xfId="8" applyNumberFormat="1" applyBorder="1" applyAlignment="1">
      <alignment horizontal="right" vertical="center" indent="1"/>
    </xf>
    <xf numFmtId="170" fontId="22" fillId="6" borderId="127" xfId="8" applyNumberFormat="1" applyFill="1" applyBorder="1" applyAlignment="1">
      <alignment horizontal="center" vertical="center"/>
    </xf>
    <xf numFmtId="0" fontId="0" fillId="0" borderId="43" xfId="0" applyBorder="1"/>
    <xf numFmtId="6" fontId="14" fillId="4" borderId="127" xfId="8" applyNumberFormat="1" applyFont="1" applyFill="1" applyBorder="1" applyAlignment="1" applyProtection="1">
      <alignment horizontal="right" vertical="center" indent="1"/>
      <protection locked="0"/>
    </xf>
    <xf numFmtId="170" fontId="22" fillId="0" borderId="88" xfId="8" applyNumberFormat="1" applyBorder="1" applyAlignment="1">
      <alignment horizontal="right" vertical="center" indent="1"/>
    </xf>
    <xf numFmtId="3" fontId="14" fillId="0" borderId="127" xfId="0" applyNumberFormat="1" applyFont="1" applyBorder="1" applyAlignment="1">
      <alignment horizontal="right" vertical="center" indent="1"/>
    </xf>
    <xf numFmtId="170" fontId="14" fillId="6" borderId="114" xfId="8" applyNumberFormat="1" applyFont="1" applyFill="1" applyBorder="1" applyAlignment="1">
      <alignment horizontal="center" vertical="center"/>
    </xf>
    <xf numFmtId="0" fontId="14" fillId="0" borderId="127" xfId="8" applyFont="1" applyBorder="1" applyAlignment="1">
      <alignment horizontal="center" vertical="center"/>
    </xf>
    <xf numFmtId="0" fontId="14" fillId="6" borderId="0" xfId="4" applyFont="1" applyFill="1" applyAlignment="1" applyProtection="1">
      <alignment horizontal="left" vertical="center" indent="1"/>
    </xf>
    <xf numFmtId="0" fontId="14" fillId="0" borderId="114" xfId="8" applyFont="1" applyBorder="1">
      <alignment horizontal="left" vertical="center"/>
    </xf>
    <xf numFmtId="0" fontId="34" fillId="6" borderId="0" xfId="13" applyFont="1" applyFill="1" applyAlignment="1">
      <alignment horizontal="left" vertical="center" indent="1"/>
    </xf>
    <xf numFmtId="170" fontId="14" fillId="27" borderId="127" xfId="8" applyNumberFormat="1" applyFont="1" applyFill="1" applyBorder="1" applyAlignment="1">
      <alignment horizontal="left" vertical="center" indent="1"/>
    </xf>
    <xf numFmtId="0" fontId="98" fillId="0" borderId="92" xfId="0" applyFont="1" applyBorder="1" applyAlignment="1">
      <alignment horizontal="left" vertical="center"/>
    </xf>
    <xf numFmtId="170" fontId="14" fillId="0" borderId="127" xfId="8" applyNumberFormat="1" applyFont="1" applyBorder="1" applyAlignment="1">
      <alignment horizontal="center" vertical="center"/>
    </xf>
    <xf numFmtId="0" fontId="14" fillId="6" borderId="0" xfId="13" applyFont="1" applyFill="1">
      <alignment horizontal="center" vertical="center"/>
    </xf>
    <xf numFmtId="169" fontId="27" fillId="0" borderId="0" xfId="8" applyNumberFormat="1" applyFont="1" applyAlignment="1">
      <alignment horizontal="center" vertical="center"/>
    </xf>
    <xf numFmtId="0" fontId="92" fillId="6" borderId="90" xfId="13" applyFont="1" applyFill="1" applyBorder="1">
      <alignment horizontal="center" vertical="center"/>
    </xf>
    <xf numFmtId="0" fontId="14" fillId="0" borderId="127" xfId="0" applyFont="1" applyBorder="1" applyAlignment="1">
      <alignment horizontal="left" vertical="center" indent="1"/>
    </xf>
    <xf numFmtId="0" fontId="14" fillId="0" borderId="127" xfId="8" applyFont="1" applyBorder="1" applyAlignment="1">
      <alignment horizontal="center" vertical="center" wrapText="1"/>
    </xf>
    <xf numFmtId="0" fontId="14" fillId="0" borderId="120" xfId="0" applyFont="1" applyBorder="1" applyAlignment="1">
      <alignment horizontal="center" vertical="center" wrapText="1"/>
    </xf>
    <xf numFmtId="167" fontId="22" fillId="6" borderId="127" xfId="8" applyNumberFormat="1" applyFill="1" applyBorder="1" applyAlignment="1">
      <alignment horizontal="center" vertical="center"/>
    </xf>
    <xf numFmtId="169" fontId="27" fillId="0" borderId="127" xfId="8" applyNumberFormat="1" applyFont="1" applyBorder="1" applyAlignment="1">
      <alignment horizontal="center" vertical="center"/>
    </xf>
    <xf numFmtId="0" fontId="54" fillId="0" borderId="0" xfId="0" applyFont="1" applyAlignment="1">
      <alignment horizontal="center" vertical="center"/>
    </xf>
    <xf numFmtId="170" fontId="14" fillId="0" borderId="92" xfId="8" applyNumberFormat="1" applyFont="1" applyBorder="1" applyAlignment="1">
      <alignment horizontal="right" vertical="center" indent="1"/>
    </xf>
    <xf numFmtId="4" fontId="14" fillId="0" borderId="127" xfId="0" applyNumberFormat="1" applyFont="1" applyBorder="1" applyAlignment="1">
      <alignment horizontal="center" vertical="center"/>
    </xf>
    <xf numFmtId="170" fontId="14" fillId="27" borderId="127" xfId="8" applyNumberFormat="1" applyFont="1" applyFill="1" applyBorder="1" applyAlignment="1">
      <alignment horizontal="left" vertical="center" wrapText="1" indent="1"/>
    </xf>
    <xf numFmtId="174" fontId="14" fillId="4" borderId="127" xfId="0" applyNumberFormat="1" applyFont="1" applyFill="1" applyBorder="1" applyAlignment="1" applyProtection="1">
      <alignment horizontal="right" vertical="center" indent="1"/>
      <protection locked="0"/>
    </xf>
    <xf numFmtId="170" fontId="14" fillId="0" borderId="127" xfId="8" applyNumberFormat="1" applyFont="1" applyBorder="1" applyAlignment="1">
      <alignment horizontal="right" vertical="center" indent="1"/>
    </xf>
    <xf numFmtId="0" fontId="14" fillId="6" borderId="127" xfId="8" applyFont="1" applyFill="1" applyBorder="1" applyAlignment="1">
      <alignment horizontal="center" vertical="center" wrapText="1"/>
    </xf>
    <xf numFmtId="0" fontId="14" fillId="6" borderId="0" xfId="13" applyFont="1" applyFill="1" applyAlignment="1">
      <alignment horizontal="left" vertical="center"/>
    </xf>
    <xf numFmtId="0" fontId="55" fillId="6" borderId="0" xfId="0" applyFont="1" applyFill="1" applyAlignment="1">
      <alignment horizontal="center" vertical="center" wrapText="1"/>
    </xf>
    <xf numFmtId="0" fontId="98" fillId="0" borderId="127" xfId="0" applyFont="1" applyBorder="1" applyAlignment="1">
      <alignment horizontal="left" vertical="center" indent="1"/>
    </xf>
    <xf numFmtId="0" fontId="14" fillId="6" borderId="90" xfId="13" applyFont="1" applyFill="1" applyBorder="1" applyAlignment="1">
      <alignment horizontal="left" vertical="center"/>
    </xf>
    <xf numFmtId="169" fontId="27" fillId="6" borderId="0" xfId="8" applyNumberFormat="1" applyFont="1" applyFill="1" applyAlignment="1">
      <alignment horizontal="center" vertical="center"/>
    </xf>
    <xf numFmtId="170" fontId="14" fillId="4" borderId="127" xfId="0" applyNumberFormat="1" applyFont="1" applyFill="1" applyBorder="1" applyAlignment="1" applyProtection="1">
      <alignment horizontal="right" vertical="center" indent="1"/>
      <protection locked="0"/>
    </xf>
    <xf numFmtId="0" fontId="98" fillId="6" borderId="0" xfId="0" applyFont="1" applyFill="1" applyAlignment="1">
      <alignment horizontal="left" vertical="center"/>
    </xf>
    <xf numFmtId="170" fontId="14" fillId="6" borderId="150" xfId="8" applyNumberFormat="1" applyFont="1" applyFill="1" applyBorder="1" applyAlignment="1">
      <alignment horizontal="right" vertical="center" indent="1"/>
    </xf>
    <xf numFmtId="0" fontId="14" fillId="0" borderId="12" xfId="8" applyFont="1" applyBorder="1">
      <alignment horizontal="left" vertical="center"/>
    </xf>
    <xf numFmtId="170" fontId="34" fillId="27" borderId="127" xfId="8" applyNumberFormat="1" applyFont="1" applyFill="1" applyBorder="1" applyAlignment="1">
      <alignment horizontal="right" vertical="center" indent="1"/>
    </xf>
    <xf numFmtId="0" fontId="14" fillId="0" borderId="43" xfId="8" applyFont="1" applyBorder="1">
      <alignment horizontal="left" vertical="center"/>
    </xf>
    <xf numFmtId="0" fontId="34" fillId="0" borderId="127" xfId="0" applyFont="1" applyBorder="1" applyAlignment="1">
      <alignment horizontal="left" vertical="center" indent="1"/>
    </xf>
    <xf numFmtId="170" fontId="14" fillId="6" borderId="127" xfId="0" applyNumberFormat="1" applyFont="1" applyFill="1" applyBorder="1" applyAlignment="1">
      <alignment horizontal="right" vertical="center" indent="1"/>
    </xf>
    <xf numFmtId="9" fontId="14" fillId="0" borderId="127" xfId="0" applyNumberFormat="1" applyFont="1" applyBorder="1" applyAlignment="1">
      <alignment horizontal="right" vertical="center" indent="1"/>
    </xf>
    <xf numFmtId="170" fontId="34" fillId="58" borderId="127" xfId="8" applyNumberFormat="1" applyFont="1" applyFill="1" applyBorder="1" applyAlignment="1">
      <alignment horizontal="right" vertical="center" indent="1"/>
    </xf>
    <xf numFmtId="170" fontId="14" fillId="27" borderId="127" xfId="0" applyNumberFormat="1" applyFont="1" applyFill="1" applyBorder="1" applyAlignment="1">
      <alignment horizontal="right" vertical="center" indent="1"/>
    </xf>
    <xf numFmtId="0" fontId="14" fillId="0" borderId="24" xfId="8" applyFont="1" applyBorder="1">
      <alignment horizontal="left" vertical="center"/>
    </xf>
    <xf numFmtId="0" fontId="14" fillId="61" borderId="129" xfId="8" applyFont="1" applyFill="1" applyBorder="1">
      <alignment horizontal="left" vertical="center"/>
    </xf>
    <xf numFmtId="170" fontId="22" fillId="61" borderId="127" xfId="8" applyNumberFormat="1" applyFill="1" applyBorder="1" applyAlignment="1">
      <alignment horizontal="right" vertical="center" indent="1"/>
    </xf>
    <xf numFmtId="0" fontId="14" fillId="6" borderId="0" xfId="0" applyFont="1" applyFill="1" applyAlignment="1">
      <alignment horizontal="left" vertical="center" wrapText="1"/>
    </xf>
    <xf numFmtId="0" fontId="14" fillId="6" borderId="43" xfId="8" applyFont="1" applyFill="1" applyBorder="1">
      <alignment horizontal="left" vertical="center"/>
    </xf>
    <xf numFmtId="0" fontId="14" fillId="0" borderId="114" xfId="0" applyFont="1" applyBorder="1" applyAlignment="1">
      <alignment horizontal="left" vertical="center"/>
    </xf>
    <xf numFmtId="0" fontId="55" fillId="6" borderId="0" xfId="0" applyFont="1" applyFill="1" applyAlignment="1">
      <alignment horizontal="left" vertical="center" wrapText="1"/>
    </xf>
    <xf numFmtId="0" fontId="70" fillId="24" borderId="0" xfId="0" applyFont="1" applyFill="1" applyAlignment="1">
      <alignment horizontal="center" vertical="center"/>
    </xf>
    <xf numFmtId="170" fontId="14" fillId="58" borderId="127" xfId="8" applyNumberFormat="1" applyFont="1" applyFill="1" applyBorder="1" applyAlignment="1">
      <alignment horizontal="right" vertical="center" indent="1"/>
    </xf>
    <xf numFmtId="0" fontId="74" fillId="6" borderId="0" xfId="4" applyFont="1" applyFill="1" applyAlignment="1" applyProtection="1">
      <alignment horizontal="left" vertical="center" wrapText="1"/>
    </xf>
    <xf numFmtId="170" fontId="22" fillId="6" borderId="24" xfId="8" applyNumberFormat="1" applyFill="1" applyBorder="1" applyAlignment="1">
      <alignment horizontal="left" vertical="center" indent="1"/>
    </xf>
    <xf numFmtId="0" fontId="14" fillId="6" borderId="92" xfId="0" applyFont="1" applyFill="1" applyBorder="1" applyAlignment="1">
      <alignment horizontal="left" vertical="center"/>
    </xf>
    <xf numFmtId="0" fontId="70" fillId="67" borderId="43" xfId="205" applyFont="1" applyFill="1" applyBorder="1" applyAlignment="1">
      <alignment horizontal="center" vertical="center"/>
    </xf>
    <xf numFmtId="0" fontId="9" fillId="0" borderId="90" xfId="205" applyBorder="1"/>
    <xf numFmtId="0" fontId="9" fillId="0" borderId="150" xfId="205" applyBorder="1"/>
    <xf numFmtId="0" fontId="70" fillId="67" borderId="12" xfId="205" applyFont="1" applyFill="1" applyBorder="1" applyAlignment="1">
      <alignment horizontal="center" vertical="center"/>
    </xf>
    <xf numFmtId="0" fontId="9" fillId="0" borderId="87" xfId="205" applyBorder="1"/>
    <xf numFmtId="0" fontId="9" fillId="0" borderId="88" xfId="205" applyBorder="1"/>
    <xf numFmtId="174" fontId="15" fillId="70" borderId="155" xfId="205" applyNumberFormat="1" applyFont="1" applyFill="1" applyBorder="1" applyAlignment="1">
      <alignment horizontal="center" vertical="center" wrapText="1"/>
    </xf>
    <xf numFmtId="174" fontId="15" fillId="70" borderId="156" xfId="205" applyNumberFormat="1" applyFont="1" applyFill="1" applyBorder="1" applyAlignment="1">
      <alignment horizontal="center" vertical="center" wrapText="1"/>
    </xf>
    <xf numFmtId="174" fontId="15" fillId="70" borderId="157" xfId="205" applyNumberFormat="1" applyFont="1" applyFill="1" applyBorder="1" applyAlignment="1">
      <alignment horizontal="center" vertical="center" wrapText="1"/>
    </xf>
    <xf numFmtId="174" fontId="15" fillId="26" borderId="133" xfId="205" applyNumberFormat="1" applyFont="1" applyFill="1" applyBorder="1" applyAlignment="1">
      <alignment horizontal="center" vertical="center"/>
    </xf>
    <xf numFmtId="0" fontId="9" fillId="0" borderId="93" xfId="205" applyBorder="1" applyAlignment="1">
      <alignment horizontal="center"/>
    </xf>
    <xf numFmtId="0" fontId="147" fillId="68" borderId="24" xfId="205" applyFont="1" applyFill="1" applyBorder="1" applyAlignment="1">
      <alignment horizontal="center"/>
    </xf>
    <xf numFmtId="0" fontId="147" fillId="68" borderId="0" xfId="205" applyFont="1" applyFill="1" applyAlignment="1">
      <alignment horizontal="center"/>
    </xf>
    <xf numFmtId="0" fontId="147" fillId="68" borderId="89" xfId="205" applyFont="1" applyFill="1" applyBorder="1" applyAlignment="1">
      <alignment horizontal="center"/>
    </xf>
    <xf numFmtId="0" fontId="9" fillId="4" borderId="129" xfId="205" applyFill="1" applyBorder="1" applyAlignment="1">
      <alignment horizontal="left" vertical="top"/>
    </xf>
    <xf numFmtId="0" fontId="9" fillId="4" borderId="93" xfId="205" applyFill="1" applyBorder="1" applyAlignment="1">
      <alignment horizontal="left" vertical="top"/>
    </xf>
    <xf numFmtId="0" fontId="9" fillId="4" borderId="91" xfId="205" applyFill="1" applyBorder="1" applyAlignment="1">
      <alignment horizontal="left" vertical="top"/>
    </xf>
    <xf numFmtId="0" fontId="147" fillId="68" borderId="12" xfId="205" applyFont="1" applyFill="1" applyBorder="1" applyAlignment="1">
      <alignment horizontal="center"/>
    </xf>
    <xf numFmtId="0" fontId="147" fillId="68" borderId="87" xfId="205" applyFont="1" applyFill="1" applyBorder="1" applyAlignment="1">
      <alignment horizontal="center"/>
    </xf>
    <xf numFmtId="0" fontId="147" fillId="68" borderId="88" xfId="205" applyFont="1" applyFill="1" applyBorder="1" applyAlignment="1">
      <alignment horizontal="center"/>
    </xf>
    <xf numFmtId="0" fontId="12" fillId="69" borderId="24" xfId="205" applyFont="1" applyFill="1" applyBorder="1" applyAlignment="1">
      <alignment horizontal="center"/>
    </xf>
    <xf numFmtId="0" fontId="12" fillId="69" borderId="0" xfId="205" applyFont="1" applyFill="1" applyAlignment="1">
      <alignment horizontal="center"/>
    </xf>
    <xf numFmtId="0" fontId="12" fillId="69" borderId="89" xfId="205" applyFont="1" applyFill="1" applyBorder="1" applyAlignment="1">
      <alignment horizontal="center"/>
    </xf>
    <xf numFmtId="0" fontId="9" fillId="0" borderId="154" xfId="205" applyBorder="1" applyAlignment="1">
      <alignment horizontal="center" vertical="center" wrapText="1"/>
    </xf>
    <xf numFmtId="0" fontId="9" fillId="0" borderId="150" xfId="205" applyBorder="1" applyAlignment="1">
      <alignment horizontal="center" vertical="center" wrapText="1"/>
    </xf>
    <xf numFmtId="0" fontId="9" fillId="0" borderId="129" xfId="205" applyBorder="1" applyAlignment="1">
      <alignment horizontal="center" vertical="center" wrapText="1"/>
    </xf>
    <xf numFmtId="0" fontId="9" fillId="0" borderId="91" xfId="205" applyBorder="1" applyAlignment="1">
      <alignment horizontal="center" vertical="center" wrapText="1"/>
    </xf>
    <xf numFmtId="174" fontId="12" fillId="37" borderId="129" xfId="205" applyNumberFormat="1" applyFont="1" applyFill="1" applyBorder="1" applyAlignment="1">
      <alignment horizontal="center" vertical="center" wrapText="1"/>
    </xf>
    <xf numFmtId="174" fontId="12" fillId="37" borderId="91" xfId="205" applyNumberFormat="1" applyFont="1" applyFill="1" applyBorder="1" applyAlignment="1">
      <alignment horizontal="center" vertical="center" wrapText="1"/>
    </xf>
    <xf numFmtId="0" fontId="173" fillId="26" borderId="0" xfId="205" applyFont="1" applyFill="1" applyAlignment="1">
      <alignment horizontal="center" vertical="center"/>
    </xf>
    <xf numFmtId="0" fontId="172" fillId="26" borderId="0" xfId="205" applyFont="1" applyFill="1" applyAlignment="1">
      <alignment horizontal="left" vertical="center" wrapText="1"/>
    </xf>
    <xf numFmtId="0" fontId="145" fillId="66" borderId="12" xfId="205" applyFont="1" applyFill="1" applyBorder="1" applyAlignment="1">
      <alignment horizontal="center" vertical="center"/>
    </xf>
    <xf numFmtId="0" fontId="9" fillId="0" borderId="24" xfId="205" applyBorder="1" applyAlignment="1">
      <alignment horizontal="center" vertical="top" wrapText="1"/>
    </xf>
    <xf numFmtId="0" fontId="9" fillId="0" borderId="0" xfId="205"/>
    <xf numFmtId="0" fontId="9" fillId="0" borderId="89" xfId="205" applyBorder="1"/>
    <xf numFmtId="0" fontId="70" fillId="67" borderId="24" xfId="205" applyFont="1" applyFill="1" applyBorder="1" applyAlignment="1">
      <alignment horizontal="center" vertical="center"/>
    </xf>
    <xf numFmtId="170" fontId="22" fillId="6" borderId="127" xfId="73" applyNumberFormat="1" applyFont="1" applyFill="1" applyBorder="1" applyAlignment="1">
      <alignment horizontal="center" vertical="center"/>
    </xf>
    <xf numFmtId="0" fontId="14" fillId="33" borderId="119" xfId="73" applyFont="1" applyFill="1" applyBorder="1" applyAlignment="1">
      <alignment horizontal="center" vertical="center" wrapText="1"/>
    </xf>
    <xf numFmtId="0" fontId="0" fillId="0" borderId="16" xfId="0" applyBorder="1"/>
    <xf numFmtId="165" fontId="14" fillId="4" borderId="127" xfId="3" applyNumberFormat="1" applyFont="1" applyFill="1" applyBorder="1" applyAlignment="1" applyProtection="1">
      <alignment horizontal="center" vertical="center"/>
      <protection locked="0"/>
    </xf>
    <xf numFmtId="0" fontId="0" fillId="0" borderId="43" xfId="0" applyBorder="1" applyProtection="1">
      <protection locked="0"/>
    </xf>
    <xf numFmtId="165" fontId="14" fillId="4" borderId="105" xfId="3" applyNumberFormat="1" applyFont="1" applyFill="1" applyBorder="1" applyAlignment="1" applyProtection="1">
      <alignment horizontal="center" vertical="center"/>
      <protection locked="0"/>
    </xf>
    <xf numFmtId="0" fontId="0" fillId="0" borderId="98" xfId="0" applyBorder="1" applyProtection="1">
      <protection locked="0"/>
    </xf>
    <xf numFmtId="0" fontId="0" fillId="0" borderId="37" xfId="0" applyBorder="1" applyProtection="1">
      <protection locked="0"/>
    </xf>
    <xf numFmtId="14" fontId="14" fillId="4" borderId="127" xfId="26" applyNumberFormat="1" applyFont="1" applyFill="1" applyBorder="1" applyAlignment="1" applyProtection="1">
      <alignment horizontal="center" vertical="center" shrinkToFit="1"/>
      <protection locked="0"/>
    </xf>
    <xf numFmtId="0" fontId="0" fillId="0" borderId="24" xfId="0" applyBorder="1" applyProtection="1">
      <protection locked="0"/>
    </xf>
    <xf numFmtId="0" fontId="22" fillId="0" borderId="109" xfId="73" applyFont="1" applyBorder="1" applyAlignment="1">
      <alignment horizontal="center"/>
    </xf>
    <xf numFmtId="0" fontId="22" fillId="0" borderId="0" xfId="73" applyFont="1" applyAlignment="1">
      <alignment horizontal="center" vertical="center"/>
    </xf>
    <xf numFmtId="170" fontId="22" fillId="4" borderId="127" xfId="73" applyNumberFormat="1" applyFont="1" applyFill="1" applyBorder="1" applyAlignment="1" applyProtection="1">
      <alignment horizontal="left" vertical="top"/>
      <protection locked="0"/>
    </xf>
    <xf numFmtId="0" fontId="22" fillId="0" borderId="112" xfId="73" applyFont="1" applyBorder="1" applyAlignment="1">
      <alignment horizontal="right" vertical="center" wrapText="1"/>
    </xf>
    <xf numFmtId="0" fontId="0" fillId="0" borderId="113" xfId="0" applyBorder="1"/>
    <xf numFmtId="0" fontId="14" fillId="4" borderId="127" xfId="26" applyFont="1" applyFill="1" applyBorder="1" applyAlignment="1" applyProtection="1">
      <alignment horizontal="center" vertical="center" wrapText="1"/>
      <protection locked="0"/>
    </xf>
    <xf numFmtId="0" fontId="22" fillId="0" borderId="1" xfId="73" applyFont="1" applyBorder="1" applyAlignment="1">
      <alignment horizontal="center" vertical="center" wrapText="1"/>
    </xf>
    <xf numFmtId="0" fontId="22" fillId="27" borderId="19" xfId="73" applyFont="1" applyFill="1" applyBorder="1" applyAlignment="1">
      <alignment horizontal="center" vertical="center"/>
    </xf>
    <xf numFmtId="0" fontId="68" fillId="45" borderId="105" xfId="0" applyFont="1" applyFill="1" applyBorder="1" applyAlignment="1">
      <alignment horizontal="left" vertical="center" indent="1"/>
    </xf>
    <xf numFmtId="0" fontId="0" fillId="0" borderId="99" xfId="0" applyBorder="1"/>
    <xf numFmtId="170" fontId="14" fillId="4" borderId="105" xfId="26" applyNumberFormat="1" applyFont="1" applyFill="1" applyBorder="1" applyAlignment="1" applyProtection="1">
      <alignment horizontal="center" vertical="center" shrinkToFit="1"/>
      <protection locked="0"/>
    </xf>
    <xf numFmtId="0" fontId="0" fillId="0" borderId="2" xfId="0" applyBorder="1" applyProtection="1">
      <protection locked="0"/>
    </xf>
    <xf numFmtId="0" fontId="22" fillId="0" borderId="12" xfId="73" applyFont="1" applyBorder="1" applyAlignment="1">
      <alignment horizontal="center" vertical="center"/>
    </xf>
    <xf numFmtId="170" fontId="111" fillId="0" borderId="93" xfId="73" applyNumberFormat="1" applyFont="1" applyBorder="1" applyAlignment="1">
      <alignment horizontal="center" vertical="center"/>
    </xf>
    <xf numFmtId="0" fontId="111" fillId="0" borderId="91" xfId="73" applyFont="1" applyBorder="1" applyAlignment="1">
      <alignment horizontal="center" vertical="center"/>
    </xf>
    <xf numFmtId="0" fontId="22" fillId="0" borderId="2" xfId="73" applyFont="1" applyBorder="1" applyAlignment="1">
      <alignment horizontal="center" vertical="center"/>
    </xf>
    <xf numFmtId="0" fontId="23" fillId="0" borderId="109" xfId="73" applyFont="1" applyBorder="1" applyAlignment="1">
      <alignment horizontal="center" vertical="center"/>
    </xf>
    <xf numFmtId="0" fontId="1" fillId="0" borderId="0" xfId="73" applyFont="1" applyAlignment="1">
      <alignment horizontal="center" vertical="center"/>
    </xf>
    <xf numFmtId="0" fontId="23" fillId="28" borderId="127" xfId="73" applyFont="1" applyFill="1" applyBorder="1" applyAlignment="1">
      <alignment horizontal="center" vertical="center"/>
    </xf>
    <xf numFmtId="10" fontId="119" fillId="6" borderId="127" xfId="73" applyNumberFormat="1" applyFont="1" applyFill="1" applyBorder="1" applyAlignment="1">
      <alignment horizontal="center" vertical="center"/>
    </xf>
    <xf numFmtId="0" fontId="68" fillId="6" borderId="0" xfId="73" applyFont="1" applyFill="1" applyAlignment="1">
      <alignment horizontal="center" vertical="center"/>
    </xf>
    <xf numFmtId="0" fontId="13" fillId="0" borderId="127" xfId="73" applyFont="1" applyBorder="1" applyAlignment="1">
      <alignment horizontal="center" vertical="center" wrapText="1"/>
    </xf>
    <xf numFmtId="170" fontId="87" fillId="6" borderId="58" xfId="73" applyNumberFormat="1" applyFont="1" applyFill="1" applyBorder="1" applyAlignment="1">
      <alignment horizontal="center" vertical="center"/>
    </xf>
    <xf numFmtId="170" fontId="14" fillId="4" borderId="127" xfId="26" applyNumberFormat="1" applyFont="1" applyFill="1" applyBorder="1" applyAlignment="1" applyProtection="1">
      <alignment horizontal="center" vertical="center" shrinkToFit="1"/>
      <protection locked="0"/>
    </xf>
    <xf numFmtId="0" fontId="22" fillId="0" borderId="127" xfId="73" applyFont="1" applyBorder="1" applyAlignment="1">
      <alignment vertical="center" wrapText="1"/>
    </xf>
    <xf numFmtId="0" fontId="14" fillId="4" borderId="111" xfId="26" applyFont="1" applyFill="1" applyBorder="1" applyAlignment="1" applyProtection="1">
      <alignment horizontal="center" vertical="center" wrapText="1"/>
      <protection locked="0"/>
    </xf>
    <xf numFmtId="0" fontId="0" fillId="0" borderId="110" xfId="0" applyBorder="1" applyProtection="1">
      <protection locked="0"/>
    </xf>
    <xf numFmtId="0" fontId="0" fillId="0" borderId="5" xfId="0" applyBorder="1" applyProtection="1">
      <protection locked="0"/>
    </xf>
    <xf numFmtId="0" fontId="23" fillId="0" borderId="92" xfId="73" applyFont="1" applyBorder="1" applyAlignment="1">
      <alignment horizontal="center" vertical="center" wrapText="1"/>
    </xf>
    <xf numFmtId="0" fontId="22" fillId="32" borderId="114" xfId="73" applyFont="1" applyFill="1" applyBorder="1" applyAlignment="1">
      <alignment horizontal="left" vertical="center" wrapText="1"/>
    </xf>
    <xf numFmtId="0" fontId="14" fillId="25" borderId="112" xfId="0" applyFont="1" applyFill="1" applyBorder="1" applyAlignment="1">
      <alignment horizontal="right" vertical="center" indent="1"/>
    </xf>
    <xf numFmtId="0" fontId="22" fillId="0" borderId="115" xfId="73" applyFont="1" applyBorder="1" applyAlignment="1">
      <alignment horizontal="right" vertical="center" wrapText="1"/>
    </xf>
    <xf numFmtId="0" fontId="0" fillId="0" borderId="4" xfId="0" applyBorder="1"/>
    <xf numFmtId="0" fontId="0" fillId="0" borderId="35" xfId="0" applyBorder="1"/>
    <xf numFmtId="9" fontId="68" fillId="6" borderId="0" xfId="73" applyNumberFormat="1" applyFont="1" applyFill="1" applyAlignment="1">
      <alignment horizontal="center" vertical="center" wrapText="1"/>
    </xf>
    <xf numFmtId="0" fontId="14" fillId="0" borderId="105" xfId="0" applyFont="1" applyBorder="1" applyAlignment="1">
      <alignment horizontal="center" vertical="center" wrapText="1"/>
    </xf>
    <xf numFmtId="0" fontId="14" fillId="33" borderId="14" xfId="73" applyFont="1" applyFill="1" applyBorder="1" applyAlignment="1">
      <alignment horizontal="center" vertical="center" wrapText="1"/>
    </xf>
    <xf numFmtId="0" fontId="0" fillId="0" borderId="18" xfId="0" applyBorder="1"/>
    <xf numFmtId="49" fontId="14" fillId="4" borderId="112" xfId="73" applyNumberFormat="1" applyFont="1" applyFill="1" applyBorder="1" applyAlignment="1" applyProtection="1">
      <alignment horizontal="left" vertical="center" indent="1"/>
      <protection locked="0"/>
    </xf>
    <xf numFmtId="0" fontId="14" fillId="4" borderId="116" xfId="26" applyFont="1" applyFill="1" applyBorder="1" applyAlignment="1" applyProtection="1">
      <alignment horizontal="center" vertical="center" wrapText="1"/>
      <protection locked="0"/>
    </xf>
    <xf numFmtId="0" fontId="0" fillId="0" borderId="35" xfId="0" applyBorder="1" applyProtection="1">
      <protection locked="0"/>
    </xf>
    <xf numFmtId="6" fontId="14" fillId="26" borderId="114" xfId="0" applyNumberFormat="1" applyFont="1" applyFill="1" applyBorder="1" applyAlignment="1">
      <alignment horizontal="left" vertical="center" indent="1"/>
    </xf>
    <xf numFmtId="0" fontId="23" fillId="12" borderId="112" xfId="73" applyFont="1" applyFill="1" applyBorder="1" applyAlignment="1">
      <alignment horizontal="center" vertical="center"/>
    </xf>
    <xf numFmtId="0" fontId="14" fillId="0" borderId="0" xfId="73" applyFont="1" applyAlignment="1">
      <alignment horizontal="center" vertical="center" wrapText="1"/>
    </xf>
    <xf numFmtId="0" fontId="22" fillId="28" borderId="127" xfId="73" applyFont="1" applyFill="1" applyBorder="1" applyAlignment="1">
      <alignment horizontal="center" vertical="center"/>
    </xf>
    <xf numFmtId="0" fontId="23" fillId="6" borderId="15" xfId="73" applyFont="1" applyFill="1" applyBorder="1" applyAlignment="1">
      <alignment horizontal="center" vertical="center" wrapText="1"/>
    </xf>
    <xf numFmtId="0" fontId="10" fillId="0" borderId="119" xfId="4" applyBorder="1" applyAlignment="1" applyProtection="1">
      <alignment horizontal="center" vertical="center" wrapText="1"/>
    </xf>
    <xf numFmtId="0" fontId="12" fillId="0" borderId="14" xfId="73" applyFont="1" applyBorder="1" applyAlignment="1">
      <alignment horizontal="left" vertical="center" wrapText="1" indent="1"/>
    </xf>
    <xf numFmtId="0" fontId="12" fillId="0" borderId="21" xfId="0" applyFont="1" applyBorder="1"/>
    <xf numFmtId="0" fontId="12" fillId="0" borderId="107" xfId="0" applyFont="1" applyBorder="1"/>
    <xf numFmtId="0" fontId="12" fillId="0" borderId="113" xfId="0" applyFont="1" applyBorder="1"/>
    <xf numFmtId="0" fontId="12" fillId="0" borderId="90" xfId="0" applyFont="1" applyBorder="1"/>
    <xf numFmtId="0" fontId="12" fillId="0" borderId="150" xfId="0" applyFont="1" applyBorder="1"/>
    <xf numFmtId="0" fontId="22" fillId="6" borderId="127" xfId="73" applyFont="1" applyFill="1" applyBorder="1" applyAlignment="1">
      <alignment horizontal="center" vertical="center" wrapText="1"/>
    </xf>
    <xf numFmtId="0" fontId="15" fillId="0" borderId="103" xfId="0" applyFont="1" applyBorder="1" applyAlignment="1">
      <alignment horizontal="center" vertical="center" wrapText="1"/>
    </xf>
    <xf numFmtId="14" fontId="14" fillId="4" borderId="105" xfId="26" applyNumberFormat="1" applyFont="1" applyFill="1" applyBorder="1" applyAlignment="1" applyProtection="1">
      <alignment horizontal="center" vertical="center" shrinkToFit="1"/>
      <protection locked="0"/>
    </xf>
    <xf numFmtId="0" fontId="13" fillId="44" borderId="127" xfId="73" applyFont="1" applyFill="1" applyBorder="1" applyAlignment="1">
      <alignment horizontal="center" vertical="center" wrapText="1"/>
    </xf>
    <xf numFmtId="0" fontId="54" fillId="0" borderId="0" xfId="78" applyFont="1" applyAlignment="1">
      <alignment horizontal="center"/>
    </xf>
    <xf numFmtId="0" fontId="14" fillId="0" borderId="112" xfId="0" applyFont="1" applyBorder="1" applyAlignment="1">
      <alignment horizontal="left" vertical="center" wrapText="1"/>
    </xf>
    <xf numFmtId="0" fontId="22" fillId="0" borderId="112" xfId="73" applyFont="1" applyBorder="1" applyAlignment="1">
      <alignment horizontal="right" vertical="center"/>
    </xf>
    <xf numFmtId="0" fontId="14" fillId="60" borderId="14" xfId="73" applyFont="1" applyFill="1" applyBorder="1" applyAlignment="1">
      <alignment horizontal="center" vertical="center" wrapText="1"/>
    </xf>
    <xf numFmtId="0" fontId="22" fillId="0" borderId="14" xfId="73" applyFont="1" applyBorder="1" applyAlignment="1">
      <alignment horizontal="right" vertical="center" wrapText="1" indent="1"/>
    </xf>
    <xf numFmtId="0" fontId="14" fillId="0" borderId="112" xfId="0" applyFont="1" applyBorder="1" applyAlignment="1">
      <alignment horizontal="right" vertical="center" indent="1"/>
    </xf>
    <xf numFmtId="0" fontId="14" fillId="4" borderId="105" xfId="26" applyFont="1" applyFill="1" applyBorder="1" applyAlignment="1" applyProtection="1">
      <alignment horizontal="center" vertical="center" wrapText="1"/>
      <protection locked="0"/>
    </xf>
    <xf numFmtId="0" fontId="81" fillId="52" borderId="39" xfId="73" applyFont="1" applyFill="1" applyBorder="1" applyAlignment="1">
      <alignment horizontal="center" vertical="center" wrapText="1"/>
    </xf>
    <xf numFmtId="0" fontId="0" fillId="0" borderId="5" xfId="0" applyBorder="1"/>
    <xf numFmtId="0" fontId="22" fillId="6" borderId="58" xfId="73" applyFont="1" applyFill="1" applyBorder="1" applyAlignment="1">
      <alignment horizontal="center" vertical="center"/>
    </xf>
    <xf numFmtId="0" fontId="14" fillId="33" borderId="15" xfId="73" applyFont="1" applyFill="1" applyBorder="1" applyAlignment="1">
      <alignment horizontal="center" vertical="center" wrapText="1"/>
    </xf>
    <xf numFmtId="0" fontId="22" fillId="27" borderId="106" xfId="73" applyFont="1" applyFill="1" applyBorder="1" applyAlignment="1">
      <alignment horizontal="center" vertical="center"/>
    </xf>
    <xf numFmtId="0" fontId="0" fillId="0" borderId="67" xfId="0" applyBorder="1"/>
    <xf numFmtId="170" fontId="87" fillId="64" borderId="127" xfId="73" applyNumberFormat="1" applyFont="1" applyFill="1" applyBorder="1" applyAlignment="1">
      <alignment horizontal="center" vertical="center"/>
    </xf>
    <xf numFmtId="0" fontId="22" fillId="0" borderId="43" xfId="73" applyFont="1" applyBorder="1" applyAlignment="1">
      <alignment horizontal="center" vertical="center" wrapText="1"/>
    </xf>
    <xf numFmtId="0" fontId="22" fillId="0" borderId="127" xfId="78" applyFont="1" applyBorder="1" applyAlignment="1">
      <alignment horizontal="right" vertical="center"/>
    </xf>
    <xf numFmtId="0" fontId="22" fillId="0" borderId="103" xfId="73" applyFont="1" applyBorder="1" applyAlignment="1">
      <alignment horizontal="center" vertical="center"/>
    </xf>
    <xf numFmtId="0" fontId="23" fillId="0" borderId="127" xfId="78" applyFont="1" applyBorder="1" applyAlignment="1">
      <alignment horizontal="center" vertical="center" wrapText="1"/>
    </xf>
    <xf numFmtId="0" fontId="13" fillId="54" borderId="112" xfId="73" applyFont="1" applyFill="1" applyBorder="1" applyAlignment="1">
      <alignment horizontal="center" vertical="center"/>
    </xf>
    <xf numFmtId="0" fontId="81" fillId="59" borderId="14" xfId="73" applyFont="1" applyFill="1" applyBorder="1" applyAlignment="1">
      <alignment horizontal="left" vertical="center"/>
    </xf>
    <xf numFmtId="0" fontId="14" fillId="4" borderId="116" xfId="73" applyFont="1" applyFill="1" applyBorder="1" applyAlignment="1" applyProtection="1">
      <alignment horizontal="center" vertical="center" wrapText="1"/>
      <protection locked="0"/>
    </xf>
    <xf numFmtId="0" fontId="0" fillId="0" borderId="101" xfId="0" applyBorder="1" applyProtection="1">
      <protection locked="0"/>
    </xf>
    <xf numFmtId="0" fontId="0" fillId="0" borderId="102" xfId="0" applyBorder="1" applyProtection="1">
      <protection locked="0"/>
    </xf>
    <xf numFmtId="0" fontId="23" fillId="47" borderId="112" xfId="73" applyFont="1" applyFill="1" applyBorder="1" applyAlignment="1">
      <alignment horizontal="center" vertical="center"/>
    </xf>
    <xf numFmtId="0" fontId="22" fillId="6" borderId="127" xfId="73" applyFont="1" applyFill="1" applyBorder="1" applyAlignment="1">
      <alignment horizontal="center" vertical="center"/>
    </xf>
    <xf numFmtId="9" fontId="14" fillId="6" borderId="0" xfId="73" applyNumberFormat="1" applyFont="1" applyFill="1" applyAlignment="1">
      <alignment horizontal="center" vertical="center" wrapText="1"/>
    </xf>
    <xf numFmtId="0" fontId="14" fillId="4" borderId="127" xfId="26" applyFont="1" applyFill="1" applyBorder="1" applyAlignment="1" applyProtection="1">
      <alignment horizontal="center" vertical="center" shrinkToFit="1"/>
      <protection locked="0"/>
    </xf>
    <xf numFmtId="0" fontId="68" fillId="24" borderId="90" xfId="73" applyFont="1" applyFill="1" applyBorder="1" applyAlignment="1">
      <alignment horizontal="center" vertical="center" wrapText="1"/>
    </xf>
    <xf numFmtId="0" fontId="13" fillId="46" borderId="127" xfId="73" applyFont="1" applyFill="1" applyBorder="1" applyAlignment="1">
      <alignment horizontal="center" vertical="center" wrapText="1"/>
    </xf>
    <xf numFmtId="0" fontId="14" fillId="4" borderId="105" xfId="26" applyFont="1" applyFill="1" applyBorder="1" applyAlignment="1" applyProtection="1">
      <alignment horizontal="center" vertical="center" shrinkToFit="1"/>
      <protection locked="0"/>
    </xf>
    <xf numFmtId="10" fontId="25" fillId="6" borderId="127" xfId="73" applyNumberFormat="1" applyFont="1" applyFill="1" applyBorder="1" applyAlignment="1">
      <alignment horizontal="center" vertical="center"/>
    </xf>
    <xf numFmtId="0" fontId="13" fillId="55" borderId="127" xfId="73" applyFont="1" applyFill="1" applyBorder="1" applyAlignment="1">
      <alignment horizontal="center" vertical="center" wrapText="1"/>
    </xf>
    <xf numFmtId="10" fontId="25" fillId="0" borderId="127" xfId="73" applyNumberFormat="1" applyFont="1" applyBorder="1" applyAlignment="1">
      <alignment horizontal="center" vertical="center"/>
    </xf>
    <xf numFmtId="0" fontId="13" fillId="12" borderId="127" xfId="73" applyFont="1" applyFill="1" applyBorder="1" applyAlignment="1">
      <alignment horizontal="center" vertical="center" wrapText="1"/>
    </xf>
    <xf numFmtId="0" fontId="22" fillId="0" borderId="0" xfId="69" applyFont="1"/>
    <xf numFmtId="6" fontId="65" fillId="0" borderId="127" xfId="26" applyNumberFormat="1" applyFont="1" applyBorder="1" applyAlignment="1">
      <alignment horizontal="center" vertical="center" shrinkToFit="1"/>
    </xf>
    <xf numFmtId="0" fontId="34" fillId="6" borderId="0" xfId="50" applyFont="1" applyFill="1" applyAlignment="1">
      <alignment horizontal="center" vertical="center" wrapText="1"/>
    </xf>
    <xf numFmtId="0" fontId="34" fillId="6" borderId="90" xfId="50" applyFont="1" applyFill="1" applyBorder="1" applyAlignment="1">
      <alignment horizontal="center" vertical="center" wrapText="1"/>
    </xf>
    <xf numFmtId="0" fontId="14" fillId="0" borderId="127" xfId="26" applyFont="1" applyBorder="1" applyAlignment="1">
      <alignment horizontal="center" vertical="center"/>
    </xf>
    <xf numFmtId="0" fontId="45" fillId="6" borderId="0" xfId="26" applyFont="1" applyFill="1" applyAlignment="1">
      <alignment horizontal="left" vertical="center"/>
    </xf>
    <xf numFmtId="0" fontId="14" fillId="0" borderId="0" xfId="50" applyFont="1" applyAlignment="1">
      <alignment horizontal="left" vertical="center" wrapText="1"/>
    </xf>
    <xf numFmtId="0" fontId="14" fillId="4" borderId="127" xfId="50" applyFont="1" applyFill="1" applyBorder="1" applyAlignment="1" applyProtection="1">
      <alignment horizontal="left" vertical="center" wrapText="1"/>
      <protection locked="0"/>
    </xf>
    <xf numFmtId="6" fontId="14" fillId="0" borderId="127" xfId="26" applyNumberFormat="1" applyFont="1" applyBorder="1" applyAlignment="1">
      <alignment horizontal="center" vertical="center" shrinkToFit="1"/>
    </xf>
    <xf numFmtId="0" fontId="31" fillId="0" borderId="0" xfId="26" applyFont="1" applyAlignment="1">
      <alignment horizontal="center"/>
    </xf>
    <xf numFmtId="0" fontId="14" fillId="7" borderId="127" xfId="0" quotePrefix="1" applyFont="1" applyFill="1" applyBorder="1" applyAlignment="1">
      <alignment horizontal="left" vertical="center" wrapText="1"/>
    </xf>
    <xf numFmtId="6" fontId="14" fillId="6" borderId="127" xfId="26" applyNumberFormat="1" applyFont="1" applyFill="1" applyBorder="1" applyAlignment="1">
      <alignment horizontal="center" vertical="center" shrinkToFit="1"/>
    </xf>
    <xf numFmtId="0" fontId="45" fillId="0" borderId="12" xfId="26" applyFont="1" applyBorder="1" applyAlignment="1">
      <alignment horizontal="left" vertical="center"/>
    </xf>
    <xf numFmtId="0" fontId="0" fillId="0" borderId="118" xfId="0" applyBorder="1" applyAlignment="1">
      <alignment horizontal="left" vertical="center"/>
    </xf>
    <xf numFmtId="0" fontId="0" fillId="0" borderId="112" xfId="0" applyBorder="1" applyAlignment="1">
      <alignment horizontal="left" vertical="center" wrapText="1"/>
    </xf>
    <xf numFmtId="0" fontId="14" fillId="0" borderId="127" xfId="26" applyFont="1" applyBorder="1" applyAlignment="1">
      <alignment horizontal="left" vertical="center" wrapText="1" indent="1"/>
    </xf>
    <xf numFmtId="0" fontId="14" fillId="0" borderId="90" xfId="26" applyFont="1" applyBorder="1" applyAlignment="1">
      <alignment horizontal="center" vertical="center"/>
    </xf>
    <xf numFmtId="0" fontId="14" fillId="6" borderId="0" xfId="26" applyFont="1" applyFill="1"/>
    <xf numFmtId="0" fontId="78" fillId="0" borderId="119" xfId="0" applyFont="1" applyBorder="1" applyAlignment="1">
      <alignment horizontal="center"/>
    </xf>
    <xf numFmtId="0" fontId="14" fillId="0" borderId="120" xfId="26" applyFont="1" applyBorder="1" applyAlignment="1">
      <alignment horizontal="center" vertical="center"/>
    </xf>
    <xf numFmtId="0" fontId="34" fillId="0" borderId="0" xfId="26" applyFont="1" applyAlignment="1">
      <alignment horizontal="right" vertical="center" indent="1"/>
    </xf>
    <xf numFmtId="0" fontId="14" fillId="0" borderId="114" xfId="26" applyFont="1" applyBorder="1" applyAlignment="1">
      <alignment horizontal="center" vertical="center"/>
    </xf>
    <xf numFmtId="0" fontId="34" fillId="6" borderId="90" xfId="26" applyFont="1" applyFill="1" applyBorder="1" applyAlignment="1">
      <alignment horizontal="center" vertical="center"/>
    </xf>
    <xf numFmtId="0" fontId="14" fillId="0" borderId="12" xfId="50" applyFont="1" applyBorder="1" applyAlignment="1">
      <alignment horizontal="center" vertical="top" wrapText="1"/>
    </xf>
    <xf numFmtId="0" fontId="34" fillId="0" borderId="0" xfId="26" applyFont="1" applyAlignment="1">
      <alignment horizontal="right" vertical="center" indent="2"/>
    </xf>
    <xf numFmtId="0" fontId="34" fillId="6" borderId="90" xfId="26" applyFont="1" applyFill="1" applyBorder="1" applyAlignment="1">
      <alignment horizontal="center" vertical="center" wrapText="1"/>
    </xf>
    <xf numFmtId="6" fontId="14" fillId="21" borderId="127" xfId="26" applyNumberFormat="1" applyFont="1" applyFill="1" applyBorder="1" applyAlignment="1">
      <alignment horizontal="center" vertical="center" shrinkToFit="1"/>
    </xf>
    <xf numFmtId="9" fontId="14" fillId="4" borderId="127" xfId="55" applyFont="1" applyFill="1" applyBorder="1" applyAlignment="1" applyProtection="1">
      <alignment horizontal="left" vertical="center" indent="1" shrinkToFit="1"/>
      <protection locked="0"/>
    </xf>
    <xf numFmtId="164" fontId="78" fillId="0" borderId="117" xfId="192" applyNumberFormat="1" applyFont="1" applyBorder="1" applyAlignment="1">
      <alignment horizontal="left" vertical="center"/>
    </xf>
    <xf numFmtId="0" fontId="0" fillId="0" borderId="107" xfId="0" applyBorder="1"/>
    <xf numFmtId="0" fontId="45" fillId="6" borderId="127" xfId="26" applyFont="1" applyFill="1" applyBorder="1" applyAlignment="1">
      <alignment horizontal="left" vertical="center"/>
    </xf>
    <xf numFmtId="0" fontId="34" fillId="6" borderId="24" xfId="50" applyFont="1" applyFill="1" applyBorder="1" applyAlignment="1">
      <alignment horizontal="center" vertical="center" wrapText="1"/>
    </xf>
    <xf numFmtId="0" fontId="34" fillId="0" borderId="91" xfId="26" applyFont="1" applyBorder="1" applyAlignment="1">
      <alignment horizontal="right" vertical="center" indent="1"/>
    </xf>
    <xf numFmtId="0" fontId="14" fillId="6" borderId="127" xfId="26" applyFont="1" applyFill="1" applyBorder="1" applyAlignment="1">
      <alignment horizontal="center" vertical="center"/>
    </xf>
    <xf numFmtId="0" fontId="122" fillId="0" borderId="0" xfId="14" applyFont="1" applyAlignment="1">
      <alignment horizontal="center" vertical="center"/>
    </xf>
    <xf numFmtId="0" fontId="14" fillId="6" borderId="0" xfId="26" applyFont="1" applyFill="1" applyAlignment="1">
      <alignment horizontal="left" vertical="center"/>
    </xf>
    <xf numFmtId="3" fontId="14" fillId="4" borderId="92" xfId="0" applyNumberFormat="1" applyFont="1" applyFill="1" applyBorder="1" applyAlignment="1" applyProtection="1">
      <alignment horizontal="center" vertical="center"/>
      <protection locked="0"/>
    </xf>
    <xf numFmtId="6" fontId="54" fillId="0" borderId="0" xfId="0" applyNumberFormat="1" applyFont="1" applyAlignment="1">
      <alignment horizontal="center" vertical="center"/>
    </xf>
    <xf numFmtId="3" fontId="14" fillId="4" borderId="127" xfId="0" applyNumberFormat="1" applyFont="1" applyFill="1" applyBorder="1" applyAlignment="1" applyProtection="1">
      <alignment horizontal="center" vertical="center"/>
      <protection locked="0"/>
    </xf>
    <xf numFmtId="170" fontId="14" fillId="6" borderId="92" xfId="0" applyNumberFormat="1" applyFont="1" applyFill="1" applyBorder="1" applyAlignment="1">
      <alignment horizontal="center" vertical="center"/>
    </xf>
    <xf numFmtId="0" fontId="34" fillId="6" borderId="127" xfId="0" applyFont="1" applyFill="1" applyBorder="1" applyAlignment="1">
      <alignment horizontal="left" vertical="center"/>
    </xf>
    <xf numFmtId="0" fontId="14" fillId="6" borderId="127" xfId="0" applyFont="1" applyFill="1" applyBorder="1" applyAlignment="1">
      <alignment vertical="center"/>
    </xf>
    <xf numFmtId="0" fontId="14" fillId="6" borderId="127" xfId="0" applyFont="1" applyFill="1" applyBorder="1" applyAlignment="1">
      <alignment horizontal="left" vertical="center" wrapText="1"/>
    </xf>
    <xf numFmtId="38" fontId="14" fillId="6" borderId="127" xfId="0" applyNumberFormat="1" applyFont="1" applyFill="1" applyBorder="1" applyAlignment="1">
      <alignment horizontal="center" vertical="center"/>
    </xf>
    <xf numFmtId="0" fontId="34" fillId="6" borderId="127" xfId="0" applyFont="1" applyFill="1" applyBorder="1" applyAlignment="1">
      <alignment horizontal="center" vertical="center" wrapText="1"/>
    </xf>
    <xf numFmtId="170" fontId="14" fillId="6" borderId="127" xfId="0" applyNumberFormat="1" applyFont="1" applyFill="1" applyBorder="1" applyAlignment="1">
      <alignment horizontal="center" vertical="center" wrapText="1"/>
    </xf>
    <xf numFmtId="0" fontId="14" fillId="6" borderId="92" xfId="0" applyFont="1" applyFill="1" applyBorder="1" applyAlignment="1">
      <alignment horizontal="left" vertical="center" wrapText="1"/>
    </xf>
    <xf numFmtId="169" fontId="54" fillId="0" borderId="0" xfId="0" applyNumberFormat="1" applyFont="1" applyAlignment="1">
      <alignment horizontal="center" vertical="center"/>
    </xf>
    <xf numFmtId="3" fontId="34" fillId="6" borderId="127" xfId="0" applyNumberFormat="1" applyFont="1" applyFill="1" applyBorder="1" applyAlignment="1">
      <alignment horizontal="center" vertical="center"/>
    </xf>
    <xf numFmtId="0" fontId="14" fillId="6" borderId="127" xfId="0" applyFont="1" applyFill="1" applyBorder="1" applyAlignment="1">
      <alignment horizontal="left" vertical="center"/>
    </xf>
    <xf numFmtId="170" fontId="14" fillId="0" borderId="114" xfId="0" applyNumberFormat="1" applyFont="1" applyBorder="1" applyAlignment="1">
      <alignment horizontal="center" vertical="center"/>
    </xf>
    <xf numFmtId="0" fontId="114" fillId="6" borderId="0" xfId="0" applyFont="1" applyFill="1" applyAlignment="1">
      <alignment horizontal="left" vertical="center"/>
    </xf>
    <xf numFmtId="170" fontId="14" fillId="6" borderId="127" xfId="0" applyNumberFormat="1" applyFont="1" applyFill="1" applyBorder="1" applyAlignment="1">
      <alignment horizontal="left" vertical="center" wrapText="1"/>
    </xf>
    <xf numFmtId="6" fontId="66" fillId="0" borderId="127" xfId="0" applyNumberFormat="1" applyFont="1" applyBorder="1" applyAlignment="1">
      <alignment horizontal="center" vertical="center" shrinkToFit="1"/>
    </xf>
    <xf numFmtId="0" fontId="16" fillId="0" borderId="127" xfId="0" applyFont="1" applyBorder="1" applyAlignment="1">
      <alignment horizontal="left" vertical="center" wrapText="1"/>
    </xf>
    <xf numFmtId="0" fontId="34" fillId="6" borderId="114" xfId="0" applyFont="1" applyFill="1" applyBorder="1" applyAlignment="1">
      <alignment horizontal="left" vertical="center" wrapText="1"/>
    </xf>
    <xf numFmtId="0" fontId="16" fillId="0" borderId="0" xfId="0" applyFont="1" applyAlignment="1">
      <alignment horizontal="left" vertical="center" wrapText="1"/>
    </xf>
    <xf numFmtId="0" fontId="34" fillId="0" borderId="127" xfId="0" applyFont="1" applyBorder="1" applyAlignment="1">
      <alignment horizontal="left" vertical="center"/>
    </xf>
    <xf numFmtId="0" fontId="62" fillId="0" borderId="0" xfId="0" applyFont="1" applyAlignment="1">
      <alignment horizontal="left" vertical="center" wrapText="1"/>
    </xf>
    <xf numFmtId="170" fontId="14" fillId="0" borderId="127" xfId="0" applyNumberFormat="1" applyFont="1" applyBorder="1" applyAlignment="1">
      <alignment horizontal="center" vertical="center" wrapText="1"/>
    </xf>
    <xf numFmtId="0" fontId="14" fillId="4" borderId="127" xfId="0" applyFont="1" applyFill="1" applyBorder="1" applyAlignment="1" applyProtection="1">
      <alignment horizontal="center" vertical="center" wrapText="1"/>
      <protection locked="0"/>
    </xf>
    <xf numFmtId="168" fontId="18" fillId="6" borderId="0" xfId="0" applyNumberFormat="1" applyFont="1" applyFill="1" applyAlignment="1">
      <alignment horizontal="left" vertical="center"/>
    </xf>
    <xf numFmtId="0" fontId="14" fillId="6" borderId="127" xfId="0" applyFont="1" applyFill="1" applyBorder="1" applyAlignment="1">
      <alignment horizontal="right" vertical="center" wrapText="1" indent="1"/>
    </xf>
    <xf numFmtId="0" fontId="34" fillId="0" borderId="114" xfId="69" applyFont="1" applyBorder="1" applyAlignment="1">
      <alignment horizontal="center" vertical="center"/>
    </xf>
    <xf numFmtId="0" fontId="14" fillId="0" borderId="0" xfId="0" applyFont="1" applyAlignment="1">
      <alignment horizontal="right" vertical="center" wrapText="1" indent="1"/>
    </xf>
    <xf numFmtId="6" fontId="14" fillId="0" borderId="127" xfId="53" applyNumberFormat="1" applyFont="1" applyBorder="1" applyAlignment="1">
      <alignment horizontal="left" vertical="center" indent="1"/>
    </xf>
    <xf numFmtId="6" fontId="34" fillId="0" borderId="127" xfId="53" applyNumberFormat="1" applyFont="1" applyBorder="1" applyAlignment="1">
      <alignment horizontal="left" vertical="center" indent="1"/>
    </xf>
    <xf numFmtId="170" fontId="14" fillId="0" borderId="91" xfId="53" applyNumberFormat="1" applyFont="1" applyBorder="1" applyAlignment="1">
      <alignment horizontal="left" vertical="center" indent="1"/>
    </xf>
    <xf numFmtId="175" fontId="14" fillId="0" borderId="127" xfId="0" applyNumberFormat="1" applyFont="1" applyBorder="1" applyAlignment="1">
      <alignment horizontal="center" vertical="center"/>
    </xf>
    <xf numFmtId="0" fontId="22" fillId="0" borderId="127" xfId="69" applyFont="1" applyBorder="1" applyAlignment="1">
      <alignment horizontal="center" vertical="center"/>
    </xf>
    <xf numFmtId="0" fontId="34" fillId="0" borderId="114" xfId="69" applyFont="1" applyBorder="1" applyAlignment="1">
      <alignment horizontal="right" vertical="center" indent="1"/>
    </xf>
    <xf numFmtId="0" fontId="34" fillId="0" borderId="0" xfId="0" applyFont="1" applyAlignment="1">
      <alignment horizontal="right" vertical="center" wrapText="1" indent="1"/>
    </xf>
    <xf numFmtId="0" fontId="57" fillId="6" borderId="90" xfId="69" applyFont="1" applyFill="1" applyBorder="1" applyAlignment="1">
      <alignment vertical="center"/>
    </xf>
    <xf numFmtId="6" fontId="14" fillId="0" borderId="88" xfId="69" applyNumberFormat="1" applyFont="1" applyBorder="1" applyAlignment="1">
      <alignment horizontal="left" vertical="center" wrapText="1" indent="1"/>
    </xf>
    <xf numFmtId="0" fontId="14" fillId="6" borderId="127" xfId="0" applyFont="1" applyFill="1" applyBorder="1" applyAlignment="1">
      <alignment horizontal="center" vertical="center" wrapText="1"/>
    </xf>
    <xf numFmtId="0" fontId="14" fillId="0" borderId="114" xfId="69" applyFont="1" applyBorder="1" applyAlignment="1">
      <alignment horizontal="center" vertical="center" wrapText="1"/>
    </xf>
    <xf numFmtId="170" fontId="14" fillId="4" borderId="127" xfId="0" applyNumberFormat="1" applyFont="1" applyFill="1" applyBorder="1" applyAlignment="1" applyProtection="1">
      <alignment horizontal="center" vertical="center"/>
      <protection locked="0"/>
    </xf>
    <xf numFmtId="0" fontId="74" fillId="6" borderId="90" xfId="4" applyFont="1" applyFill="1" applyBorder="1" applyAlignment="1" applyProtection="1">
      <alignment horizontal="left" vertical="center"/>
    </xf>
    <xf numFmtId="0" fontId="31" fillId="0" borderId="0" xfId="69" applyFont="1" applyAlignment="1">
      <alignment horizontal="center" vertical="center"/>
    </xf>
    <xf numFmtId="0" fontId="34" fillId="0" borderId="87" xfId="69" applyFont="1" applyBorder="1" applyAlignment="1">
      <alignment horizontal="center" vertical="center"/>
    </xf>
    <xf numFmtId="0" fontId="14" fillId="0" borderId="127" xfId="69" applyFont="1" applyBorder="1" applyAlignment="1">
      <alignment horizontal="center" vertical="center"/>
    </xf>
    <xf numFmtId="170" fontId="22" fillId="0" borderId="127" xfId="69" applyNumberFormat="1" applyFont="1" applyBorder="1" applyAlignment="1">
      <alignment horizontal="center" vertical="center"/>
    </xf>
    <xf numFmtId="6" fontId="14" fillId="0" borderId="114" xfId="69" applyNumberFormat="1" applyFont="1" applyBorder="1" applyAlignment="1">
      <alignment horizontal="left" vertical="center" indent="1"/>
    </xf>
    <xf numFmtId="6" fontId="14" fillId="0" borderId="92" xfId="53" applyNumberFormat="1" applyFont="1" applyBorder="1" applyAlignment="1">
      <alignment horizontal="left" vertical="center" indent="1"/>
    </xf>
    <xf numFmtId="0" fontId="14" fillId="0" borderId="0" xfId="69" applyFont="1" applyAlignment="1">
      <alignment vertical="center" wrapText="1"/>
    </xf>
    <xf numFmtId="0" fontId="14" fillId="6" borderId="129" xfId="0" applyFont="1" applyFill="1" applyBorder="1" applyAlignment="1">
      <alignment horizontal="center" vertical="center" wrapText="1"/>
    </xf>
    <xf numFmtId="0" fontId="14" fillId="0" borderId="150" xfId="69" applyFont="1" applyBorder="1" applyAlignment="1">
      <alignment horizontal="center" vertical="center" wrapText="1"/>
    </xf>
    <xf numFmtId="0" fontId="14" fillId="0" borderId="92" xfId="0" applyFont="1" applyBorder="1" applyAlignment="1">
      <alignment horizontal="right" vertical="center" indent="1"/>
    </xf>
    <xf numFmtId="0" fontId="14" fillId="0" borderId="92" xfId="69" applyFont="1" applyBorder="1" applyAlignment="1">
      <alignment horizontal="left" vertical="center" wrapText="1" indent="1"/>
    </xf>
    <xf numFmtId="0" fontId="22" fillId="0" borderId="0" xfId="69" applyFont="1" applyAlignment="1">
      <alignment horizontal="left" vertical="center" wrapText="1"/>
    </xf>
    <xf numFmtId="0" fontId="22" fillId="4" borderId="127" xfId="69" applyFont="1" applyFill="1" applyBorder="1" applyAlignment="1" applyProtection="1">
      <alignment horizontal="left" vertical="top" wrapText="1"/>
      <protection locked="0"/>
    </xf>
    <xf numFmtId="0" fontId="14" fillId="0" borderId="89" xfId="0" applyFont="1" applyBorder="1" applyAlignment="1">
      <alignment horizontal="right" vertical="center" wrapText="1" indent="1"/>
    </xf>
    <xf numFmtId="0" fontId="22" fillId="0" borderId="0" xfId="69" applyFont="1" applyAlignment="1">
      <alignment horizontal="left" vertical="center"/>
    </xf>
    <xf numFmtId="0" fontId="14" fillId="4" borderId="127" xfId="0" applyFont="1" applyFill="1" applyBorder="1" applyAlignment="1" applyProtection="1">
      <alignment horizontal="left" vertical="center" indent="1"/>
      <protection locked="0"/>
    </xf>
    <xf numFmtId="0" fontId="14" fillId="0" borderId="114" xfId="69" applyFont="1" applyBorder="1" applyAlignment="1">
      <alignment horizontal="center" vertical="center"/>
    </xf>
    <xf numFmtId="6" fontId="14" fillId="0" borderId="127" xfId="69" applyNumberFormat="1" applyFont="1" applyBorder="1" applyAlignment="1">
      <alignment horizontal="left" vertical="center" indent="1"/>
    </xf>
    <xf numFmtId="0" fontId="14" fillId="0" borderId="127" xfId="0" applyFont="1" applyBorder="1" applyAlignment="1">
      <alignment vertical="center" wrapText="1"/>
    </xf>
    <xf numFmtId="6" fontId="34" fillId="0" borderId="92" xfId="53" applyNumberFormat="1" applyFont="1" applyBorder="1" applyAlignment="1">
      <alignment horizontal="left" vertical="center" indent="1"/>
    </xf>
    <xf numFmtId="6" fontId="14" fillId="6" borderId="91" xfId="69" applyNumberFormat="1" applyFont="1" applyFill="1" applyBorder="1" applyAlignment="1">
      <alignment horizontal="left" vertical="center" indent="1"/>
    </xf>
    <xf numFmtId="170" fontId="14" fillId="0" borderId="127" xfId="0" applyNumberFormat="1" applyFont="1" applyBorder="1" applyAlignment="1">
      <alignment horizontal="left" vertical="center" indent="1"/>
    </xf>
    <xf numFmtId="0" fontId="14" fillId="0" borderId="120" xfId="69" applyFont="1" applyBorder="1" applyAlignment="1">
      <alignment horizontal="left" vertical="center" wrapText="1" indent="1"/>
    </xf>
    <xf numFmtId="0" fontId="23" fillId="0" borderId="0" xfId="0" applyFont="1" applyAlignment="1">
      <alignment horizontal="left" vertical="center"/>
    </xf>
    <xf numFmtId="0" fontId="34" fillId="0" borderId="127" xfId="0" applyFont="1" applyBorder="1" applyAlignment="1">
      <alignment horizontal="right" vertical="center" indent="1"/>
    </xf>
    <xf numFmtId="0" fontId="22" fillId="0" borderId="0" xfId="69" applyFont="1" applyAlignment="1">
      <alignment horizontal="center" vertical="center" wrapText="1"/>
    </xf>
    <xf numFmtId="0" fontId="34" fillId="0" borderId="92" xfId="0" applyFont="1" applyBorder="1" applyAlignment="1">
      <alignment horizontal="left" vertical="center" wrapText="1"/>
    </xf>
    <xf numFmtId="0" fontId="14" fillId="0" borderId="120" xfId="69" applyFont="1" applyBorder="1" applyAlignment="1">
      <alignment horizontal="center" vertical="center" wrapText="1"/>
    </xf>
    <xf numFmtId="6" fontId="16" fillId="0" borderId="127" xfId="0" applyNumberFormat="1" applyFont="1" applyBorder="1" applyAlignment="1">
      <alignment horizontal="center" vertical="center" wrapText="1"/>
    </xf>
    <xf numFmtId="0" fontId="14" fillId="0" borderId="92" xfId="0" applyFont="1" applyBorder="1" applyAlignment="1">
      <alignment horizontal="center" vertical="center" wrapText="1"/>
    </xf>
    <xf numFmtId="0" fontId="14" fillId="0" borderId="114" xfId="69" applyFont="1" applyBorder="1" applyAlignment="1">
      <alignment horizontal="left" vertical="center" indent="1"/>
    </xf>
    <xf numFmtId="6" fontId="14" fillId="0" borderId="127" xfId="0" applyNumberFormat="1" applyFont="1" applyBorder="1" applyAlignment="1">
      <alignment horizontal="left" vertical="center" wrapText="1" indent="1"/>
    </xf>
    <xf numFmtId="0" fontId="14" fillId="4" borderId="114" xfId="0" applyFont="1" applyFill="1" applyBorder="1" applyAlignment="1" applyProtection="1">
      <alignment horizontal="right" vertical="center" indent="1"/>
      <protection locked="0"/>
    </xf>
    <xf numFmtId="6" fontId="14" fillId="0" borderId="150" xfId="70" applyNumberFormat="1" applyFont="1" applyBorder="1" applyAlignment="1">
      <alignment horizontal="left" vertical="center" indent="1"/>
    </xf>
    <xf numFmtId="170" fontId="14" fillId="4" borderId="127" xfId="53" applyNumberFormat="1" applyFont="1" applyFill="1" applyBorder="1" applyAlignment="1" applyProtection="1">
      <alignment horizontal="left" vertical="center" indent="1"/>
      <protection locked="0"/>
    </xf>
    <xf numFmtId="0" fontId="14" fillId="0" borderId="92" xfId="69" applyFont="1" applyBorder="1" applyAlignment="1">
      <alignment horizontal="left" vertical="center" indent="1"/>
    </xf>
    <xf numFmtId="6" fontId="14" fillId="0" borderId="91" xfId="69" applyNumberFormat="1" applyFont="1" applyBorder="1" applyAlignment="1">
      <alignment horizontal="left" vertical="center" indent="1"/>
    </xf>
    <xf numFmtId="0" fontId="14" fillId="0" borderId="114" xfId="0" applyFont="1" applyBorder="1" applyAlignment="1">
      <alignment horizontal="center" vertical="center"/>
    </xf>
    <xf numFmtId="6" fontId="16" fillId="0" borderId="127" xfId="53" applyNumberFormat="1" applyFont="1" applyBorder="1" applyAlignment="1">
      <alignment vertical="center"/>
    </xf>
    <xf numFmtId="0" fontId="101" fillId="6" borderId="90" xfId="69" applyFont="1" applyFill="1" applyBorder="1" applyAlignment="1">
      <alignment horizontal="left" vertical="center"/>
    </xf>
    <xf numFmtId="0" fontId="14" fillId="42" borderId="93" xfId="26" applyFont="1" applyFill="1" applyBorder="1" applyAlignment="1">
      <alignment horizontal="center" vertical="center" wrapText="1"/>
    </xf>
    <xf numFmtId="38" fontId="9" fillId="4" borderId="0" xfId="26" applyNumberFormat="1" applyFont="1" applyFill="1" applyAlignment="1" applyProtection="1">
      <alignment horizontal="center" vertical="center" shrinkToFit="1"/>
      <protection locked="0"/>
    </xf>
    <xf numFmtId="38" fontId="9" fillId="0" borderId="0" xfId="26" applyNumberFormat="1" applyFont="1" applyAlignment="1">
      <alignment horizontal="center" vertical="center"/>
    </xf>
    <xf numFmtId="38" fontId="19" fillId="0" borderId="0" xfId="26" applyNumberFormat="1" applyFont="1" applyAlignment="1">
      <alignment horizontal="center" vertical="center"/>
    </xf>
    <xf numFmtId="38" fontId="9" fillId="0" borderId="93" xfId="26" applyNumberFormat="1" applyFont="1" applyBorder="1" applyAlignment="1">
      <alignment horizontal="center" vertical="center"/>
    </xf>
    <xf numFmtId="38" fontId="9" fillId="0" borderId="0" xfId="26" applyNumberFormat="1" applyFont="1" applyAlignment="1">
      <alignment horizontal="center"/>
    </xf>
    <xf numFmtId="40" fontId="97" fillId="6" borderId="127" xfId="26" applyNumberFormat="1" applyFont="1" applyFill="1" applyBorder="1" applyAlignment="1">
      <alignment horizontal="center" vertical="center"/>
    </xf>
    <xf numFmtId="38" fontId="19" fillId="0" borderId="0" xfId="26" applyNumberFormat="1" applyFont="1" applyAlignment="1">
      <alignment horizontal="center" vertical="center" shrinkToFit="1"/>
    </xf>
    <xf numFmtId="38" fontId="19" fillId="4" borderId="0" xfId="26" applyNumberFormat="1" applyFont="1" applyFill="1" applyAlignment="1" applyProtection="1">
      <alignment horizontal="center" vertical="center"/>
      <protection locked="0"/>
    </xf>
    <xf numFmtId="38" fontId="19" fillId="0" borderId="87" xfId="26" applyNumberFormat="1" applyFont="1" applyBorder="1" applyAlignment="1">
      <alignment horizontal="center" vertical="center"/>
    </xf>
    <xf numFmtId="38" fontId="9" fillId="0" borderId="0" xfId="3" applyNumberFormat="1" applyFont="1" applyAlignment="1">
      <alignment horizontal="center" vertical="center"/>
    </xf>
    <xf numFmtId="38" fontId="9" fillId="0" borderId="90" xfId="3" applyNumberFormat="1" applyFont="1" applyBorder="1" applyAlignment="1">
      <alignment horizontal="center" vertical="center"/>
    </xf>
    <xf numFmtId="38" fontId="9" fillId="6" borderId="0" xfId="26" applyNumberFormat="1" applyFont="1" applyFill="1" applyAlignment="1">
      <alignment horizontal="center" vertical="center"/>
    </xf>
    <xf numFmtId="38" fontId="9" fillId="0" borderId="27" xfId="26" applyNumberFormat="1" applyFont="1" applyBorder="1" applyAlignment="1">
      <alignment horizontal="center" vertical="center"/>
    </xf>
    <xf numFmtId="0" fontId="0" fillId="0" borderId="27" xfId="0" applyBorder="1"/>
    <xf numFmtId="38" fontId="9" fillId="6" borderId="87" xfId="26" applyNumberFormat="1" applyFont="1" applyFill="1" applyBorder="1" applyAlignment="1">
      <alignment horizontal="center" vertical="center"/>
    </xf>
    <xf numFmtId="38" fontId="9" fillId="0" borderId="0" xfId="55" applyNumberFormat="1" applyFont="1" applyAlignment="1">
      <alignment horizontal="center" vertical="center"/>
    </xf>
    <xf numFmtId="0" fontId="14" fillId="42" borderId="121" xfId="26" applyFont="1" applyFill="1" applyBorder="1" applyAlignment="1">
      <alignment horizontal="center" vertical="center" wrapText="1"/>
    </xf>
    <xf numFmtId="0" fontId="0" fillId="0" borderId="121" xfId="0" applyBorder="1"/>
    <xf numFmtId="38" fontId="9" fillId="4" borderId="90" xfId="26" applyNumberFormat="1" applyFont="1" applyFill="1" applyBorder="1" applyAlignment="1" applyProtection="1">
      <alignment horizontal="center" vertical="center" shrinkToFit="1"/>
      <protection locked="0"/>
    </xf>
    <xf numFmtId="38" fontId="19" fillId="6" borderId="9" xfId="26" applyNumberFormat="1" applyFont="1" applyFill="1" applyBorder="1" applyAlignment="1">
      <alignment horizontal="center" vertical="center"/>
    </xf>
    <xf numFmtId="0" fontId="0" fillId="0" borderId="9" xfId="0" applyBorder="1"/>
    <xf numFmtId="38" fontId="9" fillId="0" borderId="87" xfId="26" applyNumberFormat="1" applyFont="1" applyBorder="1" applyAlignment="1">
      <alignment horizontal="center" vertical="center"/>
    </xf>
    <xf numFmtId="0" fontId="14" fillId="42" borderId="87" xfId="26" applyFont="1" applyFill="1" applyBorder="1" applyAlignment="1">
      <alignment horizontal="center" vertical="center" wrapText="1"/>
    </xf>
    <xf numFmtId="37" fontId="9" fillId="0" borderId="12" xfId="26" applyNumberFormat="1" applyFont="1" applyBorder="1" applyAlignment="1">
      <alignment horizontal="right" vertical="center" indent="1"/>
    </xf>
    <xf numFmtId="37" fontId="9" fillId="4" borderId="24" xfId="26" applyNumberFormat="1" applyFont="1" applyFill="1" applyBorder="1" applyAlignment="1" applyProtection="1">
      <alignment horizontal="right" vertical="center" indent="1"/>
      <protection locked="0"/>
    </xf>
    <xf numFmtId="37" fontId="119" fillId="0" borderId="125" xfId="26" applyNumberFormat="1" applyFont="1" applyBorder="1" applyAlignment="1">
      <alignment horizontal="right" vertical="center" indent="1"/>
    </xf>
    <xf numFmtId="0" fontId="0" fillId="0" borderId="28" xfId="0" applyBorder="1"/>
    <xf numFmtId="38" fontId="19" fillId="0" borderId="27" xfId="26" applyNumberFormat="1" applyFont="1" applyBorder="1" applyAlignment="1">
      <alignment horizontal="center" vertical="center"/>
    </xf>
    <xf numFmtId="38" fontId="9" fillId="0" borderId="0" xfId="53" applyNumberFormat="1" applyFont="1" applyAlignment="1">
      <alignment horizontal="center" vertical="center"/>
    </xf>
    <xf numFmtId="38" fontId="9" fillId="0" borderId="121" xfId="26" applyNumberFormat="1" applyFont="1" applyBorder="1" applyAlignment="1">
      <alignment horizontal="center" vertical="center"/>
    </xf>
    <xf numFmtId="37" fontId="9" fillId="0" borderId="24" xfId="26" applyNumberFormat="1" applyFont="1" applyBorder="1" applyAlignment="1">
      <alignment horizontal="right" vertical="center" wrapText="1" indent="1"/>
    </xf>
    <xf numFmtId="0" fontId="9" fillId="0" borderId="0" xfId="26" applyFont="1"/>
    <xf numFmtId="37" fontId="119" fillId="0" borderId="127" xfId="26" applyNumberFormat="1" applyFont="1" applyBorder="1" applyAlignment="1">
      <alignment horizontal="right" vertical="center" wrapText="1" indent="1"/>
    </xf>
    <xf numFmtId="38" fontId="9" fillId="0" borderId="90" xfId="26" applyNumberFormat="1" applyFont="1" applyBorder="1" applyAlignment="1">
      <alignment horizontal="center" vertical="center"/>
    </xf>
    <xf numFmtId="38" fontId="9" fillId="0" borderId="43" xfId="26" applyNumberFormat="1" applyFont="1" applyBorder="1" applyAlignment="1">
      <alignment horizontal="center" vertical="center"/>
    </xf>
    <xf numFmtId="38" fontId="9" fillId="4" borderId="24" xfId="26" applyNumberFormat="1" applyFont="1" applyFill="1" applyBorder="1" applyAlignment="1" applyProtection="1">
      <alignment horizontal="center" vertical="center" shrinkToFit="1"/>
      <protection locked="0"/>
    </xf>
    <xf numFmtId="0" fontId="14" fillId="42" borderId="12" xfId="26" applyFont="1" applyFill="1" applyBorder="1" applyAlignment="1">
      <alignment horizontal="center" vertical="center" wrapText="1"/>
    </xf>
    <xf numFmtId="38" fontId="9" fillId="0" borderId="9" xfId="26" applyNumberFormat="1" applyFont="1" applyBorder="1" applyAlignment="1">
      <alignment horizontal="center" vertical="center"/>
    </xf>
    <xf numFmtId="38" fontId="9" fillId="0" borderId="79" xfId="26" applyNumberFormat="1" applyFont="1" applyBorder="1" applyAlignment="1">
      <alignment horizontal="center" vertical="center"/>
    </xf>
    <xf numFmtId="0" fontId="0" fillId="0" borderId="79" xfId="0" applyBorder="1"/>
    <xf numFmtId="38" fontId="9" fillId="4" borderId="75" xfId="26" applyNumberFormat="1" applyFont="1" applyFill="1" applyBorder="1" applyAlignment="1" applyProtection="1">
      <alignment horizontal="center" vertical="center" shrinkToFit="1"/>
      <protection locked="0"/>
    </xf>
    <xf numFmtId="0" fontId="0" fillId="0" borderId="75" xfId="0" applyBorder="1" applyProtection="1">
      <protection locked="0"/>
    </xf>
    <xf numFmtId="38" fontId="19" fillId="0" borderId="89" xfId="26" applyNumberFormat="1" applyFont="1" applyBorder="1" applyAlignment="1">
      <alignment horizontal="center" vertical="center"/>
    </xf>
    <xf numFmtId="38" fontId="19" fillId="0" borderId="9" xfId="26" applyNumberFormat="1" applyFont="1" applyBorder="1" applyAlignment="1">
      <alignment horizontal="center" vertical="center"/>
    </xf>
    <xf numFmtId="38" fontId="9" fillId="6" borderId="0" xfId="26" applyNumberFormat="1" applyFont="1" applyFill="1" applyAlignment="1">
      <alignment horizontal="center"/>
    </xf>
    <xf numFmtId="38" fontId="9" fillId="0" borderId="89" xfId="26" applyNumberFormat="1" applyFont="1" applyBorder="1" applyAlignment="1">
      <alignment horizontal="center" vertical="center"/>
    </xf>
    <xf numFmtId="38" fontId="9" fillId="0" borderId="90" xfId="53" applyNumberFormat="1" applyFont="1" applyBorder="1" applyAlignment="1">
      <alignment horizontal="center" vertical="center"/>
    </xf>
    <xf numFmtId="38" fontId="9" fillId="0" borderId="28" xfId="26" applyNumberFormat="1" applyFont="1" applyBorder="1" applyAlignment="1">
      <alignment horizontal="center" vertical="center"/>
    </xf>
    <xf numFmtId="38" fontId="19" fillId="0" borderId="88" xfId="26" applyNumberFormat="1" applyFont="1" applyBorder="1" applyAlignment="1">
      <alignment horizontal="center" vertical="center"/>
    </xf>
    <xf numFmtId="38" fontId="9" fillId="0" borderId="87" xfId="26" applyNumberFormat="1" applyFont="1" applyBorder="1" applyAlignment="1">
      <alignment horizontal="center"/>
    </xf>
    <xf numFmtId="38" fontId="19" fillId="6" borderId="0" xfId="26" applyNumberFormat="1" applyFont="1" applyFill="1" applyAlignment="1">
      <alignment horizontal="center" vertical="center"/>
    </xf>
    <xf numFmtId="38" fontId="19" fillId="4" borderId="0" xfId="26" applyNumberFormat="1" applyFont="1" applyFill="1" applyAlignment="1" applyProtection="1">
      <alignment horizontal="center" vertical="center" shrinkToFit="1"/>
      <protection locked="0"/>
    </xf>
    <xf numFmtId="37" fontId="19" fillId="0" borderId="24" xfId="26" applyNumberFormat="1" applyFont="1" applyBorder="1" applyAlignment="1">
      <alignment horizontal="center" vertical="center"/>
    </xf>
    <xf numFmtId="0" fontId="14" fillId="42" borderId="129" xfId="26" applyFont="1" applyFill="1" applyBorder="1" applyAlignment="1">
      <alignment horizontal="center" vertical="center" wrapText="1"/>
    </xf>
    <xf numFmtId="38" fontId="19" fillId="6" borderId="27" xfId="26" applyNumberFormat="1" applyFont="1" applyFill="1" applyBorder="1" applyAlignment="1">
      <alignment horizontal="center" vertical="center"/>
    </xf>
    <xf numFmtId="0" fontId="9" fillId="0" borderId="78" xfId="26" applyFont="1" applyBorder="1" applyAlignment="1">
      <alignment horizontal="right" vertical="center" indent="1"/>
    </xf>
    <xf numFmtId="38" fontId="9" fillId="0" borderId="75" xfId="26" applyNumberFormat="1" applyFont="1" applyBorder="1" applyAlignment="1">
      <alignment horizontal="center" vertical="center"/>
    </xf>
    <xf numFmtId="0" fontId="0" fillId="0" borderId="75" xfId="0" applyBorder="1"/>
    <xf numFmtId="37" fontId="19" fillId="0" borderId="74" xfId="26" applyNumberFormat="1" applyFont="1" applyBorder="1" applyAlignment="1">
      <alignment horizontal="right" vertical="center" indent="1"/>
    </xf>
    <xf numFmtId="38" fontId="9" fillId="0" borderId="24" xfId="26" applyNumberFormat="1" applyFont="1" applyBorder="1" applyAlignment="1">
      <alignment horizontal="center" vertical="center"/>
    </xf>
    <xf numFmtId="0" fontId="97" fillId="6" borderId="127" xfId="26" applyFont="1" applyFill="1" applyBorder="1" applyAlignment="1">
      <alignment horizontal="left" vertical="center" wrapText="1" indent="1"/>
    </xf>
    <xf numFmtId="37" fontId="9" fillId="0" borderId="120" xfId="26" applyNumberFormat="1" applyFont="1" applyBorder="1" applyAlignment="1">
      <alignment horizontal="right" vertical="center" wrapText="1" indent="1"/>
    </xf>
    <xf numFmtId="37" fontId="19" fillId="37" borderId="24" xfId="26" applyNumberFormat="1" applyFont="1" applyFill="1" applyBorder="1" applyAlignment="1">
      <alignment horizontal="right" vertical="center" wrapText="1" indent="1"/>
    </xf>
    <xf numFmtId="38" fontId="9" fillId="0" borderId="12" xfId="26" applyNumberFormat="1" applyFont="1" applyBorder="1" applyAlignment="1">
      <alignment horizontal="center" vertical="center"/>
    </xf>
    <xf numFmtId="169" fontId="9" fillId="4" borderId="127" xfId="26" applyNumberFormat="1" applyFont="1" applyFill="1" applyBorder="1" applyAlignment="1" applyProtection="1">
      <alignment horizontal="center" vertical="center" shrinkToFit="1"/>
      <protection locked="0"/>
    </xf>
    <xf numFmtId="0" fontId="97" fillId="6" borderId="77" xfId="45" applyFont="1" applyFill="1" applyBorder="1" applyAlignment="1">
      <alignment horizontal="left" vertical="center" wrapText="1" indent="1"/>
    </xf>
    <xf numFmtId="38" fontId="19" fillId="0" borderId="24" xfId="26" applyNumberFormat="1" applyFont="1" applyBorder="1" applyAlignment="1">
      <alignment horizontal="center" vertical="center"/>
    </xf>
    <xf numFmtId="37" fontId="19" fillId="0" borderId="78" xfId="26" applyNumberFormat="1" applyFont="1" applyBorder="1" applyAlignment="1">
      <alignment horizontal="right" vertical="center" indent="1"/>
    </xf>
    <xf numFmtId="37" fontId="19" fillId="0" borderId="77" xfId="26" applyNumberFormat="1" applyFont="1" applyBorder="1" applyAlignment="1">
      <alignment horizontal="center" vertical="center"/>
    </xf>
    <xf numFmtId="0" fontId="9" fillId="0" borderId="93" xfId="26" applyFont="1" applyBorder="1" applyAlignment="1">
      <alignment horizontal="left" vertical="center" indent="1"/>
    </xf>
    <xf numFmtId="38" fontId="19" fillId="6" borderId="8" xfId="26" applyNumberFormat="1" applyFont="1" applyFill="1" applyBorder="1" applyAlignment="1">
      <alignment horizontal="center" vertical="center"/>
    </xf>
    <xf numFmtId="37" fontId="14" fillId="0" borderId="0" xfId="26" applyNumberFormat="1" applyFont="1" applyAlignment="1">
      <alignment horizontal="left" vertical="center" wrapText="1"/>
    </xf>
    <xf numFmtId="38" fontId="19" fillId="0" borderId="93" xfId="26" applyNumberFormat="1" applyFont="1" applyBorder="1" applyAlignment="1">
      <alignment horizontal="center" vertical="center"/>
    </xf>
    <xf numFmtId="37" fontId="19" fillId="0" borderId="124" xfId="26" applyNumberFormat="1" applyFont="1" applyBorder="1" applyAlignment="1">
      <alignment horizontal="right" vertical="center" indent="1"/>
    </xf>
    <xf numFmtId="169" fontId="9" fillId="4" borderId="92" xfId="26" applyNumberFormat="1" applyFont="1" applyFill="1" applyBorder="1" applyAlignment="1" applyProtection="1">
      <alignment horizontal="center" vertical="center" shrinkToFit="1"/>
      <protection locked="0"/>
    </xf>
    <xf numFmtId="0" fontId="97" fillId="6" borderId="124" xfId="26" applyFont="1" applyFill="1" applyBorder="1" applyAlignment="1">
      <alignment horizontal="left" vertical="center" indent="1"/>
    </xf>
    <xf numFmtId="0" fontId="9" fillId="0" borderId="78" xfId="26" applyFont="1" applyBorder="1" applyAlignment="1">
      <alignment horizontal="center" vertical="center"/>
    </xf>
    <xf numFmtId="0" fontId="9" fillId="0" borderId="124" xfId="26" applyFont="1" applyBorder="1" applyAlignment="1">
      <alignment horizontal="right" vertical="center" indent="1"/>
    </xf>
    <xf numFmtId="37" fontId="9" fillId="0" borderId="78" xfId="26" applyNumberFormat="1" applyFont="1" applyBorder="1" applyAlignment="1">
      <alignment horizontal="right" vertical="center"/>
    </xf>
    <xf numFmtId="0" fontId="9" fillId="0" borderId="124" xfId="26" applyFont="1" applyBorder="1" applyAlignment="1">
      <alignment horizontal="right" vertical="center"/>
    </xf>
    <xf numFmtId="0" fontId="9" fillId="0" borderId="74" xfId="26" applyFont="1" applyBorder="1" applyAlignment="1">
      <alignment horizontal="center" vertical="center"/>
    </xf>
    <xf numFmtId="37" fontId="9" fillId="4" borderId="43" xfId="26" applyNumberFormat="1" applyFont="1" applyFill="1" applyBorder="1" applyAlignment="1" applyProtection="1">
      <alignment horizontal="right" vertical="center" indent="1"/>
      <protection locked="0"/>
    </xf>
    <xf numFmtId="38" fontId="19" fillId="0" borderId="129" xfId="26" applyNumberFormat="1" applyFont="1" applyBorder="1" applyAlignment="1">
      <alignment horizontal="center" vertical="center"/>
    </xf>
    <xf numFmtId="37" fontId="9" fillId="0" borderId="114" xfId="26" applyNumberFormat="1" applyFont="1" applyBorder="1" applyAlignment="1">
      <alignment horizontal="right" vertical="center" indent="1"/>
    </xf>
    <xf numFmtId="9" fontId="9" fillId="4" borderId="0" xfId="26" applyNumberFormat="1" applyFont="1" applyFill="1" applyAlignment="1" applyProtection="1">
      <alignment horizontal="center" vertical="center"/>
      <protection locked="0"/>
    </xf>
    <xf numFmtId="38" fontId="9" fillId="0" borderId="43" xfId="3" applyNumberFormat="1" applyFont="1" applyBorder="1" applyAlignment="1">
      <alignment horizontal="center" vertical="center"/>
    </xf>
    <xf numFmtId="169" fontId="9" fillId="4" borderId="89" xfId="26" applyNumberFormat="1" applyFont="1" applyFill="1" applyBorder="1" applyAlignment="1" applyProtection="1">
      <alignment horizontal="center" vertical="center" shrinkToFit="1"/>
      <protection locked="0"/>
    </xf>
    <xf numFmtId="38" fontId="9" fillId="0" borderId="43" xfId="53" applyNumberFormat="1" applyFont="1" applyBorder="1" applyAlignment="1">
      <alignment horizontal="center" vertical="center"/>
    </xf>
    <xf numFmtId="38" fontId="9" fillId="0" borderId="122" xfId="26" applyNumberFormat="1" applyFont="1" applyBorder="1" applyAlignment="1">
      <alignment horizontal="center" vertical="center"/>
    </xf>
    <xf numFmtId="0" fontId="0" fillId="0" borderId="122" xfId="0" applyBorder="1"/>
    <xf numFmtId="38" fontId="9" fillId="0" borderId="129" xfId="26" applyNumberFormat="1" applyFont="1" applyBorder="1" applyAlignment="1">
      <alignment horizontal="center" vertical="center"/>
    </xf>
    <xf numFmtId="38" fontId="19" fillId="0" borderId="75" xfId="26" applyNumberFormat="1" applyFont="1" applyBorder="1" applyAlignment="1">
      <alignment horizontal="center" vertical="center"/>
    </xf>
    <xf numFmtId="169" fontId="9" fillId="0" borderId="91" xfId="26" applyNumberFormat="1" applyFont="1" applyBorder="1" applyAlignment="1">
      <alignment horizontal="center" vertical="center" shrinkToFit="1"/>
    </xf>
    <xf numFmtId="38" fontId="9" fillId="6" borderId="12" xfId="26" applyNumberFormat="1" applyFont="1" applyFill="1" applyBorder="1" applyAlignment="1">
      <alignment horizontal="center" vertical="center"/>
    </xf>
    <xf numFmtId="37" fontId="9" fillId="4" borderId="120" xfId="26" applyNumberFormat="1" applyFont="1" applyFill="1" applyBorder="1" applyAlignment="1" applyProtection="1">
      <alignment horizontal="right" vertical="center" wrapText="1" indent="1"/>
      <protection locked="0"/>
    </xf>
    <xf numFmtId="37" fontId="9" fillId="0" borderId="92" xfId="26" applyNumberFormat="1" applyFont="1" applyBorder="1" applyAlignment="1">
      <alignment horizontal="right" vertical="center" wrapText="1" indent="1"/>
    </xf>
    <xf numFmtId="0" fontId="97" fillId="6" borderId="127" xfId="45" applyFont="1" applyFill="1" applyBorder="1" applyAlignment="1">
      <alignment horizontal="left" vertical="center" wrapText="1" indent="1"/>
    </xf>
    <xf numFmtId="169" fontId="9" fillId="0" borderId="127" xfId="26" applyNumberFormat="1" applyFont="1" applyBorder="1" applyAlignment="1">
      <alignment horizontal="center" vertical="center" shrinkToFit="1"/>
    </xf>
    <xf numFmtId="5" fontId="9" fillId="6" borderId="127" xfId="26" applyNumberFormat="1" applyFont="1" applyFill="1" applyBorder="1" applyAlignment="1">
      <alignment horizontal="left" vertical="center" indent="1"/>
    </xf>
    <xf numFmtId="38" fontId="9" fillId="0" borderId="24" xfId="55" applyNumberFormat="1" applyFont="1" applyBorder="1" applyAlignment="1">
      <alignment horizontal="center" vertical="center"/>
    </xf>
    <xf numFmtId="38" fontId="9" fillId="0" borderId="24" xfId="53" applyNumberFormat="1" applyFont="1" applyBorder="1" applyAlignment="1">
      <alignment horizontal="center" vertical="center"/>
    </xf>
    <xf numFmtId="37" fontId="119" fillId="0" borderId="126" xfId="26" applyNumberFormat="1" applyFont="1" applyBorder="1" applyAlignment="1">
      <alignment horizontal="right" vertical="center" indent="1"/>
    </xf>
    <xf numFmtId="37" fontId="19" fillId="0" borderId="24" xfId="26" applyNumberFormat="1" applyFont="1" applyBorder="1" applyAlignment="1">
      <alignment horizontal="right" vertical="center" indent="1"/>
    </xf>
    <xf numFmtId="38" fontId="9" fillId="0" borderId="80" xfId="26" applyNumberFormat="1" applyFont="1" applyBorder="1" applyAlignment="1">
      <alignment horizontal="center" vertical="center"/>
    </xf>
    <xf numFmtId="0" fontId="0" fillId="0" borderId="80" xfId="0" applyBorder="1"/>
    <xf numFmtId="0" fontId="14" fillId="42" borderId="91" xfId="26" applyFont="1" applyFill="1" applyBorder="1" applyAlignment="1">
      <alignment horizontal="center" vertical="center" wrapText="1"/>
    </xf>
    <xf numFmtId="38" fontId="9" fillId="0" borderId="89" xfId="26" applyNumberFormat="1" applyFont="1" applyBorder="1" applyAlignment="1">
      <alignment horizontal="center"/>
    </xf>
    <xf numFmtId="38" fontId="9" fillId="0" borderId="83" xfId="26" applyNumberFormat="1" applyFont="1" applyBorder="1" applyAlignment="1">
      <alignment horizontal="center" vertical="center"/>
    </xf>
    <xf numFmtId="0" fontId="0" fillId="0" borderId="83" xfId="0" applyBorder="1"/>
    <xf numFmtId="38" fontId="9" fillId="0" borderId="88" xfId="26" applyNumberFormat="1" applyFont="1" applyBorder="1" applyAlignment="1">
      <alignment horizontal="center" vertical="center"/>
    </xf>
    <xf numFmtId="0" fontId="9" fillId="0" borderId="120" xfId="26" applyFont="1" applyBorder="1" applyAlignment="1">
      <alignment horizontal="right" vertical="center" indent="1"/>
    </xf>
    <xf numFmtId="37" fontId="9" fillId="0" borderId="93" xfId="26" applyNumberFormat="1" applyFont="1" applyBorder="1" applyAlignment="1">
      <alignment horizontal="center" vertical="center"/>
    </xf>
    <xf numFmtId="37" fontId="19" fillId="6" borderId="24" xfId="26" applyNumberFormat="1" applyFont="1" applyFill="1" applyBorder="1" applyAlignment="1">
      <alignment horizontal="right" vertical="center" wrapText="1" indent="1"/>
    </xf>
    <xf numFmtId="37" fontId="9" fillId="0" borderId="24" xfId="26" applyNumberFormat="1" applyFont="1" applyBorder="1" applyAlignment="1">
      <alignment horizontal="right" vertical="center" indent="1"/>
    </xf>
    <xf numFmtId="38" fontId="9" fillId="6" borderId="24" xfId="26" applyNumberFormat="1" applyFont="1" applyFill="1" applyBorder="1" applyAlignment="1">
      <alignment horizontal="center" vertical="center"/>
    </xf>
    <xf numFmtId="38" fontId="19" fillId="6" borderId="10" xfId="26" applyNumberFormat="1" applyFont="1" applyFill="1" applyBorder="1" applyAlignment="1">
      <alignment horizontal="center" vertical="center"/>
    </xf>
    <xf numFmtId="0" fontId="0" fillId="0" borderId="10" xfId="0" applyBorder="1"/>
    <xf numFmtId="38" fontId="19" fillId="6" borderId="79" xfId="26" applyNumberFormat="1" applyFont="1" applyFill="1" applyBorder="1" applyAlignment="1">
      <alignment horizontal="center" vertical="center"/>
    </xf>
    <xf numFmtId="37" fontId="9" fillId="0" borderId="121" xfId="26" applyNumberFormat="1" applyFont="1" applyBorder="1" applyAlignment="1">
      <alignment horizontal="center" vertical="center"/>
    </xf>
    <xf numFmtId="37" fontId="19" fillId="0" borderId="78" xfId="26" applyNumberFormat="1" applyFont="1" applyBorder="1" applyAlignment="1">
      <alignment horizontal="right" vertical="center" wrapText="1" indent="1"/>
    </xf>
    <xf numFmtId="37" fontId="97" fillId="6" borderId="127" xfId="26" applyNumberFormat="1" applyFont="1" applyFill="1" applyBorder="1" applyAlignment="1">
      <alignment horizontal="left" vertical="center" wrapText="1" indent="1"/>
    </xf>
    <xf numFmtId="37" fontId="9" fillId="0" borderId="127" xfId="26" applyNumberFormat="1" applyFont="1" applyBorder="1" applyAlignment="1">
      <alignment horizontal="right" vertical="center" wrapText="1" indent="1"/>
    </xf>
    <xf numFmtId="9" fontId="9" fillId="0" borderId="124" xfId="26" applyNumberFormat="1" applyFont="1" applyBorder="1" applyAlignment="1">
      <alignment horizontal="right" vertical="center" indent="1"/>
    </xf>
    <xf numFmtId="38" fontId="19" fillId="0" borderId="122" xfId="26" applyNumberFormat="1" applyFont="1" applyBorder="1" applyAlignment="1">
      <alignment horizontal="center" vertical="center"/>
    </xf>
    <xf numFmtId="38" fontId="9" fillId="6" borderId="24" xfId="26" applyNumberFormat="1" applyFont="1" applyFill="1" applyBorder="1" applyAlignment="1">
      <alignment horizontal="center"/>
    </xf>
    <xf numFmtId="0" fontId="14" fillId="61" borderId="129" xfId="26" applyFont="1" applyFill="1" applyBorder="1" applyAlignment="1">
      <alignment horizontal="center" vertical="center" textRotation="90" wrapText="1"/>
    </xf>
    <xf numFmtId="0" fontId="9" fillId="0" borderId="92" xfId="26" applyFont="1" applyBorder="1" applyAlignment="1">
      <alignment horizontal="right" vertical="center" indent="1"/>
    </xf>
    <xf numFmtId="0" fontId="9" fillId="0" borderId="120" xfId="26" applyFont="1" applyBorder="1" applyAlignment="1">
      <alignment horizontal="right" vertical="center" wrapText="1" indent="1"/>
    </xf>
    <xf numFmtId="37" fontId="19" fillId="0" borderId="24" xfId="26" applyNumberFormat="1" applyFont="1" applyBorder="1" applyAlignment="1">
      <alignment horizontal="right" vertical="center" wrapText="1" indent="1"/>
    </xf>
    <xf numFmtId="37" fontId="63" fillId="0" borderId="126" xfId="26" applyNumberFormat="1" applyFont="1" applyBorder="1" applyAlignment="1">
      <alignment horizontal="right" vertical="center"/>
    </xf>
    <xf numFmtId="0" fontId="97" fillId="6" borderId="127" xfId="26" applyFont="1" applyFill="1" applyBorder="1" applyAlignment="1">
      <alignment horizontal="left" vertical="center" indent="1"/>
    </xf>
    <xf numFmtId="37" fontId="19" fillId="0" borderId="76" xfId="26" applyNumberFormat="1" applyFont="1" applyBorder="1" applyAlignment="1">
      <alignment horizontal="right" vertical="center" indent="1"/>
    </xf>
    <xf numFmtId="38" fontId="9" fillId="0" borderId="24" xfId="26" applyNumberFormat="1" applyFont="1" applyBorder="1" applyAlignment="1">
      <alignment horizontal="center"/>
    </xf>
    <xf numFmtId="37" fontId="9" fillId="0" borderId="24" xfId="26" applyNumberFormat="1" applyFont="1" applyBorder="1" applyAlignment="1">
      <alignment horizontal="right" vertical="center"/>
    </xf>
    <xf numFmtId="38" fontId="9" fillId="0" borderId="29" xfId="26" applyNumberFormat="1" applyFont="1" applyBorder="1" applyAlignment="1">
      <alignment horizontal="center" vertical="center"/>
    </xf>
    <xf numFmtId="0" fontId="9" fillId="0" borderId="24" xfId="26" applyFont="1" applyBorder="1" applyAlignment="1">
      <alignment horizontal="right" vertical="center" indent="1"/>
    </xf>
    <xf numFmtId="0" fontId="9" fillId="0" borderId="114" xfId="26" applyFont="1" applyBorder="1" applyAlignment="1">
      <alignment horizontal="right" vertical="center" indent="1"/>
    </xf>
    <xf numFmtId="38" fontId="19" fillId="0" borderId="12" xfId="26" applyNumberFormat="1" applyFont="1" applyBorder="1" applyAlignment="1">
      <alignment horizontal="center" vertical="center"/>
    </xf>
    <xf numFmtId="37" fontId="19" fillId="3" borderId="24" xfId="26" applyNumberFormat="1" applyFont="1" applyFill="1" applyBorder="1" applyAlignment="1">
      <alignment horizontal="right" vertical="center" wrapText="1" indent="1"/>
    </xf>
    <xf numFmtId="38" fontId="19" fillId="0" borderId="80" xfId="26" applyNumberFormat="1" applyFont="1" applyBorder="1" applyAlignment="1">
      <alignment horizontal="center" vertical="center"/>
    </xf>
    <xf numFmtId="37" fontId="9" fillId="0" borderId="124" xfId="26" applyNumberFormat="1" applyFont="1" applyBorder="1" applyAlignment="1">
      <alignment horizontal="center" vertical="center"/>
    </xf>
    <xf numFmtId="0" fontId="9" fillId="6" borderId="24" xfId="26" applyFont="1" applyFill="1" applyBorder="1" applyAlignment="1">
      <alignment horizontal="right" vertical="center" indent="1" shrinkToFit="1"/>
    </xf>
    <xf numFmtId="38" fontId="19" fillId="0" borderId="79" xfId="26" applyNumberFormat="1" applyFont="1" applyBorder="1" applyAlignment="1">
      <alignment horizontal="center" vertical="center"/>
    </xf>
    <xf numFmtId="38" fontId="9" fillId="6" borderId="75" xfId="26" applyNumberFormat="1" applyFont="1" applyFill="1" applyBorder="1" applyAlignment="1">
      <alignment horizontal="center" vertical="center"/>
    </xf>
    <xf numFmtId="38" fontId="9" fillId="6" borderId="89" xfId="26" applyNumberFormat="1" applyFont="1" applyFill="1" applyBorder="1" applyAlignment="1">
      <alignment horizontal="center"/>
    </xf>
    <xf numFmtId="38" fontId="9" fillId="4" borderId="89" xfId="26" applyNumberFormat="1" applyFont="1" applyFill="1" applyBorder="1" applyAlignment="1" applyProtection="1">
      <alignment horizontal="center" vertical="center" shrinkToFit="1"/>
      <protection locked="0"/>
    </xf>
    <xf numFmtId="38" fontId="19" fillId="0" borderId="121" xfId="26" applyNumberFormat="1" applyFont="1" applyBorder="1" applyAlignment="1">
      <alignment horizontal="center" vertical="center"/>
    </xf>
    <xf numFmtId="38" fontId="9" fillId="0" borderId="24" xfId="3" applyNumberFormat="1" applyFont="1" applyBorder="1" applyAlignment="1">
      <alignment horizontal="center" vertical="center"/>
    </xf>
    <xf numFmtId="0" fontId="97" fillId="18" borderId="114" xfId="26" applyFont="1" applyFill="1" applyBorder="1" applyAlignment="1">
      <alignment horizontal="center" wrapText="1"/>
    </xf>
    <xf numFmtId="39" fontId="119" fillId="6" borderId="127" xfId="26" applyNumberFormat="1" applyFont="1" applyFill="1" applyBorder="1" applyAlignment="1">
      <alignment horizontal="right" vertical="center" indent="1"/>
    </xf>
    <xf numFmtId="0" fontId="31" fillId="0" borderId="0" xfId="26" applyFont="1" applyAlignment="1">
      <alignment horizontal="left" vertical="center"/>
    </xf>
    <xf numFmtId="37" fontId="19" fillId="6" borderId="125" xfId="26" applyNumberFormat="1" applyFont="1" applyFill="1" applyBorder="1" applyAlignment="1">
      <alignment horizontal="right" vertical="center" wrapText="1" indent="1"/>
    </xf>
    <xf numFmtId="37" fontId="9" fillId="0" borderId="24" xfId="26" applyNumberFormat="1" applyFont="1" applyBorder="1" applyAlignment="1">
      <alignment vertical="center" wrapText="1"/>
    </xf>
    <xf numFmtId="37" fontId="19" fillId="37" borderId="78" xfId="26" applyNumberFormat="1" applyFont="1" applyFill="1" applyBorder="1" applyAlignment="1">
      <alignment horizontal="right" vertical="center" wrapText="1" indent="1"/>
    </xf>
    <xf numFmtId="0" fontId="9" fillId="6" borderId="124" xfId="26" applyFont="1" applyFill="1" applyBorder="1" applyAlignment="1">
      <alignment horizontal="right" vertical="center" indent="1" shrinkToFit="1"/>
    </xf>
    <xf numFmtId="37" fontId="9" fillId="0" borderId="127" xfId="26" applyNumberFormat="1" applyFont="1" applyBorder="1" applyAlignment="1">
      <alignment horizontal="left" vertical="center" wrapText="1"/>
    </xf>
    <xf numFmtId="0" fontId="9" fillId="0" borderId="93" xfId="26" applyFont="1" applyBorder="1" applyAlignment="1">
      <alignment horizontal="center" vertical="center"/>
    </xf>
    <xf numFmtId="9" fontId="9" fillId="4" borderId="90" xfId="26" applyNumberFormat="1" applyFont="1" applyFill="1" applyBorder="1" applyAlignment="1" applyProtection="1">
      <alignment horizontal="center" vertical="center"/>
      <protection locked="0"/>
    </xf>
    <xf numFmtId="38" fontId="9" fillId="0" borderId="150" xfId="26" applyNumberFormat="1" applyFont="1" applyBorder="1" applyAlignment="1">
      <alignment horizontal="center" vertical="center"/>
    </xf>
    <xf numFmtId="38" fontId="19" fillId="4" borderId="24" xfId="26" applyNumberFormat="1" applyFont="1" applyFill="1" applyBorder="1" applyAlignment="1" applyProtection="1">
      <alignment horizontal="center" vertical="center"/>
      <protection locked="0"/>
    </xf>
    <xf numFmtId="37" fontId="14" fillId="4" borderId="127" xfId="26" applyNumberFormat="1" applyFont="1" applyFill="1" applyBorder="1" applyAlignment="1" applyProtection="1">
      <alignment horizontal="left" vertical="top" wrapText="1"/>
      <protection locked="0"/>
    </xf>
    <xf numFmtId="169" fontId="9" fillId="4" borderId="88" xfId="26" applyNumberFormat="1" applyFont="1" applyFill="1" applyBorder="1" applyAlignment="1" applyProtection="1">
      <alignment horizontal="center" vertical="center" shrinkToFit="1"/>
      <protection locked="0"/>
    </xf>
    <xf numFmtId="38" fontId="9" fillId="0" borderId="0" xfId="26" applyNumberFormat="1" applyFont="1" applyAlignment="1">
      <alignment horizontal="center" vertical="center" shrinkToFit="1"/>
    </xf>
    <xf numFmtId="169" fontId="9" fillId="0" borderId="91" xfId="26" applyNumberFormat="1" applyFont="1" applyBorder="1" applyAlignment="1">
      <alignment horizontal="center" vertical="center"/>
    </xf>
    <xf numFmtId="0" fontId="97" fillId="6" borderId="124" xfId="26" applyFont="1" applyFill="1" applyBorder="1" applyAlignment="1">
      <alignment horizontal="center" vertical="center" wrapText="1"/>
    </xf>
    <xf numFmtId="0" fontId="97" fillId="18" borderId="127" xfId="26" applyFont="1" applyFill="1" applyBorder="1" applyAlignment="1">
      <alignment horizontal="center" vertical="center" wrapText="1"/>
    </xf>
    <xf numFmtId="38" fontId="9" fillId="0" borderId="8" xfId="26" applyNumberFormat="1" applyFont="1" applyBorder="1" applyAlignment="1">
      <alignment horizontal="center" vertical="center"/>
    </xf>
    <xf numFmtId="38" fontId="19" fillId="6" borderId="29" xfId="26" applyNumberFormat="1" applyFont="1" applyFill="1" applyBorder="1" applyAlignment="1">
      <alignment horizontal="center" vertical="center"/>
    </xf>
    <xf numFmtId="38" fontId="19" fillId="0" borderId="8" xfId="26" applyNumberFormat="1" applyFont="1" applyBorder="1" applyAlignment="1">
      <alignment horizontal="center" vertical="center"/>
    </xf>
    <xf numFmtId="37" fontId="19" fillId="6" borderId="126" xfId="26" applyNumberFormat="1" applyFont="1" applyFill="1" applyBorder="1" applyAlignment="1">
      <alignment horizontal="right" vertical="center" wrapText="1" indent="1"/>
    </xf>
    <xf numFmtId="0" fontId="9" fillId="0" borderId="76" xfId="26" applyFont="1" applyBorder="1" applyAlignment="1">
      <alignment horizontal="center" vertical="center"/>
    </xf>
    <xf numFmtId="37" fontId="9" fillId="0" borderId="129" xfId="26" applyNumberFormat="1" applyFont="1" applyBorder="1" applyAlignment="1">
      <alignment horizontal="right" vertical="center" indent="1"/>
    </xf>
    <xf numFmtId="38" fontId="9" fillId="4" borderId="43" xfId="26" applyNumberFormat="1" applyFont="1" applyFill="1" applyBorder="1" applyAlignment="1" applyProtection="1">
      <alignment horizontal="center" vertical="center" shrinkToFit="1"/>
      <protection locked="0"/>
    </xf>
    <xf numFmtId="38" fontId="19" fillId="6" borderId="87" xfId="26" applyNumberFormat="1" applyFont="1" applyFill="1" applyBorder="1" applyAlignment="1">
      <alignment horizontal="center" vertical="center"/>
    </xf>
    <xf numFmtId="38" fontId="9" fillId="4" borderId="127" xfId="26" applyNumberFormat="1" applyFont="1" applyFill="1" applyBorder="1" applyAlignment="1" applyProtection="1">
      <alignment horizontal="center" vertical="center"/>
      <protection locked="0"/>
    </xf>
    <xf numFmtId="168" fontId="71" fillId="0" borderId="0" xfId="26" applyNumberFormat="1" applyFont="1" applyAlignment="1">
      <alignment horizontal="center" vertical="center"/>
    </xf>
    <xf numFmtId="38" fontId="9" fillId="0" borderId="88" xfId="26" applyNumberFormat="1" applyFont="1" applyBorder="1" applyAlignment="1">
      <alignment horizontal="center"/>
    </xf>
    <xf numFmtId="38" fontId="19" fillId="0" borderId="10" xfId="26" applyNumberFormat="1" applyFont="1" applyBorder="1" applyAlignment="1">
      <alignment horizontal="center" vertical="center"/>
    </xf>
    <xf numFmtId="38" fontId="19" fillId="0" borderId="28" xfId="26" applyNumberFormat="1" applyFont="1" applyBorder="1" applyAlignment="1">
      <alignment horizontal="center" vertical="center"/>
    </xf>
    <xf numFmtId="37" fontId="63" fillId="0" borderId="125" xfId="26" applyNumberFormat="1" applyFont="1" applyBorder="1" applyAlignment="1">
      <alignment horizontal="right" vertical="center"/>
    </xf>
    <xf numFmtId="0" fontId="116" fillId="63" borderId="128" xfId="26" applyFont="1" applyFill="1" applyBorder="1" applyAlignment="1">
      <alignment horizontal="center" vertical="center"/>
    </xf>
    <xf numFmtId="38" fontId="9" fillId="0" borderId="150" xfId="3" applyNumberFormat="1" applyFont="1" applyBorder="1" applyAlignment="1">
      <alignment horizontal="center" vertical="center"/>
    </xf>
    <xf numFmtId="37" fontId="9" fillId="0" borderId="129" xfId="26" applyNumberFormat="1" applyFont="1" applyBorder="1" applyAlignment="1">
      <alignment horizontal="center" vertical="center"/>
    </xf>
    <xf numFmtId="0" fontId="9" fillId="0" borderId="74" xfId="26" applyFont="1" applyBorder="1" applyAlignment="1">
      <alignment horizontal="right" vertical="center" indent="1"/>
    </xf>
    <xf numFmtId="37" fontId="63" fillId="0" borderId="29" xfId="26" applyNumberFormat="1" applyFont="1" applyBorder="1" applyAlignment="1">
      <alignment horizontal="right" vertical="center"/>
    </xf>
    <xf numFmtId="0" fontId="70" fillId="24" borderId="0" xfId="26" applyFont="1" applyFill="1" applyAlignment="1">
      <alignment horizontal="center" vertical="center"/>
    </xf>
    <xf numFmtId="37" fontId="9" fillId="0" borderId="74" xfId="26" applyNumberFormat="1" applyFont="1" applyBorder="1" applyAlignment="1">
      <alignment horizontal="right" vertical="center" indent="1"/>
    </xf>
    <xf numFmtId="37" fontId="63" fillId="0" borderId="81" xfId="26" applyNumberFormat="1" applyFont="1" applyBorder="1" applyAlignment="1">
      <alignment horizontal="right" vertical="center"/>
    </xf>
    <xf numFmtId="37" fontId="9" fillId="6" borderId="127" xfId="26" applyNumberFormat="1" applyFont="1" applyFill="1" applyBorder="1" applyAlignment="1">
      <alignment horizontal="right" vertical="center" indent="1"/>
    </xf>
    <xf numFmtId="37" fontId="9" fillId="6" borderId="124" xfId="26" applyNumberFormat="1" applyFont="1" applyFill="1" applyBorder="1" applyAlignment="1">
      <alignment horizontal="right" vertical="center" indent="1"/>
    </xf>
    <xf numFmtId="0" fontId="0" fillId="0" borderId="123" xfId="0" applyBorder="1"/>
    <xf numFmtId="0" fontId="97" fillId="18" borderId="127" xfId="26" applyFont="1" applyFill="1" applyBorder="1" applyAlignment="1">
      <alignment horizontal="center" wrapText="1"/>
    </xf>
    <xf numFmtId="0" fontId="9" fillId="0" borderId="126" xfId="26" applyFont="1" applyBorder="1" applyAlignment="1">
      <alignment horizontal="right" vertical="center"/>
    </xf>
    <xf numFmtId="38" fontId="9" fillId="0" borderId="12" xfId="26" applyNumberFormat="1" applyFont="1" applyBorder="1" applyAlignment="1">
      <alignment horizontal="center"/>
    </xf>
    <xf numFmtId="38" fontId="9" fillId="6" borderId="88" xfId="26" applyNumberFormat="1" applyFont="1" applyFill="1" applyBorder="1" applyAlignment="1">
      <alignment horizontal="center" vertical="center"/>
    </xf>
    <xf numFmtId="37" fontId="9" fillId="0" borderId="78" xfId="26" applyNumberFormat="1" applyFont="1" applyBorder="1" applyAlignment="1">
      <alignment horizontal="right" vertical="center" wrapText="1" indent="1"/>
    </xf>
    <xf numFmtId="37" fontId="19" fillId="0" borderId="92" xfId="26" applyNumberFormat="1" applyFont="1" applyBorder="1" applyAlignment="1">
      <alignment horizontal="right" vertical="center" indent="1"/>
    </xf>
    <xf numFmtId="9" fontId="9" fillId="0" borderId="24" xfId="26" applyNumberFormat="1" applyFont="1" applyBorder="1" applyAlignment="1">
      <alignment horizontal="right" vertical="center" indent="1"/>
    </xf>
    <xf numFmtId="0" fontId="14" fillId="0" borderId="3" xfId="0" applyFont="1" applyBorder="1" applyAlignment="1">
      <alignment horizontal="left" vertical="center"/>
    </xf>
    <xf numFmtId="0" fontId="14" fillId="0" borderId="89" xfId="0" applyFont="1" applyBorder="1" applyAlignment="1">
      <alignment horizontal="left" vertical="center" wrapText="1"/>
    </xf>
    <xf numFmtId="0" fontId="14" fillId="4" borderId="127" xfId="0" applyFont="1" applyFill="1" applyBorder="1" applyAlignment="1" applyProtection="1">
      <alignment horizontal="left" vertical="top"/>
      <protection locked="0"/>
    </xf>
    <xf numFmtId="0" fontId="14" fillId="7" borderId="127" xfId="19" applyFont="1" applyFill="1" applyBorder="1">
      <alignment horizontal="left" vertical="center" wrapText="1"/>
    </xf>
    <xf numFmtId="0" fontId="74" fillId="0" borderId="0" xfId="4" applyFont="1" applyAlignment="1" applyProtection="1">
      <alignment horizontal="center" vertical="center"/>
    </xf>
    <xf numFmtId="0" fontId="103" fillId="0" borderId="0" xfId="0" applyFont="1" applyAlignment="1">
      <alignment horizontal="left" vertical="center"/>
    </xf>
    <xf numFmtId="0" fontId="100" fillId="0" borderId="0" xfId="0" applyFont="1" applyAlignment="1">
      <alignment horizontal="left" vertical="center"/>
    </xf>
    <xf numFmtId="0" fontId="14" fillId="6" borderId="0" xfId="0" applyFont="1" applyFill="1" applyAlignment="1">
      <alignment horizontal="left" vertical="center"/>
    </xf>
    <xf numFmtId="0" fontId="14" fillId="0" borderId="89" xfId="0" applyFont="1" applyBorder="1" applyAlignment="1">
      <alignment horizontal="left" vertical="center"/>
    </xf>
    <xf numFmtId="0" fontId="103" fillId="0" borderId="0" xfId="0" applyFont="1" applyAlignment="1">
      <alignment horizontal="center" vertical="center"/>
    </xf>
    <xf numFmtId="0" fontId="34" fillId="0" borderId="0" xfId="0" applyFont="1" applyAlignment="1">
      <alignment horizontal="left" vertical="center" wrapText="1"/>
    </xf>
    <xf numFmtId="0" fontId="14" fillId="0" borderId="0" xfId="0" applyFont="1" applyAlignment="1">
      <alignment horizontal="center" vertical="center" wrapText="1"/>
    </xf>
    <xf numFmtId="0" fontId="49" fillId="6" borderId="90" xfId="0" applyFont="1" applyFill="1" applyBorder="1" applyAlignment="1">
      <alignment horizontal="center" vertical="center"/>
    </xf>
    <xf numFmtId="0" fontId="98" fillId="6" borderId="0" xfId="0" quotePrefix="1" applyFont="1" applyFill="1" applyAlignment="1">
      <alignment horizontal="left" vertical="center"/>
    </xf>
    <xf numFmtId="0" fontId="14" fillId="0" borderId="89" xfId="19" applyFont="1" applyFill="1" applyBorder="1">
      <alignment horizontal="left" vertical="center" wrapText="1"/>
    </xf>
    <xf numFmtId="0" fontId="14" fillId="0" borderId="0" xfId="19" applyFont="1" applyFill="1" applyBorder="1" applyAlignment="1">
      <alignment vertical="center" wrapText="1"/>
    </xf>
    <xf numFmtId="172" fontId="14" fillId="4" borderId="92" xfId="0" applyNumberFormat="1" applyFont="1" applyFill="1" applyBorder="1" applyAlignment="1" applyProtection="1">
      <alignment horizontal="center" vertical="center"/>
      <protection locked="0"/>
    </xf>
    <xf numFmtId="0" fontId="74" fillId="0" borderId="24" xfId="4" applyFont="1" applyBorder="1" applyAlignment="1" applyProtection="1">
      <alignment horizontal="center" vertical="center"/>
    </xf>
    <xf numFmtId="0" fontId="83" fillId="0" borderId="90" xfId="0" applyFont="1" applyBorder="1" applyAlignment="1">
      <alignment horizontal="left" vertical="center" wrapText="1"/>
    </xf>
    <xf numFmtId="0" fontId="49" fillId="0" borderId="3" xfId="0" applyFont="1" applyBorder="1" applyAlignment="1">
      <alignment horizontal="left" vertical="center" wrapText="1"/>
    </xf>
    <xf numFmtId="0" fontId="14" fillId="0" borderId="90" xfId="0" applyFont="1" applyBorder="1" applyAlignment="1">
      <alignment horizontal="center" vertical="center"/>
    </xf>
    <xf numFmtId="0" fontId="14" fillId="0" borderId="12" xfId="0" applyFont="1" applyBorder="1" applyAlignment="1">
      <alignment horizontal="center" vertical="center"/>
    </xf>
    <xf numFmtId="0" fontId="14" fillId="7" borderId="127" xfId="19" quotePrefix="1" applyFont="1" applyFill="1" applyBorder="1">
      <alignment horizontal="left" vertical="center" wrapText="1"/>
    </xf>
    <xf numFmtId="0" fontId="14" fillId="7" borderId="127" xfId="45" applyFont="1" applyFill="1" applyBorder="1" applyAlignment="1">
      <alignment horizontal="left" vertical="center" wrapText="1" indent="1"/>
    </xf>
    <xf numFmtId="0" fontId="81" fillId="24" borderId="0" xfId="26" applyFont="1" applyFill="1" applyAlignment="1">
      <alignment horizontal="center" vertical="center"/>
    </xf>
    <xf numFmtId="0" fontId="98" fillId="6" borderId="0" xfId="0" quotePrefix="1" applyFont="1" applyFill="1" applyAlignment="1">
      <alignment horizontal="right" vertical="center"/>
    </xf>
    <xf numFmtId="0" fontId="44" fillId="4" borderId="127" xfId="26" applyFont="1" applyFill="1" applyBorder="1" applyAlignment="1" applyProtection="1">
      <alignment horizontal="right" vertical="center" indent="1"/>
      <protection locked="0"/>
    </xf>
    <xf numFmtId="0" fontId="22" fillId="0" borderId="0" xfId="26" applyFont="1" applyAlignment="1">
      <alignment horizontal="left" vertical="center"/>
    </xf>
    <xf numFmtId="0" fontId="22" fillId="0" borderId="127" xfId="26" applyFont="1" applyBorder="1" applyAlignment="1">
      <alignment horizontal="left" vertical="center"/>
    </xf>
    <xf numFmtId="0" fontId="22" fillId="0" borderId="127" xfId="26" applyFont="1" applyBorder="1" applyAlignment="1">
      <alignment horizontal="center" vertical="center" wrapText="1"/>
    </xf>
    <xf numFmtId="0" fontId="34" fillId="0" borderId="0" xfId="26" applyFont="1" applyAlignment="1">
      <alignment horizontal="left" vertical="top"/>
    </xf>
    <xf numFmtId="0" fontId="22" fillId="0" borderId="0" xfId="26" applyFont="1" applyAlignment="1">
      <alignment horizontal="left" vertical="top"/>
    </xf>
    <xf numFmtId="0" fontId="22" fillId="4" borderId="127" xfId="26" applyFont="1" applyFill="1" applyBorder="1" applyAlignment="1" applyProtection="1">
      <alignment horizontal="center" vertical="center" wrapText="1"/>
      <protection locked="0"/>
    </xf>
    <xf numFmtId="0" fontId="22" fillId="0" borderId="0" xfId="26" applyFont="1" applyAlignment="1">
      <alignment horizontal="left" vertical="top" wrapText="1"/>
    </xf>
    <xf numFmtId="2" fontId="22" fillId="4" borderId="127" xfId="26" applyNumberFormat="1" applyFont="1" applyFill="1" applyBorder="1" applyAlignment="1" applyProtection="1">
      <alignment horizontal="center" vertical="center"/>
      <protection locked="0"/>
    </xf>
    <xf numFmtId="0" fontId="22" fillId="4" borderId="127" xfId="26" applyFont="1" applyFill="1" applyBorder="1" applyAlignment="1" applyProtection="1">
      <alignment horizontal="left" vertical="top" wrapText="1"/>
      <protection locked="0"/>
    </xf>
    <xf numFmtId="0" fontId="22" fillId="4" borderId="127" xfId="26" applyFont="1" applyFill="1" applyBorder="1" applyAlignment="1" applyProtection="1">
      <alignment horizontal="left" vertical="center"/>
      <protection locked="0"/>
    </xf>
    <xf numFmtId="0" fontId="22" fillId="4" borderId="127" xfId="26" applyFont="1" applyFill="1" applyBorder="1" applyAlignment="1" applyProtection="1">
      <alignment horizontal="left" vertical="top"/>
      <protection locked="0"/>
    </xf>
    <xf numFmtId="0" fontId="22" fillId="0" borderId="127" xfId="26" applyFont="1" applyBorder="1" applyAlignment="1">
      <alignment horizontal="center" vertical="center"/>
    </xf>
    <xf numFmtId="10" fontId="22" fillId="0" borderId="0" xfId="26" applyNumberFormat="1" applyFont="1" applyAlignment="1">
      <alignment horizontal="center" vertical="center" wrapText="1"/>
    </xf>
    <xf numFmtId="0" fontId="22" fillId="0" borderId="127" xfId="26" applyFont="1" applyBorder="1" applyAlignment="1">
      <alignment horizontal="left" vertical="center" wrapText="1"/>
    </xf>
    <xf numFmtId="0" fontId="22" fillId="4" borderId="127" xfId="26" applyFont="1" applyFill="1" applyBorder="1" applyAlignment="1" applyProtection="1">
      <alignment horizontal="left" vertical="center" wrapText="1"/>
      <protection locked="0"/>
    </xf>
    <xf numFmtId="49" fontId="22" fillId="4" borderId="127" xfId="26" applyNumberFormat="1" applyFont="1" applyFill="1" applyBorder="1" applyAlignment="1" applyProtection="1">
      <alignment horizontal="left" vertical="top" wrapText="1"/>
      <protection locked="0"/>
    </xf>
    <xf numFmtId="0" fontId="23" fillId="4" borderId="127" xfId="26" applyFont="1" applyFill="1" applyBorder="1" applyAlignment="1" applyProtection="1">
      <alignment horizontal="center" vertical="center"/>
      <protection locked="0"/>
    </xf>
    <xf numFmtId="49" fontId="22" fillId="4" borderId="127" xfId="26" applyNumberFormat="1" applyFont="1" applyFill="1" applyBorder="1" applyAlignment="1" applyProtection="1">
      <alignment horizontal="center" vertical="center" wrapText="1"/>
      <protection locked="0"/>
    </xf>
    <xf numFmtId="0" fontId="22" fillId="4" borderId="127" xfId="26" applyFont="1" applyFill="1" applyBorder="1" applyAlignment="1" applyProtection="1">
      <alignment horizontal="center" vertical="top"/>
      <protection locked="0"/>
    </xf>
    <xf numFmtId="0" fontId="14" fillId="0" borderId="127" xfId="26" applyFont="1" applyBorder="1" applyAlignment="1">
      <alignment horizontal="left" vertical="center" wrapText="1"/>
    </xf>
    <xf numFmtId="0" fontId="23" fillId="0" borderId="127" xfId="26" applyFont="1" applyBorder="1" applyAlignment="1">
      <alignment horizontal="center" vertical="center"/>
    </xf>
    <xf numFmtId="0" fontId="44" fillId="4" borderId="127" xfId="26" applyFont="1" applyFill="1" applyBorder="1" applyAlignment="1" applyProtection="1">
      <alignment horizontal="left" vertical="center"/>
      <protection locked="0"/>
    </xf>
    <xf numFmtId="170" fontId="23" fillId="0" borderId="0" xfId="26" applyNumberFormat="1" applyFont="1" applyAlignment="1">
      <alignment horizontal="center" vertical="center" wrapText="1"/>
    </xf>
    <xf numFmtId="0" fontId="23" fillId="0" borderId="0" xfId="26" applyFont="1" applyAlignment="1">
      <alignment horizontal="center" vertical="center" wrapText="1"/>
    </xf>
    <xf numFmtId="0" fontId="22" fillId="0" borderId="92" xfId="26" applyFont="1" applyBorder="1" applyAlignment="1">
      <alignment horizontal="center" vertical="center"/>
    </xf>
    <xf numFmtId="2" fontId="22" fillId="4" borderId="92" xfId="26" applyNumberFormat="1" applyFont="1" applyFill="1" applyBorder="1" applyAlignment="1" applyProtection="1">
      <alignment horizontal="center" vertical="center"/>
      <protection locked="0"/>
    </xf>
    <xf numFmtId="170" fontId="22" fillId="4" borderId="127" xfId="26" applyNumberFormat="1" applyFont="1" applyFill="1" applyBorder="1" applyAlignment="1" applyProtection="1">
      <alignment horizontal="center" vertical="center" wrapText="1"/>
      <protection locked="0"/>
    </xf>
    <xf numFmtId="167" fontId="22" fillId="0" borderId="127" xfId="26" applyNumberFormat="1" applyFont="1" applyBorder="1" applyAlignment="1">
      <alignment horizontal="center" vertical="center" wrapText="1"/>
    </xf>
    <xf numFmtId="0" fontId="14" fillId="0" borderId="0" xfId="26" applyFont="1" applyAlignment="1">
      <alignment horizontal="left" vertical="center" wrapText="1"/>
    </xf>
    <xf numFmtId="0" fontId="23" fillId="4" borderId="92" xfId="26" applyFont="1" applyFill="1" applyBorder="1" applyAlignment="1" applyProtection="1">
      <alignment horizontal="center" vertical="center"/>
      <protection locked="0"/>
    </xf>
    <xf numFmtId="10" fontId="23" fillId="0" borderId="0" xfId="26" applyNumberFormat="1" applyFont="1" applyAlignment="1">
      <alignment horizontal="center" vertical="center"/>
    </xf>
    <xf numFmtId="0" fontId="22" fillId="0" borderId="0" xfId="26" applyFont="1" applyAlignment="1">
      <alignment horizontal="right" vertical="center"/>
    </xf>
    <xf numFmtId="0" fontId="23" fillId="0" borderId="127" xfId="26" applyFont="1" applyBorder="1" applyAlignment="1">
      <alignment horizontal="center" vertical="center" wrapText="1"/>
    </xf>
    <xf numFmtId="0" fontId="34" fillId="0" borderId="0" xfId="26" applyFont="1" applyAlignment="1">
      <alignment horizontal="left" vertical="center"/>
    </xf>
    <xf numFmtId="0" fontId="44" fillId="0" borderId="0" xfId="26" applyFont="1" applyAlignment="1">
      <alignment horizontal="right" vertical="center" indent="1"/>
    </xf>
    <xf numFmtId="0" fontId="23" fillId="0" borderId="87" xfId="26" applyFont="1" applyBorder="1" applyAlignment="1">
      <alignment horizontal="right" vertical="center" indent="1"/>
    </xf>
    <xf numFmtId="0" fontId="22" fillId="0" borderId="0" xfId="26" applyFont="1" applyAlignment="1">
      <alignment horizontal="center" vertical="top" wrapText="1"/>
    </xf>
    <xf numFmtId="6" fontId="22" fillId="0" borderId="127" xfId="26" applyNumberFormat="1" applyFont="1" applyBorder="1" applyAlignment="1">
      <alignment horizontal="center" vertical="center"/>
    </xf>
    <xf numFmtId="0" fontId="34" fillId="0" borderId="0" xfId="26" applyFont="1" applyAlignment="1">
      <alignment horizontal="left" vertical="center" wrapText="1"/>
    </xf>
    <xf numFmtId="0" fontId="18" fillId="0" borderId="0" xfId="26" applyFont="1" applyAlignment="1">
      <alignment horizontal="right" vertical="center"/>
    </xf>
    <xf numFmtId="0" fontId="49" fillId="0" borderId="0" xfId="26" applyFont="1" applyAlignment="1">
      <alignment horizontal="center" vertical="center"/>
    </xf>
    <xf numFmtId="0" fontId="23" fillId="0" borderId="127" xfId="26" applyFont="1" applyBorder="1" applyAlignment="1">
      <alignment vertical="center"/>
    </xf>
    <xf numFmtId="10" fontId="23" fillId="0" borderId="0" xfId="26" applyNumberFormat="1" applyFont="1" applyAlignment="1">
      <alignment horizontal="center" vertical="center" wrapText="1"/>
    </xf>
    <xf numFmtId="168" fontId="22" fillId="4" borderId="127" xfId="26" applyNumberFormat="1" applyFont="1" applyFill="1" applyBorder="1" applyAlignment="1" applyProtection="1">
      <alignment horizontal="left" vertical="center"/>
      <protection locked="0"/>
    </xf>
    <xf numFmtId="0" fontId="34" fillId="0" borderId="0" xfId="26" applyFont="1" applyAlignment="1">
      <alignment horizontal="left" vertical="top" wrapText="1"/>
    </xf>
    <xf numFmtId="0" fontId="22" fillId="4" borderId="127" xfId="26" applyFont="1" applyFill="1" applyBorder="1" applyAlignment="1" applyProtection="1">
      <alignment horizontal="left" vertical="center" indent="1"/>
      <protection locked="0"/>
    </xf>
    <xf numFmtId="0" fontId="22" fillId="4" borderId="92" xfId="26" applyFont="1" applyFill="1" applyBorder="1" applyAlignment="1" applyProtection="1">
      <alignment horizontal="center" vertical="center"/>
      <protection locked="0"/>
    </xf>
    <xf numFmtId="0" fontId="23" fillId="0" borderId="0" xfId="26" applyFont="1" applyAlignment="1">
      <alignment horizontal="left" vertical="top" wrapText="1"/>
    </xf>
    <xf numFmtId="2" fontId="23" fillId="0" borderId="0" xfId="26" applyNumberFormat="1" applyFont="1" applyAlignment="1">
      <alignment horizontal="left" vertical="center" wrapText="1"/>
    </xf>
    <xf numFmtId="0" fontId="22" fillId="4" borderId="92" xfId="26" applyFont="1" applyFill="1" applyBorder="1" applyAlignment="1" applyProtection="1">
      <alignment horizontal="left" vertical="center"/>
      <protection locked="0"/>
    </xf>
    <xf numFmtId="1" fontId="22" fillId="0" borderId="0" xfId="26" applyNumberFormat="1" applyFont="1" applyAlignment="1">
      <alignment horizontal="left" vertical="center" wrapText="1"/>
    </xf>
    <xf numFmtId="6" fontId="23" fillId="0" borderId="127" xfId="26" applyNumberFormat="1" applyFont="1" applyBorder="1" applyAlignment="1">
      <alignment horizontal="center" vertical="center" wrapText="1"/>
    </xf>
    <xf numFmtId="1" fontId="22" fillId="0" borderId="127" xfId="26" applyNumberFormat="1" applyFont="1" applyBorder="1" applyAlignment="1">
      <alignment horizontal="center" vertical="center" wrapText="1"/>
    </xf>
    <xf numFmtId="0" fontId="14" fillId="0" borderId="127" xfId="26" applyFont="1" applyBorder="1" applyAlignment="1">
      <alignment horizontal="center" vertical="center" wrapText="1"/>
    </xf>
    <xf numFmtId="0" fontId="23" fillId="0" borderId="0" xfId="26" applyFont="1" applyAlignment="1">
      <alignment horizontal="left" vertical="center" wrapText="1"/>
    </xf>
    <xf numFmtId="0" fontId="110" fillId="0" borderId="87" xfId="26" applyFont="1" applyBorder="1" applyAlignment="1">
      <alignment horizontal="right" vertical="center"/>
    </xf>
    <xf numFmtId="170" fontId="23" fillId="0" borderId="0" xfId="26" applyNumberFormat="1" applyFont="1" applyAlignment="1">
      <alignment horizontal="center" vertical="center"/>
    </xf>
    <xf numFmtId="0" fontId="23" fillId="0" borderId="0" xfId="26" applyFont="1" applyAlignment="1">
      <alignment horizontal="left" vertical="top"/>
    </xf>
    <xf numFmtId="0" fontId="22" fillId="0" borderId="0" xfId="26" applyFont="1" applyAlignment="1">
      <alignment horizontal="center" vertical="center"/>
    </xf>
    <xf numFmtId="0" fontId="110" fillId="0" borderId="0" xfId="26" applyFont="1" applyAlignment="1">
      <alignment horizontal="left" vertical="center" indent="1"/>
    </xf>
    <xf numFmtId="0" fontId="44" fillId="0" borderId="127" xfId="26" applyFont="1" applyBorder="1" applyAlignment="1">
      <alignment horizontal="left" vertical="center"/>
    </xf>
    <xf numFmtId="0" fontId="22" fillId="0" borderId="127" xfId="26" applyFont="1" applyBorder="1" applyAlignment="1">
      <alignment vertical="center" wrapText="1"/>
    </xf>
    <xf numFmtId="0" fontId="23" fillId="0" borderId="0" xfId="26" quotePrefix="1" applyFont="1" applyAlignment="1">
      <alignment horizontal="left" vertical="center"/>
    </xf>
    <xf numFmtId="0" fontId="22" fillId="6" borderId="91" xfId="26" applyFont="1" applyFill="1" applyBorder="1" applyAlignment="1">
      <alignment horizontal="center" vertical="center"/>
    </xf>
    <xf numFmtId="0" fontId="44" fillId="4" borderId="92" xfId="26" applyFont="1" applyFill="1" applyBorder="1" applyAlignment="1" applyProtection="1">
      <alignment horizontal="left" vertical="center"/>
      <protection locked="0"/>
    </xf>
    <xf numFmtId="0" fontId="22" fillId="37" borderId="127" xfId="26" applyFont="1" applyFill="1" applyBorder="1" applyAlignment="1">
      <alignment horizontal="center" vertical="center"/>
    </xf>
    <xf numFmtId="0" fontId="49" fillId="0" borderId="0" xfId="26" applyFont="1" applyAlignment="1">
      <alignment horizontal="left" vertical="top"/>
    </xf>
    <xf numFmtId="0" fontId="49" fillId="0" borderId="92" xfId="26" applyFont="1" applyBorder="1" applyAlignment="1">
      <alignment horizontal="left" vertical="center"/>
    </xf>
    <xf numFmtId="0" fontId="22" fillId="6" borderId="127" xfId="26" applyFont="1" applyFill="1" applyBorder="1" applyAlignment="1">
      <alignment vertical="center"/>
    </xf>
    <xf numFmtId="0" fontId="22" fillId="0" borderId="127" xfId="26" applyFont="1" applyBorder="1" applyAlignment="1">
      <alignment horizontal="left" vertical="center" indent="1"/>
    </xf>
    <xf numFmtId="0" fontId="62" fillId="6" borderId="127" xfId="26" applyFont="1" applyFill="1" applyBorder="1" applyAlignment="1">
      <alignment horizontal="right" vertical="top"/>
    </xf>
    <xf numFmtId="0" fontId="22" fillId="0" borderId="120" xfId="26" applyFont="1" applyBorder="1" applyAlignment="1">
      <alignment horizontal="left" vertical="top" wrapText="1"/>
    </xf>
    <xf numFmtId="0" fontId="22" fillId="0" borderId="127" xfId="26" applyFont="1" applyBorder="1" applyAlignment="1">
      <alignment horizontal="right" vertical="top" indent="1"/>
    </xf>
    <xf numFmtId="0" fontId="22" fillId="0" borderId="114" xfId="26" applyFont="1" applyBorder="1" applyAlignment="1">
      <alignment horizontal="left" vertical="top" wrapText="1"/>
    </xf>
    <xf numFmtId="0" fontId="22" fillId="6" borderId="127" xfId="26" applyFont="1" applyFill="1" applyBorder="1" applyAlignment="1">
      <alignment horizontal="left" vertical="top"/>
    </xf>
    <xf numFmtId="0" fontId="23" fillId="0" borderId="130" xfId="26" applyFont="1" applyBorder="1" applyAlignment="1">
      <alignment horizontal="center" vertical="top"/>
    </xf>
    <xf numFmtId="0" fontId="34" fillId="0" borderId="127" xfId="26" applyFont="1" applyBorder="1" applyAlignment="1">
      <alignment horizontal="left" vertical="center" wrapText="1"/>
    </xf>
    <xf numFmtId="0" fontId="22" fillId="37" borderId="127" xfId="26" applyFont="1" applyFill="1" applyBorder="1" applyAlignment="1">
      <alignment horizontal="center" vertical="center" wrapText="1"/>
    </xf>
    <xf numFmtId="2" fontId="23" fillId="0" borderId="127" xfId="26" applyNumberFormat="1" applyFont="1" applyBorder="1" applyAlignment="1">
      <alignment horizontal="center" vertical="center"/>
    </xf>
    <xf numFmtId="0" fontId="22" fillId="0" borderId="127" xfId="26" applyFont="1" applyBorder="1" applyAlignment="1">
      <alignment horizontal="left" vertical="top"/>
    </xf>
    <xf numFmtId="10" fontId="22" fillId="0" borderId="127" xfId="26" applyNumberFormat="1" applyFont="1" applyBorder="1" applyAlignment="1">
      <alignment horizontal="center" vertical="center" wrapText="1"/>
    </xf>
    <xf numFmtId="0" fontId="16" fillId="0" borderId="127" xfId="26" applyFont="1" applyBorder="1" applyAlignment="1">
      <alignment horizontal="left" vertical="center" indent="1"/>
    </xf>
    <xf numFmtId="1" fontId="22" fillId="0" borderId="114" xfId="26" applyNumberFormat="1" applyFont="1" applyBorder="1" applyAlignment="1">
      <alignment horizontal="center" vertical="center" wrapText="1"/>
    </xf>
    <xf numFmtId="0" fontId="22" fillId="0" borderId="120" xfId="26" applyFont="1" applyBorder="1" applyAlignment="1">
      <alignment horizontal="left" vertical="center" wrapText="1"/>
    </xf>
    <xf numFmtId="0" fontId="23" fillId="37" borderId="127" xfId="26" applyFont="1" applyFill="1" applyBorder="1" applyAlignment="1">
      <alignment horizontal="center" vertical="center"/>
    </xf>
    <xf numFmtId="0" fontId="23" fillId="0" borderId="127" xfId="26" applyFont="1" applyBorder="1" applyAlignment="1">
      <alignment horizontal="center" vertical="top" wrapText="1"/>
    </xf>
    <xf numFmtId="0" fontId="34" fillId="0" borderId="127" xfId="26" applyFont="1" applyBorder="1" applyAlignment="1">
      <alignment horizontal="center" vertical="center"/>
    </xf>
    <xf numFmtId="0" fontId="49" fillId="0" borderId="0" xfId="26" applyFont="1" applyAlignment="1">
      <alignment horizontal="left" vertical="center"/>
    </xf>
    <xf numFmtId="20" fontId="22" fillId="0" borderId="92" xfId="26" quotePrefix="1" applyNumberFormat="1" applyFont="1" applyBorder="1" applyAlignment="1">
      <alignment horizontal="center" vertical="center"/>
    </xf>
    <xf numFmtId="0" fontId="22" fillId="6" borderId="127" xfId="26" applyFont="1" applyFill="1" applyBorder="1" applyAlignment="1">
      <alignment vertical="center" wrapText="1"/>
    </xf>
    <xf numFmtId="0" fontId="22" fillId="6" borderId="0" xfId="26" applyFont="1" applyFill="1" applyAlignment="1">
      <alignment horizontal="left" vertical="center" wrapText="1"/>
    </xf>
    <xf numFmtId="0" fontId="22" fillId="4" borderId="127" xfId="26" applyFont="1" applyFill="1" applyBorder="1" applyAlignment="1" applyProtection="1">
      <alignment horizontal="right" vertical="top" indent="1"/>
      <protection locked="0"/>
    </xf>
    <xf numFmtId="0" fontId="14" fillId="7" borderId="129" xfId="2" applyFont="1" applyFill="1" applyBorder="1" applyAlignment="1">
      <alignment horizontal="center" vertical="center" wrapText="1"/>
    </xf>
    <xf numFmtId="10" fontId="23" fillId="0" borderId="127" xfId="26" applyNumberFormat="1" applyFont="1" applyBorder="1" applyAlignment="1">
      <alignment horizontal="center" vertical="center"/>
    </xf>
    <xf numFmtId="0" fontId="22" fillId="4" borderId="127" xfId="0" applyFont="1" applyFill="1" applyBorder="1" applyAlignment="1" applyProtection="1">
      <alignment horizontal="left" vertical="top" indent="1"/>
      <protection locked="0"/>
    </xf>
    <xf numFmtId="0" fontId="22" fillId="0" borderId="89" xfId="26" applyFont="1" applyBorder="1" applyAlignment="1">
      <alignment horizontal="left" vertical="center" wrapText="1"/>
    </xf>
    <xf numFmtId="0" fontId="22" fillId="0" borderId="0" xfId="26" applyFont="1" applyAlignment="1">
      <alignment vertical="top" wrapText="1"/>
    </xf>
    <xf numFmtId="0" fontId="22" fillId="0" borderId="127" xfId="0" applyFont="1" applyBorder="1" applyAlignment="1">
      <alignment horizontal="left" vertical="center"/>
    </xf>
    <xf numFmtId="0" fontId="23" fillId="0" borderId="127" xfId="26" applyFont="1" applyBorder="1" applyAlignment="1">
      <alignment horizontal="center" vertical="top"/>
    </xf>
    <xf numFmtId="0" fontId="110" fillId="0" borderId="127" xfId="26" applyFont="1" applyBorder="1" applyAlignment="1">
      <alignment horizontal="right" vertical="center" indent="1"/>
    </xf>
    <xf numFmtId="0" fontId="22" fillId="0" borderId="87" xfId="26" applyFont="1" applyBorder="1" applyAlignment="1">
      <alignment horizontal="left" vertical="center" wrapText="1"/>
    </xf>
    <xf numFmtId="0" fontId="22" fillId="0" borderId="127" xfId="26" applyFont="1" applyBorder="1" applyAlignment="1">
      <alignment horizontal="left" vertical="top" wrapText="1"/>
    </xf>
    <xf numFmtId="0" fontId="22" fillId="4" borderId="127" xfId="26" applyFont="1" applyFill="1" applyBorder="1" applyAlignment="1" applyProtection="1">
      <alignment horizontal="center" vertical="top" wrapText="1"/>
      <protection locked="0"/>
    </xf>
    <xf numFmtId="0" fontId="34" fillId="6" borderId="127" xfId="26" applyFont="1" applyFill="1" applyBorder="1" applyAlignment="1">
      <alignment horizontal="left" vertical="center" wrapText="1"/>
    </xf>
    <xf numFmtId="0" fontId="22" fillId="0" borderId="0" xfId="26" applyFont="1" applyAlignment="1">
      <alignment horizontal="center" vertical="top"/>
    </xf>
    <xf numFmtId="2" fontId="22" fillId="0" borderId="127" xfId="26" applyNumberFormat="1" applyFont="1" applyBorder="1" applyAlignment="1">
      <alignment horizontal="center" vertical="center"/>
    </xf>
    <xf numFmtId="0" fontId="22" fillId="6" borderId="0" xfId="26" applyFont="1" applyFill="1" applyAlignment="1">
      <alignment horizontal="left" vertical="top" wrapText="1"/>
    </xf>
    <xf numFmtId="1" fontId="22" fillId="0" borderId="127" xfId="26" applyNumberFormat="1" applyFont="1" applyBorder="1" applyAlignment="1">
      <alignment horizontal="center" vertical="center"/>
    </xf>
    <xf numFmtId="0" fontId="23" fillId="0" borderId="127" xfId="26" applyFont="1" applyBorder="1" applyAlignment="1">
      <alignment horizontal="left" vertical="top" wrapText="1"/>
    </xf>
    <xf numFmtId="0" fontId="14" fillId="4" borderId="127" xfId="188" applyFont="1" applyFill="1" applyBorder="1" applyAlignment="1" applyProtection="1">
      <alignment horizontal="left" vertical="top" wrapText="1"/>
      <protection locked="0"/>
    </xf>
    <xf numFmtId="0" fontId="14" fillId="37" borderId="127" xfId="26" applyFont="1" applyFill="1" applyBorder="1" applyAlignment="1">
      <alignment horizontal="center" vertical="center"/>
    </xf>
    <xf numFmtId="0" fontId="22" fillId="4" borderId="127" xfId="1" applyFill="1" applyBorder="1" applyAlignment="1" applyProtection="1">
      <alignment horizontal="center" vertical="center" wrapText="1"/>
      <protection locked="0"/>
    </xf>
    <xf numFmtId="170" fontId="22" fillId="0" borderId="127" xfId="26" applyNumberFormat="1" applyFont="1" applyBorder="1" applyAlignment="1">
      <alignment horizontal="center" vertical="center" wrapText="1"/>
    </xf>
    <xf numFmtId="0" fontId="22" fillId="4" borderId="127" xfId="26" applyFont="1" applyFill="1" applyBorder="1" applyAlignment="1" applyProtection="1">
      <alignment horizontal="left" vertical="top" indent="1"/>
      <protection locked="0"/>
    </xf>
    <xf numFmtId="0" fontId="44" fillId="4" borderId="127" xfId="26" applyFont="1" applyFill="1" applyBorder="1" applyAlignment="1" applyProtection="1">
      <alignment horizontal="left" vertical="center" indent="1"/>
      <protection locked="0"/>
    </xf>
    <xf numFmtId="0" fontId="49" fillId="0" borderId="0" xfId="26" applyFont="1" applyAlignment="1">
      <alignment horizontal="left" vertical="center" wrapText="1"/>
    </xf>
    <xf numFmtId="0" fontId="22" fillId="0" borderId="114" xfId="26" applyFont="1" applyBorder="1" applyAlignment="1">
      <alignment horizontal="left" vertical="top"/>
    </xf>
    <xf numFmtId="0" fontId="49" fillId="0" borderId="0" xfId="26" applyFont="1" applyAlignment="1">
      <alignment vertical="top" wrapText="1"/>
    </xf>
    <xf numFmtId="0" fontId="23" fillId="0" borderId="127" xfId="26" applyFont="1" applyBorder="1" applyAlignment="1">
      <alignment horizontal="right" vertical="center" indent="1"/>
    </xf>
    <xf numFmtId="172" fontId="22" fillId="4" borderId="127" xfId="0" applyNumberFormat="1" applyFont="1" applyFill="1" applyBorder="1" applyAlignment="1" applyProtection="1">
      <alignment horizontal="left" vertical="top"/>
      <protection locked="0"/>
    </xf>
    <xf numFmtId="0" fontId="23" fillId="0" borderId="120" xfId="0" applyFont="1" applyBorder="1" applyAlignment="1">
      <alignment horizontal="left" vertical="center" wrapText="1"/>
    </xf>
    <xf numFmtId="0" fontId="23" fillId="0" borderId="114" xfId="26" applyFont="1" applyBorder="1" applyAlignment="1">
      <alignment horizontal="center" vertical="center" wrapText="1"/>
    </xf>
    <xf numFmtId="0" fontId="23" fillId="0" borderId="127" xfId="26" applyFont="1" applyBorder="1" applyAlignment="1">
      <alignment horizontal="left" vertical="center"/>
    </xf>
    <xf numFmtId="0" fontId="23" fillId="0" borderId="114" xfId="26" applyFont="1" applyBorder="1" applyAlignment="1">
      <alignment horizontal="center" vertical="center"/>
    </xf>
    <xf numFmtId="0" fontId="14" fillId="6" borderId="0" xfId="26" applyFont="1" applyFill="1" applyAlignment="1">
      <alignment horizontal="left" vertical="center" wrapText="1"/>
    </xf>
    <xf numFmtId="0" fontId="14" fillId="0" borderId="127" xfId="188" applyFont="1" applyBorder="1" applyAlignment="1">
      <alignment horizontal="left" vertical="center" wrapText="1"/>
    </xf>
    <xf numFmtId="0" fontId="22" fillId="7" borderId="127" xfId="1" applyFill="1" applyBorder="1" applyAlignment="1">
      <alignment horizontal="left" vertical="center" wrapText="1" indent="1"/>
    </xf>
    <xf numFmtId="0" fontId="22" fillId="0" borderId="127" xfId="26" applyFont="1" applyBorder="1" applyAlignment="1">
      <alignment horizontal="right" vertical="center" indent="1"/>
    </xf>
    <xf numFmtId="0" fontId="14" fillId="0" borderId="0" xfId="26" applyFont="1" applyAlignment="1">
      <alignment horizontal="left" vertical="top" wrapText="1"/>
    </xf>
    <xf numFmtId="0" fontId="49" fillId="0" borderId="0" xfId="26" applyFont="1" applyAlignment="1">
      <alignment horizontal="left" vertical="top" wrapText="1"/>
    </xf>
    <xf numFmtId="0" fontId="23" fillId="0" borderId="127" xfId="26" applyFont="1" applyBorder="1" applyAlignment="1">
      <alignment horizontal="left" vertical="center" wrapText="1"/>
    </xf>
    <xf numFmtId="0" fontId="34" fillId="6" borderId="127" xfId="188" applyFont="1" applyFill="1" applyBorder="1" applyAlignment="1">
      <alignment horizontal="left" vertical="center" wrapText="1"/>
    </xf>
    <xf numFmtId="0" fontId="23" fillId="0" borderId="127" xfId="26" applyFont="1" applyBorder="1" applyAlignment="1">
      <alignment horizontal="right" vertical="center"/>
    </xf>
    <xf numFmtId="0" fontId="23" fillId="37" borderId="92" xfId="26" applyFont="1" applyFill="1" applyBorder="1" applyAlignment="1">
      <alignment horizontal="center" vertical="center"/>
    </xf>
    <xf numFmtId="1" fontId="23" fillId="0" borderId="127" xfId="26" applyNumberFormat="1" applyFont="1" applyBorder="1" applyAlignment="1">
      <alignment horizontal="center" vertical="center"/>
    </xf>
    <xf numFmtId="170" fontId="23" fillId="0" borderId="127" xfId="26" applyNumberFormat="1" applyFont="1" applyBorder="1" applyAlignment="1">
      <alignment horizontal="center" vertical="center"/>
    </xf>
    <xf numFmtId="0" fontId="22" fillId="6" borderId="129" xfId="26" applyFont="1" applyFill="1" applyBorder="1" applyAlignment="1">
      <alignment horizontal="left" vertical="center" wrapText="1"/>
    </xf>
    <xf numFmtId="0" fontId="44" fillId="0" borderId="127" xfId="26" applyFont="1" applyBorder="1" applyAlignment="1">
      <alignment horizontal="center" vertical="top"/>
    </xf>
    <xf numFmtId="0" fontId="22" fillId="6" borderId="0" xfId="26" applyFont="1" applyFill="1" applyAlignment="1">
      <alignment horizontal="left" vertical="top"/>
    </xf>
    <xf numFmtId="14" fontId="22" fillId="4" borderId="127" xfId="189" applyNumberFormat="1" applyFont="1" applyFill="1" applyBorder="1" applyAlignment="1" applyProtection="1">
      <alignment horizontal="center" vertical="top"/>
      <protection locked="0"/>
    </xf>
    <xf numFmtId="0" fontId="34" fillId="0" borderId="127" xfId="188" applyFont="1" applyBorder="1" applyAlignment="1">
      <alignment horizontal="center" vertical="center" wrapText="1"/>
    </xf>
    <xf numFmtId="170" fontId="23" fillId="0" borderId="127" xfId="26" applyNumberFormat="1" applyFont="1" applyBorder="1" applyAlignment="1">
      <alignment horizontal="center" vertical="center" wrapText="1"/>
    </xf>
    <xf numFmtId="0" fontId="22" fillId="0" borderId="120" xfId="26" applyFont="1" applyBorder="1" applyAlignment="1">
      <alignment horizontal="left" vertical="center"/>
    </xf>
    <xf numFmtId="0" fontId="22" fillId="0" borderId="114" xfId="26" applyFont="1" applyBorder="1" applyAlignment="1">
      <alignment horizontal="center" vertical="center"/>
    </xf>
    <xf numFmtId="0" fontId="22" fillId="0" borderId="0" xfId="26" applyFont="1" applyAlignment="1">
      <alignment horizontal="center" vertical="center" wrapText="1"/>
    </xf>
    <xf numFmtId="0" fontId="22" fillId="4" borderId="127" xfId="26" applyFont="1" applyFill="1" applyBorder="1" applyAlignment="1" applyProtection="1">
      <alignment horizontal="left" vertical="center" wrapText="1" indent="1"/>
      <protection locked="0"/>
    </xf>
    <xf numFmtId="0" fontId="22" fillId="0" borderId="0" xfId="187" applyNumberFormat="1" applyFont="1" applyAlignment="1">
      <alignment horizontal="left" vertical="center" wrapText="1"/>
    </xf>
    <xf numFmtId="0" fontId="22" fillId="37" borderId="129" xfId="26" applyFont="1" applyFill="1" applyBorder="1" applyAlignment="1">
      <alignment horizontal="center" vertical="center" wrapText="1"/>
    </xf>
    <xf numFmtId="0" fontId="14" fillId="4" borderId="127" xfId="26" applyFont="1" applyFill="1" applyBorder="1" applyAlignment="1" applyProtection="1">
      <alignment horizontal="left" vertical="center" wrapText="1"/>
      <protection locked="0"/>
    </xf>
    <xf numFmtId="0" fontId="22" fillId="0" borderId="114" xfId="189" applyFont="1" applyBorder="1" applyAlignment="1">
      <alignment horizontal="center" vertical="top"/>
    </xf>
    <xf numFmtId="0" fontId="14" fillId="0" borderId="127" xfId="26" applyFont="1" applyBorder="1" applyAlignment="1">
      <alignment horizontal="left" vertical="center"/>
    </xf>
    <xf numFmtId="0" fontId="49" fillId="0" borderId="0" xfId="26" applyFont="1" applyAlignment="1">
      <alignment horizontal="center" vertical="top"/>
    </xf>
    <xf numFmtId="0" fontId="22" fillId="0" borderId="127" xfId="26" applyFont="1" applyBorder="1" applyAlignment="1">
      <alignment vertical="center"/>
    </xf>
    <xf numFmtId="0" fontId="44" fillId="0" borderId="127" xfId="26" applyFont="1" applyBorder="1" applyAlignment="1">
      <alignment horizontal="center" vertical="center"/>
    </xf>
    <xf numFmtId="0" fontId="14" fillId="6" borderId="127" xfId="26" applyFont="1" applyFill="1" applyBorder="1" applyAlignment="1">
      <alignment horizontal="left" vertical="center" wrapText="1"/>
    </xf>
    <xf numFmtId="0" fontId="14" fillId="6" borderId="0" xfId="26" applyFont="1" applyFill="1" applyAlignment="1">
      <alignment horizontal="left" vertical="top" wrapText="1"/>
    </xf>
    <xf numFmtId="0" fontId="22" fillId="0" borderId="92" xfId="26" quotePrefix="1" applyFont="1" applyBorder="1" applyAlignment="1">
      <alignment horizontal="center" vertical="center"/>
    </xf>
    <xf numFmtId="0" fontId="22" fillId="4" borderId="127" xfId="0" applyFont="1" applyFill="1" applyBorder="1" applyAlignment="1" applyProtection="1">
      <alignment horizontal="left" vertical="top"/>
      <protection locked="0"/>
    </xf>
    <xf numFmtId="0" fontId="57" fillId="0" borderId="0" xfId="26" applyFont="1" applyAlignment="1">
      <alignment horizontal="center" vertical="center"/>
    </xf>
    <xf numFmtId="0" fontId="34" fillId="0" borderId="0" xfId="26" applyFont="1"/>
    <xf numFmtId="0" fontId="50" fillId="4" borderId="127" xfId="26" applyFont="1" applyFill="1" applyBorder="1" applyAlignment="1" applyProtection="1">
      <alignment horizontal="center" vertical="top"/>
      <protection locked="0"/>
    </xf>
    <xf numFmtId="0" fontId="14" fillId="0" borderId="0" xfId="26" quotePrefix="1" applyFont="1" applyAlignment="1">
      <alignment horizontal="left" vertical="center" wrapText="1"/>
    </xf>
    <xf numFmtId="0" fontId="22" fillId="7" borderId="129" xfId="1" applyFill="1" applyBorder="1" applyAlignment="1">
      <alignment horizontal="left" vertical="center" wrapText="1" indent="1"/>
    </xf>
    <xf numFmtId="0" fontId="23" fillId="0" borderId="92" xfId="129" applyFont="1" applyBorder="1" applyAlignment="1">
      <alignment horizontal="left" vertical="center" wrapText="1"/>
    </xf>
    <xf numFmtId="0" fontId="22" fillId="6" borderId="127" xfId="26" applyFont="1" applyFill="1" applyBorder="1" applyAlignment="1">
      <alignment horizontal="left" vertical="center"/>
    </xf>
    <xf numFmtId="170" fontId="22" fillId="0" borderId="127" xfId="26" applyNumberFormat="1" applyFont="1" applyBorder="1" applyAlignment="1">
      <alignment horizontal="center" vertical="center"/>
    </xf>
    <xf numFmtId="0" fontId="49" fillId="6" borderId="0" xfId="26" applyFont="1" applyFill="1" applyAlignment="1">
      <alignment horizontal="left" vertical="center" wrapText="1"/>
    </xf>
    <xf numFmtId="0" fontId="22" fillId="0" borderId="150" xfId="26" applyFont="1" applyBorder="1" applyAlignment="1">
      <alignment horizontal="left" vertical="center" wrapText="1"/>
    </xf>
    <xf numFmtId="0" fontId="22" fillId="6" borderId="127" xfId="26" applyFont="1" applyFill="1" applyBorder="1" applyAlignment="1">
      <alignment horizontal="center" vertical="center" wrapText="1"/>
    </xf>
    <xf numFmtId="0" fontId="22" fillId="0" borderId="0" xfId="26" quotePrefix="1" applyFont="1" applyAlignment="1">
      <alignment horizontal="left" vertical="center" wrapText="1"/>
    </xf>
    <xf numFmtId="0" fontId="34" fillId="0" borderId="127" xfId="188" applyFont="1" applyBorder="1" applyAlignment="1">
      <alignment horizontal="left" vertical="center" wrapText="1"/>
    </xf>
    <xf numFmtId="0" fontId="22" fillId="4" borderId="127" xfId="26" applyFont="1" applyFill="1" applyBorder="1" applyAlignment="1" applyProtection="1">
      <alignment horizontal="left" vertical="top" wrapText="1" indent="1"/>
      <protection locked="0"/>
    </xf>
    <xf numFmtId="10" fontId="23" fillId="0" borderId="127" xfId="26" applyNumberFormat="1" applyFont="1" applyBorder="1" applyAlignment="1">
      <alignment horizontal="center" vertical="center" wrapText="1"/>
    </xf>
    <xf numFmtId="0" fontId="22" fillId="0" borderId="120" xfId="26" applyFont="1" applyBorder="1" applyAlignment="1">
      <alignment vertical="top" wrapText="1"/>
    </xf>
    <xf numFmtId="0" fontId="22" fillId="0" borderId="92" xfId="26" applyFont="1" applyBorder="1" applyAlignment="1">
      <alignment horizontal="left" vertical="center" wrapText="1"/>
    </xf>
    <xf numFmtId="0" fontId="22" fillId="4" borderId="114" xfId="26" applyFont="1" applyFill="1" applyBorder="1" applyAlignment="1" applyProtection="1">
      <alignment horizontal="center" vertical="center"/>
      <protection locked="0"/>
    </xf>
    <xf numFmtId="0" fontId="22" fillId="37" borderId="92" xfId="26" applyFont="1" applyFill="1" applyBorder="1" applyAlignment="1">
      <alignment horizontal="center" vertical="center"/>
    </xf>
    <xf numFmtId="0" fontId="44" fillId="0" borderId="0" xfId="26" applyFont="1" applyAlignment="1">
      <alignment horizontal="left" vertical="center" wrapText="1" indent="1"/>
    </xf>
    <xf numFmtId="0" fontId="23" fillId="0" borderId="92" xfId="26" applyFont="1" applyBorder="1" applyAlignment="1">
      <alignment horizontal="center" vertical="top"/>
    </xf>
    <xf numFmtId="0" fontId="22" fillId="6" borderId="92" xfId="26" applyFont="1" applyFill="1" applyBorder="1" applyAlignment="1">
      <alignment vertical="center"/>
    </xf>
    <xf numFmtId="0" fontId="23" fillId="37" borderId="127" xfId="26" applyFont="1" applyFill="1" applyBorder="1" applyAlignment="1">
      <alignment horizontal="center" vertical="top" wrapText="1"/>
    </xf>
    <xf numFmtId="0" fontId="22" fillId="0" borderId="91" xfId="26" applyFont="1" applyBorder="1" applyAlignment="1">
      <alignment horizontal="center" vertical="center" wrapText="1"/>
    </xf>
    <xf numFmtId="0" fontId="14" fillId="4" borderId="127" xfId="0" applyFont="1" applyFill="1" applyBorder="1" applyAlignment="1" applyProtection="1">
      <alignment horizontal="left" vertical="center" wrapText="1"/>
      <protection locked="0"/>
    </xf>
    <xf numFmtId="0" fontId="22" fillId="0" borderId="0" xfId="8" quotePrefix="1" applyAlignment="1">
      <alignment horizontal="left" vertical="center" wrapText="1"/>
    </xf>
    <xf numFmtId="0" fontId="98" fillId="0" borderId="0" xfId="0" applyFont="1" applyAlignment="1">
      <alignment vertical="center"/>
    </xf>
    <xf numFmtId="0" fontId="14" fillId="0" borderId="89" xfId="0" applyFont="1" applyBorder="1" applyAlignment="1">
      <alignment vertical="center" wrapText="1"/>
    </xf>
    <xf numFmtId="0" fontId="45" fillId="0" borderId="0" xfId="0" applyFont="1" applyAlignment="1">
      <alignment horizontal="left" vertical="center"/>
    </xf>
    <xf numFmtId="0" fontId="14" fillId="0" borderId="90" xfId="0" applyFont="1" applyBorder="1" applyAlignment="1">
      <alignment horizontal="left" vertical="center" wrapText="1"/>
    </xf>
    <xf numFmtId="0" fontId="103" fillId="6" borderId="0" xfId="0" applyFont="1" applyFill="1" applyAlignment="1">
      <alignment horizontal="left" vertical="center"/>
    </xf>
    <xf numFmtId="9" fontId="14" fillId="0" borderId="127" xfId="0" applyNumberFormat="1" applyFont="1" applyBorder="1" applyAlignment="1">
      <alignment horizontal="center" vertical="center"/>
    </xf>
    <xf numFmtId="0" fontId="10" fillId="0" borderId="0" xfId="4" applyAlignment="1" applyProtection="1">
      <alignment horizontal="left" vertical="center"/>
    </xf>
    <xf numFmtId="0" fontId="22" fillId="0" borderId="0" xfId="8" quotePrefix="1">
      <alignment horizontal="left" vertical="center"/>
    </xf>
    <xf numFmtId="0" fontId="98" fillId="0" borderId="0" xfId="0" applyFont="1" applyAlignment="1">
      <alignment horizontal="left" vertical="center"/>
    </xf>
    <xf numFmtId="0" fontId="57" fillId="6" borderId="90" xfId="0" applyFont="1" applyFill="1" applyBorder="1" applyAlignment="1">
      <alignment horizontal="center" vertical="center"/>
    </xf>
    <xf numFmtId="0" fontId="14" fillId="0" borderId="2" xfId="0" applyFont="1" applyBorder="1" applyAlignment="1">
      <alignment horizontal="left" vertical="center" wrapText="1"/>
    </xf>
    <xf numFmtId="0" fontId="22" fillId="6" borderId="89" xfId="8" applyFill="1" applyBorder="1" applyAlignment="1">
      <alignment horizontal="left" vertical="center" wrapText="1"/>
    </xf>
    <xf numFmtId="0" fontId="49" fillId="48" borderId="131" xfId="0" applyFont="1" applyFill="1" applyBorder="1" applyAlignment="1">
      <alignment horizontal="center" vertical="center"/>
    </xf>
    <xf numFmtId="0" fontId="0" fillId="0" borderId="38" xfId="0" applyBorder="1"/>
    <xf numFmtId="0" fontId="0" fillId="0" borderId="39" xfId="0" applyBorder="1"/>
    <xf numFmtId="0" fontId="14" fillId="6" borderId="89" xfId="73" applyFont="1" applyFill="1" applyBorder="1" applyAlignment="1">
      <alignment horizontal="left" vertical="center" wrapText="1"/>
    </xf>
    <xf numFmtId="0" fontId="14" fillId="0" borderId="87" xfId="0" applyFont="1" applyBorder="1" applyAlignment="1">
      <alignment horizontal="center" vertical="center" wrapText="1"/>
    </xf>
    <xf numFmtId="0" fontId="14" fillId="6" borderId="89" xfId="0" applyFont="1" applyFill="1" applyBorder="1" applyAlignment="1">
      <alignment horizontal="left" vertical="top" wrapText="1" indent="1"/>
    </xf>
    <xf numFmtId="170" fontId="22" fillId="0" borderId="0" xfId="26" applyNumberFormat="1" applyFont="1" applyAlignment="1">
      <alignment horizontal="left" vertical="center" wrapText="1"/>
    </xf>
    <xf numFmtId="0" fontId="22" fillId="4" borderId="129" xfId="26" applyFont="1" applyFill="1" applyBorder="1" applyAlignment="1" applyProtection="1">
      <alignment horizontal="center" vertical="center" wrapText="1"/>
      <protection locked="0"/>
    </xf>
    <xf numFmtId="0" fontId="57" fillId="0" borderId="0" xfId="8" applyFont="1" applyAlignment="1">
      <alignment horizontal="center" vertical="top" wrapText="1"/>
    </xf>
    <xf numFmtId="0" fontId="34" fillId="0" borderId="0" xfId="26" applyFont="1" applyAlignment="1">
      <alignment wrapText="1"/>
    </xf>
    <xf numFmtId="2" fontId="22" fillId="4" borderId="127" xfId="26" applyNumberFormat="1" applyFont="1" applyFill="1" applyBorder="1" applyAlignment="1" applyProtection="1">
      <alignment horizontal="center" vertical="center" wrapText="1"/>
      <protection locked="0"/>
    </xf>
    <xf numFmtId="0" fontId="22" fillId="0" borderId="127" xfId="26" applyFont="1" applyBorder="1" applyAlignment="1">
      <alignment horizontal="left" vertical="center" wrapText="1" indent="1"/>
    </xf>
    <xf numFmtId="0" fontId="22" fillId="0" borderId="129" xfId="26" applyFont="1" applyBorder="1" applyAlignment="1">
      <alignment horizontal="center" vertical="center" wrapText="1"/>
    </xf>
    <xf numFmtId="0" fontId="49" fillId="6" borderId="0" xfId="26" applyFont="1" applyFill="1" applyAlignment="1">
      <alignment vertical="center" wrapText="1"/>
    </xf>
    <xf numFmtId="0" fontId="14" fillId="16" borderId="127" xfId="188" applyFont="1" applyFill="1" applyBorder="1" applyAlignment="1" applyProtection="1">
      <alignment horizontal="left" vertical="top" wrapText="1"/>
      <protection locked="0"/>
    </xf>
    <xf numFmtId="0" fontId="14" fillId="7" borderId="7" xfId="191" applyFont="1" applyFill="1" applyAlignment="1">
      <alignment horizontal="center" vertical="center" wrapText="1"/>
    </xf>
    <xf numFmtId="1" fontId="22" fillId="4" borderId="127" xfId="26" applyNumberFormat="1" applyFont="1" applyFill="1" applyBorder="1" applyAlignment="1" applyProtection="1">
      <alignment horizontal="center" vertical="center" wrapText="1"/>
      <protection locked="0"/>
    </xf>
    <xf numFmtId="0" fontId="81" fillId="24" borderId="0" xfId="188" applyFont="1" applyFill="1" applyAlignment="1">
      <alignment horizontal="center" vertical="center" wrapText="1"/>
    </xf>
    <xf numFmtId="0" fontId="110" fillId="0" borderId="127" xfId="26" applyFont="1" applyBorder="1" applyAlignment="1">
      <alignment horizontal="right" vertical="center" wrapText="1"/>
    </xf>
    <xf numFmtId="0" fontId="44" fillId="4" borderId="127" xfId="26" applyFont="1" applyFill="1" applyBorder="1" applyAlignment="1" applyProtection="1">
      <alignment horizontal="left" vertical="center" wrapText="1"/>
      <protection locked="0"/>
    </xf>
    <xf numFmtId="0" fontId="22" fillId="0" borderId="127" xfId="188" applyFont="1" applyBorder="1" applyAlignment="1">
      <alignment horizontal="center" vertical="center" wrapText="1"/>
    </xf>
    <xf numFmtId="178" fontId="23" fillId="0" borderId="127" xfId="26" applyNumberFormat="1" applyFont="1" applyBorder="1" applyAlignment="1">
      <alignment horizontal="center" vertical="center" wrapText="1"/>
    </xf>
    <xf numFmtId="0" fontId="22" fillId="0" borderId="127" xfId="26" applyFont="1" applyBorder="1" applyAlignment="1">
      <alignment horizontal="center" vertical="top" wrapText="1"/>
    </xf>
    <xf numFmtId="43" fontId="22" fillId="4" borderId="127" xfId="187" applyFont="1" applyFill="1" applyBorder="1" applyAlignment="1" applyProtection="1">
      <alignment horizontal="center" vertical="center" wrapText="1"/>
      <protection locked="0"/>
    </xf>
    <xf numFmtId="0" fontId="118" fillId="0" borderId="0" xfId="190" applyFont="1" applyAlignment="1">
      <alignment horizontal="left" vertical="center" wrapText="1"/>
    </xf>
    <xf numFmtId="0" fontId="22" fillId="4" borderId="129" xfId="26" applyFont="1" applyFill="1" applyBorder="1" applyAlignment="1" applyProtection="1">
      <alignment horizontal="left" vertical="center" wrapText="1"/>
      <protection locked="0"/>
    </xf>
    <xf numFmtId="0" fontId="22" fillId="0" borderId="127" xfId="26" quotePrefix="1" applyFont="1" applyBorder="1" applyAlignment="1">
      <alignment horizontal="center" vertical="center" wrapText="1"/>
    </xf>
    <xf numFmtId="0" fontId="14" fillId="0" borderId="0" xfId="188" applyFont="1" applyAlignment="1">
      <alignment horizontal="left" vertical="center" wrapText="1"/>
    </xf>
    <xf numFmtId="0" fontId="14" fillId="0" borderId="0" xfId="188" applyFont="1" applyAlignment="1">
      <alignment vertical="top" wrapText="1"/>
    </xf>
    <xf numFmtId="0" fontId="14" fillId="0" borderId="127" xfId="26" applyFont="1" applyBorder="1" applyAlignment="1">
      <alignment horizontal="center" vertical="center" wrapText="1" shrinkToFit="1"/>
    </xf>
    <xf numFmtId="0" fontId="14" fillId="0" borderId="127" xfId="26" applyFont="1" applyBorder="1" applyAlignment="1">
      <alignment horizontal="left" vertical="top" wrapText="1"/>
    </xf>
    <xf numFmtId="0" fontId="23" fillId="12" borderId="127" xfId="26" applyFont="1" applyFill="1" applyBorder="1" applyAlignment="1">
      <alignment horizontal="center" vertical="center" wrapText="1"/>
    </xf>
    <xf numFmtId="0" fontId="34" fillId="12" borderId="127" xfId="26" applyFont="1" applyFill="1" applyBorder="1" applyAlignment="1">
      <alignment horizontal="center" vertical="center" wrapText="1"/>
    </xf>
    <xf numFmtId="0" fontId="23" fillId="4" borderId="127" xfId="26" applyFont="1" applyFill="1" applyBorder="1" applyAlignment="1" applyProtection="1">
      <alignment horizontal="left" vertical="center" wrapText="1"/>
      <protection locked="0"/>
    </xf>
    <xf numFmtId="0" fontId="49" fillId="0" borderId="0" xfId="26" applyFont="1" applyAlignment="1">
      <alignment vertical="center" wrapText="1"/>
    </xf>
    <xf numFmtId="0" fontId="23" fillId="6" borderId="127" xfId="26" applyFont="1" applyFill="1" applyBorder="1" applyAlignment="1">
      <alignment horizontal="left" vertical="center" wrapText="1"/>
    </xf>
    <xf numFmtId="0" fontId="22" fillId="7" borderId="7" xfId="45" applyFill="1" applyAlignment="1">
      <alignment horizontal="left" vertical="center" wrapText="1" indent="2"/>
    </xf>
    <xf numFmtId="0" fontId="44" fillId="0" borderId="127" xfId="26" applyFont="1" applyBorder="1" applyAlignment="1">
      <alignment horizontal="left" vertical="center" wrapText="1"/>
    </xf>
    <xf numFmtId="0" fontId="44" fillId="0" borderId="0" xfId="26" applyFont="1" applyAlignment="1">
      <alignment horizontal="left" vertical="center" wrapText="1"/>
    </xf>
    <xf numFmtId="0" fontId="23" fillId="0" borderId="0" xfId="26" applyFont="1" applyAlignment="1">
      <alignment horizontal="center" vertical="top" wrapText="1"/>
    </xf>
    <xf numFmtId="0" fontId="22" fillId="4" borderId="129" xfId="26" applyFont="1" applyFill="1" applyBorder="1" applyAlignment="1" applyProtection="1">
      <alignment horizontal="left" vertical="top" wrapText="1"/>
      <protection locked="0"/>
    </xf>
    <xf numFmtId="0" fontId="14" fillId="0" borderId="7" xfId="191" applyFont="1" applyFill="1">
      <alignment horizontal="left" vertical="center" wrapText="1"/>
    </xf>
    <xf numFmtId="168" fontId="16" fillId="0" borderId="0" xfId="26" applyNumberFormat="1" applyFont="1" applyAlignment="1">
      <alignment horizontal="center" vertical="center" wrapText="1"/>
    </xf>
    <xf numFmtId="0" fontId="23" fillId="0" borderId="127" xfId="26" applyFont="1" applyBorder="1" applyAlignment="1">
      <alignment horizontal="right" vertical="center" wrapText="1"/>
    </xf>
    <xf numFmtId="0" fontId="23" fillId="0" borderId="127" xfId="26" applyFont="1" applyBorder="1" applyAlignment="1">
      <alignment horizontal="center" vertical="center" wrapText="1" shrinkToFit="1"/>
    </xf>
    <xf numFmtId="0" fontId="22" fillId="7" borderId="7" xfId="45" applyFill="1">
      <alignment horizontal="left" vertical="center" wrapText="1"/>
    </xf>
    <xf numFmtId="0" fontId="14" fillId="16" borderId="127" xfId="188" applyFont="1" applyFill="1" applyBorder="1" applyAlignment="1" applyProtection="1">
      <alignment vertical="top" wrapText="1"/>
      <protection locked="0"/>
    </xf>
    <xf numFmtId="20" fontId="22" fillId="0" borderId="127" xfId="26" quotePrefix="1" applyNumberFormat="1" applyFont="1" applyBorder="1" applyAlignment="1">
      <alignment horizontal="center" vertical="center" wrapText="1"/>
    </xf>
    <xf numFmtId="2" fontId="23" fillId="0" borderId="127" xfId="26" applyNumberFormat="1" applyFont="1" applyBorder="1" applyAlignment="1">
      <alignment horizontal="center" vertical="center" wrapText="1"/>
    </xf>
    <xf numFmtId="1" fontId="22" fillId="4" borderId="127" xfId="26" applyNumberFormat="1" applyFont="1" applyFill="1" applyBorder="1" applyAlignment="1" applyProtection="1">
      <alignment horizontal="center" vertical="top" wrapText="1"/>
      <protection locked="0"/>
    </xf>
    <xf numFmtId="0" fontId="14" fillId="4" borderId="7" xfId="191" applyFont="1" applyFill="1" applyAlignment="1" applyProtection="1">
      <alignment horizontal="left" vertical="top" wrapText="1"/>
      <protection locked="0"/>
    </xf>
    <xf numFmtId="0" fontId="14" fillId="7" borderId="127" xfId="2" applyFont="1" applyFill="1" applyBorder="1" applyAlignment="1">
      <alignment horizontal="center" vertical="center" wrapText="1"/>
    </xf>
    <xf numFmtId="0" fontId="22" fillId="6" borderId="127" xfId="26" applyFont="1" applyFill="1" applyBorder="1" applyAlignment="1">
      <alignment horizontal="left" vertical="center" wrapText="1"/>
    </xf>
    <xf numFmtId="0" fontId="22" fillId="4" borderId="91" xfId="26" applyFont="1" applyFill="1" applyBorder="1" applyAlignment="1" applyProtection="1">
      <alignment horizontal="left" vertical="top" wrapText="1"/>
      <protection locked="0"/>
    </xf>
    <xf numFmtId="0" fontId="31" fillId="6" borderId="0" xfId="0" applyFont="1" applyFill="1" applyAlignment="1">
      <alignment horizontal="center" vertical="center" wrapText="1"/>
    </xf>
    <xf numFmtId="0" fontId="9" fillId="0" borderId="0" xfId="0" applyFont="1"/>
    <xf numFmtId="0" fontId="51" fillId="14" borderId="127" xfId="17" applyFont="1" applyFill="1" applyBorder="1" applyAlignment="1">
      <alignment horizontal="center" vertical="center" wrapText="1"/>
      <protection locked="0"/>
    </xf>
    <xf numFmtId="0" fontId="51" fillId="0" borderId="127" xfId="0" applyFont="1" applyBorder="1" applyAlignment="1">
      <alignment horizontal="left" vertical="center" wrapText="1"/>
    </xf>
    <xf numFmtId="0" fontId="50" fillId="0" borderId="127" xfId="0" applyFont="1" applyBorder="1" applyAlignment="1">
      <alignment horizontal="center" vertical="center" wrapText="1"/>
    </xf>
    <xf numFmtId="0" fontId="45" fillId="0" borderId="0" xfId="0" applyFont="1" applyAlignment="1">
      <alignment horizontal="left" vertical="center" wrapText="1"/>
    </xf>
    <xf numFmtId="0" fontId="51" fillId="0" borderId="127" xfId="0" applyFont="1" applyBorder="1" applyAlignment="1">
      <alignment vertical="center" wrapText="1"/>
    </xf>
    <xf numFmtId="0" fontId="34" fillId="0" borderId="127" xfId="0" applyFont="1" applyBorder="1" applyAlignment="1">
      <alignment vertical="center" wrapText="1"/>
    </xf>
    <xf numFmtId="0" fontId="51" fillId="0" borderId="91" xfId="0" applyFont="1" applyBorder="1" applyAlignment="1">
      <alignment vertical="center" wrapText="1"/>
    </xf>
    <xf numFmtId="0" fontId="51" fillId="0" borderId="127" xfId="17" applyFont="1" applyFill="1" applyBorder="1" applyAlignment="1" applyProtection="1">
      <alignment horizontal="center" vertical="center" wrapText="1"/>
    </xf>
    <xf numFmtId="0" fontId="14" fillId="4" borderId="127" xfId="26" applyFont="1" applyFill="1" applyBorder="1" applyAlignment="1" applyProtection="1">
      <alignment horizontal="left" vertical="center" indent="2"/>
      <protection locked="0"/>
    </xf>
    <xf numFmtId="0" fontId="23" fillId="0" borderId="127" xfId="0" applyFont="1" applyBorder="1" applyAlignment="1">
      <alignment horizontal="left" vertical="center" wrapText="1" indent="1"/>
    </xf>
    <xf numFmtId="0" fontId="22" fillId="4" borderId="127" xfId="12" applyFill="1" applyBorder="1" applyProtection="1">
      <alignment horizontal="left" vertical="center" wrapText="1"/>
      <protection locked="0"/>
    </xf>
    <xf numFmtId="0" fontId="22" fillId="11" borderId="127" xfId="20" applyFill="1" applyBorder="1" applyAlignment="1">
      <alignment horizontal="left" vertical="center" wrapText="1" indent="1"/>
    </xf>
    <xf numFmtId="0" fontId="22" fillId="4" borderId="127" xfId="0" applyFont="1" applyFill="1" applyBorder="1" applyAlignment="1" applyProtection="1">
      <alignment horizontal="center" vertical="center" wrapText="1"/>
      <protection locked="0"/>
    </xf>
    <xf numFmtId="0" fontId="22" fillId="0" borderId="127" xfId="0" applyFont="1" applyBorder="1" applyAlignment="1">
      <alignment horizontal="center" vertical="center" wrapText="1"/>
    </xf>
    <xf numFmtId="0" fontId="22" fillId="4" borderId="127" xfId="12" applyFill="1" applyBorder="1" applyAlignment="1" applyProtection="1">
      <alignment vertical="center" wrapText="1"/>
      <protection locked="0"/>
    </xf>
    <xf numFmtId="0" fontId="22" fillId="4" borderId="91" xfId="12" applyFill="1" applyBorder="1" applyAlignment="1" applyProtection="1">
      <alignment horizontal="center" vertical="center" wrapText="1"/>
      <protection locked="0"/>
    </xf>
    <xf numFmtId="0" fontId="22" fillId="4" borderId="127" xfId="12" applyFill="1" applyBorder="1" applyAlignment="1" applyProtection="1">
      <alignment horizontal="center" vertical="center" wrapText="1"/>
      <protection locked="0"/>
    </xf>
    <xf numFmtId="0" fontId="14" fillId="0" borderId="127" xfId="12" applyFont="1" applyFill="1" applyBorder="1" applyAlignment="1">
      <alignment horizontal="left" vertical="center" wrapText="1" indent="1"/>
    </xf>
    <xf numFmtId="0" fontId="22" fillId="4" borderId="127" xfId="8" applyFill="1" applyBorder="1" applyAlignment="1" applyProtection="1">
      <alignment horizontal="center" vertical="center" wrapText="1"/>
      <protection locked="0"/>
    </xf>
    <xf numFmtId="0" fontId="23" fillId="0" borderId="127" xfId="0" applyFont="1" applyBorder="1" applyAlignment="1">
      <alignment horizontal="center" vertical="center" wrapText="1"/>
    </xf>
    <xf numFmtId="0" fontId="22" fillId="4" borderId="127" xfId="12" applyFill="1" applyBorder="1" applyAlignment="1" applyProtection="1">
      <alignment horizontal="left" vertical="center" wrapText="1" indent="1"/>
      <protection locked="0"/>
    </xf>
    <xf numFmtId="3" fontId="22" fillId="4" borderId="127" xfId="0" applyNumberFormat="1" applyFont="1" applyFill="1" applyBorder="1" applyAlignment="1" applyProtection="1">
      <alignment horizontal="center" vertical="center"/>
      <protection locked="0"/>
    </xf>
    <xf numFmtId="0" fontId="22" fillId="4" borderId="127" xfId="17" applyBorder="1" applyAlignment="1">
      <alignment horizontal="center" vertical="center" wrapText="1"/>
      <protection locked="0"/>
    </xf>
    <xf numFmtId="0" fontId="22" fillId="0" borderId="129" xfId="0" applyFont="1" applyBorder="1" applyAlignment="1">
      <alignment horizontal="center" vertical="center" wrapText="1"/>
    </xf>
    <xf numFmtId="0" fontId="22" fillId="0" borderId="127" xfId="13" applyFont="1" applyBorder="1" applyAlignment="1">
      <alignment horizontal="center" vertical="center" wrapText="1"/>
    </xf>
    <xf numFmtId="0" fontId="22" fillId="0" borderId="127" xfId="0" applyFont="1" applyBorder="1" applyAlignment="1">
      <alignment horizontal="left" vertical="center" wrapText="1" indent="1"/>
    </xf>
    <xf numFmtId="0" fontId="22" fillId="6" borderId="129" xfId="0" applyFont="1" applyFill="1" applyBorder="1" applyAlignment="1">
      <alignment horizontal="center" vertical="center" wrapText="1"/>
    </xf>
    <xf numFmtId="0" fontId="14" fillId="0" borderId="127" xfId="20" applyFont="1" applyFill="1" applyBorder="1" applyAlignment="1">
      <alignment horizontal="center" vertical="center" wrapText="1"/>
    </xf>
    <xf numFmtId="0" fontId="0" fillId="0" borderId="0" xfId="0" applyAlignment="1">
      <alignment vertical="center"/>
    </xf>
    <xf numFmtId="167" fontId="23" fillId="0" borderId="127" xfId="1" applyNumberFormat="1" applyFont="1" applyFill="1" applyBorder="1" applyAlignment="1">
      <alignment horizontal="center" vertical="center" wrapText="1"/>
    </xf>
    <xf numFmtId="0" fontId="22" fillId="4" borderId="127" xfId="0" applyFont="1" applyFill="1" applyBorder="1" applyAlignment="1" applyProtection="1">
      <alignment vertical="center" wrapText="1"/>
      <protection locked="0"/>
    </xf>
    <xf numFmtId="0" fontId="22" fillId="6" borderId="127" xfId="0" applyFont="1" applyFill="1" applyBorder="1" applyAlignment="1">
      <alignment horizontal="center" vertical="center" wrapText="1"/>
    </xf>
    <xf numFmtId="0" fontId="49" fillId="0" borderId="127" xfId="11" applyFont="1" applyFill="1" applyBorder="1" applyAlignment="1">
      <alignment horizontal="left" vertical="center" wrapText="1" indent="1"/>
    </xf>
    <xf numFmtId="0" fontId="34" fillId="0" borderId="92" xfId="26" applyFont="1" applyBorder="1" applyAlignment="1">
      <alignment horizontal="left" vertical="center" indent="1"/>
    </xf>
    <xf numFmtId="0" fontId="14" fillId="0" borderId="0" xfId="26" applyFont="1" applyAlignment="1">
      <alignment vertical="center" wrapText="1"/>
    </xf>
    <xf numFmtId="0" fontId="14" fillId="4" borderId="127" xfId="26" applyFont="1" applyFill="1" applyBorder="1" applyAlignment="1" applyProtection="1">
      <alignment horizontal="left" vertical="center" wrapText="1" indent="1"/>
      <protection locked="0"/>
    </xf>
    <xf numFmtId="0" fontId="14" fillId="0" borderId="0" xfId="26" applyFont="1" applyAlignment="1">
      <alignment horizontal="right" vertical="center" wrapText="1" indent="1"/>
    </xf>
    <xf numFmtId="0" fontId="31" fillId="0" borderId="0" xfId="0" applyFont="1" applyAlignment="1">
      <alignment horizontal="center" vertical="center" wrapText="1"/>
    </xf>
    <xf numFmtId="0" fontId="55" fillId="0" borderId="0" xfId="0" applyFont="1" applyAlignment="1">
      <alignment horizontal="center" vertical="center" wrapText="1"/>
    </xf>
    <xf numFmtId="14" fontId="14" fillId="4" borderId="127" xfId="26" applyNumberFormat="1" applyFont="1" applyFill="1" applyBorder="1" applyAlignment="1" applyProtection="1">
      <alignment horizontal="center" vertical="center" wrapText="1"/>
      <protection locked="0"/>
    </xf>
    <xf numFmtId="0" fontId="14" fillId="0" borderId="90" xfId="26" applyFont="1" applyBorder="1" applyAlignment="1">
      <alignment horizontal="center" vertical="center" wrapText="1"/>
    </xf>
    <xf numFmtId="0" fontId="10" fillId="0" borderId="90" xfId="4" applyBorder="1" applyAlignment="1" applyProtection="1">
      <alignment horizontal="left" vertical="center" wrapText="1"/>
    </xf>
    <xf numFmtId="0" fontId="74" fillId="0" borderId="89" xfId="4" applyFont="1" applyBorder="1" applyAlignment="1" applyProtection="1">
      <alignment horizontal="center" vertical="center" wrapText="1"/>
    </xf>
    <xf numFmtId="0" fontId="98" fillId="6" borderId="0" xfId="0" quotePrefix="1" applyFont="1" applyFill="1" applyAlignment="1">
      <alignment vertical="center"/>
    </xf>
    <xf numFmtId="0" fontId="22" fillId="6" borderId="127" xfId="0" applyFont="1" applyFill="1" applyBorder="1" applyAlignment="1">
      <alignment horizontal="center" vertical="center"/>
    </xf>
    <xf numFmtId="10" fontId="14" fillId="0" borderId="127" xfId="0" applyNumberFormat="1" applyFont="1" applyBorder="1" applyAlignment="1">
      <alignment horizontal="center" vertical="center"/>
    </xf>
    <xf numFmtId="0" fontId="14" fillId="0" borderId="90" xfId="0" applyFont="1" applyBorder="1" applyAlignment="1">
      <alignment horizontal="left" vertical="center"/>
    </xf>
    <xf numFmtId="0" fontId="14" fillId="0" borderId="127" xfId="0" quotePrefix="1" applyFont="1" applyBorder="1" applyAlignment="1">
      <alignment horizontal="center" vertical="center"/>
    </xf>
    <xf numFmtId="0" fontId="14" fillId="0" borderId="88" xfId="0" applyFont="1" applyBorder="1" applyAlignment="1">
      <alignment horizontal="left" vertical="center" wrapText="1"/>
    </xf>
    <xf numFmtId="0" fontId="98" fillId="0" borderId="0" xfId="0" quotePrefix="1" applyFont="1" applyAlignment="1">
      <alignment vertical="center"/>
    </xf>
    <xf numFmtId="0" fontId="68" fillId="24" borderId="0" xfId="26" applyFont="1" applyFill="1" applyAlignment="1">
      <alignment horizontal="center" vertical="center"/>
    </xf>
    <xf numFmtId="170" fontId="34" fillId="0" borderId="89" xfId="50" applyNumberFormat="1" applyFont="1" applyBorder="1" applyAlignment="1">
      <alignment horizontal="left" vertical="center" indent="1"/>
    </xf>
    <xf numFmtId="179" fontId="14" fillId="0" borderId="0" xfId="50" applyNumberFormat="1" applyFont="1" applyAlignment="1">
      <alignment horizontal="center" vertical="center"/>
    </xf>
    <xf numFmtId="0" fontId="22" fillId="0" borderId="89" xfId="63" applyBorder="1" applyAlignment="1">
      <alignment horizontal="right" vertical="center" indent="1"/>
    </xf>
    <xf numFmtId="0" fontId="22" fillId="6" borderId="0" xfId="50" applyFont="1" applyFill="1" applyAlignment="1">
      <alignment horizontal="left" vertical="center" wrapText="1"/>
    </xf>
    <xf numFmtId="0" fontId="14" fillId="0" borderId="0" xfId="50" applyFont="1" applyAlignment="1">
      <alignment horizontal="left" vertical="center"/>
    </xf>
    <xf numFmtId="0" fontId="14" fillId="6" borderId="0" xfId="50" applyFont="1" applyFill="1" applyAlignment="1">
      <alignment horizontal="left" vertical="center" wrapText="1"/>
    </xf>
    <xf numFmtId="0" fontId="35" fillId="0" borderId="89" xfId="63" applyFont="1" applyBorder="1">
      <alignment horizontal="left" vertical="center"/>
    </xf>
    <xf numFmtId="170" fontId="14" fillId="0" borderId="127" xfId="50" applyNumberFormat="1" applyFont="1" applyBorder="1" applyAlignment="1">
      <alignment horizontal="left" vertical="center" wrapText="1" indent="1"/>
    </xf>
    <xf numFmtId="6" fontId="22" fillId="0" borderId="127" xfId="63" applyNumberFormat="1" applyBorder="1" applyAlignment="1">
      <alignment vertical="center"/>
    </xf>
    <xf numFmtId="170" fontId="14" fillId="0" borderId="89" xfId="50" applyNumberFormat="1" applyFont="1" applyBorder="1" applyAlignment="1">
      <alignment horizontal="left" vertical="center" indent="1"/>
    </xf>
    <xf numFmtId="179" fontId="14" fillId="0" borderId="127" xfId="50" applyNumberFormat="1" applyFont="1" applyBorder="1" applyAlignment="1">
      <alignment horizontal="center" vertical="center"/>
    </xf>
    <xf numFmtId="5" fontId="14" fillId="0" borderId="127" xfId="50" applyNumberFormat="1" applyFont="1" applyBorder="1" applyAlignment="1">
      <alignment horizontal="left" vertical="center" wrapText="1" indent="1"/>
    </xf>
    <xf numFmtId="0" fontId="45" fillId="0" borderId="92" xfId="63" applyFont="1" applyBorder="1" applyAlignment="1">
      <alignment horizontal="center" vertical="center" wrapText="1"/>
    </xf>
    <xf numFmtId="0" fontId="34" fillId="0" borderId="89" xfId="63" applyFont="1" applyBorder="1" applyAlignment="1">
      <alignment horizontal="right" vertical="center" indent="1"/>
    </xf>
    <xf numFmtId="0" fontId="14" fillId="0" borderId="91" xfId="0" applyFont="1" applyBorder="1" applyAlignment="1">
      <alignment horizontal="center" vertical="center" wrapText="1"/>
    </xf>
    <xf numFmtId="0" fontId="102" fillId="0" borderId="0" xfId="63" applyFont="1" applyAlignment="1">
      <alignment horizontal="center" vertical="center" wrapText="1"/>
    </xf>
    <xf numFmtId="0" fontId="14" fillId="0" borderId="0" xfId="50" quotePrefix="1" applyFont="1" applyAlignment="1">
      <alignment horizontal="left" vertical="center" wrapText="1"/>
    </xf>
    <xf numFmtId="5" fontId="22" fillId="0" borderId="127" xfId="67" applyNumberFormat="1" applyFont="1" applyBorder="1" applyAlignment="1">
      <alignment horizontal="left" vertical="center" indent="1"/>
    </xf>
    <xf numFmtId="0" fontId="22" fillId="0" borderId="127" xfId="63" applyBorder="1" applyAlignment="1">
      <alignment horizontal="center" vertical="center"/>
    </xf>
    <xf numFmtId="0" fontId="14" fillId="6" borderId="24" xfId="50" applyFont="1" applyFill="1" applyBorder="1" applyAlignment="1">
      <alignment horizontal="left" vertical="center" wrapText="1" indent="1"/>
    </xf>
    <xf numFmtId="170" fontId="14" fillId="4" borderId="127" xfId="50" quotePrefix="1" applyNumberFormat="1" applyFont="1" applyFill="1" applyBorder="1" applyAlignment="1" applyProtection="1">
      <alignment horizontal="left" vertical="center" wrapText="1" indent="1"/>
      <protection locked="0"/>
    </xf>
    <xf numFmtId="0" fontId="14" fillId="4" borderId="127" xfId="50" applyFont="1" applyFill="1" applyBorder="1" applyAlignment="1" applyProtection="1">
      <alignment horizontal="center" vertical="center" wrapText="1"/>
      <protection locked="0"/>
    </xf>
    <xf numFmtId="0" fontId="14" fillId="6" borderId="0" xfId="50" applyFont="1" applyFill="1" applyAlignment="1">
      <alignment horizontal="center" vertical="center" wrapText="1"/>
    </xf>
    <xf numFmtId="0" fontId="14" fillId="4" borderId="127" xfId="66" applyFont="1" applyFill="1" applyBorder="1" applyAlignment="1">
      <alignment horizontal="center" vertical="center" wrapText="1"/>
    </xf>
    <xf numFmtId="170" fontId="14" fillId="0" borderId="0" xfId="50" applyNumberFormat="1" applyFont="1" applyAlignment="1">
      <alignment horizontal="right" vertical="center" indent="1"/>
    </xf>
    <xf numFmtId="6" fontId="22" fillId="6" borderId="127" xfId="63" applyNumberFormat="1" applyFill="1" applyBorder="1" applyAlignment="1">
      <alignment vertical="center"/>
    </xf>
    <xf numFmtId="0" fontId="45" fillId="6" borderId="24" xfId="50" applyFont="1" applyFill="1" applyBorder="1" applyAlignment="1">
      <alignment horizontal="right" vertical="center" indent="1"/>
    </xf>
    <xf numFmtId="170" fontId="14" fillId="0" borderId="127" xfId="50" applyNumberFormat="1" applyFont="1" applyBorder="1" applyAlignment="1">
      <alignment horizontal="center" vertical="center"/>
    </xf>
    <xf numFmtId="0" fontId="125" fillId="0" borderId="0" xfId="63" applyFont="1" applyAlignment="1">
      <alignment horizontal="center" vertical="top" wrapText="1"/>
    </xf>
    <xf numFmtId="5" fontId="22" fillId="0" borderId="127" xfId="63" applyNumberFormat="1" applyBorder="1" applyAlignment="1">
      <alignment horizontal="left" vertical="center" indent="1"/>
    </xf>
    <xf numFmtId="170" fontId="14" fillId="6" borderId="127" xfId="50" applyNumberFormat="1" applyFont="1" applyFill="1" applyBorder="1" applyAlignment="1">
      <alignment horizontal="left" vertical="center" wrapText="1" indent="1"/>
    </xf>
    <xf numFmtId="0" fontId="14" fillId="4" borderId="127" xfId="66" applyFont="1" applyFill="1" applyBorder="1" applyAlignment="1" applyProtection="1">
      <alignment horizontal="center" vertical="center" wrapText="1"/>
      <protection locked="0"/>
    </xf>
    <xf numFmtId="0" fontId="22" fillId="4" borderId="127" xfId="63" applyFill="1" applyBorder="1" applyAlignment="1" applyProtection="1">
      <alignment horizontal="center" vertical="center"/>
      <protection locked="0"/>
    </xf>
    <xf numFmtId="0" fontId="14" fillId="0" borderId="0" xfId="50" quotePrefix="1" applyFont="1" applyAlignment="1">
      <alignment horizontal="center" vertical="center" wrapText="1"/>
    </xf>
    <xf numFmtId="0" fontId="14" fillId="0" borderId="0" xfId="50" quotePrefix="1" applyFont="1" applyAlignment="1">
      <alignment horizontal="right" vertical="center" indent="1"/>
    </xf>
    <xf numFmtId="170" fontId="34" fillId="0" borderId="89" xfId="0" applyNumberFormat="1" applyFont="1" applyBorder="1" applyAlignment="1">
      <alignment horizontal="left" vertical="center" indent="1"/>
    </xf>
    <xf numFmtId="0" fontId="14" fillId="4" borderId="127" xfId="65" applyFont="1" applyFill="1" applyBorder="1" applyAlignment="1">
      <alignment horizontal="center" vertical="center" wrapText="1"/>
    </xf>
    <xf numFmtId="170" fontId="54" fillId="0" borderId="0" xfId="64" applyNumberFormat="1" applyFont="1" applyAlignment="1">
      <alignment horizontal="left" vertical="center"/>
    </xf>
    <xf numFmtId="0" fontId="14" fillId="0" borderId="24" xfId="50" quotePrefix="1" applyFont="1" applyBorder="1" applyAlignment="1">
      <alignment horizontal="right" vertical="center" wrapText="1" indent="1"/>
    </xf>
    <xf numFmtId="1" fontId="14" fillId="0" borderId="91" xfId="0" applyNumberFormat="1" applyFont="1" applyBorder="1" applyAlignment="1">
      <alignment horizontal="center" vertical="center"/>
    </xf>
    <xf numFmtId="0" fontId="22" fillId="4" borderId="0" xfId="50" applyFont="1" applyFill="1" applyAlignment="1">
      <alignment horizontal="left" vertical="center"/>
    </xf>
    <xf numFmtId="0" fontId="14" fillId="4" borderId="0" xfId="0" applyFont="1" applyFill="1"/>
    <xf numFmtId="9" fontId="22" fillId="4" borderId="127" xfId="50" applyNumberFormat="1" applyFont="1" applyFill="1" applyBorder="1" applyAlignment="1" applyProtection="1">
      <alignment horizontal="left" vertical="center" wrapText="1" indent="1"/>
      <protection locked="0"/>
    </xf>
    <xf numFmtId="170" fontId="14" fillId="0" borderId="127" xfId="50" quotePrefix="1" applyNumberFormat="1" applyFont="1" applyBorder="1" applyAlignment="1">
      <alignment horizontal="left" vertical="center" wrapText="1" indent="1"/>
    </xf>
    <xf numFmtId="0" fontId="45" fillId="6" borderId="0" xfId="50" applyFont="1" applyFill="1" applyAlignment="1">
      <alignment horizontal="right" vertical="center" indent="1"/>
    </xf>
    <xf numFmtId="0" fontId="22" fillId="0" borderId="89" xfId="63" applyBorder="1">
      <alignment horizontal="left" vertical="center"/>
    </xf>
    <xf numFmtId="0" fontId="14" fillId="0" borderId="0" xfId="50" applyFont="1" applyAlignment="1">
      <alignment horizontal="right" vertical="center"/>
    </xf>
    <xf numFmtId="0" fontId="34" fillId="0" borderId="89" xfId="63" applyFont="1" applyBorder="1" applyAlignment="1">
      <alignment horizontal="right" vertical="center" indent="2"/>
    </xf>
    <xf numFmtId="6" fontId="22" fillId="0" borderId="127" xfId="63" applyNumberFormat="1" applyBorder="1" applyAlignment="1">
      <alignment horizontal="center" vertical="center"/>
    </xf>
    <xf numFmtId="0" fontId="14" fillId="0" borderId="129" xfId="0" applyFont="1" applyBorder="1" applyAlignment="1">
      <alignment horizontal="left" vertical="center" indent="1"/>
    </xf>
    <xf numFmtId="0" fontId="14" fillId="0" borderId="24" xfId="0" quotePrefix="1" applyFont="1" applyBorder="1" applyAlignment="1">
      <alignment horizontal="right" vertical="center" indent="1"/>
    </xf>
    <xf numFmtId="170" fontId="34" fillId="6" borderId="89" xfId="50" quotePrefix="1" applyNumberFormat="1" applyFont="1" applyFill="1" applyBorder="1" applyAlignment="1">
      <alignment horizontal="left" vertical="center" indent="1"/>
    </xf>
    <xf numFmtId="5" fontId="23" fillId="6" borderId="127" xfId="63" applyNumberFormat="1" applyFont="1" applyFill="1" applyBorder="1" applyAlignment="1">
      <alignment horizontal="left" vertical="center" indent="1"/>
    </xf>
    <xf numFmtId="0" fontId="34" fillId="0" borderId="43" xfId="63" applyFont="1" applyBorder="1" applyAlignment="1">
      <alignment horizontal="right" vertical="center" indent="1"/>
    </xf>
    <xf numFmtId="0" fontId="22" fillId="4" borderId="92" xfId="63" applyFill="1" applyBorder="1" applyAlignment="1" applyProtection="1">
      <alignment horizontal="center" vertical="center"/>
      <protection locked="0"/>
    </xf>
    <xf numFmtId="0" fontId="45" fillId="6" borderId="0" xfId="50" applyFont="1" applyFill="1" applyAlignment="1">
      <alignment vertical="center"/>
    </xf>
    <xf numFmtId="0" fontId="14" fillId="0" borderId="91" xfId="0" applyFont="1" applyBorder="1" applyAlignment="1">
      <alignment horizontal="center" vertical="center"/>
    </xf>
    <xf numFmtId="0" fontId="22" fillId="0" borderId="0" xfId="63" applyAlignment="1">
      <alignment horizontal="right" vertical="center" indent="1"/>
    </xf>
    <xf numFmtId="0" fontId="22" fillId="0" borderId="24" xfId="50" applyFont="1" applyBorder="1" applyAlignment="1">
      <alignment horizontal="center" vertical="center"/>
    </xf>
    <xf numFmtId="0" fontId="22" fillId="0" borderId="0" xfId="58" applyFont="1" applyAlignment="1">
      <alignment horizontal="left" vertical="center" indent="1"/>
    </xf>
    <xf numFmtId="0" fontId="22" fillId="0" borderId="0" xfId="58" applyFont="1" applyAlignment="1">
      <alignment vertical="center"/>
    </xf>
    <xf numFmtId="0" fontId="14" fillId="0" borderId="127" xfId="60" applyFont="1" applyBorder="1" applyAlignment="1">
      <alignment horizontal="left" vertical="center" wrapText="1" indent="1"/>
    </xf>
    <xf numFmtId="0" fontId="14" fillId="0" borderId="127" xfId="60" applyFont="1" applyBorder="1" applyAlignment="1">
      <alignment horizontal="left" vertical="center" indent="1"/>
    </xf>
    <xf numFmtId="170" fontId="14" fillId="0" borderId="127" xfId="60" applyNumberFormat="1" applyFont="1" applyBorder="1" applyAlignment="1">
      <alignment horizontal="left" vertical="center" indent="1"/>
    </xf>
    <xf numFmtId="4" fontId="68" fillId="0" borderId="91" xfId="60" applyNumberFormat="1" applyFont="1" applyBorder="1" applyAlignment="1">
      <alignment horizontal="center" vertical="center"/>
    </xf>
    <xf numFmtId="0" fontId="14" fillId="6" borderId="0" xfId="56" applyFont="1" applyFill="1" applyAlignment="1">
      <alignment horizontal="center" vertical="center"/>
    </xf>
    <xf numFmtId="0" fontId="22" fillId="0" borderId="0" xfId="58" applyFont="1" applyAlignment="1">
      <alignment horizontal="right" vertical="center"/>
    </xf>
    <xf numFmtId="0" fontId="34" fillId="4" borderId="91" xfId="60" applyFont="1" applyFill="1" applyBorder="1" applyAlignment="1" applyProtection="1">
      <alignment horizontal="center" vertical="center"/>
      <protection locked="0"/>
    </xf>
    <xf numFmtId="170" fontId="34" fillId="2" borderId="127" xfId="60" applyNumberFormat="1" applyFont="1" applyFill="1" applyBorder="1" applyAlignment="1">
      <alignment horizontal="right" vertical="center" indent="1"/>
    </xf>
    <xf numFmtId="0" fontId="14" fillId="0" borderId="43" xfId="60" applyFont="1" applyBorder="1" applyAlignment="1">
      <alignment horizontal="right" vertical="center" indent="1"/>
    </xf>
    <xf numFmtId="0" fontId="14" fillId="6" borderId="127" xfId="60" applyFont="1" applyFill="1" applyBorder="1" applyAlignment="1">
      <alignment horizontal="center" vertical="center"/>
    </xf>
    <xf numFmtId="170" fontId="14" fillId="2" borderId="92" xfId="60" applyNumberFormat="1" applyFont="1" applyFill="1" applyBorder="1" applyAlignment="1">
      <alignment horizontal="left" vertical="center" indent="1"/>
    </xf>
    <xf numFmtId="0" fontId="34" fillId="0" borderId="91" xfId="60" applyFont="1" applyBorder="1" applyAlignment="1" applyProtection="1">
      <alignment horizontal="center" vertical="center"/>
      <protection locked="0"/>
    </xf>
    <xf numFmtId="0" fontId="34" fillId="4" borderId="127" xfId="60" applyFont="1" applyFill="1" applyBorder="1" applyAlignment="1" applyProtection="1">
      <alignment horizontal="center" vertical="center"/>
      <protection locked="0"/>
    </xf>
    <xf numFmtId="0" fontId="14" fillId="0" borderId="127" xfId="60" applyFont="1" applyBorder="1" applyAlignment="1">
      <alignment horizontal="center" vertical="center"/>
    </xf>
    <xf numFmtId="0" fontId="14" fillId="6" borderId="127" xfId="60" applyFont="1" applyFill="1" applyBorder="1" applyAlignment="1">
      <alignment horizontal="center" vertical="center" wrapText="1"/>
    </xf>
    <xf numFmtId="0" fontId="34" fillId="0" borderId="127" xfId="62" applyFont="1" applyBorder="1" applyAlignment="1">
      <alignment horizontal="center" vertical="center"/>
    </xf>
    <xf numFmtId="0" fontId="22" fillId="0" borderId="0" xfId="58" applyFont="1" applyAlignment="1">
      <alignment horizontal="left" vertical="center"/>
    </xf>
    <xf numFmtId="0" fontId="22" fillId="0" borderId="120" xfId="58" applyFont="1" applyBorder="1" applyAlignment="1">
      <alignment horizontal="center" vertical="center"/>
    </xf>
    <xf numFmtId="0" fontId="14" fillId="4" borderId="127" xfId="60" applyFont="1" applyFill="1" applyBorder="1" applyAlignment="1" applyProtection="1">
      <alignment horizontal="center" vertical="center" wrapText="1"/>
      <protection locked="0"/>
    </xf>
    <xf numFmtId="0" fontId="0" fillId="4" borderId="93" xfId="0" applyFill="1" applyBorder="1" applyProtection="1">
      <protection locked="0"/>
    </xf>
    <xf numFmtId="0" fontId="0" fillId="4" borderId="91" xfId="0" applyFill="1" applyBorder="1" applyProtection="1">
      <protection locked="0"/>
    </xf>
    <xf numFmtId="0" fontId="34" fillId="4" borderId="150" xfId="60" applyFont="1" applyFill="1" applyBorder="1" applyAlignment="1" applyProtection="1">
      <alignment horizontal="center" vertical="center"/>
      <protection locked="0"/>
    </xf>
    <xf numFmtId="0" fontId="14" fillId="6" borderId="127" xfId="60" applyFont="1" applyFill="1" applyBorder="1" applyAlignment="1">
      <alignment horizontal="right" vertical="center" wrapText="1" indent="1"/>
    </xf>
    <xf numFmtId="9" fontId="14" fillId="0" borderId="127" xfId="62" applyNumberFormat="1" applyFont="1" applyBorder="1" applyAlignment="1">
      <alignment horizontal="left" vertical="center" indent="1"/>
    </xf>
    <xf numFmtId="170" fontId="14" fillId="2" borderId="114" xfId="60" applyNumberFormat="1" applyFont="1" applyFill="1" applyBorder="1" applyAlignment="1">
      <alignment horizontal="left" vertical="center" indent="1"/>
    </xf>
    <xf numFmtId="0" fontId="22" fillId="0" borderId="0" xfId="58" applyFont="1" applyAlignment="1">
      <alignment horizontal="center" vertical="center"/>
    </xf>
    <xf numFmtId="0" fontId="48" fillId="0" borderId="127" xfId="54" applyFont="1" applyBorder="1" applyAlignment="1">
      <alignment horizontal="left" vertical="center" wrapText="1" indent="1"/>
    </xf>
    <xf numFmtId="170" fontId="14" fillId="0" borderId="127" xfId="60" applyNumberFormat="1" applyFont="1" applyBorder="1" applyAlignment="1">
      <alignment horizontal="left" vertical="center" wrapText="1" indent="1"/>
    </xf>
    <xf numFmtId="0" fontId="34" fillId="0" borderId="127" xfId="60" applyFont="1" applyBorder="1" applyAlignment="1">
      <alignment horizontal="center" vertical="center"/>
    </xf>
    <xf numFmtId="0" fontId="22" fillId="4" borderId="90" xfId="50" applyFont="1" applyFill="1" applyBorder="1" applyAlignment="1">
      <alignment horizontal="left" vertical="center"/>
    </xf>
    <xf numFmtId="0" fontId="14" fillId="4" borderId="90" xfId="0" applyFont="1" applyFill="1" applyBorder="1"/>
    <xf numFmtId="0" fontId="14" fillId="0" borderId="127" xfId="60" applyFont="1" applyBorder="1" applyAlignment="1" applyProtection="1">
      <alignment horizontal="center" vertical="center" wrapText="1"/>
      <protection locked="0"/>
    </xf>
    <xf numFmtId="170" fontId="14" fillId="2" borderId="120" xfId="60" applyNumberFormat="1" applyFont="1" applyFill="1" applyBorder="1" applyAlignment="1">
      <alignment horizontal="left" vertical="center" indent="1"/>
    </xf>
    <xf numFmtId="0" fontId="104" fillId="0" borderId="127" xfId="62" applyFont="1" applyBorder="1" applyAlignment="1">
      <alignment horizontal="right" vertical="center" wrapText="1" indent="1"/>
    </xf>
    <xf numFmtId="0" fontId="14" fillId="6" borderId="92" xfId="60" applyFont="1" applyFill="1" applyBorder="1" applyAlignment="1">
      <alignment horizontal="right" vertical="center" wrapText="1" indent="1"/>
    </xf>
    <xf numFmtId="0" fontId="14" fillId="0" borderId="24" xfId="60" applyFont="1" applyBorder="1" applyAlignment="1">
      <alignment horizontal="right" vertical="center" indent="1"/>
    </xf>
    <xf numFmtId="0" fontId="14" fillId="0" borderId="0" xfId="60" applyFont="1" applyAlignment="1">
      <alignment horizontal="center" vertical="center"/>
    </xf>
    <xf numFmtId="0" fontId="14" fillId="0" borderId="90" xfId="60" applyFont="1" applyBorder="1" applyAlignment="1">
      <alignment horizontal="left" vertical="center"/>
    </xf>
    <xf numFmtId="0" fontId="22" fillId="0" borderId="92" xfId="58" applyFont="1" applyBorder="1" applyAlignment="1">
      <alignment horizontal="center" vertical="center"/>
    </xf>
    <xf numFmtId="1" fontId="14" fillId="0" borderId="127" xfId="60" applyNumberFormat="1" applyFont="1" applyBorder="1" applyAlignment="1">
      <alignment horizontal="center" vertical="center"/>
    </xf>
    <xf numFmtId="0" fontId="14" fillId="0" borderId="127" xfId="60" applyFont="1" applyBorder="1" applyAlignment="1">
      <alignment horizontal="center" vertical="center" wrapText="1"/>
    </xf>
    <xf numFmtId="0" fontId="77" fillId="0" borderId="114" xfId="60" applyFont="1" applyBorder="1" applyAlignment="1">
      <alignment horizontal="center" vertical="center" wrapText="1"/>
    </xf>
    <xf numFmtId="170" fontId="14" fillId="0" borderId="127" xfId="60" applyNumberFormat="1" applyFont="1" applyBorder="1" applyAlignment="1" applyProtection="1">
      <alignment horizontal="left" vertical="center" indent="1"/>
      <protection locked="0"/>
    </xf>
    <xf numFmtId="0" fontId="77" fillId="0" borderId="127" xfId="60" applyFont="1" applyBorder="1" applyAlignment="1">
      <alignment horizontal="center" vertical="center" wrapText="1"/>
    </xf>
    <xf numFmtId="170" fontId="14" fillId="0" borderId="12" xfId="60" applyNumberFormat="1" applyFont="1" applyBorder="1" applyAlignment="1">
      <alignment horizontal="left" vertical="center" indent="1"/>
    </xf>
    <xf numFmtId="170" fontId="14" fillId="0" borderId="127" xfId="60" applyNumberFormat="1" applyFont="1" applyBorder="1" applyAlignment="1">
      <alignment horizontal="center" vertical="center"/>
    </xf>
    <xf numFmtId="0" fontId="14" fillId="0" borderId="90" xfId="58" applyFont="1" applyBorder="1" applyAlignment="1">
      <alignment horizontal="left" vertical="center" wrapText="1"/>
    </xf>
    <xf numFmtId="170" fontId="14" fillId="0" borderId="127" xfId="62" applyNumberFormat="1" applyFont="1" applyBorder="1" applyAlignment="1">
      <alignment horizontal="left" vertical="center" indent="1"/>
    </xf>
    <xf numFmtId="0" fontId="14" fillId="6" borderId="92" xfId="60" applyFont="1" applyFill="1" applyBorder="1" applyAlignment="1">
      <alignment horizontal="center" vertical="center" wrapText="1"/>
    </xf>
    <xf numFmtId="9" fontId="22" fillId="0" borderId="0" xfId="0" applyNumberFormat="1" applyFont="1" applyAlignment="1">
      <alignment horizontal="center" vertical="center"/>
    </xf>
    <xf numFmtId="0" fontId="14" fillId="0" borderId="90" xfId="60" applyFont="1" applyBorder="1" applyAlignment="1">
      <alignment horizontal="center" vertical="center"/>
    </xf>
    <xf numFmtId="0" fontId="34" fillId="6" borderId="127" xfId="60" applyFont="1" applyFill="1" applyBorder="1" applyAlignment="1">
      <alignment horizontal="center" vertical="center" wrapText="1"/>
    </xf>
    <xf numFmtId="0" fontId="22" fillId="0" borderId="114" xfId="58" applyFont="1" applyBorder="1" applyAlignment="1">
      <alignment horizontal="center" vertical="center"/>
    </xf>
    <xf numFmtId="0" fontId="14" fillId="0" borderId="127" xfId="60" applyFont="1" applyBorder="1" applyAlignment="1">
      <alignment horizontal="right" vertical="center" wrapText="1" indent="1"/>
    </xf>
    <xf numFmtId="0" fontId="56" fillId="0" borderId="127" xfId="60" applyFont="1" applyBorder="1" applyAlignment="1">
      <alignment horizontal="right" vertical="center" wrapText="1" indent="1"/>
    </xf>
    <xf numFmtId="0" fontId="171" fillId="0" borderId="93" xfId="0" applyFont="1" applyBorder="1"/>
    <xf numFmtId="0" fontId="171" fillId="0" borderId="91" xfId="0" applyFont="1" applyBorder="1"/>
    <xf numFmtId="170" fontId="14" fillId="0" borderId="127" xfId="60" applyNumberFormat="1" applyFont="1" applyBorder="1" applyAlignment="1" applyProtection="1">
      <alignment horizontal="left" vertical="center" wrapText="1" indent="1"/>
      <protection locked="0"/>
    </xf>
    <xf numFmtId="170" fontId="34" fillId="0" borderId="114" xfId="60" applyNumberFormat="1" applyFont="1" applyBorder="1" applyAlignment="1">
      <alignment horizontal="center" vertical="center" wrapText="1"/>
    </xf>
    <xf numFmtId="0" fontId="14" fillId="0" borderId="127" xfId="60" applyFont="1" applyBorder="1" applyAlignment="1">
      <alignment horizontal="right" vertical="center" indent="1"/>
    </xf>
    <xf numFmtId="0" fontId="34" fillId="0" borderId="127" xfId="60" applyFont="1" applyBorder="1" applyAlignment="1">
      <alignment horizontal="center" vertical="center" wrapText="1"/>
    </xf>
    <xf numFmtId="0" fontId="22" fillId="0" borderId="127" xfId="58" applyFont="1" applyBorder="1" applyAlignment="1">
      <alignment horizontal="left" vertical="center" wrapText="1" indent="1"/>
    </xf>
    <xf numFmtId="4" fontId="47" fillId="0" borderId="127" xfId="60" applyNumberFormat="1" applyFont="1" applyBorder="1" applyAlignment="1">
      <alignment horizontal="center" vertical="center" wrapText="1"/>
    </xf>
    <xf numFmtId="0" fontId="22" fillId="6" borderId="127" xfId="12" applyFill="1" applyBorder="1" applyAlignment="1">
      <alignment horizontal="center" vertical="center" wrapText="1"/>
    </xf>
    <xf numFmtId="2" fontId="22" fillId="0" borderId="127" xfId="12" applyNumberFormat="1" applyFill="1" applyBorder="1" applyAlignment="1">
      <alignment horizontal="center" vertical="center" wrapText="1"/>
    </xf>
    <xf numFmtId="0" fontId="22" fillId="6" borderId="89" xfId="0" applyFont="1" applyFill="1" applyBorder="1" applyAlignment="1">
      <alignment horizontal="left" vertical="center" wrapText="1"/>
    </xf>
    <xf numFmtId="0" fontId="150" fillId="25" borderId="129" xfId="0" applyFont="1" applyFill="1" applyBorder="1" applyAlignment="1">
      <alignment horizontal="center" vertical="center"/>
    </xf>
    <xf numFmtId="0" fontId="150" fillId="25" borderId="93" xfId="0" applyFont="1" applyFill="1" applyBorder="1" applyAlignment="1">
      <alignment horizontal="center" vertical="center"/>
    </xf>
    <xf numFmtId="0" fontId="150" fillId="25" borderId="91" xfId="0" applyFont="1" applyFill="1" applyBorder="1" applyAlignment="1">
      <alignment horizontal="center" vertical="center"/>
    </xf>
    <xf numFmtId="9" fontId="14" fillId="0" borderId="114" xfId="0" applyNumberFormat="1" applyFont="1" applyBorder="1" applyAlignment="1">
      <alignment horizontal="center" vertical="center" textRotation="90" wrapText="1"/>
    </xf>
    <xf numFmtId="9" fontId="14" fillId="17" borderId="114" xfId="0" applyNumberFormat="1" applyFont="1" applyFill="1" applyBorder="1" applyAlignment="1">
      <alignment horizontal="center" vertical="center" textRotation="90" wrapText="1"/>
    </xf>
    <xf numFmtId="0" fontId="22" fillId="27" borderId="127" xfId="8" applyFill="1" applyBorder="1" applyAlignment="1">
      <alignment horizontal="center" vertical="center"/>
    </xf>
    <xf numFmtId="0" fontId="14" fillId="6" borderId="89" xfId="8" applyFont="1" applyFill="1" applyBorder="1" applyAlignment="1">
      <alignment horizontal="left" vertical="center" wrapText="1"/>
    </xf>
    <xf numFmtId="0" fontId="22" fillId="0" borderId="0" xfId="0" applyFont="1" applyAlignment="1">
      <alignment horizontal="left" vertical="center"/>
    </xf>
    <xf numFmtId="168" fontId="22" fillId="4" borderId="127" xfId="12" applyNumberFormat="1" applyFill="1" applyBorder="1" applyAlignment="1" applyProtection="1">
      <alignment horizontal="center" vertical="center" wrapText="1"/>
      <protection locked="0"/>
    </xf>
    <xf numFmtId="0" fontId="22" fillId="0" borderId="114" xfId="8" applyBorder="1" applyAlignment="1">
      <alignment horizontal="center" vertical="center"/>
    </xf>
    <xf numFmtId="0" fontId="9" fillId="0" borderId="92" xfId="0" applyFont="1" applyBorder="1" applyAlignment="1">
      <alignment horizontal="center" vertical="center" wrapText="1"/>
    </xf>
    <xf numFmtId="2" fontId="22" fillId="17" borderId="127" xfId="12" applyNumberFormat="1" applyFill="1" applyBorder="1" applyAlignment="1">
      <alignment horizontal="center" vertical="center" wrapText="1"/>
    </xf>
    <xf numFmtId="9" fontId="34" fillId="6" borderId="127" xfId="0" applyNumberFormat="1" applyFont="1" applyFill="1" applyBorder="1" applyAlignment="1">
      <alignment horizontal="center" vertical="center"/>
    </xf>
    <xf numFmtId="2" fontId="22" fillId="6" borderId="127" xfId="12" applyNumberFormat="1" applyFill="1" applyBorder="1" applyAlignment="1">
      <alignment horizontal="center" vertical="center" wrapText="1"/>
    </xf>
    <xf numFmtId="2" fontId="22" fillId="0" borderId="127" xfId="8" applyNumberFormat="1" applyBorder="1" applyAlignment="1">
      <alignment horizontal="center" vertical="center"/>
    </xf>
    <xf numFmtId="0" fontId="22" fillId="0" borderId="88" xfId="0" applyFont="1" applyBorder="1" applyAlignment="1">
      <alignment horizontal="left" vertical="center" wrapText="1"/>
    </xf>
    <xf numFmtId="0" fontId="14" fillId="28" borderId="127" xfId="8" applyFont="1" applyFill="1" applyBorder="1" applyAlignment="1">
      <alignment horizontal="center" vertical="center" textRotation="90" wrapText="1"/>
    </xf>
    <xf numFmtId="2" fontId="14" fillId="17" borderId="127" xfId="8" applyNumberFormat="1" applyFont="1" applyFill="1" applyBorder="1" applyAlignment="1">
      <alignment horizontal="center" vertical="center"/>
    </xf>
    <xf numFmtId="1" fontId="22" fillId="0" borderId="127" xfId="8" applyNumberFormat="1" applyBorder="1" applyAlignment="1">
      <alignment horizontal="center" vertical="center"/>
    </xf>
    <xf numFmtId="0" fontId="22" fillId="0" borderId="0" xfId="0" applyFont="1" applyAlignment="1">
      <alignment horizontal="left" vertical="center" wrapText="1"/>
    </xf>
    <xf numFmtId="0" fontId="29" fillId="26" borderId="129" xfId="8" applyFont="1" applyFill="1" applyBorder="1" applyAlignment="1">
      <alignment horizontal="center" vertical="center" wrapText="1"/>
    </xf>
    <xf numFmtId="0" fontId="29" fillId="26" borderId="93" xfId="8" applyFont="1" applyFill="1" applyBorder="1" applyAlignment="1">
      <alignment horizontal="center" vertical="center" wrapText="1"/>
    </xf>
    <xf numFmtId="0" fontId="29" fillId="26" borderId="91" xfId="8" applyFont="1" applyFill="1" applyBorder="1" applyAlignment="1">
      <alignment horizontal="center" vertical="center" wrapText="1"/>
    </xf>
    <xf numFmtId="0" fontId="152" fillId="26" borderId="146" xfId="8" applyFont="1" applyFill="1" applyBorder="1" applyAlignment="1">
      <alignment horizontal="center" vertical="center"/>
    </xf>
    <xf numFmtId="0" fontId="152" fillId="26" borderId="147" xfId="8" applyFont="1" applyFill="1" applyBorder="1" applyAlignment="1">
      <alignment horizontal="center" vertical="center"/>
    </xf>
    <xf numFmtId="0" fontId="152" fillId="26" borderId="148" xfId="8" applyFont="1" applyFill="1" applyBorder="1" applyAlignment="1">
      <alignment horizontal="center" vertical="center"/>
    </xf>
    <xf numFmtId="0" fontId="22" fillId="0" borderId="127" xfId="12" applyFill="1" applyBorder="1" applyAlignment="1">
      <alignment horizontal="right" vertical="center" wrapText="1" indent="1"/>
    </xf>
    <xf numFmtId="9" fontId="22" fillId="4" borderId="127" xfId="12" applyNumberFormat="1" applyFill="1" applyBorder="1" applyAlignment="1" applyProtection="1">
      <alignment horizontal="center" vertical="center" wrapText="1"/>
      <protection locked="0"/>
    </xf>
    <xf numFmtId="0" fontId="0" fillId="0" borderId="127" xfId="8" applyFont="1" applyBorder="1" applyAlignment="1">
      <alignment horizontal="center" vertical="center"/>
    </xf>
    <xf numFmtId="3" fontId="22" fillId="0" borderId="127" xfId="12" applyNumberFormat="1" applyFill="1" applyBorder="1" applyAlignment="1">
      <alignment horizontal="center" vertical="center" wrapText="1"/>
    </xf>
    <xf numFmtId="0" fontId="14" fillId="0" borderId="0" xfId="12" applyFont="1" applyFill="1" applyBorder="1">
      <alignment horizontal="left" vertical="center" wrapText="1"/>
    </xf>
    <xf numFmtId="9" fontId="23" fillId="6" borderId="127" xfId="12" applyNumberFormat="1" applyFont="1" applyFill="1" applyBorder="1" applyAlignment="1">
      <alignment horizontal="center" vertical="center" wrapText="1"/>
    </xf>
    <xf numFmtId="0" fontId="23" fillId="0" borderId="91" xfId="8" applyFont="1" applyBorder="1" applyAlignment="1">
      <alignment horizontal="center" wrapText="1"/>
    </xf>
    <xf numFmtId="0" fontId="34" fillId="44" borderId="127" xfId="0" applyFont="1" applyFill="1" applyBorder="1" applyAlignment="1">
      <alignment horizontal="left" vertical="center" indent="1"/>
    </xf>
    <xf numFmtId="0" fontId="14" fillId="0" borderId="0" xfId="12" applyFont="1" applyFill="1" applyBorder="1" applyAlignment="1">
      <alignment horizontal="left" vertical="center"/>
    </xf>
    <xf numFmtId="1" fontId="22" fillId="4" borderId="127" xfId="12" applyNumberFormat="1" applyFill="1" applyBorder="1" applyAlignment="1" applyProtection="1">
      <alignment horizontal="center" vertical="center" wrapText="1"/>
      <protection locked="0"/>
    </xf>
    <xf numFmtId="0" fontId="14" fillId="0" borderId="92" xfId="0" applyFont="1" applyBorder="1" applyAlignment="1">
      <alignment horizontal="center" vertical="center" textRotation="90" wrapText="1"/>
    </xf>
    <xf numFmtId="2" fontId="22" fillId="26" borderId="129" xfId="8" applyNumberFormat="1" applyFill="1" applyBorder="1" applyAlignment="1">
      <alignment horizontal="center" vertical="center"/>
    </xf>
    <xf numFmtId="2" fontId="22" fillId="26" borderId="93" xfId="8" applyNumberFormat="1" applyFill="1" applyBorder="1" applyAlignment="1">
      <alignment horizontal="center" vertical="center"/>
    </xf>
    <xf numFmtId="2" fontId="22" fillId="26" borderId="91" xfId="8" applyNumberFormat="1" applyFill="1" applyBorder="1" applyAlignment="1">
      <alignment horizontal="center" vertical="center"/>
    </xf>
    <xf numFmtId="0" fontId="14" fillId="0" borderId="89" xfId="12" applyFont="1" applyFill="1" applyBorder="1">
      <alignment horizontal="left" vertical="center" wrapText="1"/>
    </xf>
    <xf numFmtId="2" fontId="34" fillId="46" borderId="127" xfId="12" applyNumberFormat="1" applyFont="1" applyFill="1" applyBorder="1" applyAlignment="1">
      <alignment horizontal="center" vertical="center" wrapText="1"/>
    </xf>
    <xf numFmtId="0" fontId="22" fillId="0" borderId="89" xfId="12" applyFill="1" applyBorder="1">
      <alignment horizontal="left" vertical="center" wrapText="1"/>
    </xf>
    <xf numFmtId="0" fontId="15" fillId="0" borderId="88" xfId="0" applyFont="1" applyBorder="1" applyAlignment="1">
      <alignment horizontal="left" vertical="center"/>
    </xf>
    <xf numFmtId="2" fontId="22" fillId="28" borderId="127" xfId="12" applyNumberFormat="1" applyFill="1" applyBorder="1" applyAlignment="1">
      <alignment horizontal="center" vertical="center" wrapText="1"/>
    </xf>
    <xf numFmtId="0" fontId="22" fillId="0" borderId="150" xfId="0" applyFont="1" applyBorder="1" applyAlignment="1">
      <alignment horizontal="left" vertical="center" wrapText="1"/>
    </xf>
    <xf numFmtId="0" fontId="22" fillId="75" borderId="127" xfId="1" applyFill="1" applyBorder="1" applyAlignment="1">
      <alignment horizontal="left" vertical="center" wrapText="1" indent="1"/>
    </xf>
    <xf numFmtId="0" fontId="22" fillId="0" borderId="89" xfId="0" applyFont="1" applyBorder="1" applyAlignment="1">
      <alignment horizontal="left" vertical="center" wrapText="1"/>
    </xf>
    <xf numFmtId="0" fontId="22" fillId="0" borderId="0" xfId="12" applyFill="1" applyBorder="1">
      <alignment horizontal="left" vertical="center" wrapText="1"/>
    </xf>
    <xf numFmtId="3" fontId="14" fillId="0" borderId="0" xfId="81" applyNumberFormat="1" applyFont="1" applyFill="1" applyBorder="1" applyAlignment="1" applyProtection="1">
      <alignment horizontal="right" vertical="center" indent="1"/>
    </xf>
    <xf numFmtId="2" fontId="22" fillId="0" borderId="43" xfId="12" applyNumberFormat="1" applyFill="1" applyBorder="1" applyAlignment="1">
      <alignment horizontal="center" vertical="center" wrapText="1"/>
    </xf>
    <xf numFmtId="2" fontId="22" fillId="0" borderId="150" xfId="12" applyNumberFormat="1" applyFill="1" applyBorder="1" applyAlignment="1">
      <alignment horizontal="center" vertical="center" wrapText="1"/>
    </xf>
    <xf numFmtId="2" fontId="22" fillId="26" borderId="12" xfId="8" applyNumberFormat="1" applyFill="1" applyBorder="1" applyAlignment="1">
      <alignment horizontal="center" vertical="center"/>
    </xf>
    <xf numFmtId="2" fontId="22" fillId="26" borderId="87" xfId="8" applyNumberFormat="1" applyFill="1" applyBorder="1" applyAlignment="1">
      <alignment horizontal="center" vertical="center"/>
    </xf>
    <xf numFmtId="2" fontId="22" fillId="26" borderId="88" xfId="8" applyNumberFormat="1" applyFill="1" applyBorder="1" applyAlignment="1">
      <alignment horizontal="center" vertical="center"/>
    </xf>
    <xf numFmtId="0" fontId="69" fillId="25" borderId="129" xfId="45" applyFont="1" applyFill="1" applyBorder="1" applyAlignment="1">
      <alignment horizontal="center" vertical="center" wrapText="1"/>
    </xf>
    <xf numFmtId="0" fontId="69" fillId="25" borderId="93" xfId="45" applyFont="1" applyFill="1" applyBorder="1" applyAlignment="1">
      <alignment horizontal="center" vertical="center" wrapText="1"/>
    </xf>
    <xf numFmtId="0" fontId="69" fillId="25" borderId="91" xfId="45" applyFont="1" applyFill="1" applyBorder="1" applyAlignment="1">
      <alignment horizontal="center" vertical="center" wrapText="1"/>
    </xf>
    <xf numFmtId="0" fontId="49" fillId="0" borderId="87" xfId="0" applyFont="1" applyBorder="1" applyAlignment="1">
      <alignment horizontal="left" vertical="center" wrapText="1"/>
    </xf>
    <xf numFmtId="0" fontId="0" fillId="0" borderId="114" xfId="8" applyFont="1" applyBorder="1" applyAlignment="1">
      <alignment horizontal="center" vertical="center"/>
    </xf>
    <xf numFmtId="0" fontId="22" fillId="4" borderId="127" xfId="12" applyFill="1" applyBorder="1" applyAlignment="1" applyProtection="1">
      <alignment horizontal="center" vertical="center"/>
      <protection locked="0"/>
    </xf>
    <xf numFmtId="0" fontId="22" fillId="0" borderId="127" xfId="13" applyFont="1" applyBorder="1" applyAlignment="1">
      <alignment horizontal="center" vertical="center" textRotation="90" wrapText="1"/>
    </xf>
    <xf numFmtId="2" fontId="29" fillId="26" borderId="146" xfId="8" applyNumberFormat="1" applyFont="1" applyFill="1" applyBorder="1" applyAlignment="1">
      <alignment horizontal="center" vertical="center"/>
    </xf>
    <xf numFmtId="0" fontId="29" fillId="26" borderId="147" xfId="8" applyFont="1" applyFill="1" applyBorder="1" applyAlignment="1">
      <alignment horizontal="center" vertical="center"/>
    </xf>
    <xf numFmtId="0" fontId="29" fillId="26" borderId="148" xfId="8" applyFont="1" applyFill="1" applyBorder="1" applyAlignment="1">
      <alignment horizontal="center" vertical="center"/>
    </xf>
    <xf numFmtId="175" fontId="22" fillId="26" borderId="129" xfId="8" applyNumberFormat="1" applyFill="1" applyBorder="1" applyAlignment="1">
      <alignment horizontal="center" vertical="center"/>
    </xf>
    <xf numFmtId="175" fontId="22" fillId="26" borderId="93" xfId="8" applyNumberFormat="1" applyFill="1" applyBorder="1" applyAlignment="1">
      <alignment horizontal="center" vertical="center"/>
    </xf>
    <xf numFmtId="175" fontId="22" fillId="26" borderId="91" xfId="8" applyNumberFormat="1" applyFill="1" applyBorder="1" applyAlignment="1">
      <alignment horizontal="center" vertical="center"/>
    </xf>
    <xf numFmtId="2" fontId="81" fillId="0" borderId="88" xfId="12" applyNumberFormat="1" applyFont="1" applyFill="1" applyBorder="1" applyAlignment="1">
      <alignment horizontal="center" vertical="center" wrapText="1"/>
    </xf>
    <xf numFmtId="0" fontId="34" fillId="6" borderId="88" xfId="13" applyFont="1" applyFill="1" applyBorder="1" applyAlignment="1">
      <alignment horizontal="left" vertical="center" wrapText="1"/>
    </xf>
    <xf numFmtId="0" fontId="22" fillId="0" borderId="127" xfId="0" applyFont="1" applyBorder="1" applyAlignment="1">
      <alignment horizontal="center" vertical="center"/>
    </xf>
    <xf numFmtId="2" fontId="14" fillId="0" borderId="127" xfId="0" applyNumberFormat="1" applyFont="1" applyBorder="1" applyAlignment="1">
      <alignment horizontal="right" vertical="center" indent="1"/>
    </xf>
    <xf numFmtId="0" fontId="27" fillId="6" borderId="127" xfId="8" applyFont="1" applyFill="1" applyBorder="1" applyAlignment="1">
      <alignment horizontal="center" vertical="center" textRotation="90"/>
    </xf>
    <xf numFmtId="0" fontId="9" fillId="0" borderId="120" xfId="0" applyFont="1" applyBorder="1"/>
    <xf numFmtId="0" fontId="9" fillId="0" borderId="114" xfId="0" applyFont="1" applyBorder="1"/>
    <xf numFmtId="0" fontId="34" fillId="0" borderId="87" xfId="13" applyFont="1" applyBorder="1" applyAlignment="1">
      <alignment horizontal="left" vertical="center" wrapText="1"/>
    </xf>
    <xf numFmtId="0" fontId="22" fillId="4" borderId="93" xfId="0" applyFont="1" applyFill="1" applyBorder="1" applyAlignment="1" applyProtection="1">
      <alignment horizontal="center" vertical="center" wrapText="1"/>
      <protection locked="0"/>
    </xf>
    <xf numFmtId="0" fontId="22" fillId="4" borderId="114" xfId="12" applyFill="1" applyBorder="1" applyProtection="1">
      <alignment horizontal="left" vertical="center" wrapText="1"/>
      <protection locked="0"/>
    </xf>
    <xf numFmtId="2" fontId="22" fillId="0" borderId="90" xfId="12" applyNumberFormat="1" applyFill="1" applyBorder="1" applyAlignment="1">
      <alignment horizontal="center" vertical="center" wrapText="1"/>
    </xf>
    <xf numFmtId="0" fontId="22" fillId="6" borderId="0" xfId="12" applyFill="1" applyBorder="1">
      <alignment horizontal="left" vertical="center" wrapText="1"/>
    </xf>
    <xf numFmtId="0" fontId="22" fillId="0" borderId="129" xfId="8" applyBorder="1" applyAlignment="1">
      <alignment horizontal="center" vertical="center" wrapText="1"/>
    </xf>
    <xf numFmtId="0" fontId="22" fillId="0" borderId="93" xfId="8" applyBorder="1" applyAlignment="1">
      <alignment horizontal="center" vertical="center" wrapText="1"/>
    </xf>
    <xf numFmtId="0" fontId="22" fillId="0" borderId="91" xfId="8" applyBorder="1" applyAlignment="1">
      <alignment horizontal="center" vertical="center" wrapText="1"/>
    </xf>
    <xf numFmtId="10" fontId="22" fillId="0" borderId="127" xfId="0" applyNumberFormat="1" applyFont="1" applyBorder="1" applyAlignment="1">
      <alignment horizontal="center" vertical="center"/>
    </xf>
    <xf numFmtId="0" fontId="14" fillId="0" borderId="150" xfId="0" applyFont="1" applyBorder="1" applyAlignment="1">
      <alignment horizontal="left" vertical="center" wrapText="1"/>
    </xf>
    <xf numFmtId="10" fontId="22" fillId="26" borderId="127" xfId="0" applyNumberFormat="1" applyFont="1" applyFill="1" applyBorder="1" applyAlignment="1">
      <alignment horizontal="center" vertical="center" wrapText="1"/>
    </xf>
    <xf numFmtId="0" fontId="34" fillId="6" borderId="87" xfId="8" applyFont="1" applyFill="1" applyBorder="1">
      <alignment horizontal="left" vertical="center"/>
    </xf>
    <xf numFmtId="3" fontId="22" fillId="4" borderId="7" xfId="81" applyNumberFormat="1" applyAlignment="1">
      <alignment horizontal="center" vertical="center"/>
      <protection locked="0"/>
    </xf>
    <xf numFmtId="0" fontId="22" fillId="0" borderId="150" xfId="0" applyFont="1" applyBorder="1" applyAlignment="1">
      <alignment horizontal="left" vertical="center"/>
    </xf>
    <xf numFmtId="2" fontId="22" fillId="17" borderId="127" xfId="0" applyNumberFormat="1" applyFont="1" applyFill="1" applyBorder="1" applyAlignment="1">
      <alignment horizontal="center" vertical="center" wrapText="1"/>
    </xf>
    <xf numFmtId="0" fontId="22" fillId="0" borderId="127" xfId="8" applyBorder="1" applyAlignment="1">
      <alignment horizontal="left" vertical="center" indent="1"/>
    </xf>
    <xf numFmtId="0" fontId="34" fillId="0" borderId="127" xfId="8" applyFont="1" applyBorder="1" applyAlignment="1">
      <alignment horizontal="right" vertical="center" indent="1"/>
    </xf>
    <xf numFmtId="0" fontId="22" fillId="0" borderId="0" xfId="8" applyAlignment="1">
      <alignment horizontal="left" vertical="center" indent="1"/>
    </xf>
    <xf numFmtId="0" fontId="22" fillId="0" borderId="89" xfId="8" applyBorder="1" applyAlignment="1">
      <alignment horizontal="left" vertical="center" indent="1"/>
    </xf>
    <xf numFmtId="0" fontId="22" fillId="27" borderId="127" xfId="13" applyFont="1" applyFill="1" applyBorder="1" applyAlignment="1">
      <alignment horizontal="center" vertical="center" wrapText="1"/>
    </xf>
    <xf numFmtId="2" fontId="23" fillId="25" borderId="127" xfId="12" applyNumberFormat="1" applyFont="1" applyFill="1" applyBorder="1" applyAlignment="1">
      <alignment horizontal="center" vertical="center" wrapText="1"/>
    </xf>
    <xf numFmtId="0" fontId="22" fillId="0" borderId="0" xfId="0" applyFont="1" applyAlignment="1" applyProtection="1">
      <alignment horizontal="center" vertical="center" wrapText="1"/>
      <protection locked="0"/>
    </xf>
    <xf numFmtId="0" fontId="22" fillId="0" borderId="89" xfId="0" applyFont="1" applyBorder="1" applyAlignment="1" applyProtection="1">
      <alignment horizontal="center" vertical="center" wrapText="1"/>
      <protection locked="0"/>
    </xf>
    <xf numFmtId="0" fontId="22" fillId="0" borderId="87" xfId="0" applyFont="1" applyBorder="1" applyAlignment="1" applyProtection="1">
      <alignment horizontal="center" vertical="center" wrapText="1"/>
      <protection locked="0"/>
    </xf>
    <xf numFmtId="0" fontId="22" fillId="0" borderId="24" xfId="8" applyBorder="1" applyAlignment="1">
      <alignment horizontal="left" vertical="center" indent="5"/>
    </xf>
    <xf numFmtId="0" fontId="22" fillId="0" borderId="0" xfId="8" applyAlignment="1">
      <alignment horizontal="left" vertical="center" indent="5"/>
    </xf>
    <xf numFmtId="3" fontId="22" fillId="0" borderId="0" xfId="81" applyNumberFormat="1" applyFill="1" applyBorder="1" applyAlignment="1">
      <alignment horizontal="center" vertical="center"/>
      <protection locked="0"/>
    </xf>
    <xf numFmtId="0" fontId="45" fillId="0" borderId="89" xfId="12" applyFont="1" applyFill="1" applyBorder="1">
      <alignment horizontal="left" vertical="center" wrapText="1"/>
    </xf>
    <xf numFmtId="0" fontId="22" fillId="4" borderId="129" xfId="45" applyFill="1" applyBorder="1" applyAlignment="1" applyProtection="1">
      <alignment horizontal="center" vertical="center" wrapText="1"/>
      <protection locked="0"/>
    </xf>
    <xf numFmtId="0" fontId="22" fillId="4" borderId="91" xfId="45" applyFill="1" applyBorder="1" applyAlignment="1" applyProtection="1">
      <alignment horizontal="center" vertical="center" wrapText="1"/>
      <protection locked="0"/>
    </xf>
    <xf numFmtId="0" fontId="36" fillId="0" borderId="90" xfId="0" applyFont="1" applyBorder="1" applyAlignment="1">
      <alignment horizontal="left" vertical="center"/>
    </xf>
    <xf numFmtId="0" fontId="36" fillId="0" borderId="150" xfId="0" applyFont="1" applyBorder="1" applyAlignment="1">
      <alignment horizontal="left" vertical="center"/>
    </xf>
    <xf numFmtId="3" fontId="73" fillId="0" borderId="0" xfId="8" quotePrefix="1" applyNumberFormat="1" applyFont="1" applyAlignment="1" applyProtection="1">
      <alignment horizontal="center" vertical="center" wrapText="1"/>
      <protection locked="0"/>
    </xf>
    <xf numFmtId="0" fontId="22" fillId="0" borderId="91" xfId="0" applyFont="1" applyBorder="1" applyAlignment="1" applyProtection="1">
      <alignment horizontal="center" vertical="center" wrapText="1"/>
      <protection locked="0"/>
    </xf>
    <xf numFmtId="0" fontId="36" fillId="0" borderId="0" xfId="0" applyFont="1" applyAlignment="1">
      <alignment horizontal="left" vertical="center"/>
    </xf>
    <xf numFmtId="0" fontId="22" fillId="0" borderId="0" xfId="0" applyFont="1" applyAlignment="1">
      <alignment horizontal="center" vertical="center"/>
    </xf>
    <xf numFmtId="0" fontId="34" fillId="0" borderId="0" xfId="12" applyFont="1" applyFill="1" applyBorder="1">
      <alignment horizontal="left" vertical="center" wrapText="1"/>
    </xf>
    <xf numFmtId="0" fontId="14" fillId="0" borderId="127" xfId="12" applyFont="1" applyFill="1" applyBorder="1" applyAlignment="1">
      <alignment horizontal="center" vertical="center" wrapText="1"/>
    </xf>
    <xf numFmtId="2" fontId="14" fillId="17" borderId="91" xfId="8" applyNumberFormat="1" applyFont="1" applyFill="1" applyBorder="1" applyAlignment="1">
      <alignment horizontal="center" vertical="center"/>
    </xf>
    <xf numFmtId="0" fontId="14" fillId="0" borderId="0" xfId="8" applyFont="1" applyAlignment="1">
      <alignment horizontal="right" vertical="center" indent="1"/>
    </xf>
    <xf numFmtId="0" fontId="22" fillId="0" borderId="114" xfId="12" applyFill="1" applyBorder="1" applyAlignment="1">
      <alignment horizontal="right" vertical="center" wrapText="1" indent="1"/>
    </xf>
    <xf numFmtId="188" fontId="34" fillId="0" borderId="127" xfId="0" applyNumberFormat="1" applyFont="1" applyBorder="1" applyAlignment="1">
      <alignment horizontal="right" vertical="center" indent="1"/>
    </xf>
    <xf numFmtId="188" fontId="0" fillId="0" borderId="93" xfId="0" applyNumberFormat="1" applyBorder="1"/>
    <xf numFmtId="188" fontId="0" fillId="0" borderId="91" xfId="0" applyNumberFormat="1" applyBorder="1"/>
    <xf numFmtId="0" fontId="14" fillId="0" borderId="127" xfId="12" applyFont="1" applyFill="1" applyBorder="1" applyAlignment="1">
      <alignment horizontal="center" vertical="center"/>
    </xf>
    <xf numFmtId="0" fontId="29" fillId="26" borderId="129" xfId="8" applyFont="1" applyFill="1" applyBorder="1" applyAlignment="1">
      <alignment horizontal="center" vertical="center"/>
    </xf>
    <xf numFmtId="0" fontId="29" fillId="26" borderId="93" xfId="8" applyFont="1" applyFill="1" applyBorder="1" applyAlignment="1">
      <alignment horizontal="center" vertical="center"/>
    </xf>
    <xf numFmtId="0" fontId="29" fillId="26" borderId="91" xfId="8" applyFont="1" applyFill="1" applyBorder="1" applyAlignment="1">
      <alignment horizontal="center" vertical="center"/>
    </xf>
    <xf numFmtId="0" fontId="22" fillId="0" borderId="0" xfId="8" applyAlignment="1">
      <alignment vertical="center" wrapText="1"/>
    </xf>
    <xf numFmtId="188" fontId="14" fillId="0" borderId="127" xfId="0" applyNumberFormat="1" applyFont="1" applyBorder="1" applyAlignment="1">
      <alignment horizontal="right" vertical="center" indent="1"/>
    </xf>
    <xf numFmtId="10" fontId="23" fillId="25" borderId="127" xfId="12" applyNumberFormat="1" applyFont="1" applyFill="1" applyBorder="1" applyAlignment="1">
      <alignment horizontal="center" vertical="center" wrapText="1"/>
    </xf>
    <xf numFmtId="0" fontId="35" fillId="0" borderId="89" xfId="0" applyFont="1" applyBorder="1" applyAlignment="1">
      <alignment horizontal="left" vertical="center"/>
    </xf>
    <xf numFmtId="170" fontId="22" fillId="26" borderId="127" xfId="0" applyNumberFormat="1" applyFont="1" applyFill="1" applyBorder="1" applyAlignment="1">
      <alignment horizontal="center" vertical="center" wrapText="1"/>
    </xf>
    <xf numFmtId="0" fontId="49" fillId="0" borderId="87" xfId="0" applyFont="1" applyBorder="1" applyAlignment="1">
      <alignment horizontal="left" vertical="center"/>
    </xf>
    <xf numFmtId="0" fontId="23" fillId="0" borderId="114" xfId="8" applyFont="1" applyBorder="1" applyAlignment="1">
      <alignment horizontal="left" vertical="center" wrapText="1" indent="5"/>
    </xf>
    <xf numFmtId="170" fontId="22" fillId="4" borderId="127" xfId="0" applyNumberFormat="1" applyFont="1" applyFill="1" applyBorder="1" applyAlignment="1" applyProtection="1">
      <alignment horizontal="left" vertical="center"/>
      <protection locked="0"/>
    </xf>
    <xf numFmtId="3" fontId="22" fillId="0" borderId="150" xfId="81" applyNumberFormat="1" applyFill="1" applyBorder="1" applyAlignment="1" applyProtection="1">
      <alignment horizontal="right" vertical="center" wrapText="1" indent="1"/>
    </xf>
    <xf numFmtId="0" fontId="14" fillId="0" borderId="89" xfId="0" applyFont="1" applyBorder="1" applyAlignment="1">
      <alignment vertical="center"/>
    </xf>
    <xf numFmtId="0" fontId="22" fillId="75" borderId="127" xfId="12" applyFill="1" applyBorder="1" applyAlignment="1">
      <alignment horizontal="left" vertical="center" wrapText="1" indent="1"/>
    </xf>
    <xf numFmtId="181" fontId="81" fillId="45" borderId="88" xfId="12" applyNumberFormat="1" applyFont="1" applyFill="1" applyBorder="1" applyAlignment="1">
      <alignment horizontal="center" vertical="center" wrapText="1"/>
    </xf>
    <xf numFmtId="3" fontId="73" fillId="4" borderId="127" xfId="8" quotePrefix="1" applyNumberFormat="1" applyFont="1" applyFill="1" applyBorder="1" applyAlignment="1" applyProtection="1">
      <alignment horizontal="center" vertical="center" wrapText="1"/>
      <protection locked="0"/>
    </xf>
    <xf numFmtId="170" fontId="22" fillId="0" borderId="127" xfId="0" applyNumberFormat="1" applyFont="1" applyBorder="1" applyAlignment="1">
      <alignment horizontal="left" vertical="center" indent="1"/>
    </xf>
    <xf numFmtId="175" fontId="14" fillId="4" borderId="127" xfId="0" applyNumberFormat="1" applyFont="1" applyFill="1" applyBorder="1" applyAlignment="1" applyProtection="1">
      <alignment horizontal="center" vertical="center" wrapText="1"/>
      <protection locked="0"/>
    </xf>
    <xf numFmtId="0" fontId="34" fillId="0" borderId="89" xfId="0" applyFont="1" applyBorder="1" applyAlignment="1">
      <alignment horizontal="right" vertical="center" indent="1"/>
    </xf>
    <xf numFmtId="9" fontId="22" fillId="0" borderId="127" xfId="0" applyNumberFormat="1" applyFont="1" applyBorder="1" applyAlignment="1">
      <alignment horizontal="right" vertical="center" indent="1"/>
    </xf>
    <xf numFmtId="3" fontId="16" fillId="0" borderId="0" xfId="81" applyNumberFormat="1" applyFont="1" applyFill="1" applyBorder="1" applyAlignment="1" applyProtection="1">
      <alignment horizontal="center" vertical="center"/>
    </xf>
    <xf numFmtId="2" fontId="81" fillId="45" borderId="0" xfId="12" applyNumberFormat="1" applyFont="1" applyFill="1" applyBorder="1" applyAlignment="1">
      <alignment horizontal="left" vertical="center" wrapText="1" indent="1"/>
    </xf>
    <xf numFmtId="2" fontId="81" fillId="0" borderId="0" xfId="8" applyNumberFormat="1" applyFont="1" applyAlignment="1">
      <alignment horizontal="center" vertical="center"/>
    </xf>
    <xf numFmtId="2" fontId="68" fillId="6" borderId="0" xfId="8" applyNumberFormat="1" applyFont="1" applyFill="1">
      <alignment horizontal="left" vertical="center"/>
    </xf>
    <xf numFmtId="0" fontId="22" fillId="4" borderId="114" xfId="0" applyFont="1" applyFill="1" applyBorder="1" applyAlignment="1" applyProtection="1">
      <alignment horizontal="center" vertical="center" wrapText="1"/>
      <protection locked="0"/>
    </xf>
    <xf numFmtId="0" fontId="23" fillId="0" borderId="0" xfId="8" applyFont="1">
      <alignment horizontal="left" vertical="center"/>
    </xf>
    <xf numFmtId="188" fontId="34" fillId="46" borderId="127" xfId="12" applyNumberFormat="1" applyFont="1" applyFill="1" applyBorder="1" applyAlignment="1">
      <alignment horizontal="center" vertical="center" wrapText="1"/>
    </xf>
    <xf numFmtId="10" fontId="68" fillId="6" borderId="150" xfId="0" applyNumberFormat="1" applyFont="1" applyFill="1" applyBorder="1" applyAlignment="1">
      <alignment horizontal="center" vertical="center" wrapText="1"/>
    </xf>
    <xf numFmtId="175" fontId="22" fillId="0" borderId="127" xfId="0" applyNumberFormat="1" applyFont="1" applyBorder="1" applyAlignment="1">
      <alignment horizontal="center" vertical="center"/>
    </xf>
    <xf numFmtId="0" fontId="137" fillId="0" borderId="0" xfId="0" applyFont="1" applyAlignment="1">
      <alignment horizontal="left" vertical="center" wrapText="1"/>
    </xf>
    <xf numFmtId="14" fontId="34" fillId="0" borderId="0" xfId="13" applyNumberFormat="1" applyFont="1" applyAlignment="1">
      <alignment horizontal="left" vertical="center" indent="1"/>
    </xf>
    <xf numFmtId="14" fontId="22" fillId="0" borderId="0" xfId="8" applyNumberFormat="1">
      <alignment horizontal="left" vertical="center"/>
    </xf>
    <xf numFmtId="0" fontId="22" fillId="6" borderId="89" xfId="12" applyFill="1" applyBorder="1">
      <alignment horizontal="left" vertical="center" wrapText="1"/>
    </xf>
    <xf numFmtId="184" fontId="22" fillId="26" borderId="127" xfId="12" applyNumberFormat="1" applyFill="1" applyBorder="1" applyAlignment="1">
      <alignment horizontal="center" vertical="center" wrapText="1"/>
    </xf>
    <xf numFmtId="184" fontId="0" fillId="26" borderId="91" xfId="0" applyNumberFormat="1" applyFill="1" applyBorder="1"/>
    <xf numFmtId="2" fontId="22" fillId="0" borderId="87" xfId="12" applyNumberFormat="1" applyFill="1" applyBorder="1" applyAlignment="1">
      <alignment horizontal="center" vertical="center" wrapText="1"/>
    </xf>
    <xf numFmtId="2" fontId="22" fillId="0" borderId="88" xfId="12" applyNumberFormat="1" applyFill="1" applyBorder="1" applyAlignment="1">
      <alignment horizontal="center" vertical="center" wrapText="1"/>
    </xf>
    <xf numFmtId="0" fontId="49" fillId="0" borderId="89" xfId="0" applyFont="1" applyBorder="1" applyAlignment="1">
      <alignment horizontal="left" vertical="center" wrapText="1"/>
    </xf>
    <xf numFmtId="0" fontId="22" fillId="0" borderId="127" xfId="8" applyBorder="1" applyAlignment="1">
      <alignment horizontal="right" vertical="center" wrapText="1" indent="1"/>
    </xf>
    <xf numFmtId="0" fontId="22" fillId="0" borderId="90" xfId="0" applyFont="1" applyBorder="1" applyAlignment="1" applyProtection="1">
      <alignment horizontal="center" vertical="center" wrapText="1"/>
      <protection locked="0"/>
    </xf>
    <xf numFmtId="0" fontId="73" fillId="0" borderId="0" xfId="8" applyFont="1" applyAlignment="1">
      <alignment horizontal="center" vertical="center" wrapText="1"/>
    </xf>
    <xf numFmtId="3" fontId="73" fillId="0" borderId="0" xfId="8" applyNumberFormat="1" applyFont="1" applyAlignment="1">
      <alignment horizontal="left" vertical="center" indent="1"/>
    </xf>
    <xf numFmtId="3" fontId="55" fillId="0" borderId="0" xfId="81" applyNumberFormat="1" applyFont="1" applyFill="1" applyBorder="1" applyAlignment="1" applyProtection="1">
      <alignment horizontal="right" vertical="center" indent="1"/>
    </xf>
    <xf numFmtId="0" fontId="55" fillId="0" borderId="0" xfId="8" applyFont="1" applyAlignment="1">
      <alignment horizontal="left" vertical="center" indent="1"/>
    </xf>
    <xf numFmtId="0" fontId="55" fillId="0" borderId="89" xfId="8" applyFont="1" applyBorder="1" applyAlignment="1">
      <alignment horizontal="left" vertical="center" indent="1"/>
    </xf>
    <xf numFmtId="0" fontId="22" fillId="0" borderId="24" xfId="9" applyFont="1" applyBorder="1" applyAlignment="1">
      <alignment horizontal="left" vertical="center" wrapText="1" indent="5"/>
    </xf>
    <xf numFmtId="0" fontId="22" fillId="0" borderId="0" xfId="9" applyFont="1" applyAlignment="1">
      <alignment horizontal="left" vertical="center" wrapText="1" indent="5"/>
    </xf>
    <xf numFmtId="0" fontId="23" fillId="0" borderId="0" xfId="0" applyFont="1" applyAlignment="1">
      <alignment horizontal="left" vertical="center" wrapText="1"/>
    </xf>
    <xf numFmtId="0" fontId="14" fillId="0" borderId="127" xfId="0" applyFont="1" applyBorder="1" applyAlignment="1">
      <alignment horizontal="left" vertical="center" wrapText="1" indent="1"/>
    </xf>
    <xf numFmtId="0" fontId="22" fillId="0" borderId="127" xfId="0" applyFont="1" applyBorder="1" applyAlignment="1">
      <alignment horizontal="right" vertical="center" indent="1"/>
    </xf>
    <xf numFmtId="0" fontId="22" fillId="0" borderId="90" xfId="0" applyFont="1" applyBorder="1" applyAlignment="1">
      <alignment horizontal="left" vertical="center" wrapText="1"/>
    </xf>
    <xf numFmtId="3" fontId="73" fillId="0" borderId="89" xfId="8" applyNumberFormat="1" applyFont="1" applyBorder="1" applyAlignment="1">
      <alignment horizontal="left" vertical="center" indent="1"/>
    </xf>
    <xf numFmtId="0" fontId="14" fillId="4" borderId="127" xfId="12" applyFont="1" applyFill="1" applyBorder="1" applyAlignment="1" applyProtection="1">
      <alignment horizontal="left" vertical="center" wrapText="1" indent="1"/>
      <protection locked="0"/>
    </xf>
    <xf numFmtId="0" fontId="36" fillId="0" borderId="87" xfId="0" applyFont="1" applyBorder="1" applyAlignment="1">
      <alignment horizontal="left" vertical="center"/>
    </xf>
    <xf numFmtId="0" fontId="14" fillId="75" borderId="127" xfId="11" applyFont="1" applyFill="1" applyBorder="1" applyAlignment="1">
      <alignment horizontal="center" vertical="center" wrapText="1"/>
    </xf>
    <xf numFmtId="3" fontId="16" fillId="0" borderId="0" xfId="81" applyNumberFormat="1" applyFont="1" applyFill="1" applyBorder="1" applyAlignment="1" applyProtection="1">
      <alignment horizontal="center" vertical="center" wrapText="1"/>
    </xf>
    <xf numFmtId="0" fontId="14" fillId="0" borderId="0" xfId="8" applyFont="1" applyAlignment="1" applyProtection="1">
      <alignment horizontal="center" vertical="center"/>
      <protection locked="0"/>
    </xf>
    <xf numFmtId="0" fontId="22" fillId="0" borderId="0" xfId="8" applyAlignment="1">
      <alignment horizontal="left" vertical="center" indent="2"/>
    </xf>
    <xf numFmtId="0" fontId="22" fillId="0" borderId="90" xfId="8" applyBorder="1" applyAlignment="1">
      <alignment vertical="center"/>
    </xf>
    <xf numFmtId="0" fontId="14" fillId="0" borderId="89" xfId="16" applyFont="1" applyBorder="1" applyAlignment="1">
      <alignment horizontal="left" vertical="center" wrapText="1"/>
    </xf>
    <xf numFmtId="0" fontId="22" fillId="0" borderId="0" xfId="0" applyFont="1" applyAlignment="1">
      <alignment horizontal="center" vertical="center" wrapText="1"/>
    </xf>
    <xf numFmtId="0" fontId="14" fillId="0" borderId="89" xfId="0" applyFont="1" applyBorder="1"/>
    <xf numFmtId="0" fontId="22" fillId="0" borderId="127" xfId="13" applyFont="1" applyBorder="1" applyAlignment="1">
      <alignment horizontal="center" vertical="center" textRotation="89" wrapText="1"/>
    </xf>
    <xf numFmtId="0" fontId="22" fillId="0" borderId="0" xfId="0" applyFont="1" applyAlignment="1" applyProtection="1">
      <alignment horizontal="center" vertical="center"/>
      <protection locked="0"/>
    </xf>
    <xf numFmtId="0" fontId="98" fillId="6" borderId="0" xfId="13" applyFont="1" applyFill="1" applyAlignment="1">
      <alignment horizontal="left" vertical="center"/>
    </xf>
    <xf numFmtId="0" fontId="14" fillId="44" borderId="127" xfId="0" applyFont="1" applyFill="1" applyBorder="1" applyAlignment="1">
      <alignment horizontal="center" vertical="center" wrapText="1"/>
    </xf>
    <xf numFmtId="2" fontId="22" fillId="28" borderId="129" xfId="12" applyNumberFormat="1" applyFill="1" applyBorder="1" applyAlignment="1">
      <alignment horizontal="center" vertical="center" wrapText="1"/>
    </xf>
    <xf numFmtId="2" fontId="22" fillId="28" borderId="91" xfId="12" applyNumberFormat="1" applyFill="1" applyBorder="1" applyAlignment="1">
      <alignment horizontal="center" vertical="center" wrapText="1"/>
    </xf>
    <xf numFmtId="0" fontId="14" fillId="0" borderId="0" xfId="0" applyFont="1" applyAlignment="1">
      <alignment horizontal="center" wrapText="1"/>
    </xf>
    <xf numFmtId="0" fontId="9" fillId="0" borderId="89" xfId="0" applyFont="1" applyBorder="1"/>
    <xf numFmtId="167" fontId="22" fillId="0" borderId="0" xfId="9" applyNumberFormat="1" applyFont="1" applyAlignment="1">
      <alignment horizontal="center" vertical="center" wrapText="1"/>
    </xf>
    <xf numFmtId="0" fontId="45" fillId="0" borderId="0" xfId="0" applyFont="1" applyAlignment="1">
      <alignment horizontal="right" vertical="center" wrapText="1" indent="1"/>
    </xf>
    <xf numFmtId="0" fontId="14" fillId="11" borderId="93" xfId="0" quotePrefix="1" applyFont="1" applyFill="1" applyBorder="1" applyAlignment="1">
      <alignment horizontal="center" vertical="center" wrapText="1"/>
    </xf>
    <xf numFmtId="0" fontId="14" fillId="11" borderId="91" xfId="0" quotePrefix="1" applyFont="1" applyFill="1" applyBorder="1" applyAlignment="1">
      <alignment horizontal="center" vertical="center" wrapText="1"/>
    </xf>
    <xf numFmtId="0" fontId="34" fillId="6" borderId="114" xfId="0" applyFont="1" applyFill="1" applyBorder="1" applyAlignment="1">
      <alignment horizontal="center" vertical="center" wrapText="1"/>
    </xf>
    <xf numFmtId="0" fontId="150" fillId="25" borderId="129" xfId="19" applyFont="1" applyFill="1" applyBorder="1" applyAlignment="1">
      <alignment horizontal="center" vertical="center" wrapText="1"/>
    </xf>
    <xf numFmtId="0" fontId="150" fillId="25" borderId="93" xfId="19" applyFont="1" applyFill="1" applyBorder="1" applyAlignment="1">
      <alignment horizontal="center" vertical="center" wrapText="1"/>
    </xf>
    <xf numFmtId="0" fontId="150" fillId="25" borderId="91" xfId="19" applyFont="1" applyFill="1" applyBorder="1" applyAlignment="1">
      <alignment horizontal="center" vertical="center" wrapText="1"/>
    </xf>
    <xf numFmtId="0" fontId="14" fillId="0" borderId="24" xfId="0" applyFont="1" applyBorder="1" applyAlignment="1">
      <alignment horizontal="center" vertical="center" wrapText="1"/>
    </xf>
    <xf numFmtId="0" fontId="22" fillId="7" borderId="129" xfId="45" applyFill="1" applyBorder="1" applyAlignment="1">
      <alignment horizontal="left" vertical="center" wrapText="1" indent="1"/>
    </xf>
    <xf numFmtId="0" fontId="22" fillId="7" borderId="93" xfId="45" applyFill="1" applyBorder="1" applyAlignment="1">
      <alignment horizontal="left" vertical="center" wrapText="1" indent="1"/>
    </xf>
    <xf numFmtId="0" fontId="22" fillId="7" borderId="91" xfId="45" applyFill="1" applyBorder="1" applyAlignment="1">
      <alignment horizontal="left" vertical="center" wrapText="1" indent="1"/>
    </xf>
    <xf numFmtId="0" fontId="34" fillId="0" borderId="0" xfId="13" applyFont="1" applyAlignment="1">
      <alignment horizontal="right" vertical="top" indent="1"/>
    </xf>
    <xf numFmtId="2" fontId="34" fillId="44" borderId="127" xfId="0" applyNumberFormat="1" applyFont="1" applyFill="1" applyBorder="1" applyAlignment="1">
      <alignment horizontal="right" vertical="center" indent="1"/>
    </xf>
    <xf numFmtId="1" fontId="34" fillId="0" borderId="0" xfId="8" applyNumberFormat="1" applyFont="1" applyAlignment="1">
      <alignment horizontal="left" vertical="center" indent="1"/>
    </xf>
    <xf numFmtId="0" fontId="107" fillId="0" borderId="127" xfId="8" applyFont="1" applyBorder="1" applyAlignment="1">
      <alignment horizontal="left" vertical="top" wrapText="1"/>
    </xf>
    <xf numFmtId="0" fontId="0" fillId="0" borderId="87" xfId="0" applyBorder="1" applyAlignment="1">
      <alignment vertical="top"/>
    </xf>
    <xf numFmtId="0" fontId="0" fillId="0" borderId="88" xfId="0" applyBorder="1" applyAlignment="1">
      <alignment vertical="top"/>
    </xf>
    <xf numFmtId="0" fontId="0" fillId="0" borderId="24" xfId="0" applyBorder="1" applyAlignment="1">
      <alignment vertical="top"/>
    </xf>
    <xf numFmtId="0" fontId="22" fillId="0" borderId="0" xfId="8" applyAlignment="1">
      <alignment horizontal="left" vertical="top"/>
    </xf>
    <xf numFmtId="0" fontId="0" fillId="0" borderId="89" xfId="0" applyBorder="1" applyAlignment="1">
      <alignment vertical="top"/>
    </xf>
    <xf numFmtId="0" fontId="0" fillId="0" borderId="43" xfId="0" applyBorder="1" applyAlignment="1">
      <alignment vertical="top"/>
    </xf>
    <xf numFmtId="0" fontId="0" fillId="0" borderId="90" xfId="0" applyBorder="1" applyAlignment="1">
      <alignment vertical="top"/>
    </xf>
    <xf numFmtId="0" fontId="0" fillId="0" borderId="150" xfId="0" applyBorder="1" applyAlignment="1">
      <alignment vertical="top"/>
    </xf>
    <xf numFmtId="0" fontId="68" fillId="0" borderId="0" xfId="8" applyFont="1" applyAlignment="1">
      <alignment horizontal="right" vertical="center" indent="1"/>
    </xf>
    <xf numFmtId="0" fontId="68" fillId="6" borderId="0" xfId="8" applyFont="1" applyFill="1">
      <alignment horizontal="left" vertical="center"/>
    </xf>
    <xf numFmtId="0" fontId="22" fillId="0" borderId="92" xfId="0" applyFont="1" applyBorder="1" applyAlignment="1">
      <alignment horizontal="center" vertical="center"/>
    </xf>
    <xf numFmtId="0" fontId="34" fillId="0" borderId="0" xfId="0" applyFont="1" applyAlignment="1">
      <alignment horizontal="left" vertical="center"/>
    </xf>
    <xf numFmtId="49" fontId="23" fillId="0" borderId="90" xfId="8" applyNumberFormat="1" applyFont="1" applyBorder="1" applyAlignment="1">
      <alignment horizontal="center"/>
    </xf>
    <xf numFmtId="0" fontId="22" fillId="0" borderId="90" xfId="8" applyBorder="1" applyAlignment="1">
      <alignment horizontal="center" vertical="center" wrapText="1"/>
    </xf>
    <xf numFmtId="0" fontId="14" fillId="0" borderId="114" xfId="19" applyFont="1" applyFill="1" applyBorder="1" applyAlignment="1">
      <alignment horizontal="center" vertical="center" wrapText="1"/>
    </xf>
    <xf numFmtId="3" fontId="55" fillId="0" borderId="7" xfId="81" applyNumberFormat="1" applyFont="1" applyFill="1" applyAlignment="1" applyProtection="1">
      <alignment horizontal="center" vertical="center"/>
    </xf>
    <xf numFmtId="0" fontId="14" fillId="0" borderId="88" xfId="12" applyFont="1" applyFill="1" applyBorder="1">
      <alignment horizontal="left" vertical="center" wrapText="1"/>
    </xf>
    <xf numFmtId="0" fontId="22" fillId="0" borderId="127" xfId="8" applyBorder="1" applyAlignment="1">
      <alignment horizontal="center" vertical="center" textRotation="90" wrapText="1"/>
    </xf>
    <xf numFmtId="0" fontId="22" fillId="4" borderId="114" xfId="0" applyFont="1" applyFill="1" applyBorder="1" applyAlignment="1" applyProtection="1">
      <alignment horizontal="left" vertical="top"/>
      <protection locked="0"/>
    </xf>
    <xf numFmtId="0" fontId="22" fillId="7" borderId="91" xfId="12" applyFill="1" applyBorder="1" applyAlignment="1">
      <alignment horizontal="left" vertical="center" wrapText="1" indent="1"/>
    </xf>
    <xf numFmtId="0" fontId="14" fillId="0" borderId="0" xfId="16" applyFont="1" applyAlignment="1">
      <alignment horizontal="left" vertical="center" wrapText="1"/>
    </xf>
    <xf numFmtId="3" fontId="22" fillId="4" borderId="114" xfId="81" applyNumberFormat="1" applyBorder="1" applyAlignment="1">
      <alignment horizontal="center" vertical="center"/>
      <protection locked="0"/>
    </xf>
    <xf numFmtId="0" fontId="14" fillId="0" borderId="91" xfId="0" applyFont="1" applyBorder="1" applyAlignment="1">
      <alignment horizontal="left" vertical="center" wrapText="1"/>
    </xf>
    <xf numFmtId="0" fontId="22" fillId="0" borderId="93" xfId="0" applyFont="1" applyBorder="1" applyAlignment="1">
      <alignment vertical="center"/>
    </xf>
    <xf numFmtId="0" fontId="22" fillId="0" borderId="24" xfId="0" applyFont="1" applyBorder="1" applyAlignment="1">
      <alignment horizontal="left" vertical="center"/>
    </xf>
    <xf numFmtId="0" fontId="14" fillId="7" borderId="92" xfId="2" applyFont="1" applyFill="1" applyBorder="1" applyAlignment="1">
      <alignment horizontal="center" vertical="center" wrapText="1"/>
    </xf>
    <xf numFmtId="10" fontId="23" fillId="25" borderId="114" xfId="12" applyNumberFormat="1" applyFont="1" applyFill="1" applyBorder="1" applyAlignment="1">
      <alignment horizontal="center" vertical="center" wrapText="1"/>
    </xf>
    <xf numFmtId="0" fontId="22" fillId="0" borderId="92" xfId="0" applyFont="1" applyBorder="1" applyAlignment="1">
      <alignment horizontal="right" vertical="center" indent="1"/>
    </xf>
    <xf numFmtId="0" fontId="74" fillId="0" borderId="88" xfId="4" applyFont="1" applyBorder="1" applyAlignment="1" applyProtection="1">
      <alignment horizontal="left" vertical="center" wrapText="1" indent="1"/>
    </xf>
    <xf numFmtId="4" fontId="22" fillId="6" borderId="7" xfId="81" applyNumberFormat="1" applyFill="1" applyAlignment="1" applyProtection="1">
      <alignment horizontal="center" vertical="center"/>
    </xf>
    <xf numFmtId="0" fontId="22" fillId="0" borderId="90" xfId="0" applyFont="1" applyBorder="1" applyAlignment="1">
      <alignment vertical="center"/>
    </xf>
    <xf numFmtId="0" fontId="22" fillId="7" borderId="114" xfId="12" applyFill="1" applyBorder="1" applyAlignment="1">
      <alignment horizontal="left" vertical="center" wrapText="1" indent="1"/>
    </xf>
    <xf numFmtId="3" fontId="55" fillId="0" borderId="7" xfId="81" applyNumberFormat="1" applyFont="1" applyFill="1" applyAlignment="1" applyProtection="1">
      <alignment horizontal="right" vertical="center" indent="1"/>
    </xf>
    <xf numFmtId="0" fontId="22" fillId="0" borderId="127" xfId="9" applyFont="1" applyBorder="1" applyAlignment="1">
      <alignment horizontal="center" vertical="center" wrapText="1"/>
    </xf>
    <xf numFmtId="0" fontId="55" fillId="0" borderId="92" xfId="8" applyFont="1" applyBorder="1" applyAlignment="1">
      <alignment horizontal="left" vertical="center" indent="1"/>
    </xf>
    <xf numFmtId="0" fontId="22" fillId="0" borderId="43" xfId="9" applyFont="1" applyBorder="1" applyAlignment="1">
      <alignment horizontal="left" vertical="center" wrapText="1" indent="5"/>
    </xf>
    <xf numFmtId="180" fontId="22" fillId="4" borderId="127" xfId="12" applyNumberFormat="1" applyFill="1" applyBorder="1" applyAlignment="1" applyProtection="1">
      <alignment horizontal="center" vertical="center" wrapText="1"/>
      <protection locked="0"/>
    </xf>
    <xf numFmtId="0" fontId="14" fillId="0" borderId="91" xfId="0" applyFont="1" applyBorder="1" applyProtection="1">
      <protection locked="0"/>
    </xf>
    <xf numFmtId="0" fontId="14" fillId="0" borderId="89" xfId="8" applyFont="1" applyBorder="1" applyAlignment="1">
      <alignment horizontal="left" vertical="center" wrapText="1"/>
    </xf>
    <xf numFmtId="0" fontId="14" fillId="0" borderId="24" xfId="2" applyFont="1" applyFill="1" applyBorder="1" applyAlignment="1">
      <alignment horizontal="center" vertical="center" wrapText="1"/>
    </xf>
    <xf numFmtId="3" fontId="14" fillId="0" borderId="87" xfId="81" applyNumberFormat="1" applyFont="1" applyFill="1" applyBorder="1" applyAlignment="1" applyProtection="1">
      <alignment horizontal="right" vertical="center" indent="1"/>
    </xf>
    <xf numFmtId="10" fontId="22" fillId="43" borderId="114" xfId="81" applyNumberFormat="1" applyFill="1" applyBorder="1" applyAlignment="1" applyProtection="1">
      <alignment horizontal="center" vertical="center"/>
    </xf>
    <xf numFmtId="0" fontId="14" fillId="6" borderId="89" xfId="12" applyFont="1" applyFill="1" applyBorder="1">
      <alignment horizontal="left" vertical="center" wrapText="1"/>
    </xf>
    <xf numFmtId="0" fontId="22" fillId="6" borderId="88" xfId="12" applyFill="1" applyBorder="1">
      <alignment horizontal="left" vertical="center" wrapText="1"/>
    </xf>
    <xf numFmtId="0" fontId="22" fillId="0" borderId="129" xfId="0" applyFont="1" applyBorder="1" applyAlignment="1">
      <alignment horizontal="center" vertical="center"/>
    </xf>
    <xf numFmtId="0" fontId="13" fillId="0" borderId="91" xfId="0" applyFont="1" applyBorder="1" applyAlignment="1">
      <alignment horizontal="center" vertical="center"/>
    </xf>
    <xf numFmtId="0" fontId="14" fillId="7" borderId="129" xfId="11" applyFont="1" applyFill="1" applyBorder="1" applyAlignment="1">
      <alignment horizontal="center" vertical="center" wrapText="1"/>
    </xf>
    <xf numFmtId="0" fontId="51" fillId="0" borderId="90" xfId="0" applyFont="1" applyBorder="1" applyAlignment="1">
      <alignment horizontal="left" vertical="center" wrapText="1"/>
    </xf>
    <xf numFmtId="0" fontId="14" fillId="6" borderId="150" xfId="8" applyFont="1" applyFill="1" applyBorder="1" applyAlignment="1">
      <alignment horizontal="left" vertical="center" wrapText="1"/>
    </xf>
    <xf numFmtId="0" fontId="22" fillId="0" borderId="24" xfId="8" applyBorder="1" applyAlignment="1">
      <alignment horizontal="center" vertical="center"/>
    </xf>
    <xf numFmtId="4" fontId="22" fillId="0" borderId="7" xfId="81" applyNumberFormat="1" applyFill="1" applyAlignment="1" applyProtection="1">
      <alignment horizontal="center" vertical="center"/>
    </xf>
    <xf numFmtId="167" fontId="22" fillId="43" borderId="114" xfId="9" applyNumberFormat="1" applyFont="1" applyFill="1" applyBorder="1" applyAlignment="1">
      <alignment horizontal="center" vertical="center" wrapText="1"/>
    </xf>
    <xf numFmtId="3" fontId="55" fillId="0" borderId="0" xfId="81" applyNumberFormat="1" applyFont="1" applyFill="1" applyBorder="1" applyAlignment="1" applyProtection="1">
      <alignment horizontal="center" vertical="center"/>
    </xf>
    <xf numFmtId="0" fontId="14" fillId="7" borderId="129" xfId="19" applyFont="1" applyFill="1" applyBorder="1" applyAlignment="1">
      <alignment horizontal="left" vertical="center" wrapText="1" indent="1"/>
    </xf>
    <xf numFmtId="0" fontId="14" fillId="7" borderId="93" xfId="19" applyFont="1" applyFill="1" applyBorder="1" applyAlignment="1">
      <alignment horizontal="left" vertical="center" wrapText="1" indent="1"/>
    </xf>
    <xf numFmtId="0" fontId="14" fillId="7" borderId="91" xfId="19" applyFont="1" applyFill="1" applyBorder="1" applyAlignment="1">
      <alignment horizontal="left" vertical="center" wrapText="1" indent="1"/>
    </xf>
    <xf numFmtId="0" fontId="1" fillId="0" borderId="24" xfId="0" applyFont="1" applyBorder="1" applyAlignment="1">
      <alignment horizontal="center" vertical="center"/>
    </xf>
    <xf numFmtId="0" fontId="1" fillId="0" borderId="0" xfId="0" applyFont="1" applyAlignment="1">
      <alignment horizontal="center" vertical="center"/>
    </xf>
    <xf numFmtId="0" fontId="34" fillId="0" borderId="90" xfId="0" applyFont="1" applyBorder="1" applyAlignment="1">
      <alignment horizontal="left" vertical="center" wrapText="1"/>
    </xf>
    <xf numFmtId="0" fontId="14" fillId="0" borderId="90" xfId="0" applyFont="1" applyBorder="1" applyAlignment="1" applyProtection="1">
      <alignment horizontal="left" vertical="center" wrapText="1"/>
      <protection locked="0"/>
    </xf>
    <xf numFmtId="0" fontId="22" fillId="0" borderId="90" xfId="9" applyFont="1" applyBorder="1" applyAlignment="1">
      <alignment horizontal="center" vertical="center" wrapText="1"/>
    </xf>
    <xf numFmtId="0" fontId="34" fillId="6" borderId="88" xfId="8" applyFont="1" applyFill="1" applyBorder="1">
      <alignment horizontal="left" vertical="center"/>
    </xf>
    <xf numFmtId="0" fontId="14" fillId="6" borderId="91" xfId="8" applyFont="1" applyFill="1" applyBorder="1" applyAlignment="1">
      <alignment horizontal="right" vertical="center" wrapText="1" indent="1"/>
    </xf>
    <xf numFmtId="0" fontId="14" fillId="75" borderId="127" xfId="2" applyFont="1" applyFill="1" applyBorder="1" applyAlignment="1">
      <alignment horizontal="center" vertical="center" wrapText="1"/>
    </xf>
    <xf numFmtId="2" fontId="14" fillId="26" borderId="127" xfId="16" applyNumberFormat="1" applyFont="1" applyFill="1" applyBorder="1" applyAlignment="1">
      <alignment horizontal="center" vertical="center" wrapText="1"/>
    </xf>
    <xf numFmtId="0" fontId="14" fillId="0" borderId="91" xfId="0" applyFont="1" applyBorder="1"/>
    <xf numFmtId="0" fontId="22" fillId="72" borderId="0" xfId="8" applyFill="1" applyAlignment="1">
      <alignment horizontal="center" vertical="center"/>
    </xf>
    <xf numFmtId="0" fontId="14" fillId="0" borderId="0" xfId="8" applyFont="1" applyAlignment="1">
      <alignment horizontal="right" vertical="center" wrapText="1" indent="1"/>
    </xf>
    <xf numFmtId="0" fontId="22" fillId="0" borderId="89" xfId="8" applyBorder="1" applyAlignment="1">
      <alignment horizontal="center" vertical="center"/>
    </xf>
    <xf numFmtId="0" fontId="22" fillId="4" borderId="92" xfId="0" applyFont="1" applyFill="1" applyBorder="1" applyAlignment="1" applyProtection="1">
      <alignment horizontal="center" vertical="center" wrapText="1"/>
      <protection locked="0"/>
    </xf>
    <xf numFmtId="0" fontId="22" fillId="6" borderId="120" xfId="0" applyFont="1" applyFill="1" applyBorder="1" applyAlignment="1">
      <alignment horizontal="left" vertical="center" wrapText="1"/>
    </xf>
    <xf numFmtId="0" fontId="45" fillId="0" borderId="150" xfId="0" applyFont="1" applyBorder="1" applyAlignment="1">
      <alignment horizontal="right" vertical="center" wrapText="1" indent="1"/>
    </xf>
    <xf numFmtId="49" fontId="22" fillId="0" borderId="0" xfId="8" applyNumberFormat="1" applyAlignment="1">
      <alignment horizontal="center" vertical="center" wrapText="1"/>
    </xf>
    <xf numFmtId="0" fontId="23" fillId="0" borderId="24" xfId="8" applyFont="1" applyBorder="1" applyAlignment="1">
      <alignment horizontal="left" vertical="center" wrapText="1" indent="5"/>
    </xf>
    <xf numFmtId="0" fontId="23" fillId="0" borderId="0" xfId="8" applyFont="1" applyAlignment="1">
      <alignment horizontal="left" vertical="center" wrapText="1" indent="5"/>
    </xf>
    <xf numFmtId="4" fontId="22" fillId="0" borderId="0" xfId="81" applyNumberFormat="1" applyFill="1" applyBorder="1" applyAlignment="1" applyProtection="1">
      <alignment horizontal="center" vertical="center"/>
    </xf>
    <xf numFmtId="3" fontId="22" fillId="0" borderId="0" xfId="81" applyNumberFormat="1" applyFill="1" applyBorder="1" applyAlignment="1" applyProtection="1">
      <alignment horizontal="right" vertical="center" wrapText="1" indent="1"/>
    </xf>
    <xf numFmtId="10" fontId="22" fillId="0" borderId="0" xfId="81" applyNumberFormat="1" applyFill="1" applyBorder="1" applyAlignment="1" applyProtection="1">
      <alignment horizontal="center" vertical="center"/>
    </xf>
    <xf numFmtId="10" fontId="22" fillId="0" borderId="89" xfId="81" applyNumberFormat="1" applyFill="1" applyBorder="1" applyAlignment="1" applyProtection="1">
      <alignment horizontal="center" vertical="center"/>
    </xf>
    <xf numFmtId="0" fontId="23" fillId="37" borderId="129" xfId="8" applyFont="1" applyFill="1" applyBorder="1" applyAlignment="1">
      <alignment horizontal="center" vertical="center"/>
    </xf>
    <xf numFmtId="0" fontId="23" fillId="37" borderId="99" xfId="8" applyFont="1" applyFill="1" applyBorder="1" applyAlignment="1">
      <alignment horizontal="center" vertical="center"/>
    </xf>
    <xf numFmtId="0" fontId="34" fillId="0" borderId="24" xfId="8" applyFont="1" applyBorder="1" applyAlignment="1">
      <alignment horizontal="right" vertical="center" indent="1"/>
    </xf>
    <xf numFmtId="0" fontId="34" fillId="0" borderId="0" xfId="8" applyFont="1" applyAlignment="1">
      <alignment horizontal="right" vertical="center" indent="1"/>
    </xf>
    <xf numFmtId="0" fontId="31" fillId="0" borderId="0" xfId="8" applyFont="1" applyAlignment="1">
      <alignment horizontal="center"/>
    </xf>
    <xf numFmtId="0" fontId="14" fillId="0" borderId="0" xfId="26" applyFont="1" applyAlignment="1">
      <alignment vertical="center"/>
    </xf>
    <xf numFmtId="0" fontId="14" fillId="0" borderId="0" xfId="26" applyFont="1" applyAlignment="1">
      <alignment horizontal="right" vertical="center" indent="1"/>
    </xf>
    <xf numFmtId="14" fontId="14" fillId="4" borderId="127" xfId="26" applyNumberFormat="1" applyFont="1" applyFill="1" applyBorder="1" applyAlignment="1" applyProtection="1">
      <alignment horizontal="center" vertical="center"/>
      <protection locked="0"/>
    </xf>
    <xf numFmtId="0" fontId="14" fillId="0" borderId="127" xfId="26" applyFont="1" applyBorder="1" applyAlignment="1">
      <alignment horizontal="left" vertical="center" indent="1"/>
    </xf>
    <xf numFmtId="0" fontId="14" fillId="0" borderId="88" xfId="26" applyFont="1" applyBorder="1" applyAlignment="1">
      <alignment horizontal="left" vertical="center" wrapText="1"/>
    </xf>
    <xf numFmtId="0" fontId="14" fillId="4" borderId="91" xfId="26" applyFont="1" applyFill="1" applyBorder="1" applyAlignment="1" applyProtection="1">
      <alignment horizontal="center" vertical="center"/>
      <protection locked="0"/>
    </xf>
    <xf numFmtId="168" fontId="14" fillId="4" borderId="127" xfId="26" applyNumberFormat="1" applyFont="1" applyFill="1" applyBorder="1" applyAlignment="1" applyProtection="1">
      <alignment horizontal="center" vertical="center"/>
      <protection locked="0"/>
    </xf>
    <xf numFmtId="0" fontId="14" fillId="4" borderId="92" xfId="26" applyFont="1" applyFill="1" applyBorder="1" applyAlignment="1" applyProtection="1">
      <alignment horizontal="center" vertical="center"/>
      <protection locked="0"/>
    </xf>
    <xf numFmtId="172" fontId="14" fillId="4" borderId="127" xfId="26" applyNumberFormat="1" applyFont="1" applyFill="1" applyBorder="1" applyAlignment="1" applyProtection="1">
      <alignment horizontal="left" vertical="center"/>
      <protection locked="0"/>
    </xf>
    <xf numFmtId="49" fontId="14" fillId="4" borderId="127" xfId="26" applyNumberFormat="1" applyFont="1" applyFill="1" applyBorder="1" applyAlignment="1" applyProtection="1">
      <alignment horizontal="left" vertical="center"/>
      <protection locked="0"/>
    </xf>
    <xf numFmtId="0" fontId="14" fillId="4" borderId="127" xfId="26" applyFont="1" applyFill="1" applyBorder="1" applyAlignment="1" applyProtection="1">
      <alignment horizontal="center" vertical="center"/>
      <protection locked="0"/>
    </xf>
    <xf numFmtId="0" fontId="55" fillId="0" borderId="91" xfId="26" applyFont="1" applyBorder="1" applyAlignment="1">
      <alignment horizontal="left" vertical="center" wrapText="1"/>
    </xf>
    <xf numFmtId="0" fontId="14" fillId="0" borderId="127" xfId="26" applyFont="1" applyBorder="1" applyAlignment="1">
      <alignment vertical="center" wrapText="1"/>
    </xf>
    <xf numFmtId="0" fontId="55" fillId="0" borderId="150" xfId="26" applyFont="1" applyBorder="1" applyAlignment="1">
      <alignment vertical="center" wrapText="1"/>
    </xf>
    <xf numFmtId="0" fontId="34" fillId="0" borderId="114" xfId="26" applyFont="1" applyBorder="1" applyAlignment="1">
      <alignment horizontal="center" vertical="center" wrapText="1"/>
    </xf>
    <xf numFmtId="0" fontId="10" fillId="0" borderId="0" xfId="4" applyAlignment="1" applyProtection="1">
      <alignment horizontal="center" vertical="center"/>
    </xf>
    <xf numFmtId="0" fontId="11" fillId="0" borderId="0" xfId="16" applyFont="1" applyAlignment="1">
      <alignment vertical="center"/>
    </xf>
    <xf numFmtId="0" fontId="49" fillId="6" borderId="0" xfId="26" applyFont="1" applyFill="1" applyAlignment="1">
      <alignment horizontal="left" vertical="center"/>
    </xf>
    <xf numFmtId="0" fontId="13" fillId="0" borderId="0" xfId="16" applyFont="1" applyAlignment="1">
      <alignment vertical="center"/>
    </xf>
    <xf numFmtId="0" fontId="9" fillId="0" borderId="0" xfId="26" applyFont="1" applyAlignment="1">
      <alignment horizontal="left" vertical="center"/>
    </xf>
    <xf numFmtId="0" fontId="9" fillId="0" borderId="0" xfId="26" applyFont="1" applyAlignment="1">
      <alignment vertical="center" wrapText="1"/>
    </xf>
    <xf numFmtId="9" fontId="14" fillId="0" borderId="0" xfId="71" applyFont="1" applyAlignment="1">
      <alignment horizontal="left" vertical="center" wrapText="1"/>
    </xf>
    <xf numFmtId="9" fontId="13" fillId="0" borderId="0" xfId="71" applyFont="1" applyAlignment="1">
      <alignment vertical="center"/>
    </xf>
    <xf numFmtId="0" fontId="14" fillId="6" borderId="0" xfId="16" applyFont="1" applyFill="1" applyAlignment="1">
      <alignment horizontal="left" vertical="center" wrapText="1"/>
    </xf>
    <xf numFmtId="0" fontId="9" fillId="0" borderId="0" xfId="26" applyFont="1" applyAlignment="1">
      <alignment vertical="center"/>
    </xf>
    <xf numFmtId="0" fontId="14" fillId="0" borderId="87" xfId="21" applyFont="1" applyBorder="1" applyAlignment="1">
      <alignment horizontal="center" vertical="center"/>
    </xf>
    <xf numFmtId="0" fontId="14" fillId="0" borderId="0" xfId="21" applyFont="1" applyAlignment="1">
      <alignment vertical="center" wrapText="1"/>
    </xf>
    <xf numFmtId="0" fontId="13" fillId="0" borderId="0" xfId="21" applyFont="1"/>
    <xf numFmtId="0" fontId="14" fillId="0" borderId="0" xfId="19" applyFont="1" applyFill="1" applyBorder="1" applyAlignment="1">
      <alignment horizontal="center" vertical="center" wrapText="1"/>
    </xf>
    <xf numFmtId="0" fontId="49" fillId="6" borderId="89" xfId="21" applyFont="1" applyFill="1" applyBorder="1" applyAlignment="1">
      <alignment vertical="center" wrapText="1"/>
    </xf>
    <xf numFmtId="0" fontId="9" fillId="0" borderId="0" xfId="21" applyFont="1" applyAlignment="1">
      <alignment horizontal="left"/>
    </xf>
    <xf numFmtId="0" fontId="14" fillId="0" borderId="0" xfId="21" applyFont="1" applyAlignment="1">
      <alignment horizontal="center" vertical="center" wrapText="1"/>
    </xf>
    <xf numFmtId="0" fontId="9" fillId="0" borderId="0" xfId="21" applyFont="1"/>
    <xf numFmtId="0" fontId="14" fillId="0" borderId="0" xfId="21" applyFont="1" applyAlignment="1">
      <alignment horizontal="center" vertical="center"/>
    </xf>
    <xf numFmtId="0" fontId="49" fillId="6" borderId="0" xfId="21" applyFont="1" applyFill="1" applyAlignment="1">
      <alignment vertical="center" wrapText="1"/>
    </xf>
    <xf numFmtId="0" fontId="62" fillId="0" borderId="0" xfId="21" applyFont="1" applyAlignment="1">
      <alignment horizontal="left" vertical="center" wrapText="1" indent="1"/>
    </xf>
    <xf numFmtId="168" fontId="14" fillId="4" borderId="127" xfId="21" applyNumberFormat="1" applyFont="1" applyFill="1" applyBorder="1" applyAlignment="1" applyProtection="1">
      <alignment horizontal="center" vertical="center"/>
      <protection locked="0"/>
    </xf>
    <xf numFmtId="0" fontId="13" fillId="6" borderId="127" xfId="21" applyFont="1" applyFill="1" applyBorder="1" applyAlignment="1">
      <alignment horizontal="center" vertical="center"/>
    </xf>
    <xf numFmtId="0" fontId="14" fillId="4" borderId="127" xfId="21" applyFont="1" applyFill="1" applyBorder="1" applyAlignment="1" applyProtection="1">
      <alignment horizontal="left" vertical="top" wrapText="1"/>
      <protection locked="0"/>
    </xf>
    <xf numFmtId="0" fontId="34" fillId="0" borderId="0" xfId="21" applyFont="1" applyAlignment="1">
      <alignment vertical="center" wrapText="1"/>
    </xf>
    <xf numFmtId="0" fontId="14" fillId="4" borderId="127" xfId="21" applyFont="1" applyFill="1" applyBorder="1" applyAlignment="1" applyProtection="1">
      <alignment horizontal="center" vertical="center" wrapText="1"/>
      <protection locked="0"/>
    </xf>
    <xf numFmtId="0" fontId="10" fillId="0" borderId="0" xfId="4" applyAlignment="1" applyProtection="1">
      <alignment horizontal="center"/>
    </xf>
    <xf numFmtId="0" fontId="57" fillId="6" borderId="0" xfId="13" applyFont="1" applyFill="1">
      <alignment horizontal="center" vertical="center"/>
    </xf>
    <xf numFmtId="0" fontId="14" fillId="6" borderId="0" xfId="21" applyFont="1" applyFill="1" applyAlignment="1">
      <alignment vertical="center" wrapText="1"/>
    </xf>
    <xf numFmtId="0" fontId="54" fillId="0" borderId="0" xfId="21" applyFont="1" applyAlignment="1">
      <alignment vertical="center" wrapText="1"/>
    </xf>
    <xf numFmtId="0" fontId="14" fillId="0" borderId="90" xfId="21" applyFont="1" applyBorder="1" applyAlignment="1">
      <alignment horizontal="center" vertical="center" wrapText="1"/>
    </xf>
    <xf numFmtId="0" fontId="14" fillId="0" borderId="87" xfId="21" applyFont="1" applyBorder="1" applyAlignment="1">
      <alignment horizontal="center" vertical="center" wrapText="1"/>
    </xf>
    <xf numFmtId="0" fontId="0" fillId="0" borderId="0" xfId="0" applyAlignment="1">
      <alignment horizontal="center"/>
    </xf>
    <xf numFmtId="0" fontId="53" fillId="0" borderId="0" xfId="21" applyFont="1" applyAlignment="1">
      <alignment horizontal="left"/>
    </xf>
    <xf numFmtId="0" fontId="23" fillId="0" borderId="90" xfId="0" applyFont="1" applyBorder="1" applyAlignment="1">
      <alignment horizontal="center" vertical="center" wrapText="1"/>
    </xf>
    <xf numFmtId="0" fontId="167" fillId="0" borderId="0" xfId="4" applyFont="1" applyAlignment="1">
      <alignment horizontal="center" vertical="top"/>
      <protection locked="0"/>
    </xf>
    <xf numFmtId="0" fontId="14" fillId="11" borderId="127" xfId="0" quotePrefix="1" applyFont="1" applyFill="1" applyBorder="1" applyAlignment="1">
      <alignment vertical="center" wrapText="1"/>
    </xf>
    <xf numFmtId="0" fontId="74" fillId="25" borderId="129" xfId="4" applyFont="1" applyFill="1" applyBorder="1" applyAlignment="1" applyProtection="1">
      <alignment horizontal="center" vertical="center" wrapText="1"/>
    </xf>
    <xf numFmtId="0" fontId="74" fillId="25" borderId="93" xfId="4" applyFont="1" applyFill="1" applyBorder="1" applyAlignment="1" applyProtection="1">
      <alignment horizontal="center" vertical="center" wrapText="1"/>
    </xf>
    <xf numFmtId="0" fontId="74" fillId="25" borderId="91" xfId="4" applyFont="1" applyFill="1" applyBorder="1" applyAlignment="1" applyProtection="1">
      <alignment horizontal="center" vertical="center" wrapText="1"/>
    </xf>
    <xf numFmtId="0" fontId="22" fillId="25" borderId="127" xfId="45" applyFill="1" applyBorder="1" applyAlignment="1">
      <alignment horizontal="left" vertical="center" wrapText="1" indent="1"/>
    </xf>
    <xf numFmtId="0" fontId="22" fillId="74" borderId="127" xfId="0" applyFont="1" applyFill="1" applyBorder="1" applyAlignment="1">
      <alignment horizontal="center" vertical="center" wrapText="1"/>
    </xf>
    <xf numFmtId="0" fontId="0" fillId="74" borderId="93" xfId="0" applyFill="1" applyBorder="1"/>
    <xf numFmtId="0" fontId="0" fillId="74" borderId="91" xfId="0" applyFill="1" applyBorder="1"/>
    <xf numFmtId="0" fontId="68" fillId="0" borderId="0" xfId="0" quotePrefix="1" applyFont="1" applyAlignment="1">
      <alignment horizontal="center" vertical="center" wrapText="1"/>
    </xf>
    <xf numFmtId="0" fontId="0" fillId="0" borderId="0" xfId="0" applyAlignment="1">
      <alignment vertical="top"/>
    </xf>
    <xf numFmtId="0" fontId="9" fillId="6" borderId="0" xfId="0" applyFont="1" applyFill="1" applyAlignment="1">
      <alignment vertical="center"/>
    </xf>
    <xf numFmtId="49" fontId="0" fillId="0" borderId="0" xfId="0" applyNumberFormat="1"/>
    <xf numFmtId="0" fontId="22" fillId="25" borderId="7" xfId="45" applyFill="1" applyAlignment="1">
      <alignment horizontal="left" vertical="center" wrapText="1" indent="1"/>
    </xf>
    <xf numFmtId="0" fontId="45" fillId="6" borderId="0" xfId="0" applyFont="1" applyFill="1" applyAlignment="1">
      <alignment horizontal="left" vertical="center"/>
    </xf>
    <xf numFmtId="0" fontId="9" fillId="0" borderId="0" xfId="0" applyFont="1" applyAlignment="1">
      <alignment horizontal="left"/>
    </xf>
    <xf numFmtId="0" fontId="101" fillId="0" borderId="127" xfId="0" quotePrefix="1" applyFont="1" applyBorder="1" applyAlignment="1">
      <alignment horizontal="left" vertical="center" wrapText="1"/>
    </xf>
    <xf numFmtId="0" fontId="45" fillId="6" borderId="0" xfId="19" applyFont="1" applyFill="1" applyBorder="1" applyAlignment="1">
      <alignment vertical="center" wrapText="1"/>
    </xf>
    <xf numFmtId="0" fontId="22" fillId="11" borderId="7" xfId="45" applyFill="1">
      <alignment horizontal="left" vertical="center" wrapText="1"/>
    </xf>
    <xf numFmtId="0" fontId="14" fillId="7" borderId="114" xfId="19" applyFont="1" applyFill="1" applyBorder="1">
      <alignment horizontal="left" vertical="center" wrapText="1"/>
    </xf>
    <xf numFmtId="0" fontId="9" fillId="0" borderId="127" xfId="0" applyFont="1" applyBorder="1" applyAlignment="1">
      <alignment horizontal="left" vertical="center" wrapText="1"/>
    </xf>
    <xf numFmtId="0" fontId="11" fillId="0" borderId="0" xfId="0" applyFont="1" applyAlignment="1">
      <alignment horizontal="center" vertical="center" wrapText="1"/>
    </xf>
    <xf numFmtId="0" fontId="68" fillId="0" borderId="0" xfId="0" applyFont="1" applyAlignment="1">
      <alignment horizontal="center" vertical="center" wrapText="1"/>
    </xf>
    <xf numFmtId="0" fontId="50" fillId="73" borderId="129" xfId="0" applyFont="1" applyFill="1" applyBorder="1" applyAlignment="1">
      <alignment horizontal="left" vertical="center" wrapText="1"/>
    </xf>
    <xf numFmtId="0" fontId="50" fillId="73" borderId="93" xfId="0" applyFont="1" applyFill="1" applyBorder="1" applyAlignment="1">
      <alignment horizontal="left" vertical="center" wrapText="1"/>
    </xf>
    <xf numFmtId="0" fontId="22" fillId="0" borderId="127" xfId="0" applyFont="1" applyBorder="1" applyAlignment="1">
      <alignment horizontal="left" vertical="center" wrapText="1"/>
    </xf>
    <xf numFmtId="0" fontId="14" fillId="25" borderId="127" xfId="19" applyFont="1" applyFill="1" applyBorder="1" applyAlignment="1">
      <alignment vertical="center" wrapText="1"/>
    </xf>
    <xf numFmtId="0" fontId="74" fillId="7" borderId="127" xfId="4" applyFont="1" applyFill="1" applyBorder="1" applyAlignment="1" applyProtection="1">
      <alignment horizontal="left" vertical="center" wrapText="1" indent="1"/>
    </xf>
    <xf numFmtId="0" fontId="14" fillId="11" borderId="114" xfId="0" quotePrefix="1" applyFont="1" applyFill="1" applyBorder="1" applyAlignment="1">
      <alignment vertical="center" wrapText="1"/>
    </xf>
    <xf numFmtId="0" fontId="22" fillId="22" borderId="127" xfId="0" applyFont="1" applyFill="1" applyBorder="1" applyAlignment="1">
      <alignment horizontal="left" vertical="center" wrapText="1" indent="1"/>
    </xf>
    <xf numFmtId="0" fontId="22" fillId="7" borderId="127" xfId="1" applyFill="1" applyBorder="1" applyAlignment="1">
      <alignment vertical="center" wrapText="1"/>
    </xf>
    <xf numFmtId="0" fontId="14" fillId="25" borderId="127" xfId="0" quotePrefix="1" applyFont="1" applyFill="1" applyBorder="1" applyAlignment="1">
      <alignment vertical="center" wrapText="1"/>
    </xf>
    <xf numFmtId="0" fontId="22" fillId="7" borderId="127" xfId="20" applyFill="1" applyBorder="1">
      <alignment horizontal="left" vertical="center" wrapText="1"/>
    </xf>
    <xf numFmtId="0" fontId="14" fillId="7" borderId="127" xfId="12" applyFont="1" applyFill="1" applyBorder="1" applyAlignment="1">
      <alignment horizontal="left" vertical="center" wrapText="1" indent="1"/>
    </xf>
    <xf numFmtId="0" fontId="22" fillId="7" borderId="127" xfId="1" applyFill="1" applyBorder="1">
      <alignment horizontal="left" vertical="center" wrapText="1"/>
    </xf>
    <xf numFmtId="0" fontId="22" fillId="7" borderId="114" xfId="1" applyFill="1" applyBorder="1" applyAlignment="1">
      <alignment horizontal="left" vertical="center" wrapText="1" indent="1"/>
    </xf>
    <xf numFmtId="0" fontId="22" fillId="7" borderId="7" xfId="45" quotePrefix="1" applyFill="1" applyAlignment="1">
      <alignment horizontal="left" vertical="center" wrapText="1" indent="1"/>
    </xf>
    <xf numFmtId="0" fontId="0" fillId="25" borderId="93" xfId="0" applyFill="1" applyBorder="1" applyAlignment="1">
      <alignment horizontal="left"/>
    </xf>
    <xf numFmtId="0" fontId="0" fillId="25" borderId="91" xfId="0" applyFill="1" applyBorder="1" applyAlignment="1">
      <alignment horizontal="left"/>
    </xf>
    <xf numFmtId="0" fontId="22" fillId="7" borderId="114" xfId="45" applyFill="1" applyBorder="1" applyAlignment="1">
      <alignment horizontal="left" vertical="center" wrapText="1" indent="1"/>
    </xf>
    <xf numFmtId="0" fontId="74" fillId="7" borderId="91" xfId="4" applyFont="1" applyFill="1" applyBorder="1" applyAlignment="1" applyProtection="1">
      <alignment horizontal="left" vertical="center" wrapText="1" indent="1"/>
    </xf>
    <xf numFmtId="0" fontId="22" fillId="22" borderId="127" xfId="0" applyFont="1" applyFill="1" applyBorder="1" applyAlignment="1">
      <alignment horizontal="left" vertical="center"/>
    </xf>
    <xf numFmtId="0" fontId="74" fillId="25" borderId="0" xfId="4" applyFont="1" applyFill="1" applyAlignment="1">
      <alignment horizontal="center" vertical="center"/>
      <protection locked="0"/>
    </xf>
    <xf numFmtId="0" fontId="22" fillId="25" borderId="91" xfId="45" applyFill="1" applyBorder="1" applyAlignment="1">
      <alignment horizontal="center" vertical="center" wrapText="1"/>
    </xf>
    <xf numFmtId="0" fontId="22" fillId="11" borderId="91" xfId="45" applyFill="1" applyBorder="1" applyAlignment="1">
      <alignment horizontal="left" vertical="center" wrapText="1" indent="1"/>
    </xf>
    <xf numFmtId="0" fontId="22" fillId="7" borderId="127" xfId="20" applyFill="1" applyBorder="1" applyAlignment="1">
      <alignment vertical="center" wrapText="1"/>
    </xf>
    <xf numFmtId="0" fontId="22" fillId="25" borderId="127" xfId="20" applyFill="1" applyBorder="1" applyAlignment="1">
      <alignment horizontal="left" vertical="center" wrapText="1" indent="1"/>
    </xf>
    <xf numFmtId="0" fontId="22" fillId="7" borderId="127" xfId="45" quotePrefix="1" applyFill="1" applyBorder="1" applyAlignment="1">
      <alignment horizontal="left" vertical="center" wrapText="1" indent="1"/>
    </xf>
    <xf numFmtId="0" fontId="22" fillId="25" borderId="127" xfId="12" applyFill="1" applyBorder="1" applyAlignment="1">
      <alignment horizontal="left" vertical="center" wrapText="1" indent="1"/>
    </xf>
    <xf numFmtId="0" fontId="22" fillId="11" borderId="114" xfId="20" applyFill="1" applyBorder="1" applyAlignment="1">
      <alignment horizontal="left" vertical="center" wrapText="1" indent="1"/>
    </xf>
    <xf numFmtId="0" fontId="22" fillId="6" borderId="127" xfId="0" applyFont="1" applyFill="1" applyBorder="1" applyAlignment="1" applyProtection="1">
      <alignment horizontal="center" vertical="center"/>
      <protection locked="0"/>
    </xf>
    <xf numFmtId="0" fontId="22" fillId="7" borderId="114" xfId="1" applyFill="1" applyBorder="1" applyAlignment="1">
      <alignment vertical="center" wrapText="1"/>
    </xf>
    <xf numFmtId="0" fontId="22" fillId="22" borderId="127" xfId="0" applyFont="1" applyFill="1" applyBorder="1" applyAlignment="1">
      <alignment horizontal="left" vertical="center" wrapText="1"/>
    </xf>
    <xf numFmtId="0" fontId="98" fillId="7" borderId="7" xfId="45" applyFont="1" applyFill="1" applyAlignment="1">
      <alignment horizontal="left" vertical="center" wrapText="1" indent="1"/>
    </xf>
    <xf numFmtId="0" fontId="74" fillId="25" borderId="127" xfId="4" applyFont="1" applyFill="1" applyBorder="1" applyAlignment="1" applyProtection="1">
      <alignment horizontal="left" vertical="center" wrapText="1" indent="1"/>
    </xf>
    <xf numFmtId="0" fontId="22" fillId="25" borderId="127" xfId="1" applyFill="1" applyBorder="1">
      <alignment horizontal="left" vertical="center" wrapText="1"/>
    </xf>
    <xf numFmtId="0" fontId="68" fillId="0" borderId="89" xfId="0" quotePrefix="1" applyFont="1" applyBorder="1" applyAlignment="1">
      <alignment horizontal="center" vertical="center" wrapText="1"/>
    </xf>
    <xf numFmtId="0" fontId="9" fillId="6" borderId="0" xfId="0" applyFont="1" applyFill="1" applyAlignment="1">
      <alignment horizontal="left" vertical="center" wrapText="1" indent="1"/>
    </xf>
    <xf numFmtId="0" fontId="0" fillId="0" borderId="0" xfId="0" applyAlignment="1">
      <alignment horizontal="left" vertical="center"/>
    </xf>
    <xf numFmtId="0" fontId="22" fillId="22" borderId="114" xfId="0" applyFont="1" applyFill="1" applyBorder="1" applyAlignment="1">
      <alignment horizontal="left" vertical="center"/>
    </xf>
    <xf numFmtId="0" fontId="14" fillId="11" borderId="114" xfId="0" quotePrefix="1" applyFont="1" applyFill="1" applyBorder="1" applyAlignment="1">
      <alignment horizontal="left" vertical="center" wrapText="1"/>
    </xf>
    <xf numFmtId="0" fontId="74" fillId="11" borderId="91" xfId="4" applyFont="1" applyFill="1" applyBorder="1" applyAlignment="1" applyProtection="1">
      <alignment horizontal="left" vertical="center" wrapText="1" indent="1"/>
    </xf>
    <xf numFmtId="0" fontId="13" fillId="0" borderId="0" xfId="44" applyFont="1" applyAlignment="1">
      <alignment horizontal="left" vertical="center" wrapText="1"/>
    </xf>
    <xf numFmtId="0" fontId="13" fillId="0" borderId="0" xfId="4" applyFont="1" applyAlignment="1">
      <alignment horizontal="left" vertical="center"/>
      <protection locked="0"/>
    </xf>
    <xf numFmtId="0" fontId="31" fillId="2" borderId="0" xfId="44" applyFont="1" applyFill="1" applyAlignment="1">
      <alignment horizontal="center" wrapText="1"/>
    </xf>
    <xf numFmtId="0" fontId="1" fillId="0" borderId="0" xfId="44" applyFont="1"/>
    <xf numFmtId="0" fontId="1" fillId="0" borderId="0" xfId="44" applyFont="1" applyAlignment="1">
      <alignment horizontal="left" vertical="center"/>
    </xf>
    <xf numFmtId="0" fontId="1" fillId="0" borderId="0" xfId="44" applyFont="1" applyAlignment="1">
      <alignment wrapText="1"/>
    </xf>
    <xf numFmtId="0" fontId="22" fillId="0" borderId="127" xfId="44" applyFont="1" applyBorder="1" applyAlignment="1">
      <alignment horizontal="center" vertical="center"/>
    </xf>
    <xf numFmtId="0" fontId="22" fillId="4" borderId="129" xfId="44" applyFont="1" applyFill="1" applyBorder="1" applyAlignment="1" applyProtection="1">
      <alignment horizontal="center" vertical="center" wrapText="1"/>
      <protection locked="0"/>
    </xf>
    <xf numFmtId="14" fontId="13" fillId="6" borderId="127" xfId="44" applyNumberFormat="1" applyFont="1" applyFill="1" applyBorder="1" applyAlignment="1">
      <alignment horizontal="center" vertical="center" wrapText="1" shrinkToFit="1"/>
    </xf>
    <xf numFmtId="0" fontId="22" fillId="4" borderId="127" xfId="44" applyFont="1" applyFill="1" applyBorder="1" applyAlignment="1" applyProtection="1">
      <alignment horizontal="center" vertical="center" wrapText="1"/>
      <protection locked="0"/>
    </xf>
    <xf numFmtId="4" fontId="23" fillId="4" borderId="127" xfId="44" applyNumberFormat="1" applyFont="1" applyFill="1" applyBorder="1" applyAlignment="1" applyProtection="1">
      <alignment horizontal="center" vertical="center" wrapText="1"/>
      <protection locked="0"/>
    </xf>
    <xf numFmtId="0" fontId="22" fillId="4" borderId="127" xfId="44" applyFont="1" applyFill="1" applyBorder="1" applyAlignment="1" applyProtection="1">
      <alignment horizontal="left" vertical="center" wrapText="1"/>
      <protection locked="0"/>
    </xf>
    <xf numFmtId="0" fontId="22" fillId="6" borderId="7" xfId="46" applyFill="1" applyAlignment="1" applyProtection="1">
      <alignment horizontal="left" vertical="center" wrapText="1" shrinkToFit="1"/>
    </xf>
    <xf numFmtId="4" fontId="23" fillId="6" borderId="127" xfId="44" applyNumberFormat="1" applyFont="1" applyFill="1" applyBorder="1" applyAlignment="1">
      <alignment horizontal="center" vertical="center"/>
    </xf>
    <xf numFmtId="1" fontId="22" fillId="0" borderId="127" xfId="44" applyNumberFormat="1" applyFont="1" applyBorder="1" applyAlignment="1">
      <alignment horizontal="center" vertical="center"/>
    </xf>
    <xf numFmtId="0" fontId="46" fillId="4" borderId="7" xfId="45" applyFont="1" applyFill="1" applyAlignment="1" applyProtection="1">
      <alignment horizontal="left" vertical="top" wrapText="1" shrinkToFit="1"/>
      <protection locked="0"/>
    </xf>
    <xf numFmtId="0" fontId="22" fillId="0" borderId="7" xfId="45" applyFill="1" applyAlignment="1">
      <alignment horizontal="right" vertical="center" wrapText="1" shrinkToFit="1"/>
    </xf>
    <xf numFmtId="14" fontId="22" fillId="4" borderId="127" xfId="46" applyNumberFormat="1" applyBorder="1" applyAlignment="1">
      <alignment horizontal="left" vertical="center" wrapText="1" shrinkToFit="1"/>
      <protection locked="0"/>
    </xf>
    <xf numFmtId="0" fontId="22" fillId="4" borderId="127" xfId="46" applyBorder="1" applyAlignment="1">
      <alignment horizontal="left" vertical="center" wrapText="1" shrinkToFit="1"/>
      <protection locked="0"/>
    </xf>
    <xf numFmtId="0" fontId="22" fillId="0" borderId="127" xfId="46" applyFill="1" applyBorder="1" applyAlignment="1" applyProtection="1">
      <alignment horizontal="center" vertical="center" wrapText="1" shrinkToFit="1"/>
    </xf>
    <xf numFmtId="0" fontId="22" fillId="4" borderId="7" xfId="46" applyAlignment="1">
      <alignment horizontal="left" vertical="center" wrapText="1" shrinkToFit="1"/>
      <protection locked="0"/>
    </xf>
    <xf numFmtId="0" fontId="22" fillId="0" borderId="7" xfId="45" applyFill="1" applyAlignment="1">
      <alignment horizontal="left" vertical="center" wrapText="1" indent="1" shrinkToFit="1"/>
    </xf>
    <xf numFmtId="0" fontId="30" fillId="4" borderId="127" xfId="47" applyFont="1" applyFill="1" applyBorder="1" applyAlignment="1" applyProtection="1">
      <alignment horizontal="left" vertical="center" wrapText="1" shrinkToFit="1"/>
      <protection locked="0"/>
    </xf>
    <xf numFmtId="0" fontId="22" fillId="0" borderId="7" xfId="45" applyFill="1" applyAlignment="1">
      <alignment horizontal="center" vertical="center" wrapText="1" shrinkToFit="1"/>
    </xf>
    <xf numFmtId="0" fontId="22" fillId="4" borderId="7" xfId="45" applyFill="1" applyAlignment="1" applyProtection="1">
      <alignment horizontal="center" vertical="center" wrapText="1" shrinkToFit="1"/>
      <protection locked="0"/>
    </xf>
    <xf numFmtId="168" fontId="22" fillId="4" borderId="127" xfId="44" applyNumberFormat="1" applyFont="1" applyFill="1" applyBorder="1" applyAlignment="1" applyProtection="1">
      <alignment horizontal="center" vertical="center" wrapText="1" shrinkToFit="1"/>
      <protection locked="0"/>
    </xf>
  </cellXfs>
  <cellStyles count="215">
    <cellStyle name="01 #" xfId="81" xr:uid="{00000000-0005-0000-0000-000051000000}"/>
    <cellStyle name="01 # 2" xfId="83" xr:uid="{00000000-0005-0000-0000-000053000000}"/>
    <cellStyle name="01 #_Dropdowns" xfId="82" xr:uid="{00000000-0005-0000-0000-000052000000}"/>
    <cellStyle name="01 $" xfId="84" xr:uid="{00000000-0005-0000-0000-000054000000}"/>
    <cellStyle name="01 $ 2" xfId="85" xr:uid="{00000000-0005-0000-0000-000055000000}"/>
    <cellStyle name="01 %" xfId="86" xr:uid="{00000000-0005-0000-0000-000056000000}"/>
    <cellStyle name="01 DATE" xfId="87" xr:uid="{00000000-0005-0000-0000-000057000000}"/>
    <cellStyle name="01 DATE 2" xfId="88" xr:uid="{00000000-0005-0000-0000-000058000000}"/>
    <cellStyle name="01 TEXT" xfId="15" xr:uid="{00000000-0005-0000-0000-00000F000000}"/>
    <cellStyle name="01 TEXT 2" xfId="17" xr:uid="{00000000-0005-0000-0000-000011000000}"/>
    <cellStyle name="01 TEXT 2 2" xfId="46" xr:uid="{00000000-0005-0000-0000-00002E000000}"/>
    <cellStyle name="01 TEXT 2 2 2" xfId="80" xr:uid="{00000000-0005-0000-0000-000050000000}"/>
    <cellStyle name="01 TEXT 2 2 3" xfId="195" xr:uid="{00000000-0005-0000-0000-0000C3000000}"/>
    <cellStyle name="01 TEXT 2 2 4" xfId="210" xr:uid="{0BE43C80-BBAB-448C-AC8C-CEC4BAC0FEA0}"/>
    <cellStyle name="01 TEXT 2 2_Dropdowns" xfId="91" xr:uid="{00000000-0005-0000-0000-00005B000000}"/>
    <cellStyle name="01 TEXT 2_Dropdowns" xfId="90" xr:uid="{00000000-0005-0000-0000-00005A000000}"/>
    <cellStyle name="01 TEXT_Dropdowns" xfId="89" xr:uid="{00000000-0005-0000-0000-000059000000}"/>
    <cellStyle name="02 Prompt" xfId="92" xr:uid="{00000000-0005-0000-0000-00005C000000}"/>
    <cellStyle name="02 Prompt 2" xfId="1" xr:uid="{00000000-0005-0000-0000-000001000000}"/>
    <cellStyle name="02 Prompt 2 2" xfId="12" xr:uid="{00000000-0005-0000-0000-00000C000000}"/>
    <cellStyle name="02 Prompt 2 2 2" xfId="197" xr:uid="{00000000-0005-0000-0000-0000C5000000}"/>
    <cellStyle name="02 Prompt 2 2 3" xfId="212" xr:uid="{DD11A712-4F84-4150-8332-1B6F5F7FEAB5}"/>
    <cellStyle name="02 Prompt 2 3" xfId="20" xr:uid="{00000000-0005-0000-0000-000014000000}"/>
    <cellStyle name="02 Prompt 2 3 2" xfId="45" xr:uid="{00000000-0005-0000-0000-00002D000000}"/>
    <cellStyle name="02 Prompt 2 3 2 2" xfId="79" xr:uid="{00000000-0005-0000-0000-00004F000000}"/>
    <cellStyle name="02 Prompt 2 3 2 2 2" xfId="203" xr:uid="{00000000-0005-0000-0000-0000CB000000}"/>
    <cellStyle name="02 Prompt 2 3 2 3" xfId="196" xr:uid="{00000000-0005-0000-0000-0000C4000000}"/>
    <cellStyle name="02 Prompt 2 3 2_Dropdowns" xfId="95" xr:uid="{00000000-0005-0000-0000-00005F000000}"/>
    <cellStyle name="02 Prompt 2 3_Dropdowns" xfId="94" xr:uid="{00000000-0005-0000-0000-00005E000000}"/>
    <cellStyle name="02 Prompt 2_Dropdowns" xfId="93" xr:uid="{00000000-0005-0000-0000-00005D000000}"/>
    <cellStyle name="02 Prompt TITLE" xfId="96" xr:uid="{00000000-0005-0000-0000-000060000000}"/>
    <cellStyle name="02 Prompt TITLE 2" xfId="2" xr:uid="{00000000-0005-0000-0000-000002000000}"/>
    <cellStyle name="02 Prompt TITLE 2 2" xfId="11" xr:uid="{00000000-0005-0000-0000-00000B000000}"/>
    <cellStyle name="02 Prompt TITLE 2 3" xfId="19" xr:uid="{00000000-0005-0000-0000-000013000000}"/>
    <cellStyle name="02 Prompt TITLE 2 3 2" xfId="198" xr:uid="{00000000-0005-0000-0000-0000C6000000}"/>
    <cellStyle name="02 Prompt TITLE 2 3 3" xfId="213" xr:uid="{6CFC57E4-60C2-47B4-B925-DC3F5A1F9F1F}"/>
    <cellStyle name="02 Prompt TITLE 2 4" xfId="191" xr:uid="{00000000-0005-0000-0000-0000BF000000}"/>
    <cellStyle name="02 Prompt TITLE 2 4 2" xfId="194" xr:uid="{00000000-0005-0000-0000-0000C2000000}"/>
    <cellStyle name="02 Prompt TITLE 2_Dropdowns" xfId="97" xr:uid="{00000000-0005-0000-0000-000061000000}"/>
    <cellStyle name="03 Notes" xfId="98" xr:uid="{00000000-0005-0000-0000-000062000000}"/>
    <cellStyle name="03 Notes 2" xfId="22" xr:uid="{00000000-0005-0000-0000-000016000000}"/>
    <cellStyle name="03 Notes 2 2" xfId="100" xr:uid="{00000000-0005-0000-0000-000064000000}"/>
    <cellStyle name="03 Notes 2_Dropdowns" xfId="99" xr:uid="{00000000-0005-0000-0000-000063000000}"/>
    <cellStyle name="05 Warning Text 2" xfId="23" xr:uid="{00000000-0005-0000-0000-000017000000}"/>
    <cellStyle name="Bad 2" xfId="28" xr:uid="{00000000-0005-0000-0000-00001C000000}"/>
    <cellStyle name="Comma" xfId="192" builtinId="3"/>
    <cellStyle name="Comma 2" xfId="53" xr:uid="{00000000-0005-0000-0000-000035000000}"/>
    <cellStyle name="Comma 3" xfId="74" xr:uid="{00000000-0005-0000-0000-00004A000000}"/>
    <cellStyle name="Comma 4" xfId="101" xr:uid="{00000000-0005-0000-0000-000065000000}"/>
    <cellStyle name="Comma 5" xfId="102" xr:uid="{00000000-0005-0000-0000-000066000000}"/>
    <cellStyle name="Comma 6" xfId="103" xr:uid="{00000000-0005-0000-0000-000067000000}"/>
    <cellStyle name="Comma 7" xfId="104" xr:uid="{00000000-0005-0000-0000-000068000000}"/>
    <cellStyle name="Comma 8" xfId="70" xr:uid="{00000000-0005-0000-0000-000046000000}"/>
    <cellStyle name="Comma 9" xfId="187" xr:uid="{00000000-0005-0000-0000-0000BB000000}"/>
    <cellStyle name="Currency" xfId="3" builtinId="4"/>
    <cellStyle name="Currency 2" xfId="105" xr:uid="{00000000-0005-0000-0000-000069000000}"/>
    <cellStyle name="Currency 2 2" xfId="106" xr:uid="{00000000-0005-0000-0000-00006A000000}"/>
    <cellStyle name="Currency 2 3" xfId="67" xr:uid="{00000000-0005-0000-0000-000043000000}"/>
    <cellStyle name="Currency 3" xfId="107" xr:uid="{00000000-0005-0000-0000-00006B000000}"/>
    <cellStyle name="Currency 4" xfId="108" xr:uid="{00000000-0005-0000-0000-00006C000000}"/>
    <cellStyle name="Currency 5" xfId="109" xr:uid="{00000000-0005-0000-0000-00006D000000}"/>
    <cellStyle name="Currency 6" xfId="110" xr:uid="{00000000-0005-0000-0000-00006E000000}"/>
    <cellStyle name="Currency 7" xfId="111" xr:uid="{00000000-0005-0000-0000-00006F000000}"/>
    <cellStyle name="Currency 8" xfId="112" xr:uid="{00000000-0005-0000-0000-000070000000}"/>
    <cellStyle name="End of Section" xfId="113" xr:uid="{00000000-0005-0000-0000-000071000000}"/>
    <cellStyle name="FAAST Uploads header" xfId="114" xr:uid="{00000000-0005-0000-0000-000072000000}"/>
    <cellStyle name="FAAST Uploads header 2" xfId="115" xr:uid="{00000000-0005-0000-0000-000073000000}"/>
    <cellStyle name="Good 2" xfId="29" xr:uid="{00000000-0005-0000-0000-00001D000000}"/>
    <cellStyle name="Heading 2 2" xfId="116" xr:uid="{00000000-0005-0000-0000-000074000000}"/>
    <cellStyle name="Heading 4 2" xfId="13" xr:uid="{00000000-0005-0000-0000-00000D000000}"/>
    <cellStyle name="Hyperlink" xfId="4" builtinId="8"/>
    <cellStyle name="Hyperlink 2" xfId="14" xr:uid="{00000000-0005-0000-0000-00000E000000}"/>
    <cellStyle name="Hyperlink 2 2" xfId="31" xr:uid="{00000000-0005-0000-0000-00001F000000}"/>
    <cellStyle name="Hyperlink 2 3" xfId="68" xr:uid="{00000000-0005-0000-0000-000044000000}"/>
    <cellStyle name="Hyperlink 2_Dropdowns" xfId="117" xr:uid="{00000000-0005-0000-0000-000075000000}"/>
    <cellStyle name="Hyperlink 3" xfId="30" xr:uid="{00000000-0005-0000-0000-00001E000000}"/>
    <cellStyle name="Hyperlink 3 2" xfId="119" xr:uid="{00000000-0005-0000-0000-000077000000}"/>
    <cellStyle name="Hyperlink 3 3" xfId="120" xr:uid="{00000000-0005-0000-0000-000078000000}"/>
    <cellStyle name="Hyperlink 3_Dropdowns" xfId="118" xr:uid="{00000000-0005-0000-0000-000076000000}"/>
    <cellStyle name="Hyperlink 4" xfId="47" xr:uid="{00000000-0005-0000-0000-00002F000000}"/>
    <cellStyle name="Hyperlink 4 2" xfId="122" xr:uid="{00000000-0005-0000-0000-00007A000000}"/>
    <cellStyle name="Hyperlink 4 3" xfId="123" xr:uid="{00000000-0005-0000-0000-00007B000000}"/>
    <cellStyle name="Hyperlink 4_Dropdowns" xfId="121" xr:uid="{00000000-0005-0000-0000-000079000000}"/>
    <cellStyle name="Hyperlink 5" xfId="54" xr:uid="{00000000-0005-0000-0000-000036000000}"/>
    <cellStyle name="Hyperlink 6" xfId="190" xr:uid="{00000000-0005-0000-0000-0000BE000000}"/>
    <cellStyle name="Hyperlink 7" xfId="207" xr:uid="{4FFC43CF-5682-40B1-AB50-9442FBB47E30}"/>
    <cellStyle name="Label" xfId="5" xr:uid="{00000000-0005-0000-0000-000005000000}"/>
    <cellStyle name="Label No Shade" xfId="6" xr:uid="{00000000-0005-0000-0000-000006000000}"/>
    <cellStyle name="Label Shaded" xfId="7" xr:uid="{00000000-0005-0000-0000-000007000000}"/>
    <cellStyle name="Neutral 2" xfId="32" xr:uid="{00000000-0005-0000-0000-000020000000}"/>
    <cellStyle name="Normal" xfId="0" builtinId="0"/>
    <cellStyle name="Normal 10" xfId="26" xr:uid="{00000000-0005-0000-0000-00001A000000}"/>
    <cellStyle name="Normal 10 2" xfId="50" xr:uid="{00000000-0005-0000-0000-000032000000}"/>
    <cellStyle name="Normal 10 3" xfId="214" xr:uid="{375DC1B8-7BB0-46AF-820E-5A34A908B485}"/>
    <cellStyle name="Normal 11" xfId="73" xr:uid="{00000000-0005-0000-0000-000049000000}"/>
    <cellStyle name="Normal 11 2" xfId="75" xr:uid="{00000000-0005-0000-0000-00004B000000}"/>
    <cellStyle name="Normal 11 2 3" xfId="204" xr:uid="{00000000-0005-0000-0000-0000CC000000}"/>
    <cellStyle name="Normal 11 2 3 2" xfId="205" xr:uid="{2822BDD0-FCFC-48D5-AEDF-C657359ED11D}"/>
    <cellStyle name="Normal 11 3" xfId="193" xr:uid="{00000000-0005-0000-0000-0000C1000000}"/>
    <cellStyle name="Normal 11 4" xfId="211" xr:uid="{46CED1CB-CD03-4F91-8C54-57606331C6A2}"/>
    <cellStyle name="Normal 11_Dropdowns" xfId="125" xr:uid="{00000000-0005-0000-0000-00007D000000}"/>
    <cellStyle name="Normal 12" xfId="78" xr:uid="{00000000-0005-0000-0000-00004E000000}"/>
    <cellStyle name="Normal 12 2" xfId="127" xr:uid="{00000000-0005-0000-0000-00007F000000}"/>
    <cellStyle name="Normal 12 3" xfId="128" xr:uid="{00000000-0005-0000-0000-000080000000}"/>
    <cellStyle name="Normal 12_Dropdowns" xfId="126" xr:uid="{00000000-0005-0000-0000-00007E000000}"/>
    <cellStyle name="Normal 13" xfId="129" xr:uid="{00000000-0005-0000-0000-000081000000}"/>
    <cellStyle name="Normal 13 2" xfId="130" xr:uid="{00000000-0005-0000-0000-000082000000}"/>
    <cellStyle name="Normal 14" xfId="131" xr:uid="{00000000-0005-0000-0000-000083000000}"/>
    <cellStyle name="Normal 14 2" xfId="132" xr:uid="{00000000-0005-0000-0000-000084000000}"/>
    <cellStyle name="Normal 14 2 2" xfId="201" xr:uid="{00000000-0005-0000-0000-0000C9000000}"/>
    <cellStyle name="Normal 15" xfId="49" xr:uid="{00000000-0005-0000-0000-000031000000}"/>
    <cellStyle name="Normal 15 2" xfId="133" xr:uid="{00000000-0005-0000-0000-000085000000}"/>
    <cellStyle name="Normal 15 3" xfId="56" xr:uid="{00000000-0005-0000-0000-000038000000}"/>
    <cellStyle name="Normal 16" xfId="16" xr:uid="{00000000-0005-0000-0000-000010000000}"/>
    <cellStyle name="Normal 16 2" xfId="134" xr:uid="{00000000-0005-0000-0000-000086000000}"/>
    <cellStyle name="Normal 17" xfId="135" xr:uid="{00000000-0005-0000-0000-000087000000}"/>
    <cellStyle name="Normal 17 2" xfId="136" xr:uid="{00000000-0005-0000-0000-000088000000}"/>
    <cellStyle name="Normal 17 2 2" xfId="137" xr:uid="{00000000-0005-0000-0000-000089000000}"/>
    <cellStyle name="Normal 18" xfId="138" xr:uid="{00000000-0005-0000-0000-00008A000000}"/>
    <cellStyle name="Normal 18 2" xfId="199" xr:uid="{00000000-0005-0000-0000-0000C7000000}"/>
    <cellStyle name="Normal 18 2 2" xfId="209" xr:uid="{EC0FA971-066F-41C8-B903-CABA44A3512C}"/>
    <cellStyle name="Normal 19" xfId="139" xr:uid="{00000000-0005-0000-0000-00008B000000}"/>
    <cellStyle name="Normal 2" xfId="33" xr:uid="{00000000-0005-0000-0000-000021000000}"/>
    <cellStyle name="Normal 2 2" xfId="21" xr:uid="{00000000-0005-0000-0000-000015000000}"/>
    <cellStyle name="Normal 2 2 2" xfId="25" xr:uid="{00000000-0005-0000-0000-000019000000}"/>
    <cellStyle name="Normal 2 2 2 2" xfId="35" xr:uid="{00000000-0005-0000-0000-000023000000}"/>
    <cellStyle name="Normal 2 2 2_Dropdowns" xfId="141" xr:uid="{00000000-0005-0000-0000-00008D000000}"/>
    <cellStyle name="Normal 2 2 3" xfId="34" xr:uid="{00000000-0005-0000-0000-000022000000}"/>
    <cellStyle name="Normal 2 2 3 2" xfId="58" xr:uid="{00000000-0005-0000-0000-00003A000000}"/>
    <cellStyle name="Normal 2 2 3 3" xfId="143" xr:uid="{00000000-0005-0000-0000-00008F000000}"/>
    <cellStyle name="Normal 2 2 3_Dropdowns" xfId="142" xr:uid="{00000000-0005-0000-0000-00008E000000}"/>
    <cellStyle name="Normal 2 2 4" xfId="65" xr:uid="{00000000-0005-0000-0000-000041000000}"/>
    <cellStyle name="Normal 2 3" xfId="36" xr:uid="{00000000-0005-0000-0000-000024000000}"/>
    <cellStyle name="Normal 2 4" xfId="37" xr:uid="{00000000-0005-0000-0000-000025000000}"/>
    <cellStyle name="Normal 2 5" xfId="38" xr:uid="{00000000-0005-0000-0000-000026000000}"/>
    <cellStyle name="Normal 2 5 2" xfId="66" xr:uid="{00000000-0005-0000-0000-000042000000}"/>
    <cellStyle name="Normal 2 5_Dropdowns" xfId="144" xr:uid="{00000000-0005-0000-0000-000090000000}"/>
    <cellStyle name="Normal 2 6" xfId="145" xr:uid="{00000000-0005-0000-0000-000091000000}"/>
    <cellStyle name="Normal 2 7" xfId="208" xr:uid="{7BACA251-A8C7-43D4-BA67-2C4938BC4CC9}"/>
    <cellStyle name="Normal 2 8" xfId="200" xr:uid="{00000000-0005-0000-0000-0000C8000000}"/>
    <cellStyle name="Normal 2_Dropdowns" xfId="140" xr:uid="{00000000-0005-0000-0000-00008C000000}"/>
    <cellStyle name="Normal 20" xfId="63" xr:uid="{00000000-0005-0000-0000-00003F000000}"/>
    <cellStyle name="Normal 21" xfId="69" xr:uid="{00000000-0005-0000-0000-000045000000}"/>
    <cellStyle name="Normal 22" xfId="57" xr:uid="{00000000-0005-0000-0000-000039000000}"/>
    <cellStyle name="Normal 22 2" xfId="147" xr:uid="{00000000-0005-0000-0000-000093000000}"/>
    <cellStyle name="Normal 22_Dropdowns" xfId="146" xr:uid="{00000000-0005-0000-0000-000092000000}"/>
    <cellStyle name="Normal 23" xfId="148" xr:uid="{00000000-0005-0000-0000-000094000000}"/>
    <cellStyle name="Normal 24" xfId="188" xr:uid="{00000000-0005-0000-0000-0000BC000000}"/>
    <cellStyle name="Normal 25" xfId="206" xr:uid="{59087AF9-54E9-4457-BEE7-926D7CC7D943}"/>
    <cellStyle name="Normal 3" xfId="8" xr:uid="{00000000-0005-0000-0000-000008000000}"/>
    <cellStyle name="Normal 3 2" xfId="24" xr:uid="{00000000-0005-0000-0000-000018000000}"/>
    <cellStyle name="Normal 3 2 2" xfId="9" xr:uid="{00000000-0005-0000-0000-000009000000}"/>
    <cellStyle name="Normal 3 2 2 2" xfId="18" xr:uid="{00000000-0005-0000-0000-000012000000}"/>
    <cellStyle name="Normal 3 2 2_Dropdowns" xfId="150" xr:uid="{00000000-0005-0000-0000-000096000000}"/>
    <cellStyle name="Normal 3 2 3" xfId="151" xr:uid="{00000000-0005-0000-0000-000097000000}"/>
    <cellStyle name="Normal 3 2_Item C7" xfId="152" xr:uid="{00000000-0005-0000-0000-000098000000}"/>
    <cellStyle name="Normal 3 3" xfId="39" xr:uid="{00000000-0005-0000-0000-000027000000}"/>
    <cellStyle name="Normal 3 3 2" xfId="154" xr:uid="{00000000-0005-0000-0000-00009A000000}"/>
    <cellStyle name="Normal 3 3_Dropdowns" xfId="153" xr:uid="{00000000-0005-0000-0000-000099000000}"/>
    <cellStyle name="Normal 3 4" xfId="155" xr:uid="{00000000-0005-0000-0000-00009B000000}"/>
    <cellStyle name="Normal 3 5" xfId="61" xr:uid="{00000000-0005-0000-0000-00003D000000}"/>
    <cellStyle name="Normal 3 5 2" xfId="157" xr:uid="{00000000-0005-0000-0000-00009D000000}"/>
    <cellStyle name="Normal 3 5 3" xfId="158" xr:uid="{00000000-0005-0000-0000-00009E000000}"/>
    <cellStyle name="Normal 3 5_Dropdowns" xfId="156" xr:uid="{00000000-0005-0000-0000-00009C000000}"/>
    <cellStyle name="Normal 3 6" xfId="159" xr:uid="{00000000-0005-0000-0000-00009F000000}"/>
    <cellStyle name="Normal 3 7" xfId="160" xr:uid="{00000000-0005-0000-0000-0000A0000000}"/>
    <cellStyle name="Normal 3_Dropdowns" xfId="149" xr:uid="{00000000-0005-0000-0000-000095000000}"/>
    <cellStyle name="Normal 4" xfId="40" xr:uid="{00000000-0005-0000-0000-000028000000}"/>
    <cellStyle name="Normal 4 2" xfId="162" xr:uid="{00000000-0005-0000-0000-0000A2000000}"/>
    <cellStyle name="Normal 4 2 2" xfId="48" xr:uid="{00000000-0005-0000-0000-000030000000}"/>
    <cellStyle name="Normal 4 2 3" xfId="59" xr:uid="{00000000-0005-0000-0000-00003B000000}"/>
    <cellStyle name="Normal 4 2 3 2" xfId="164" xr:uid="{00000000-0005-0000-0000-0000A4000000}"/>
    <cellStyle name="Normal 4 2 3 3" xfId="165" xr:uid="{00000000-0005-0000-0000-0000A5000000}"/>
    <cellStyle name="Normal 4 2 3_Dropdowns" xfId="163" xr:uid="{00000000-0005-0000-0000-0000A3000000}"/>
    <cellStyle name="Normal 4 2 4" xfId="166" xr:uid="{00000000-0005-0000-0000-0000A6000000}"/>
    <cellStyle name="Normal 4 2_Item C7" xfId="167" xr:uid="{00000000-0005-0000-0000-0000A7000000}"/>
    <cellStyle name="Normal 4 3" xfId="168" xr:uid="{00000000-0005-0000-0000-0000A8000000}"/>
    <cellStyle name="Normal 4 3 2" xfId="169" xr:uid="{00000000-0005-0000-0000-0000A9000000}"/>
    <cellStyle name="Normal 4 3_Item C7" xfId="170" xr:uid="{00000000-0005-0000-0000-0000AA000000}"/>
    <cellStyle name="Normal 4 4" xfId="171" xr:uid="{00000000-0005-0000-0000-0000AB000000}"/>
    <cellStyle name="Normal 4 5" xfId="64" xr:uid="{00000000-0005-0000-0000-000040000000}"/>
    <cellStyle name="Normal 4_Dropdowns" xfId="161" xr:uid="{00000000-0005-0000-0000-0000A1000000}"/>
    <cellStyle name="Normal 5" xfId="41" xr:uid="{00000000-0005-0000-0000-000029000000}"/>
    <cellStyle name="Normal 5 2" xfId="173" xr:uid="{00000000-0005-0000-0000-0000AD000000}"/>
    <cellStyle name="Normal 5 2 2" xfId="174" xr:uid="{00000000-0005-0000-0000-0000AE000000}"/>
    <cellStyle name="Normal 5 2_Item C7" xfId="175" xr:uid="{00000000-0005-0000-0000-0000AF000000}"/>
    <cellStyle name="Normal 5 3" xfId="176" xr:uid="{00000000-0005-0000-0000-0000B0000000}"/>
    <cellStyle name="Normal 5 4" xfId="177" xr:uid="{00000000-0005-0000-0000-0000B1000000}"/>
    <cellStyle name="Normal 5 4 2" xfId="202" xr:uid="{00000000-0005-0000-0000-0000CA000000}"/>
    <cellStyle name="Normal 5_Dropdowns" xfId="172" xr:uid="{00000000-0005-0000-0000-0000AC000000}"/>
    <cellStyle name="Normal 6" xfId="42" xr:uid="{00000000-0005-0000-0000-00002A000000}"/>
    <cellStyle name="Normal 6 2" xfId="179" xr:uid="{00000000-0005-0000-0000-0000B3000000}"/>
    <cellStyle name="Normal 6 3" xfId="180" xr:uid="{00000000-0005-0000-0000-0000B4000000}"/>
    <cellStyle name="Normal 6_Dropdowns" xfId="178" xr:uid="{00000000-0005-0000-0000-0000B2000000}"/>
    <cellStyle name="Normal 7" xfId="27" xr:uid="{00000000-0005-0000-0000-00001B000000}"/>
    <cellStyle name="Normal 8" xfId="44" xr:uid="{00000000-0005-0000-0000-00002C000000}"/>
    <cellStyle name="Normal 8 2" xfId="182" xr:uid="{00000000-0005-0000-0000-0000B6000000}"/>
    <cellStyle name="Normal 8 3" xfId="183" xr:uid="{00000000-0005-0000-0000-0000B7000000}"/>
    <cellStyle name="Normal 8 4" xfId="186" xr:uid="{00000000-0005-0000-0000-0000BA000000}"/>
    <cellStyle name="Normal 8_Dropdowns" xfId="181" xr:uid="{00000000-0005-0000-0000-0000B5000000}"/>
    <cellStyle name="Normal 9" xfId="72" xr:uid="{00000000-0005-0000-0000-000048000000}"/>
    <cellStyle name="Normal 9 2" xfId="77" xr:uid="{00000000-0005-0000-0000-00004D000000}"/>
    <cellStyle name="Normal 9_Dropdowns" xfId="184" xr:uid="{00000000-0005-0000-0000-0000B8000000}"/>
    <cellStyle name="Normal_Contact  Development Universal Application 8-02" xfId="189" xr:uid="{00000000-0005-0000-0000-0000BD000000}"/>
    <cellStyle name="Normal_CTCAC 9% Application 7-18-07 practice run 3" xfId="60" xr:uid="{00000000-0005-0000-0000-00003C000000}"/>
    <cellStyle name="Normal_CTCAC 9% Application 7-18-07 practice run 3 2" xfId="62" xr:uid="{00000000-0005-0000-0000-00003E000000}"/>
    <cellStyle name="Normal_Draft Rent &amp; Unit Mix Sheet" xfId="52" xr:uid="{00000000-0005-0000-0000-000034000000}"/>
    <cellStyle name="Normal_Dropdowns" xfId="124" xr:uid="{00000000-0005-0000-0000-00007C000000}"/>
    <cellStyle name="Normal_Sheet2" xfId="51" xr:uid="{00000000-0005-0000-0000-000033000000}"/>
    <cellStyle name="Percent" xfId="71" builtinId="5"/>
    <cellStyle name="Percent 2" xfId="43" xr:uid="{00000000-0005-0000-0000-00002B000000}"/>
    <cellStyle name="Percent 2 2" xfId="185" xr:uid="{00000000-0005-0000-0000-0000B9000000}"/>
    <cellStyle name="Percent 3" xfId="55" xr:uid="{00000000-0005-0000-0000-000037000000}"/>
    <cellStyle name="Percent 4" xfId="76" xr:uid="{00000000-0005-0000-0000-00004C000000}"/>
    <cellStyle name="Text Entry" xfId="10" xr:uid="{00000000-0005-0000-0000-00000A000000}"/>
  </cellStyles>
  <dxfs count="1914">
    <dxf>
      <fill>
        <patternFill>
          <bgColor rgb="FF92D050"/>
        </patternFill>
      </fill>
    </dxf>
    <dxf>
      <fill>
        <patternFill>
          <bgColor rgb="FF00B0F0"/>
        </patternFill>
      </fill>
    </dxf>
    <dxf>
      <font>
        <color theme="0"/>
      </font>
      <fill>
        <patternFill>
          <bgColor rgb="FF00206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F0"/>
        </patternFill>
      </fill>
    </dxf>
    <dxf>
      <font>
        <color theme="0"/>
      </font>
      <fill>
        <patternFill>
          <bgColor rgb="FF00206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F0"/>
        </patternFill>
      </fill>
    </dxf>
    <dxf>
      <font>
        <color theme="0"/>
      </font>
      <fill>
        <patternFill>
          <bgColor rgb="FF00206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F0"/>
        </patternFill>
      </fill>
    </dxf>
    <dxf>
      <font>
        <color theme="0"/>
      </font>
      <fill>
        <patternFill>
          <bgColor rgb="FF00206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F0"/>
        </patternFill>
      </fill>
    </dxf>
    <dxf>
      <font>
        <color theme="0"/>
      </font>
      <fill>
        <patternFill>
          <bgColor rgb="FF002060"/>
        </patternFill>
      </fill>
    </dxf>
    <dxf>
      <fill>
        <patternFill>
          <bgColor rgb="FFFFFF00"/>
        </patternFill>
      </fill>
    </dxf>
    <dxf>
      <fill>
        <patternFill>
          <bgColor rgb="FFFFC000"/>
        </patternFill>
      </fill>
    </dxf>
    <dxf>
      <fill>
        <patternFill>
          <bgColor rgb="FFFF0000"/>
        </patternFill>
      </fill>
    </dxf>
    <dxf>
      <fill>
        <patternFill>
          <bgColor rgb="FF92D050"/>
        </patternFill>
      </fill>
    </dxf>
    <dxf>
      <fill>
        <patternFill>
          <bgColor rgb="FF00B0F0"/>
        </patternFill>
      </fill>
    </dxf>
    <dxf>
      <font>
        <color theme="0"/>
      </font>
      <fill>
        <patternFill>
          <bgColor rgb="FF002060"/>
        </patternFill>
      </fill>
    </dxf>
    <dxf>
      <fill>
        <patternFill>
          <bgColor rgb="FFFFFF00"/>
        </patternFill>
      </fill>
    </dxf>
    <dxf>
      <fill>
        <patternFill>
          <bgColor rgb="FFFFC000"/>
        </patternFill>
      </fill>
    </dxf>
    <dxf>
      <fill>
        <patternFill>
          <bgColor rgb="FFFF0000"/>
        </patternFill>
      </fill>
    </dxf>
    <dxf>
      <font>
        <color rgb="FF00B050"/>
      </font>
    </dxf>
    <dxf>
      <font>
        <color rgb="FFC00000"/>
      </font>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ont>
        <color rgb="FF00B050"/>
      </font>
    </dxf>
    <dxf>
      <font>
        <color rgb="FFC00000"/>
      </font>
    </dxf>
    <dxf>
      <font>
        <color rgb="FF00B050"/>
      </font>
    </dxf>
    <dxf>
      <font>
        <color rgb="FFC00000"/>
      </font>
    </dxf>
    <dxf>
      <font>
        <color rgb="FF00B050"/>
      </font>
    </dxf>
    <dxf>
      <font>
        <color rgb="FFC00000"/>
      </font>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ont>
        <color rgb="FF00B050"/>
      </font>
    </dxf>
    <dxf>
      <font>
        <color rgb="FFC00000"/>
      </font>
    </dxf>
    <dxf>
      <fill>
        <gradientFill degree="90">
          <stop position="0">
            <color theme="0"/>
          </stop>
          <stop position="1">
            <color rgb="FFFF8585"/>
          </stop>
        </gradientFill>
      </fill>
    </dxf>
    <dxf>
      <fill>
        <gradientFill degree="90">
          <stop position="0">
            <color theme="0"/>
          </stop>
          <stop position="1">
            <color rgb="FF92D050"/>
          </stop>
        </gradientFill>
      </fill>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ont>
        <color rgb="FF00B050"/>
      </font>
    </dxf>
    <dxf>
      <font>
        <color rgb="FFC00000"/>
      </font>
    </dxf>
    <dxf>
      <font>
        <color rgb="FF00B050"/>
      </font>
    </dxf>
    <dxf>
      <font>
        <color rgb="FFC00000"/>
      </font>
    </dxf>
    <dxf>
      <font>
        <color rgb="FF00B050"/>
      </font>
    </dxf>
    <dxf>
      <font>
        <color rgb="FFC00000"/>
      </font>
    </dxf>
    <dxf>
      <fill>
        <gradientFill degree="90">
          <stop position="0">
            <color theme="0"/>
          </stop>
          <stop position="1">
            <color rgb="FFFF8585"/>
          </stop>
        </gradientFill>
      </fill>
    </dxf>
    <dxf>
      <fill>
        <gradientFill degree="90">
          <stop position="0">
            <color theme="0"/>
          </stop>
          <stop position="1">
            <color rgb="FF92D050"/>
          </stop>
        </gradientFill>
      </fill>
    </dxf>
    <dxf>
      <font>
        <color rgb="FF00B050"/>
      </font>
    </dxf>
    <dxf>
      <font>
        <color rgb="FFC00000"/>
      </font>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ont>
        <color rgb="FF00B050"/>
      </font>
    </dxf>
    <dxf>
      <font>
        <color rgb="FFC00000"/>
      </font>
    </dxf>
    <dxf>
      <fill>
        <gradientFill degree="90">
          <stop position="0">
            <color theme="0"/>
          </stop>
          <stop position="1">
            <color rgb="FFFF8585"/>
          </stop>
        </gradientFill>
      </fill>
    </dxf>
    <dxf>
      <fill>
        <gradientFill degree="90">
          <stop position="0">
            <color theme="0"/>
          </stop>
          <stop position="1">
            <color rgb="FF92D050"/>
          </stop>
        </gradientFill>
      </fill>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ont>
        <color rgb="FF00B050"/>
      </font>
    </dxf>
    <dxf>
      <font>
        <color rgb="FFC00000"/>
      </font>
    </dxf>
    <dxf>
      <fill>
        <gradientFill degree="90">
          <stop position="0">
            <color theme="0"/>
          </stop>
          <stop position="1">
            <color rgb="FFFF8585"/>
          </stop>
        </gradientFill>
      </fill>
    </dxf>
    <dxf>
      <fill>
        <gradientFill degree="90">
          <stop position="0">
            <color theme="0"/>
          </stop>
          <stop position="1">
            <color rgb="FF92D050"/>
          </stop>
        </gradientFill>
      </fill>
    </dxf>
    <dxf>
      <font>
        <color rgb="FF00B050"/>
      </font>
    </dxf>
    <dxf>
      <font>
        <color rgb="FFC00000"/>
      </font>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ont>
        <color rgb="FF00B050"/>
      </font>
    </dxf>
    <dxf>
      <font>
        <color rgb="FFC00000"/>
      </font>
    </dxf>
    <dxf>
      <fill>
        <gradientFill degree="90">
          <stop position="0">
            <color theme="0"/>
          </stop>
          <stop position="1">
            <color rgb="FFFF8585"/>
          </stop>
        </gradientFill>
      </fill>
    </dxf>
    <dxf>
      <fill>
        <gradientFill degree="90">
          <stop position="0">
            <color theme="0"/>
          </stop>
          <stop position="1">
            <color rgb="FF92D050"/>
          </stop>
        </gradientFill>
      </fill>
    </dxf>
    <dxf>
      <font>
        <color rgb="FF00B050"/>
      </font>
    </dxf>
    <dxf>
      <font>
        <color rgb="FFC00000"/>
      </font>
    </dxf>
    <dxf>
      <fill>
        <gradientFill degree="90">
          <stop position="0">
            <color theme="0"/>
          </stop>
          <stop position="1">
            <color rgb="FFFF8585"/>
          </stop>
        </gradientFill>
      </fill>
    </dxf>
    <dxf>
      <fill>
        <gradientFill degree="90">
          <stop position="0">
            <color theme="0"/>
          </stop>
          <stop position="1">
            <color rgb="FF92D050"/>
          </stop>
        </gradientFill>
      </fill>
    </dxf>
    <dxf>
      <font>
        <color rgb="FF00B050"/>
      </font>
    </dxf>
    <dxf>
      <font>
        <color rgb="FFC00000"/>
      </font>
    </dxf>
    <dxf>
      <fill>
        <gradientFill degree="90">
          <stop position="0">
            <color theme="0"/>
          </stop>
          <stop position="1">
            <color rgb="FFFF8585"/>
          </stop>
        </gradientFill>
      </fill>
    </dxf>
    <dxf>
      <fill>
        <gradientFill degree="90">
          <stop position="0">
            <color theme="0"/>
          </stop>
          <stop position="1">
            <color rgb="FF92D050"/>
          </stop>
        </gradientFill>
      </fill>
    </dxf>
    <dxf>
      <font>
        <color rgb="FF00B050"/>
      </font>
    </dxf>
    <dxf>
      <font>
        <color rgb="FFC00000"/>
      </font>
    </dxf>
    <dxf>
      <font>
        <color rgb="FF00B050"/>
      </font>
    </dxf>
    <dxf>
      <font>
        <color rgb="FFC00000"/>
      </font>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ont>
        <color rgb="FF00B050"/>
      </font>
    </dxf>
    <dxf>
      <font>
        <color rgb="FFC00000"/>
      </font>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ont>
        <color rgb="FF00B050"/>
      </font>
    </dxf>
    <dxf>
      <font>
        <color rgb="FFC00000"/>
      </font>
    </dxf>
    <dxf>
      <font>
        <color rgb="FF00B050"/>
      </font>
    </dxf>
    <dxf>
      <font>
        <color rgb="FFC00000"/>
      </font>
    </dxf>
    <dxf>
      <fill>
        <gradientFill degree="90">
          <stop position="0">
            <color theme="0"/>
          </stop>
          <stop position="1">
            <color rgb="FFFF8585"/>
          </stop>
        </gradientFill>
      </fill>
    </dxf>
    <dxf>
      <fill>
        <gradientFill degree="90">
          <stop position="0">
            <color theme="0"/>
          </stop>
          <stop position="1">
            <color rgb="FF92D050"/>
          </stop>
        </gradientFill>
      </fill>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00B050"/>
      </font>
    </dxf>
    <dxf>
      <font>
        <color rgb="FFC00000"/>
      </font>
    </dxf>
    <dxf>
      <font>
        <color rgb="FFC00000"/>
      </font>
    </dxf>
    <dxf>
      <font>
        <color rgb="FFC00000"/>
      </font>
    </dxf>
    <dxf>
      <font>
        <color rgb="FF00B050"/>
      </font>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ont>
        <color theme="0"/>
      </font>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ont>
        <color rgb="FF006100"/>
      </font>
      <fill>
        <patternFill>
          <bgColor rgb="FFC6EFCE"/>
        </patternFill>
      </fill>
    </dxf>
    <dxf>
      <font>
        <color rgb="FF9C5700"/>
      </font>
      <fill>
        <patternFill>
          <bgColor rgb="FFFFEB9C"/>
        </patternFill>
      </fill>
    </dxf>
    <dxf>
      <font>
        <color auto="1"/>
      </font>
      <fill>
        <gradientFill degree="180">
          <stop position="0">
            <color theme="0"/>
          </stop>
          <stop position="1">
            <color rgb="FFC6EFCE"/>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ont>
        <color rgb="FF9C0006"/>
      </font>
      <fill>
        <patternFill>
          <bgColor rgb="FFFFC7CE"/>
        </patternFill>
      </fill>
    </dxf>
    <dxf>
      <font>
        <color rgb="FF006100"/>
      </font>
      <fill>
        <patternFill>
          <bgColor rgb="FFC6EFCE"/>
        </patternFill>
      </fill>
    </dxf>
    <dxf>
      <fill>
        <gradientFill degree="90">
          <stop position="0">
            <color theme="0"/>
          </stop>
          <stop position="1">
            <color rgb="FF92D050"/>
          </stop>
        </gradientFill>
      </fill>
    </dxf>
    <dxf>
      <font>
        <color theme="0"/>
      </font>
    </dxf>
    <dxf>
      <fill>
        <gradientFill degree="90">
          <stop position="0">
            <color theme="0"/>
          </stop>
          <stop position="1">
            <color rgb="FFFF8383"/>
          </stop>
        </gradient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180">
          <stop position="0">
            <color theme="0"/>
          </stop>
          <stop position="1">
            <color rgb="FFFEACAE"/>
          </stop>
        </gradientFill>
      </fill>
    </dxf>
    <dxf>
      <fill>
        <gradientFill degree="180">
          <stop position="0">
            <color theme="0"/>
          </stop>
          <stop position="1">
            <color rgb="FFFEACAE"/>
          </stop>
        </gradientFill>
      </fill>
    </dxf>
    <dxf>
      <fill>
        <gradientFill degree="180">
          <stop position="0">
            <color theme="0"/>
          </stop>
          <stop position="1">
            <color rgb="FFFEACAE"/>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7171"/>
          </stop>
        </gradientFill>
      </fill>
    </dxf>
    <dxf>
      <fill>
        <patternFill>
          <bgColor rgb="FFFFFFCC"/>
        </patternFill>
      </fill>
    </dxf>
    <dxf>
      <fill>
        <gradientFill degree="90">
          <stop position="0">
            <color theme="0"/>
          </stop>
          <stop position="1">
            <color rgb="FF92D050"/>
          </stop>
        </gradientFill>
      </fill>
    </dxf>
    <dxf>
      <fill>
        <gradientFill degree="90">
          <stop position="0">
            <color theme="0"/>
          </stop>
          <stop position="1">
            <color rgb="FFFF7171"/>
          </stop>
        </gradientFill>
      </fill>
    </dxf>
    <dxf>
      <fill>
        <gradientFill degree="90">
          <stop position="0">
            <color theme="0"/>
          </stop>
          <stop position="1">
            <color rgb="FFFF8585"/>
          </stop>
        </gradientFill>
      </fill>
    </dxf>
    <dxf>
      <fill>
        <gradientFill degree="90">
          <stop position="0">
            <color theme="0"/>
          </stop>
          <stop position="1">
            <color rgb="FFFF7171"/>
          </stop>
        </gradientFill>
      </fill>
    </dxf>
    <dxf>
      <fill>
        <gradientFill degree="90">
          <stop position="0">
            <color theme="0"/>
          </stop>
          <stop position="1">
            <color rgb="FFFF7171"/>
          </stop>
        </gradientFill>
      </fill>
    </dxf>
    <dxf>
      <fill>
        <gradientFill degree="90">
          <stop position="0">
            <color theme="0"/>
          </stop>
          <stop position="1">
            <color rgb="FFFF7171"/>
          </stop>
        </gradient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ont>
        <color theme="0"/>
      </font>
      <fill>
        <patternFill>
          <bgColor theme="0"/>
        </pattern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7171"/>
          </stop>
        </gradientFill>
      </fill>
    </dxf>
    <dxf>
      <fill>
        <patternFill>
          <bgColor rgb="FFFFFFCC"/>
        </patternFill>
      </fill>
    </dxf>
    <dxf>
      <fill>
        <gradientFill degree="90">
          <stop position="0">
            <color theme="0"/>
          </stop>
          <stop position="1">
            <color rgb="FF92D050"/>
          </stop>
        </gradientFill>
      </fill>
    </dxf>
    <dxf>
      <fill>
        <gradientFill degree="90">
          <stop position="0">
            <color theme="0"/>
          </stop>
          <stop position="1">
            <color rgb="FFFF7171"/>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7171"/>
          </stop>
        </gradientFill>
      </fill>
    </dxf>
    <dxf>
      <fill>
        <patternFill>
          <bgColor rgb="FFFFFFCC"/>
        </patternFill>
      </fill>
    </dxf>
    <dxf>
      <fill>
        <gradientFill degree="90">
          <stop position="0">
            <color theme="0"/>
          </stop>
          <stop position="1">
            <color rgb="FF92D050"/>
          </stop>
        </gradientFill>
      </fill>
    </dxf>
    <dxf>
      <fill>
        <gradientFill degree="90">
          <stop position="0">
            <color theme="0"/>
          </stop>
          <stop position="1">
            <color rgb="FFFF7171"/>
          </stop>
        </gradientFill>
      </fill>
    </dxf>
    <dxf>
      <fill>
        <gradientFill degree="90">
          <stop position="0">
            <color theme="0"/>
          </stop>
          <stop position="1">
            <color rgb="FFFF7171"/>
          </stop>
        </gradientFill>
      </fill>
    </dxf>
    <dxf>
      <fill>
        <gradientFill degree="90">
          <stop position="0">
            <color theme="0"/>
          </stop>
          <stop position="1">
            <color rgb="FF92D050"/>
          </stop>
        </gradientFill>
      </fill>
    </dxf>
    <dxf>
      <fill>
        <gradientFill degree="90">
          <stop position="0">
            <color theme="0"/>
          </stop>
          <stop position="1">
            <color rgb="FFFF7171"/>
          </stop>
        </gradientFill>
      </fill>
    </dxf>
    <dxf>
      <fill>
        <patternFill>
          <bgColor rgb="FFFFFFCC"/>
        </patternFill>
      </fill>
    </dxf>
    <dxf>
      <fill>
        <gradientFill degree="90">
          <stop position="0">
            <color theme="0"/>
          </stop>
          <stop position="1">
            <color rgb="FFDEFED6"/>
          </stop>
        </gradientFill>
      </fill>
    </dxf>
    <dxf>
      <fill>
        <gradientFill type="path" left="0.5" right="0.5" top="0.5" bottom="0.5">
          <stop position="0">
            <color theme="0"/>
          </stop>
          <stop position="1">
            <color rgb="FFFF9393"/>
          </stop>
        </gradientFill>
      </fill>
    </dxf>
    <dxf>
      <font>
        <color auto="1"/>
      </font>
    </dxf>
    <dxf>
      <fill>
        <gradientFill degree="90">
          <stop position="0">
            <color theme="0"/>
          </stop>
          <stop position="1">
            <color rgb="FFDEFED6"/>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7171"/>
          </stop>
        </gradientFill>
      </fill>
    </dxf>
    <dxf>
      <fill>
        <patternFill>
          <bgColor rgb="FFFFFFCC"/>
        </patternFill>
      </fill>
    </dxf>
    <dxf>
      <fill>
        <gradientFill degree="90">
          <stop position="0">
            <color theme="0"/>
          </stop>
          <stop position="1">
            <color rgb="FF92D050"/>
          </stop>
        </gradientFill>
      </fill>
    </dxf>
    <dxf>
      <fill>
        <gradientFill degree="90">
          <stop position="0">
            <color theme="0"/>
          </stop>
          <stop position="1">
            <color rgb="FFFF7171"/>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7171"/>
          </stop>
        </gradientFill>
      </fill>
    </dxf>
    <dxf>
      <fill>
        <patternFill>
          <bgColor rgb="FFFFFFCC"/>
        </patternFill>
      </fill>
    </dxf>
    <dxf>
      <fill>
        <gradientFill degree="90">
          <stop position="0">
            <color theme="0"/>
          </stop>
          <stop position="1">
            <color rgb="FF92D050"/>
          </stop>
        </gradientFill>
      </fill>
    </dxf>
    <dxf>
      <fill>
        <gradientFill degree="90">
          <stop position="0">
            <color theme="0"/>
          </stop>
          <stop position="1">
            <color rgb="FFFF7171"/>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7171"/>
          </stop>
        </gradientFill>
      </fill>
    </dxf>
    <dxf>
      <fill>
        <patternFill>
          <bgColor rgb="FFFFFFCC"/>
        </patternFill>
      </fill>
    </dxf>
    <dxf>
      <fill>
        <gradientFill degree="90">
          <stop position="0">
            <color theme="0"/>
          </stop>
          <stop position="1">
            <color rgb="FF92D050"/>
          </stop>
        </gradientFill>
      </fill>
    </dxf>
    <dxf>
      <fill>
        <gradientFill degree="90">
          <stop position="0">
            <color theme="0"/>
          </stop>
          <stop position="1">
            <color rgb="FFFF7171"/>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7171"/>
          </stop>
        </gradientFill>
      </fill>
    </dxf>
    <dxf>
      <fill>
        <patternFill>
          <bgColor rgb="FFFFFFCC"/>
        </patternFill>
      </fill>
    </dxf>
    <dxf>
      <fill>
        <gradientFill degree="90">
          <stop position="0">
            <color theme="0"/>
          </stop>
          <stop position="1">
            <color rgb="FF92D050"/>
          </stop>
        </gradientFill>
      </fill>
    </dxf>
    <dxf>
      <fill>
        <gradientFill degree="90">
          <stop position="0">
            <color theme="0"/>
          </stop>
          <stop position="1">
            <color rgb="FFFF7171"/>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7171"/>
          </stop>
        </gradientFill>
      </fill>
    </dxf>
    <dxf>
      <fill>
        <patternFill>
          <bgColor rgb="FFFFFFCC"/>
        </patternFill>
      </fill>
    </dxf>
    <dxf>
      <fill>
        <gradientFill degree="90">
          <stop position="0">
            <color theme="0"/>
          </stop>
          <stop position="1">
            <color rgb="FF92D050"/>
          </stop>
        </gradientFill>
      </fill>
    </dxf>
    <dxf>
      <fill>
        <gradientFill degree="90">
          <stop position="0">
            <color theme="0"/>
          </stop>
          <stop position="1">
            <color rgb="FFFF7171"/>
          </stop>
        </gradientFill>
      </fill>
    </dxf>
    <dxf>
      <fill>
        <gradientFill degree="90">
          <stop position="0">
            <color theme="0"/>
          </stop>
          <stop position="1">
            <color rgb="FFFF7171"/>
          </stop>
        </gradientFill>
      </fill>
    </dxf>
    <dxf>
      <fill>
        <gradientFill degree="90">
          <stop position="0">
            <color theme="0"/>
          </stop>
          <stop position="1">
            <color rgb="FFFF7171"/>
          </stop>
        </gradientFill>
      </fill>
    </dxf>
    <dxf>
      <fill>
        <gradientFill degree="90">
          <stop position="0">
            <color theme="0"/>
          </stop>
          <stop position="1">
            <color rgb="FFFF7171"/>
          </stop>
        </gradientFill>
      </fill>
    </dxf>
    <dxf>
      <fill>
        <gradientFill degree="90">
          <stop position="0">
            <color theme="0"/>
          </stop>
          <stop position="1">
            <color rgb="FFFF7171"/>
          </stop>
        </gradientFill>
      </fill>
    </dxf>
    <dxf>
      <fill>
        <gradientFill degree="90">
          <stop position="0">
            <color theme="0"/>
          </stop>
          <stop position="1">
            <color rgb="FFFF7171"/>
          </stop>
        </gradientFill>
      </fill>
    </dxf>
    <dxf>
      <fill>
        <gradientFill degree="90">
          <stop position="0">
            <color theme="0"/>
          </stop>
          <stop position="1">
            <color rgb="FFFF7171"/>
          </stop>
        </gradientFill>
      </fill>
    </dxf>
    <dxf>
      <fill>
        <gradientFill degree="90">
          <stop position="0">
            <color theme="0"/>
          </stop>
          <stop position="1">
            <color rgb="FFFF7171"/>
          </stop>
        </gradientFill>
      </fill>
    </dxf>
    <dxf>
      <fill>
        <gradientFill degree="90">
          <stop position="0">
            <color theme="0"/>
          </stop>
          <stop position="1">
            <color rgb="FF92D050"/>
          </stop>
        </gradientFill>
      </fill>
    </dxf>
    <dxf>
      <fill>
        <gradientFill degree="90">
          <stop position="0">
            <color theme="0"/>
          </stop>
          <stop position="1">
            <color rgb="FFFF7171"/>
          </stop>
        </gradientFill>
      </fill>
    </dxf>
    <dxf>
      <fill>
        <patternFill>
          <bgColor rgb="FFFFFFCC"/>
        </patternFill>
      </fill>
    </dxf>
    <dxf>
      <fill>
        <gradientFill degree="90">
          <stop position="0">
            <color theme="0"/>
          </stop>
          <stop position="1">
            <color rgb="FFFF7171"/>
          </stop>
        </gradientFill>
      </fill>
    </dxf>
    <dxf>
      <fill>
        <gradientFill degree="90">
          <stop position="0">
            <color theme="0"/>
          </stop>
          <stop position="1">
            <color rgb="FF92D050"/>
          </stop>
        </gradientFill>
      </fill>
    </dxf>
    <dxf>
      <fill>
        <gradientFill degree="90">
          <stop position="0">
            <color theme="0"/>
          </stop>
          <stop position="1">
            <color rgb="FFFF7171"/>
          </stop>
        </gradientFill>
      </fill>
    </dxf>
    <dxf>
      <fill>
        <patternFill>
          <bgColor rgb="FFFFFFCC"/>
        </patternFill>
      </fill>
    </dxf>
    <dxf>
      <fill>
        <gradientFill degree="90">
          <stop position="0">
            <color theme="0"/>
          </stop>
          <stop position="1">
            <color rgb="FFFF7171"/>
          </stop>
        </gradientFill>
      </fill>
    </dxf>
    <dxf>
      <fill>
        <gradientFill degree="90">
          <stop position="0">
            <color theme="0"/>
          </stop>
          <stop position="1">
            <color rgb="FF92D050"/>
          </stop>
        </gradientFill>
      </fill>
    </dxf>
    <dxf>
      <fill>
        <gradientFill degree="90">
          <stop position="0">
            <color theme="0"/>
          </stop>
          <stop position="1">
            <color rgb="FFFF7171"/>
          </stop>
        </gradientFill>
      </fill>
    </dxf>
    <dxf>
      <fill>
        <patternFill>
          <bgColor rgb="FFFFFFCC"/>
        </patternFill>
      </fill>
    </dxf>
    <dxf>
      <fill>
        <gradientFill degree="90">
          <stop position="0">
            <color theme="0"/>
          </stop>
          <stop position="1">
            <color rgb="FFFF7171"/>
          </stop>
        </gradientFill>
      </fill>
    </dxf>
    <dxf>
      <fill>
        <gradientFill degree="90">
          <stop position="0">
            <color theme="0"/>
          </stop>
          <stop position="1">
            <color rgb="FF92D050"/>
          </stop>
        </gradientFill>
      </fill>
    </dxf>
    <dxf>
      <fill>
        <gradientFill degree="90">
          <stop position="0">
            <color theme="0"/>
          </stop>
          <stop position="1">
            <color rgb="FFFF7171"/>
          </stop>
        </gradientFill>
      </fill>
    </dxf>
    <dxf>
      <fill>
        <patternFill>
          <bgColor rgb="FFFFFFCC"/>
        </pattern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ont>
        <color theme="0"/>
      </font>
    </dxf>
    <dxf>
      <fill>
        <gradientFill degree="90">
          <stop position="0">
            <color theme="0"/>
          </stop>
          <stop position="1">
            <color rgb="FFFF8383"/>
          </stop>
        </gradientFill>
      </fill>
    </dxf>
    <dxf>
      <fill>
        <gradientFill degree="90">
          <stop position="0">
            <color theme="0"/>
          </stop>
          <stop position="1">
            <color rgb="FF92D050"/>
          </stop>
        </gradientFill>
      </fill>
    </dxf>
    <dxf>
      <fill>
        <gradientFill degree="90">
          <stop position="0">
            <color theme="0"/>
          </stop>
          <stop position="1">
            <color rgb="FFFF7171"/>
          </stop>
        </gradientFill>
      </fill>
    </dxf>
    <dxf>
      <fill>
        <patternFill>
          <bgColor rgb="FFFFFFCC"/>
        </patternFill>
      </fill>
    </dxf>
    <dxf>
      <fill>
        <gradientFill degree="90">
          <stop position="0">
            <color theme="0"/>
          </stop>
          <stop position="1">
            <color rgb="FFFF7171"/>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7171"/>
          </stop>
        </gradientFill>
      </fill>
    </dxf>
    <dxf>
      <fill>
        <patternFill>
          <bgColor rgb="FFFFFFCC"/>
        </patternFill>
      </fill>
    </dxf>
    <dxf>
      <fill>
        <gradientFill degree="90">
          <stop position="0">
            <color theme="0"/>
          </stop>
          <stop position="1">
            <color rgb="FF92D050"/>
          </stop>
        </gradientFill>
      </fill>
    </dxf>
    <dxf>
      <fill>
        <gradientFill degree="90">
          <stop position="0">
            <color theme="0"/>
          </stop>
          <stop position="1">
            <color rgb="FFFF7171"/>
          </stop>
        </gradientFill>
      </fill>
    </dxf>
    <dxf>
      <fill>
        <gradientFill degree="90">
          <stop position="0">
            <color theme="0"/>
          </stop>
          <stop position="1">
            <color rgb="FFFF7171"/>
          </stop>
        </gradientFill>
      </fill>
    </dxf>
    <dxf>
      <fill>
        <gradientFill degree="90">
          <stop position="0">
            <color theme="0"/>
          </stop>
          <stop position="1">
            <color rgb="FFFF7171"/>
          </stop>
        </gradientFill>
      </fill>
    </dxf>
    <dxf>
      <fill>
        <gradientFill degree="90">
          <stop position="0">
            <color theme="0"/>
          </stop>
          <stop position="1">
            <color rgb="FFFF7171"/>
          </stop>
        </gradientFill>
      </fill>
    </dxf>
    <dxf>
      <fill>
        <gradientFill degree="90">
          <stop position="0">
            <color theme="0"/>
          </stop>
          <stop position="1">
            <color rgb="FF92D050"/>
          </stop>
        </gradientFill>
      </fill>
    </dxf>
    <dxf>
      <fill>
        <gradientFill degree="90">
          <stop position="0">
            <color theme="0"/>
          </stop>
          <stop position="1">
            <color rgb="FFFF7171"/>
          </stop>
        </gradientFill>
      </fill>
    </dxf>
    <dxf>
      <fill>
        <patternFill>
          <bgColor rgb="FFFFFFCC"/>
        </patternFill>
      </fill>
    </dxf>
    <dxf>
      <fill>
        <gradientFill degree="90">
          <stop position="0">
            <color theme="0"/>
          </stop>
          <stop position="1">
            <color rgb="FF92D050"/>
          </stop>
        </gradientFill>
      </fill>
    </dxf>
    <dxf>
      <fill>
        <gradientFill degree="90">
          <stop position="0">
            <color theme="0"/>
          </stop>
          <stop position="1">
            <color rgb="FFFF7171"/>
          </stop>
        </gradientFill>
      </fill>
    </dxf>
    <dxf>
      <fill>
        <gradientFill degree="90">
          <stop position="0">
            <color theme="0"/>
          </stop>
          <stop position="1">
            <color rgb="FFFF7171"/>
          </stop>
        </gradientFill>
      </fill>
    </dxf>
    <dxf>
      <font>
        <strike val="0"/>
        <condense val="0"/>
        <extend val="0"/>
        <outline val="0"/>
        <shadow val="0"/>
        <vertAlign val="baseline"/>
        <sz val="11"/>
        <color rgb="FF231F20"/>
        <name val="Arial"/>
        <family val="2"/>
      </font>
      <numFmt numFmtId="174" formatCode="\$#,##0"/>
      <alignment horizontal="center" vertical="center" shrinkToFit="1"/>
      <border>
        <left style="thin">
          <color rgb="FF231F20"/>
        </left>
        <right style="thin">
          <color rgb="FF231F20"/>
        </right>
        <top style="thin">
          <color rgb="FF231F20"/>
        </top>
        <bottom style="thin">
          <color rgb="FF231F20"/>
        </bottom>
        <vertical/>
        <horizontal/>
      </border>
    </dxf>
    <dxf>
      <font>
        <strike val="0"/>
        <condense val="0"/>
        <extend val="0"/>
        <outline val="0"/>
        <shadow val="0"/>
        <vertAlign val="baseline"/>
        <sz val="11"/>
        <color rgb="FF231F20"/>
        <name val="Arial"/>
        <family val="2"/>
      </font>
      <numFmt numFmtId="174" formatCode="\$#,##0"/>
      <alignment horizontal="center" vertical="center" shrinkToFit="1"/>
      <border>
        <left style="thin">
          <color rgb="FF231F20"/>
        </left>
        <right style="thin">
          <color rgb="FF231F20"/>
        </right>
        <top style="thin">
          <color rgb="FF231F20"/>
        </top>
        <bottom style="thin">
          <color rgb="FF231F20"/>
        </bottom>
        <vertical/>
        <horizontal/>
      </border>
    </dxf>
    <dxf>
      <font>
        <strike val="0"/>
        <condense val="0"/>
        <extend val="0"/>
        <outline val="0"/>
        <shadow val="0"/>
        <vertAlign val="baseline"/>
        <sz val="11"/>
        <color rgb="FF231F20"/>
        <name val="Arial"/>
        <family val="2"/>
      </font>
      <numFmt numFmtId="174" formatCode="\$#,##0"/>
      <alignment horizontal="center" vertical="center" shrinkToFit="1"/>
      <border>
        <left style="thin">
          <color rgb="FF231F20"/>
        </left>
        <right style="thin">
          <color rgb="FF231F20"/>
        </right>
        <top style="thin">
          <color rgb="FF231F20"/>
        </top>
        <bottom style="thin">
          <color rgb="FF231F20"/>
        </bottom>
        <vertical/>
        <horizontal/>
      </border>
    </dxf>
    <dxf>
      <font>
        <strike val="0"/>
        <condense val="0"/>
        <extend val="0"/>
        <outline val="0"/>
        <shadow val="0"/>
        <vertAlign val="baseline"/>
        <sz val="11"/>
        <color rgb="FF231F20"/>
        <name val="Arial"/>
        <family val="2"/>
      </font>
      <numFmt numFmtId="174" formatCode="\$#,##0"/>
      <alignment horizontal="center" vertical="center" shrinkToFit="1"/>
      <border>
        <left style="thin">
          <color rgb="FF231F20"/>
        </left>
        <right style="thin">
          <color rgb="FF231F20"/>
        </right>
        <top style="thin">
          <color rgb="FF231F20"/>
        </top>
        <bottom style="thin">
          <color rgb="FF231F20"/>
        </bottom>
        <vertical/>
        <horizontal/>
      </border>
    </dxf>
    <dxf>
      <font>
        <strike val="0"/>
        <condense val="0"/>
        <extend val="0"/>
        <outline val="0"/>
        <shadow val="0"/>
        <vertAlign val="baseline"/>
        <sz val="11"/>
        <color rgb="FF231F20"/>
        <name val="Arial"/>
        <family val="2"/>
      </font>
      <numFmt numFmtId="174" formatCode="\$#,##0"/>
      <alignment horizontal="center" vertical="center" shrinkToFit="1"/>
      <border>
        <left style="thin">
          <color rgb="FF231F20"/>
        </left>
        <right/>
        <top style="thin">
          <color rgb="FF231F20"/>
        </top>
        <bottom style="thin">
          <color rgb="FF231F20"/>
        </bottom>
        <vertical/>
        <horizontal/>
      </border>
    </dxf>
    <dxf>
      <font>
        <strike val="0"/>
        <condense val="0"/>
        <extend val="0"/>
        <outline val="0"/>
        <shadow val="0"/>
        <vertAlign val="baseline"/>
        <sz val="11"/>
        <color indexed="8"/>
        <name val="Arial"/>
        <family val="2"/>
      </font>
      <fill>
        <patternFill patternType="solid">
          <fgColor indexed="64"/>
          <bgColor rgb="FFFFFFFF"/>
        </patternFill>
      </fill>
      <alignment horizontal="center" vertical="center" wrapText="1"/>
      <border>
        <left/>
        <right style="thin">
          <color auto="1"/>
        </right>
        <top style="thin">
          <color auto="1"/>
        </top>
        <bottom style="thin">
          <color auto="1"/>
        </bottom>
        <vertical/>
        <horizontal/>
      </border>
    </dxf>
    <dxf>
      <border outline="0">
        <left style="thin">
          <color indexed="64"/>
        </left>
        <top style="thin">
          <color indexed="64"/>
        </top>
      </border>
    </dxf>
    <dxf>
      <font>
        <strike val="0"/>
        <condense val="0"/>
        <extend val="0"/>
        <outline val="0"/>
        <shadow val="0"/>
        <vertAlign val="baseline"/>
        <sz val="11"/>
        <color rgb="FF231F20"/>
        <name val="Arial"/>
        <family val="2"/>
      </font>
      <alignment horizontal="center" vertical="center" shrinkToFit="1"/>
    </dxf>
    <dxf>
      <border outline="0">
        <bottom style="thin">
          <color indexed="64"/>
        </bottom>
      </border>
    </dxf>
    <dxf>
      <font>
        <strike val="0"/>
        <condense val="0"/>
        <extend val="0"/>
        <outline val="0"/>
        <shadow val="0"/>
        <vertAlign val="baseline"/>
        <sz val="11"/>
        <color indexed="8"/>
        <name val="Arial"/>
        <family val="2"/>
      </font>
      <fill>
        <patternFill patternType="solid">
          <fgColor indexed="64"/>
          <bgColor rgb="FFFFFFFF"/>
        </patternFill>
      </fill>
      <alignment horizontal="center" vertical="center" wrapText="1"/>
      <border outline="0">
        <left style="thin">
          <color indexed="64"/>
        </left>
        <right style="thin">
          <color indexed="64"/>
        </right>
        <top/>
        <bottom/>
      </border>
    </dxf>
    <dxf>
      <font>
        <color auto="1"/>
      </font>
    </dxf>
    <dxf>
      <font>
        <color auto="1"/>
      </font>
    </dxf>
    <dxf>
      <font>
        <color theme="0"/>
      </font>
    </dxf>
    <dxf>
      <font>
        <color auto="1"/>
      </font>
    </dxf>
    <dxf>
      <fill>
        <gradientFill degree="90">
          <stop position="0">
            <color theme="0"/>
          </stop>
          <stop position="1">
            <color rgb="FFDEFED6"/>
          </stop>
        </gradientFill>
      </fill>
    </dxf>
    <dxf>
      <fill>
        <gradientFill degree="90">
          <stop position="0">
            <color theme="0"/>
          </stop>
          <stop position="1">
            <color rgb="FFFF9393"/>
          </stop>
        </gradientFill>
      </fill>
    </dxf>
    <dxf>
      <fill>
        <patternFill>
          <bgColor rgb="FFFFFFCC"/>
        </patternFill>
      </fill>
    </dxf>
    <dxf>
      <font>
        <color theme="0"/>
      </font>
    </dxf>
    <dxf>
      <fill>
        <patternFill>
          <bgColor rgb="FFFFFFCC"/>
        </patternFill>
      </fill>
    </dxf>
    <dxf>
      <fill>
        <patternFill>
          <bgColor rgb="FFFFFFCC"/>
        </patternFill>
      </fill>
    </dxf>
    <dxf>
      <font>
        <color rgb="FFFF0000"/>
      </font>
    </dxf>
    <dxf>
      <font>
        <condense val="0"/>
        <extend val="0"/>
        <color indexed="10"/>
      </font>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gradientFill degree="90">
          <stop position="0">
            <color theme="0"/>
          </stop>
          <stop position="1">
            <color rgb="FFFF8585"/>
          </stop>
        </gradientFill>
      </fill>
    </dxf>
    <dxf>
      <font>
        <color theme="0"/>
      </font>
    </dxf>
    <dxf>
      <fill>
        <gradientFill degree="90">
          <stop position="0">
            <color theme="0"/>
          </stop>
          <stop position="1">
            <color rgb="FFFF8585"/>
          </stop>
        </gradientFill>
      </fill>
    </dxf>
    <dxf>
      <font>
        <color theme="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FEACAE"/>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FD6B6E"/>
          </stop>
        </gradientFill>
      </fill>
    </dxf>
    <dxf>
      <fill>
        <gradientFill degree="90">
          <stop position="0">
            <color theme="0"/>
          </stop>
          <stop position="1">
            <color rgb="FF92D050"/>
          </stop>
        </gradientFill>
      </fill>
    </dxf>
    <dxf>
      <fill>
        <gradientFill degree="90">
          <stop position="0">
            <color theme="0"/>
          </stop>
          <stop position="1">
            <color rgb="FFFD6B6E"/>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FD6B6E"/>
          </stop>
        </gradientFill>
      </fill>
    </dxf>
    <dxf>
      <fill>
        <gradientFill degree="90">
          <stop position="0">
            <color theme="0"/>
          </stop>
          <stop position="1">
            <color rgb="FF92D050"/>
          </stop>
        </gradientFill>
      </fill>
    </dxf>
    <dxf>
      <fill>
        <gradientFill degree="90">
          <stop position="0">
            <color theme="0"/>
          </stop>
          <stop position="1">
            <color rgb="FFFD6B6E"/>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ont>
        <color rgb="FFC00000"/>
      </font>
    </dxf>
    <dxf>
      <font>
        <color rgb="FFC00000"/>
      </font>
    </dxf>
    <dxf>
      <font>
        <color rgb="FFC00000"/>
      </font>
    </dxf>
    <dxf>
      <font>
        <color rgb="FFC00000"/>
      </font>
    </dxf>
    <dxf>
      <font>
        <color rgb="FFC00000"/>
      </font>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ill>
        <gradientFill degree="90">
          <stop position="0">
            <color theme="0"/>
          </stop>
          <stop position="1">
            <color rgb="FFFD6B6E"/>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D6B6E"/>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FEACAE"/>
          </stop>
        </gradientFill>
      </fill>
    </dxf>
    <dxf>
      <fill>
        <gradientFill degree="90">
          <stop position="0">
            <color theme="0"/>
          </stop>
          <stop position="1">
            <color rgb="FFFF8585"/>
          </stop>
        </gradientFill>
      </fill>
    </dxf>
    <dxf>
      <fill>
        <patternFill>
          <bgColor rgb="FFFFFF00"/>
        </patternFill>
      </fill>
    </dxf>
    <dxf>
      <fill>
        <patternFill>
          <bgColor rgb="FFFFFF00"/>
        </patternFill>
      </fill>
    </dxf>
    <dxf>
      <fill>
        <gradientFill degree="90">
          <stop position="0">
            <color theme="0"/>
          </stop>
          <stop position="1">
            <color rgb="FFFF9393"/>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type="path" left="0.5" right="0.5" top="0.5" bottom="0.5">
          <stop position="0">
            <color theme="0"/>
          </stop>
          <stop position="1">
            <color rgb="FFFF9393"/>
          </stop>
        </gradientFill>
      </fill>
    </dxf>
    <dxf>
      <fill>
        <gradientFill degree="90">
          <stop position="0">
            <color rgb="FFFFFFFF"/>
          </stop>
          <stop position="1">
            <color rgb="FFFF8585"/>
          </stop>
        </gradientFill>
      </fill>
    </dxf>
    <dxf>
      <fill>
        <gradientFill type="path" left="0.5" right="0.5" top="0.5" bottom="0.5">
          <stop position="0">
            <color theme="0"/>
          </stop>
          <stop position="1">
            <color rgb="FFFF9393"/>
          </stop>
        </gradientFill>
      </fill>
    </dxf>
    <dxf>
      <fill>
        <gradientFill degree="90">
          <stop position="0">
            <color rgb="FFFFFFFF"/>
          </stop>
          <stop position="1">
            <color rgb="FFFF8585"/>
          </stop>
        </gradientFill>
      </fill>
    </dxf>
    <dxf>
      <fill>
        <gradientFill type="path" left="0.5" right="0.5" top="0.5" bottom="0.5">
          <stop position="0">
            <color theme="0"/>
          </stop>
          <stop position="1">
            <color rgb="FFFF9393"/>
          </stop>
        </gradientFill>
      </fill>
    </dxf>
    <dxf>
      <fill>
        <gradientFill degree="90">
          <stop position="0">
            <color rgb="FFFFFFFF"/>
          </stop>
          <stop position="1">
            <color rgb="FFFF8585"/>
          </stop>
        </gradientFill>
      </fill>
    </dxf>
    <dxf>
      <fill>
        <gradientFill type="path" left="0.5" right="0.5" top="0.5" bottom="0.5">
          <stop position="0">
            <color theme="0"/>
          </stop>
          <stop position="1">
            <color rgb="FFFF9393"/>
          </stop>
        </gradientFill>
      </fill>
    </dxf>
    <dxf>
      <fill>
        <gradientFill degree="90">
          <stop position="0">
            <color rgb="FFFFFFFF"/>
          </stop>
          <stop position="1">
            <color rgb="FFFF8585"/>
          </stop>
        </gradientFill>
      </fill>
    </dxf>
    <dxf>
      <fill>
        <gradientFill degree="90">
          <stop position="0">
            <color theme="0"/>
          </stop>
          <stop position="1">
            <color rgb="FFFF8585"/>
          </stop>
        </gradientFill>
      </fill>
    </dxf>
    <dxf>
      <fill>
        <gradientFill degree="90">
          <stop position="0">
            <color rgb="FFFFFFFF"/>
          </stop>
          <stop position="1">
            <color rgb="FFFF8585"/>
          </stop>
        </gradientFill>
      </fill>
    </dxf>
    <dxf>
      <fill>
        <gradientFill degree="90">
          <stop position="0">
            <color rgb="FFFFFFFF"/>
          </stop>
          <stop position="1">
            <color rgb="FFFF8585"/>
          </stop>
        </gradientFill>
      </fill>
    </dxf>
    <dxf>
      <fill>
        <gradientFill degree="90">
          <stop position="0">
            <color rgb="FFFFFFFF"/>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FD6B6E"/>
          </stop>
        </gradientFill>
      </fill>
    </dxf>
    <dxf>
      <fill>
        <gradientFill degree="90">
          <stop position="0">
            <color theme="0"/>
          </stop>
          <stop position="1">
            <color rgb="FF92D050"/>
          </stop>
        </gradientFill>
      </fill>
    </dxf>
    <dxf>
      <font>
        <color theme="0"/>
      </font>
      <fill>
        <patternFill patternType="solid">
          <fgColor auto="1"/>
          <bgColor theme="0"/>
        </patternFill>
      </fill>
    </dxf>
    <dxf>
      <fill>
        <gradientFill degree="90">
          <stop position="0">
            <color theme="0"/>
          </stop>
          <stop position="1">
            <color rgb="FFFD6B6E"/>
          </stop>
        </gradientFill>
      </fill>
    </dxf>
    <dxf>
      <fill>
        <gradientFill degree="90">
          <stop position="0">
            <color theme="0"/>
          </stop>
          <stop position="1">
            <color rgb="FF92D050"/>
          </stop>
        </gradientFill>
      </fill>
    </dxf>
    <dxf>
      <font>
        <color theme="0"/>
      </font>
      <fill>
        <patternFill patternType="solid">
          <fgColor auto="1"/>
          <bgColor theme="0"/>
        </patternFill>
      </fill>
    </dxf>
    <dxf>
      <fill>
        <gradientFill degree="90">
          <stop position="0">
            <color theme="0"/>
          </stop>
          <stop position="1">
            <color rgb="FFFD6B6E"/>
          </stop>
        </gradientFill>
      </fill>
    </dxf>
    <dxf>
      <fill>
        <gradientFill degree="90">
          <stop position="0">
            <color theme="0"/>
          </stop>
          <stop position="1">
            <color rgb="FF92D050"/>
          </stop>
        </gradientFill>
      </fill>
    </dxf>
    <dxf>
      <font>
        <color theme="0"/>
      </font>
      <fill>
        <patternFill patternType="solid">
          <fgColor auto="1"/>
          <bgColor theme="0"/>
        </patternFill>
      </fill>
    </dxf>
    <dxf>
      <fill>
        <gradientFill type="path" left="0.5" right="0.5" top="0.5" bottom="0.5">
          <stop position="0">
            <color theme="0"/>
          </stop>
          <stop position="1">
            <color rgb="FFFF9393"/>
          </stop>
        </gradientFill>
      </fill>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ill>
        <gradientFill degree="90">
          <stop position="0">
            <color theme="0"/>
          </stop>
          <stop position="1">
            <color rgb="FFFD6B6E"/>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theme="0"/>
      </font>
      <fill>
        <patternFill patternType="solid">
          <fgColor auto="1"/>
          <bgColor rgb="FF008000"/>
        </patternFill>
      </fill>
    </dxf>
    <dxf>
      <font>
        <color theme="0"/>
      </font>
      <fill>
        <patternFill>
          <bgColor rgb="FFFF0000"/>
        </patternFill>
      </fill>
    </dxf>
    <dxf>
      <font>
        <color theme="0"/>
      </font>
      <fill>
        <patternFill patternType="solid">
          <fgColor auto="1"/>
          <bgColor rgb="FF008000"/>
        </patternFill>
      </fill>
    </dxf>
    <dxf>
      <font>
        <color theme="0"/>
      </font>
      <fill>
        <patternFill>
          <bgColor rgb="FFFF0000"/>
        </pattern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ont>
        <color rgb="FFC00000"/>
      </font>
    </dxf>
    <dxf>
      <font>
        <color rgb="FFC00000"/>
      </font>
    </dxf>
    <dxf>
      <font>
        <color rgb="FFC00000"/>
      </font>
    </dxf>
    <dxf>
      <font>
        <color rgb="FFC00000"/>
      </font>
    </dxf>
    <dxf>
      <font>
        <b/>
        <color rgb="FF0000FF"/>
      </font>
      <fill>
        <gradientFill type="path" left="0.5" right="0.5" top="0.5" bottom="0.5">
          <stop position="0">
            <color theme="7" tint="0.80001220740379042"/>
          </stop>
          <stop position="1">
            <color theme="0"/>
          </stop>
        </gradientFill>
      </fill>
      <border>
        <left style="thin">
          <color rgb="FF00A33C"/>
        </left>
        <right style="thin">
          <color rgb="FF00A33C"/>
        </right>
        <top style="thin">
          <color rgb="FF00A33C"/>
        </top>
        <bottom style="thin">
          <color rgb="FF00A33C"/>
        </bottom>
      </border>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ont>
        <color rgb="FFC00000"/>
      </font>
    </dxf>
    <dxf>
      <fill>
        <gradientFill degree="90">
          <stop position="0">
            <color theme="0"/>
          </stop>
          <stop position="1">
            <color rgb="FF92D050"/>
          </stop>
        </gradientFill>
      </fill>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ill>
        <gradientFill degree="90">
          <stop position="0">
            <color theme="0"/>
          </stop>
          <stop position="1">
            <color rgb="FF92D050"/>
          </stop>
        </gradientFill>
      </fill>
    </dxf>
    <dxf>
      <fill>
        <gradientFill degree="90">
          <stop position="0">
            <color theme="0"/>
          </stop>
          <stop position="1">
            <color rgb="FF92D050"/>
          </stop>
        </gradientFill>
      </fill>
    </dxf>
    <dxf>
      <font>
        <color rgb="FFC00000"/>
      </font>
    </dxf>
    <dxf>
      <fill>
        <gradientFill degree="90">
          <stop position="0">
            <color theme="0"/>
          </stop>
          <stop position="1">
            <color rgb="FFFEACAE"/>
          </stop>
        </gradientFill>
      </fill>
    </dxf>
    <dxf>
      <fill>
        <gradientFill degree="90">
          <stop position="0">
            <color theme="0"/>
          </stop>
          <stop position="1">
            <color rgb="FF92D050"/>
          </stop>
        </gradientFill>
      </fill>
    </dxf>
    <dxf>
      <fill>
        <gradientFill degree="90">
          <stop position="0">
            <color theme="0"/>
          </stop>
          <stop position="1">
            <color rgb="FFFEACAE"/>
          </stop>
        </gradientFill>
      </fill>
    </dxf>
    <dxf>
      <fill>
        <gradientFill degree="90">
          <stop position="0">
            <color theme="0"/>
          </stop>
          <stop position="1">
            <color rgb="FF92D050"/>
          </stop>
        </gradientFill>
      </fill>
    </dxf>
    <dxf>
      <fill>
        <gradientFill degree="90">
          <stop position="0">
            <color theme="0"/>
          </stop>
          <stop position="1">
            <color rgb="FFFEACAE"/>
          </stop>
        </gradientFill>
      </fill>
    </dxf>
    <dxf>
      <fill>
        <gradientFill degree="90">
          <stop position="0">
            <color theme="0"/>
          </stop>
          <stop position="1">
            <color rgb="FF92D050"/>
          </stop>
        </gradientFill>
      </fill>
    </dxf>
    <dxf>
      <fill>
        <gradientFill degree="90">
          <stop position="0">
            <color theme="0"/>
          </stop>
          <stop position="1">
            <color rgb="FFFEACAE"/>
          </stop>
        </gradientFill>
      </fill>
    </dxf>
    <dxf>
      <fill>
        <gradientFill degree="90">
          <stop position="0">
            <color theme="0"/>
          </stop>
          <stop position="1">
            <color rgb="FF92D050"/>
          </stop>
        </gradientFill>
      </fill>
    </dxf>
    <dxf>
      <fill>
        <gradientFill degree="90">
          <stop position="0">
            <color theme="0"/>
          </stop>
          <stop position="1">
            <color rgb="FFFF9393"/>
          </stop>
        </gradientFill>
      </fill>
    </dxf>
    <dxf>
      <fill>
        <gradientFill degree="90">
          <stop position="0">
            <color theme="0"/>
          </stop>
          <stop position="1">
            <color rgb="FFFF9393"/>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FEACAE"/>
          </stop>
        </gradientFill>
      </fill>
    </dxf>
    <dxf>
      <fill>
        <gradientFill degree="90">
          <stop position="0">
            <color theme="0"/>
          </stop>
          <stop position="1">
            <color rgb="FF92D050"/>
          </stop>
        </gradientFill>
      </fill>
    </dxf>
    <dxf>
      <fill>
        <gradientFill degree="90">
          <stop position="0">
            <color theme="0"/>
          </stop>
          <stop position="1">
            <color rgb="FFFEACAE"/>
          </stop>
        </gradientFill>
      </fill>
    </dxf>
    <dxf>
      <fill>
        <gradientFill degree="90">
          <stop position="0">
            <color theme="0"/>
          </stop>
          <stop position="1">
            <color rgb="FF92D050"/>
          </stop>
        </gradientFill>
      </fill>
    </dxf>
    <dxf>
      <fill>
        <gradientFill degree="90">
          <stop position="0">
            <color theme="0"/>
          </stop>
          <stop position="1">
            <color rgb="FFFEACAE"/>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ont>
        <color theme="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ont>
        <color theme="0"/>
      </font>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ont>
        <color rgb="FFC00000"/>
      </font>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ont>
        <color rgb="FFC00000"/>
      </font>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ont>
        <color rgb="FFC00000"/>
      </font>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ont>
        <color rgb="FFC00000"/>
      </font>
    </dxf>
    <dxf>
      <fill>
        <gradientFill degree="90">
          <stop position="0">
            <color theme="0"/>
          </stop>
          <stop position="1">
            <color rgb="FF92D050"/>
          </stop>
        </gradientFill>
      </fill>
    </dxf>
    <dxf>
      <fill>
        <gradientFill degree="90">
          <stop position="0">
            <color theme="0"/>
          </stop>
          <stop position="1">
            <color rgb="FFFF7575"/>
          </stop>
        </gradientFill>
      </fill>
    </dxf>
    <dxf>
      <font>
        <color rgb="FFC00000"/>
      </font>
    </dxf>
    <dxf>
      <font>
        <color rgb="FFC00000"/>
      </font>
    </dxf>
    <dxf>
      <font>
        <color rgb="FFC00000"/>
      </font>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theme="0"/>
          </stop>
          <stop position="0.5">
            <color theme="8" tint="0.59999389629810485"/>
          </stop>
          <stop position="1">
            <color theme="0"/>
          </stop>
        </gradientFill>
      </fill>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ont>
        <strike val="0"/>
        <condense val="0"/>
        <extend val="0"/>
        <outline val="0"/>
        <shadow val="0"/>
        <vertAlign val="baseline"/>
        <sz val="11"/>
        <color auto="1"/>
        <name val="Arial"/>
        <family val="2"/>
      </font>
      <numFmt numFmtId="9" formatCode="&quot;$&quot;#,##0_);\(&quot;$&quot;#,##0\)"/>
      <fill>
        <patternFill patternType="solid">
          <fgColor indexed="64"/>
          <bgColor theme="0"/>
        </patternFill>
      </fill>
      <alignment horizontal="center" vertical="center"/>
      <border>
        <left style="thin">
          <color auto="1"/>
        </left>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numFmt numFmtId="9" formatCode="&quot;$&quot;#,##0_);\(&quot;$&quot;#,##0\)"/>
      <fill>
        <patternFill patternType="solid">
          <fgColor indexed="64"/>
          <bgColor theme="0"/>
        </patternFill>
      </fill>
      <alignment horizontal="center" vertical="center"/>
      <border>
        <left style="thin">
          <color indexed="64"/>
        </left>
        <right style="thin">
          <color auto="1"/>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numFmt numFmtId="9" formatCode="&quot;$&quot;#,##0_);\(&quot;$&quot;#,##0\)"/>
      <fill>
        <patternFill patternType="solid">
          <fgColor indexed="64"/>
          <bgColor theme="0"/>
        </patternFill>
      </fill>
      <alignment horizontal="center" vertical="center"/>
      <border>
        <left style="thin">
          <color indexed="64"/>
        </left>
        <right style="thin">
          <color auto="1"/>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numFmt numFmtId="9" formatCode="&quot;$&quot;#,##0_);\(&quot;$&quot;#,##0\)"/>
      <fill>
        <patternFill patternType="solid">
          <fgColor indexed="64"/>
          <bgColor theme="0"/>
        </patternFill>
      </fill>
      <alignment horizontal="center" vertical="center"/>
      <border>
        <left style="thin">
          <color indexed="64"/>
        </left>
        <right style="thin">
          <color auto="1"/>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numFmt numFmtId="9" formatCode="&quot;$&quot;#,##0_);\(&quot;$&quot;#,##0\)"/>
      <fill>
        <patternFill patternType="solid">
          <fgColor indexed="64"/>
          <bgColor theme="0"/>
        </patternFill>
      </fill>
      <alignment horizontal="center" vertical="center"/>
      <border>
        <left style="thin">
          <color indexed="64"/>
        </left>
        <right style="thin">
          <color auto="1"/>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numFmt numFmtId="9" formatCode="&quot;$&quot;#,##0_);\(&quot;$&quot;#,##0\)"/>
      <fill>
        <patternFill patternType="solid">
          <fgColor indexed="64"/>
          <bgColor theme="0"/>
        </patternFill>
      </fill>
      <alignment horizontal="center" vertical="center"/>
      <border>
        <left style="thin">
          <color indexed="64"/>
        </left>
        <right style="thin">
          <color auto="1"/>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numFmt numFmtId="9" formatCode="&quot;$&quot;#,##0_);\(&quot;$&quot;#,##0\)"/>
      <fill>
        <patternFill patternType="solid">
          <fgColor indexed="64"/>
          <bgColor theme="0"/>
        </patternFill>
      </fill>
      <alignment horizontal="center" vertical="center"/>
      <border>
        <left style="thin">
          <color indexed="64"/>
        </left>
        <right style="thin">
          <color auto="1"/>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numFmt numFmtId="9" formatCode="&quot;$&quot;#,##0_);\(&quot;$&quot;#,##0\)"/>
      <fill>
        <patternFill patternType="solid">
          <fgColor indexed="64"/>
          <bgColor theme="0"/>
        </patternFill>
      </fill>
      <alignment horizontal="center" vertical="center"/>
      <border>
        <left style="thin">
          <color indexed="64"/>
        </left>
        <right style="thin">
          <color auto="1"/>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numFmt numFmtId="1" formatCode="0"/>
      <fill>
        <patternFill patternType="solid">
          <fgColor indexed="64"/>
          <bgColor theme="0"/>
        </patternFill>
      </fill>
      <alignment horizontal="center" vertical="center"/>
      <border>
        <left/>
        <right style="thin">
          <color auto="1"/>
        </right>
        <top style="thin">
          <color auto="1"/>
        </top>
        <bottom style="thin">
          <color auto="1"/>
        </bottom>
        <vertical/>
        <horizontal/>
      </border>
      <protection locked="1" hidden="0"/>
    </dxf>
    <dxf>
      <border outline="0">
        <top style="thin">
          <color indexed="64"/>
        </top>
      </border>
    </dxf>
    <dxf>
      <border outline="0">
        <left style="thin">
          <color indexed="64"/>
        </left>
        <right style="thin">
          <color auto="1"/>
        </right>
        <top style="thin">
          <color indexed="64"/>
        </top>
        <bottom style="thin">
          <color indexed="64"/>
        </bottom>
      </border>
    </dxf>
    <dxf>
      <font>
        <strike val="0"/>
        <condense val="0"/>
        <extend val="0"/>
        <outline val="0"/>
        <shadow val="0"/>
        <vertAlign val="baseline"/>
        <sz val="11"/>
        <color auto="1"/>
        <name val="Arial"/>
        <family val="2"/>
      </font>
      <fill>
        <patternFill patternType="solid">
          <fgColor indexed="64"/>
          <bgColor theme="0"/>
        </patternFill>
      </fill>
      <alignment horizontal="center" vertical="center"/>
      <protection locked="1" hidden="0"/>
    </dxf>
    <dxf>
      <border outline="0">
        <bottom style="thin">
          <color indexed="64"/>
        </bottom>
      </border>
    </dxf>
    <dxf>
      <font>
        <b/>
        <strike val="0"/>
        <condense val="0"/>
        <extend val="0"/>
        <outline val="0"/>
        <shadow val="0"/>
        <vertAlign val="baseline"/>
        <sz val="11"/>
        <color auto="1"/>
        <name val="Arial"/>
        <family val="2"/>
      </font>
      <fill>
        <patternFill patternType="solid">
          <fgColor indexed="64"/>
          <bgColor theme="3" tint="0.39997558519241921"/>
        </patternFill>
      </fill>
      <alignment horizontal="center" vertical="center"/>
      <border>
        <left style="thin">
          <color indexed="64"/>
        </left>
        <right style="thin">
          <color indexed="64"/>
        </right>
        <top/>
        <bottom/>
      </border>
      <protection locked="1" hidden="0"/>
    </dxf>
    <dxf>
      <font>
        <color theme="0"/>
      </font>
    </dxf>
    <dxf>
      <font>
        <color theme="0"/>
      </font>
    </dxf>
    <dxf>
      <font>
        <color theme="0"/>
      </font>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ont>
        <color theme="0"/>
      </font>
    </dxf>
    <dxf>
      <font>
        <color theme="0"/>
      </font>
    </dxf>
    <dxf>
      <font>
        <color theme="0"/>
      </font>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EACAE"/>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rgb="FFFFFF00"/>
          </stop>
          <stop position="0.5">
            <color theme="0"/>
          </stop>
          <stop position="1">
            <color rgb="FFFFFF00"/>
          </stop>
        </gradientFill>
      </fill>
      <border>
        <left/>
        <right/>
        <top style="thin">
          <color rgb="FF0000FF"/>
        </top>
        <bottom style="thin">
          <color rgb="FF0000FF"/>
        </bottom>
      </border>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tint="-0.1490218817712943"/>
          </stop>
          <stop position="0.5">
            <color rgb="FFFFFF00"/>
          </stop>
          <stop position="1">
            <color theme="0" tint="-0.1490218817712943"/>
          </stop>
        </gradientFill>
      </fill>
    </dxf>
    <dxf>
      <fill>
        <gradientFill degree="90">
          <stop position="0">
            <color theme="0"/>
          </stop>
          <stop position="1">
            <color rgb="FFFF8585"/>
          </stop>
        </gradientFill>
      </fill>
    </dxf>
    <dxf>
      <font>
        <strike val="0"/>
        <condense val="0"/>
        <extend val="0"/>
        <outline val="0"/>
        <shadow val="0"/>
        <vertAlign val="baseline"/>
        <sz val="11"/>
        <color auto="1"/>
        <name val="Arial"/>
        <family val="2"/>
      </font>
      <numFmt numFmtId="170" formatCode="&quot;$&quot;#,##0"/>
      <alignment horizontal="center" vertical="center"/>
      <border>
        <left style="thin">
          <color auto="1"/>
        </left>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numFmt numFmtId="170" formatCode="&quot;$&quot;#,##0"/>
      <alignment horizontal="center" vertical="center"/>
      <border>
        <left style="thin">
          <color indexed="64"/>
        </left>
        <right style="thin">
          <color indexed="64"/>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numFmt numFmtId="170" formatCode="&quot;$&quot;#,##0"/>
      <alignment horizontal="center" vertical="center"/>
      <border>
        <left style="thin">
          <color indexed="64"/>
        </left>
        <right style="thin">
          <color indexed="64"/>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numFmt numFmtId="170" formatCode="&quot;$&quot;#,##0"/>
      <alignment horizontal="center" vertical="center"/>
      <border>
        <left style="thin">
          <color indexed="64"/>
        </left>
        <right style="thin">
          <color indexed="64"/>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numFmt numFmtId="170" formatCode="&quot;$&quot;#,##0"/>
      <alignment horizontal="center" vertical="center"/>
      <border>
        <left style="thin">
          <color indexed="64"/>
        </left>
        <right style="thin">
          <color indexed="64"/>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numFmt numFmtId="13" formatCode="0%"/>
      <alignment horizontal="center" vertical="center"/>
      <border>
        <left style="thin">
          <color indexed="64"/>
        </left>
        <right style="thin">
          <color indexed="64"/>
        </right>
        <top style="thin">
          <color indexed="64"/>
        </top>
        <bottom style="thin">
          <color indexed="64"/>
        </bottom>
        <vertical/>
        <horizontal/>
      </border>
      <protection locked="1" hidden="0"/>
    </dxf>
    <dxf>
      <font>
        <b/>
        <strike val="0"/>
        <condense val="0"/>
        <extend val="0"/>
        <outline val="0"/>
        <shadow val="0"/>
        <vertAlign val="baseline"/>
        <sz val="9"/>
        <color indexed="12"/>
        <name val="Arial"/>
        <family val="2"/>
      </font>
      <alignment horizontal="left" vertical="center" indent="1"/>
      <border>
        <left style="medium">
          <color indexed="64"/>
        </left>
        <right style="thin">
          <color indexed="64"/>
        </right>
        <top style="thin">
          <color indexed="64"/>
        </top>
        <bottom style="thin">
          <color indexed="64"/>
        </bottom>
        <vertical/>
        <horizontal/>
      </border>
      <protection locked="1" hidden="0"/>
    </dxf>
    <dxf>
      <border outline="0">
        <right style="medium">
          <color indexed="64"/>
        </right>
        <bottom style="medium">
          <color indexed="64"/>
        </bottom>
      </border>
    </dxf>
    <dxf>
      <font>
        <strike val="0"/>
        <condense val="0"/>
        <extend val="0"/>
        <outline val="0"/>
        <shadow val="0"/>
        <vertAlign val="baseline"/>
        <sz val="11"/>
        <color auto="1"/>
        <name val="Arial"/>
        <family val="2"/>
      </font>
      <alignment horizontal="center" vertical="center"/>
      <protection locked="1" hidden="0"/>
    </dxf>
    <dxf>
      <font>
        <b/>
        <strike val="0"/>
        <condense val="0"/>
        <extend val="0"/>
        <outline val="0"/>
        <shadow val="0"/>
        <vertAlign val="baseline"/>
        <sz val="11"/>
        <color auto="1"/>
        <name val="Arial"/>
        <family val="2"/>
      </font>
      <alignment horizontal="center" vertical="bottom"/>
      <border>
        <left style="thin">
          <color indexed="64"/>
        </left>
        <right style="thin">
          <color indexed="64"/>
        </right>
        <top/>
        <bottom/>
      </border>
      <protection locked="1" hidden="0"/>
    </dxf>
    <dxf>
      <font>
        <strike val="0"/>
        <condense val="0"/>
        <extend val="0"/>
        <outline val="0"/>
        <shadow val="0"/>
        <vertAlign val="baseline"/>
        <sz val="11"/>
        <color auto="1"/>
        <name val="Arial"/>
        <family val="2"/>
      </font>
      <numFmt numFmtId="170" formatCode="&quot;$&quot;#,##0"/>
      <alignment horizontal="center" vertical="center"/>
      <border>
        <left style="thin">
          <color auto="1"/>
        </left>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numFmt numFmtId="170" formatCode="&quot;$&quot;#,##0"/>
      <alignment horizontal="center" vertical="center"/>
      <border>
        <left style="thin">
          <color indexed="64"/>
        </left>
        <right style="thin">
          <color indexed="64"/>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numFmt numFmtId="170" formatCode="&quot;$&quot;#,##0"/>
      <alignment horizontal="center" vertical="center"/>
      <border>
        <left style="thin">
          <color indexed="64"/>
        </left>
        <right style="thin">
          <color indexed="64"/>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numFmt numFmtId="170" formatCode="&quot;$&quot;#,##0"/>
      <alignment horizontal="center" vertical="center"/>
      <border>
        <left style="thin">
          <color indexed="64"/>
        </left>
        <right style="thin">
          <color indexed="64"/>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numFmt numFmtId="170" formatCode="&quot;$&quot;#,##0"/>
      <alignment horizontal="center" vertical="center"/>
      <border>
        <left style="thin">
          <color indexed="64"/>
        </left>
        <right style="thin">
          <color indexed="64"/>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numFmt numFmtId="13" formatCode="0%"/>
      <alignment horizontal="center" vertical="center"/>
      <border>
        <left style="thin">
          <color indexed="64"/>
        </left>
        <right style="thin">
          <color indexed="64"/>
        </right>
        <top style="thin">
          <color indexed="64"/>
        </top>
        <bottom style="thin">
          <color indexed="64"/>
        </bottom>
        <vertical/>
        <horizontal/>
      </border>
      <protection locked="1" hidden="0"/>
    </dxf>
    <dxf>
      <font>
        <b/>
        <strike val="0"/>
        <condense val="0"/>
        <extend val="0"/>
        <outline val="0"/>
        <shadow val="0"/>
        <vertAlign val="baseline"/>
        <sz val="9"/>
        <color indexed="12"/>
        <name val="Arial"/>
        <family val="2"/>
      </font>
      <alignment horizontal="left" vertical="center" indent="1"/>
      <border>
        <left style="medium">
          <color indexed="64"/>
        </left>
        <right style="thin">
          <color indexed="64"/>
        </right>
        <top style="thin">
          <color indexed="64"/>
        </top>
        <bottom style="thin">
          <color indexed="64"/>
        </bottom>
        <vertical/>
        <horizontal/>
      </border>
      <protection locked="1" hidden="0"/>
    </dxf>
    <dxf>
      <border outline="0">
        <right style="medium">
          <color indexed="64"/>
        </right>
        <bottom style="medium">
          <color indexed="64"/>
        </bottom>
      </border>
    </dxf>
    <dxf>
      <font>
        <strike val="0"/>
        <condense val="0"/>
        <extend val="0"/>
        <outline val="0"/>
        <shadow val="0"/>
        <vertAlign val="baseline"/>
        <sz val="11"/>
        <color auto="1"/>
        <name val="Arial"/>
        <family val="2"/>
      </font>
      <alignment horizontal="center" vertical="center"/>
      <protection locked="1" hidden="0"/>
    </dxf>
    <dxf>
      <font>
        <b/>
        <strike val="0"/>
        <condense val="0"/>
        <extend val="0"/>
        <outline val="0"/>
        <shadow val="0"/>
        <vertAlign val="baseline"/>
        <sz val="11"/>
        <color auto="1"/>
        <name val="Arial"/>
        <family val="2"/>
      </font>
      <alignment horizontal="center" vertical="bottom"/>
      <border>
        <left style="thin">
          <color indexed="64"/>
        </left>
        <right style="thin">
          <color indexed="64"/>
        </right>
        <top/>
        <bottom/>
      </border>
      <protection locked="1" hidden="0"/>
    </dxf>
    <dxf>
      <font>
        <strike val="0"/>
        <condense val="0"/>
        <extend val="0"/>
        <outline val="0"/>
        <shadow val="0"/>
        <vertAlign val="baseline"/>
        <sz val="11"/>
        <color theme="1"/>
        <name val="Arial"/>
        <family val="2"/>
      </font>
      <fill>
        <patternFill>
          <fgColor indexed="64"/>
          <bgColor indexed="65"/>
        </patternFill>
      </fill>
      <alignment horizontal="center" vertical="center"/>
      <border>
        <left/>
        <right/>
        <top/>
        <bottom/>
      </border>
      <protection locked="1" hidden="0"/>
    </dxf>
    <dxf>
      <font>
        <strike val="0"/>
        <condense val="0"/>
        <extend val="0"/>
        <outline val="0"/>
        <shadow val="0"/>
        <vertAlign val="baseline"/>
        <sz val="11"/>
        <color theme="1"/>
        <name val="Calibri"/>
        <family val="2"/>
        <scheme val="minor"/>
      </font>
      <numFmt numFmtId="170" formatCode="&quot;$&quot;#,##0"/>
      <fill>
        <patternFill patternType="solid">
          <fgColor theme="4" tint="0.59999389629810485"/>
          <bgColor theme="4" tint="0.59999389629810485"/>
        </patternFill>
      </fill>
      <alignment horizontal="center" vertical="center"/>
      <border>
        <left style="thin">
          <color theme="0"/>
        </left>
        <right style="thin">
          <color theme="0"/>
        </right>
        <top/>
        <bottom style="thin">
          <color theme="0"/>
        </bottom>
        <vertical/>
        <horizontal/>
      </border>
      <protection locked="1" hidden="0"/>
    </dxf>
    <dxf>
      <font>
        <strike val="0"/>
        <condense val="0"/>
        <extend val="0"/>
        <outline val="0"/>
        <shadow val="0"/>
        <vertAlign val="baseline"/>
        <sz val="11"/>
        <color theme="1"/>
        <name val="Arial"/>
        <family val="2"/>
      </font>
      <numFmt numFmtId="170" formatCode="&quot;$&quot;#,##0"/>
      <fill>
        <patternFill>
          <fgColor indexed="64"/>
          <bgColor indexed="65"/>
        </patternFill>
      </fill>
      <alignment horizontal="center" vertical="center"/>
      <border outline="0">
        <left/>
        <right/>
        <top/>
        <bottom/>
      </border>
      <protection locked="1" hidden="0"/>
    </dxf>
    <dxf>
      <font>
        <strike val="0"/>
        <condense val="0"/>
        <extend val="0"/>
        <outline val="0"/>
        <shadow val="0"/>
        <vertAlign val="baseline"/>
        <sz val="11"/>
        <color theme="1"/>
        <name val="Calibri"/>
        <family val="2"/>
        <scheme val="minor"/>
      </font>
      <numFmt numFmtId="170" formatCode="&quot;$&quot;#,##0"/>
      <fill>
        <patternFill patternType="solid">
          <fgColor theme="4" tint="0.59999389629810485"/>
          <bgColor theme="4" tint="0.59999389629810485"/>
        </patternFill>
      </fill>
      <alignment horizontal="center" vertical="center"/>
      <border>
        <left style="thin">
          <color theme="0"/>
        </left>
        <right style="thin">
          <color theme="0"/>
        </right>
        <top/>
        <bottom style="thin">
          <color theme="0"/>
        </bottom>
        <vertical/>
        <horizontal/>
      </border>
      <protection locked="1" hidden="0"/>
    </dxf>
    <dxf>
      <font>
        <strike val="0"/>
        <condense val="0"/>
        <extend val="0"/>
        <outline val="0"/>
        <shadow val="0"/>
        <vertAlign val="baseline"/>
        <sz val="11"/>
        <color theme="1"/>
        <name val="Arial"/>
        <family val="2"/>
      </font>
      <numFmt numFmtId="170" formatCode="&quot;$&quot;#,##0"/>
      <fill>
        <patternFill>
          <fgColor indexed="64"/>
          <bgColor indexed="65"/>
        </patternFill>
      </fill>
      <alignment horizontal="center" vertical="center"/>
      <border outline="0">
        <left/>
        <right/>
        <top/>
        <bottom/>
      </border>
      <protection locked="1" hidden="0"/>
    </dxf>
    <dxf>
      <font>
        <strike val="0"/>
        <condense val="0"/>
        <extend val="0"/>
        <outline val="0"/>
        <shadow val="0"/>
        <vertAlign val="baseline"/>
        <sz val="11"/>
        <color theme="1"/>
        <name val="Calibri"/>
        <family val="2"/>
        <scheme val="minor"/>
      </font>
      <numFmt numFmtId="170" formatCode="&quot;$&quot;#,##0"/>
      <fill>
        <patternFill patternType="solid">
          <fgColor theme="4" tint="0.59999389629810485"/>
          <bgColor theme="4" tint="0.59999389629810485"/>
        </patternFill>
      </fill>
      <alignment horizontal="center" vertical="center"/>
      <border>
        <left style="thin">
          <color theme="0"/>
        </left>
        <right style="thin">
          <color theme="0"/>
        </right>
        <top/>
        <bottom style="thin">
          <color theme="0"/>
        </bottom>
        <vertical/>
        <horizontal/>
      </border>
      <protection locked="1" hidden="0"/>
    </dxf>
    <dxf>
      <font>
        <strike val="0"/>
        <condense val="0"/>
        <extend val="0"/>
        <outline val="0"/>
        <shadow val="0"/>
        <vertAlign val="baseline"/>
        <sz val="11"/>
        <color theme="1"/>
        <name val="Arial"/>
        <family val="2"/>
      </font>
      <numFmt numFmtId="170" formatCode="&quot;$&quot;#,##0"/>
      <fill>
        <patternFill>
          <fgColor indexed="64"/>
          <bgColor indexed="65"/>
        </patternFill>
      </fill>
      <alignment horizontal="center" vertical="center"/>
      <border outline="0">
        <left/>
        <right/>
        <top/>
        <bottom/>
      </border>
      <protection locked="1" hidden="0"/>
    </dxf>
    <dxf>
      <font>
        <strike val="0"/>
        <condense val="0"/>
        <extend val="0"/>
        <outline val="0"/>
        <shadow val="0"/>
        <vertAlign val="baseline"/>
        <sz val="11"/>
        <color theme="1"/>
        <name val="Calibri"/>
        <family val="2"/>
        <scheme val="minor"/>
      </font>
      <numFmt numFmtId="170" formatCode="&quot;$&quot;#,##0"/>
      <fill>
        <patternFill patternType="solid">
          <fgColor theme="4" tint="0.59999389629810485"/>
          <bgColor theme="4" tint="0.59999389629810485"/>
        </patternFill>
      </fill>
      <alignment horizontal="center" vertical="center"/>
      <border>
        <left style="thin">
          <color theme="0"/>
        </left>
        <right style="thin">
          <color theme="0"/>
        </right>
        <top/>
        <bottom style="thin">
          <color theme="0"/>
        </bottom>
        <vertical/>
        <horizontal/>
      </border>
      <protection locked="1" hidden="0"/>
    </dxf>
    <dxf>
      <font>
        <strike val="0"/>
        <condense val="0"/>
        <extend val="0"/>
        <outline val="0"/>
        <shadow val="0"/>
        <vertAlign val="baseline"/>
        <sz val="11"/>
        <color theme="1"/>
        <name val="Calibri"/>
        <family val="2"/>
        <scheme val="minor"/>
      </font>
      <numFmt numFmtId="170" formatCode="&quot;$&quot;#,##0"/>
      <fill>
        <patternFill patternType="solid">
          <fgColor theme="4" tint="0.59999389629810485"/>
          <bgColor theme="4" tint="0.59999389629810485"/>
        </patternFill>
      </fill>
      <alignment horizontal="center" vertical="center"/>
      <border>
        <left style="thin">
          <color theme="0"/>
        </left>
        <right style="thin">
          <color theme="0"/>
        </right>
        <top/>
        <bottom style="thin">
          <color theme="0"/>
        </bottom>
        <vertical/>
        <horizontal/>
      </border>
      <protection locked="1" hidden="0"/>
    </dxf>
    <dxf>
      <font>
        <strike val="0"/>
        <condense val="0"/>
        <extend val="0"/>
        <outline val="0"/>
        <shadow val="0"/>
        <vertAlign val="baseline"/>
        <sz val="11"/>
        <color theme="1"/>
        <name val="Arial"/>
        <family val="2"/>
      </font>
      <numFmt numFmtId="170" formatCode="&quot;$&quot;#,##0"/>
      <fill>
        <patternFill>
          <fgColor indexed="64"/>
          <bgColor indexed="65"/>
        </patternFill>
      </fill>
      <alignment horizontal="center" vertical="center"/>
      <border outline="0">
        <left/>
        <right/>
        <top/>
        <bottom/>
      </border>
      <protection locked="1" hidden="0"/>
    </dxf>
    <dxf>
      <font>
        <strike val="0"/>
        <condense val="0"/>
        <extend val="0"/>
        <outline val="0"/>
        <shadow val="0"/>
        <vertAlign val="baseline"/>
        <sz val="11"/>
        <color theme="1"/>
        <name val="Calibri"/>
        <family val="2"/>
        <scheme val="minor"/>
      </font>
      <numFmt numFmtId="170" formatCode="&quot;$&quot;#,##0"/>
      <fill>
        <patternFill patternType="solid">
          <fgColor theme="4" tint="0.59999389629810485"/>
          <bgColor theme="4" tint="0.59999389629810485"/>
        </patternFill>
      </fill>
      <alignment horizontal="center" vertical="center"/>
      <border>
        <left style="thin">
          <color theme="0"/>
        </left>
        <right style="thin">
          <color theme="0"/>
        </right>
        <top style="thin">
          <color theme="0"/>
        </top>
        <bottom style="thin">
          <color theme="0"/>
        </bottom>
      </border>
      <protection locked="1" hidden="0"/>
    </dxf>
    <dxf>
      <font>
        <strike val="0"/>
        <condense val="0"/>
        <extend val="0"/>
        <outline val="0"/>
        <shadow val="0"/>
        <vertAlign val="baseline"/>
        <sz val="11"/>
        <color theme="1"/>
        <name val="Arial"/>
        <family val="2"/>
      </font>
      <numFmt numFmtId="0" formatCode="General"/>
      <fill>
        <patternFill>
          <fgColor indexed="64"/>
          <bgColor indexed="65"/>
        </patternFill>
      </fill>
      <alignment horizontal="left" vertical="center"/>
      <border outline="0">
        <left/>
        <right/>
        <top/>
        <bottom/>
      </border>
      <protection locked="1" hidden="0"/>
    </dxf>
    <dxf>
      <font>
        <strike val="0"/>
        <condense val="0"/>
        <extend val="0"/>
        <outline val="0"/>
        <shadow val="0"/>
        <vertAlign val="baseline"/>
        <sz val="11"/>
        <color theme="1"/>
        <name val="Arial"/>
        <family val="2"/>
      </font>
      <alignment horizontal="left" vertical="center"/>
      <protection locked="1" hidden="0"/>
    </dxf>
    <dxf>
      <border>
        <left style="medium">
          <color indexed="64"/>
        </left>
        <right style="medium">
          <color indexed="64"/>
        </right>
        <top style="medium">
          <color indexed="64"/>
        </top>
        <bottom style="medium">
          <color indexed="64"/>
        </bottom>
      </border>
    </dxf>
    <dxf>
      <font>
        <strike val="0"/>
        <condense val="0"/>
        <extend val="0"/>
        <outline val="0"/>
        <shadow val="0"/>
        <vertAlign val="baseline"/>
        <sz val="11"/>
        <color theme="1"/>
        <name val="Arial"/>
        <family val="2"/>
      </font>
      <alignment horizontal="center" vertical="center"/>
      <protection locked="1" hidden="0"/>
    </dxf>
    <dxf>
      <font>
        <strike val="0"/>
        <condense val="0"/>
        <extend val="0"/>
        <outline val="0"/>
        <shadow val="0"/>
        <vertAlign val="baseline"/>
        <sz val="11"/>
        <color theme="1"/>
        <name val="Arial"/>
        <family val="2"/>
      </font>
      <alignment horizontal="left" vertical="center"/>
      <protection locked="1" hidden="0"/>
    </dxf>
    <dxf>
      <font>
        <strike val="0"/>
        <condense val="0"/>
        <extend val="0"/>
        <outline val="0"/>
        <shadow val="0"/>
        <vertAlign val="baseline"/>
        <sz val="11"/>
        <color theme="1"/>
        <name val="Arial"/>
      </font>
      <numFmt numFmtId="170" formatCode="&quot;$&quot;#,##0"/>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theme="1"/>
        <name val="Arial"/>
      </font>
      <numFmt numFmtId="170" formatCode="&quot;$&quot;#,##0"/>
      <fill>
        <patternFill patternType="solid">
          <fgColor indexed="64"/>
          <bgColor rgb="FFFFFFCC"/>
        </patternFill>
      </fill>
      <alignment horizontal="center" vertical="center"/>
      <border>
        <left style="thin">
          <color indexed="64"/>
        </left>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theme="1"/>
        <name val="Arial"/>
      </font>
      <numFmt numFmtId="170" formatCode="&quot;$&quot;#,##0"/>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theme="1"/>
        <name val="Arial"/>
      </font>
      <numFmt numFmtId="170" formatCode="&quot;$&quot;#,##0"/>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theme="1"/>
        <name val="Arial"/>
      </font>
      <numFmt numFmtId="170" formatCode="&quot;$&quot;#,##0"/>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theme="1"/>
        <name val="Arial"/>
      </font>
      <numFmt numFmtId="170" formatCode="&quot;$&quot;#,##0"/>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border>
      <protection locked="0" hidden="0"/>
    </dxf>
    <dxf>
      <font>
        <strike val="0"/>
        <condense val="0"/>
        <extend val="0"/>
        <outline val="0"/>
        <shadow val="0"/>
        <vertAlign val="baseline"/>
        <sz val="11"/>
        <color theme="1"/>
        <name val="Arial"/>
        <family val="2"/>
      </font>
      <numFmt numFmtId="14" formatCode="0.00%"/>
      <fill>
        <patternFill patternType="solid">
          <fgColor theme="4" tint="0.59999389629810485"/>
          <bgColor theme="0"/>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condense val="0"/>
        <extend val="0"/>
        <outline val="0"/>
        <shadow val="0"/>
        <vertAlign val="baseline"/>
        <sz val="11"/>
        <color theme="1"/>
        <name val="Arial"/>
      </font>
      <numFmt numFmtId="0" formatCode="General"/>
      <fill>
        <patternFill patternType="solid">
          <fgColor theme="4" tint="0.59999389629810485"/>
          <bgColor theme="0"/>
        </patternFill>
      </fill>
      <alignment horizontal="right" vertical="center"/>
      <protection locked="1" hidden="0"/>
    </dxf>
    <dxf>
      <border outline="0">
        <top style="thin">
          <color indexed="64"/>
        </top>
      </border>
    </dxf>
    <dxf>
      <border outline="0">
        <left style="thin">
          <color indexed="64"/>
        </left>
        <right style="thin">
          <color indexed="64"/>
        </right>
        <top style="thin">
          <color indexed="64"/>
        </top>
        <bottom style="thin">
          <color indexed="64"/>
        </bottom>
      </border>
    </dxf>
    <dxf>
      <font>
        <strike val="0"/>
        <condense val="0"/>
        <extend val="0"/>
        <outline val="0"/>
        <shadow val="0"/>
        <vertAlign val="baseline"/>
        <sz val="11"/>
        <color theme="1"/>
        <name val="Arial"/>
      </font>
      <fill>
        <patternFill patternType="solid">
          <fgColor indexed="64"/>
          <bgColor rgb="FFFFFFCC"/>
        </patternFill>
      </fill>
      <alignment horizontal="center" vertical="center"/>
      <protection locked="1" hidden="0"/>
    </dxf>
    <dxf>
      <border>
        <bottom style="thin">
          <color indexed="64"/>
        </bottom>
      </border>
    </dxf>
    <dxf>
      <font>
        <strike val="0"/>
        <condense val="0"/>
        <extend val="0"/>
        <outline val="0"/>
        <shadow val="0"/>
        <vertAlign val="baseline"/>
        <sz val="11"/>
        <color theme="1"/>
        <name val="Arial"/>
      </font>
      <alignment horizontal="center" vertical="center" wrapText="1"/>
      <border>
        <left style="thin">
          <color indexed="64"/>
        </left>
        <right style="thin">
          <color indexed="64"/>
        </right>
        <top/>
        <bottom/>
        <vertical style="thin">
          <color indexed="64"/>
        </vertical>
        <horizontal style="thin">
          <color indexed="64"/>
        </horizontal>
      </border>
      <protection locked="1" hidden="0"/>
    </dxf>
    <dxf>
      <font>
        <strike val="0"/>
        <condense val="0"/>
        <extend val="0"/>
        <outline val="0"/>
        <shadow val="0"/>
        <vertAlign val="baseline"/>
        <sz val="11"/>
        <color theme="1"/>
        <name val="Arial"/>
      </font>
      <numFmt numFmtId="170" formatCode="&quot;$&quot;#,##0"/>
      <alignment horizontal="center" vertical="center"/>
      <protection locked="1" hidden="0"/>
    </dxf>
    <dxf>
      <font>
        <strike val="0"/>
        <condense val="0"/>
        <extend val="0"/>
        <outline val="0"/>
        <shadow val="0"/>
        <vertAlign val="baseline"/>
        <sz val="11"/>
        <color theme="1"/>
        <name val="Arial"/>
      </font>
      <numFmt numFmtId="170" formatCode="&quot;$&quot;#,##0"/>
      <alignment horizontal="center" vertical="center"/>
      <protection locked="1" hidden="0"/>
    </dxf>
    <dxf>
      <font>
        <strike val="0"/>
        <condense val="0"/>
        <extend val="0"/>
        <outline val="0"/>
        <shadow val="0"/>
        <vertAlign val="baseline"/>
        <sz val="11"/>
        <color theme="1"/>
        <name val="Arial"/>
      </font>
      <numFmt numFmtId="170" formatCode="&quot;$&quot;#,##0"/>
      <alignment horizontal="center" vertical="center"/>
      <protection locked="1" hidden="0"/>
    </dxf>
    <dxf>
      <font>
        <strike val="0"/>
        <condense val="0"/>
        <extend val="0"/>
        <outline val="0"/>
        <shadow val="0"/>
        <vertAlign val="baseline"/>
        <sz val="11"/>
        <color theme="1"/>
        <name val="Arial"/>
      </font>
      <numFmt numFmtId="170" formatCode="&quot;$&quot;#,##0"/>
      <alignment horizontal="center" vertical="center"/>
      <protection locked="1" hidden="0"/>
    </dxf>
    <dxf>
      <font>
        <strike val="0"/>
        <condense val="0"/>
        <extend val="0"/>
        <outline val="0"/>
        <shadow val="0"/>
        <vertAlign val="baseline"/>
        <sz val="11"/>
        <color theme="1"/>
        <name val="Arial"/>
      </font>
      <numFmt numFmtId="170" formatCode="&quot;$&quot;#,##0"/>
      <alignment horizontal="center" vertical="center"/>
      <protection locked="1" hidden="0"/>
    </dxf>
    <dxf>
      <font>
        <strike val="0"/>
        <condense val="0"/>
        <extend val="0"/>
        <outline val="0"/>
        <shadow val="0"/>
        <vertAlign val="baseline"/>
        <sz val="11"/>
        <color theme="1"/>
        <name val="Arial"/>
      </font>
      <numFmt numFmtId="170" formatCode="&quot;$&quot;#,##0"/>
      <alignment horizontal="center" vertical="center"/>
      <protection locked="1" hidden="0"/>
    </dxf>
    <dxf>
      <font>
        <strike val="0"/>
        <condense val="0"/>
        <extend val="0"/>
        <outline val="0"/>
        <shadow val="0"/>
        <vertAlign val="baseline"/>
        <sz val="11"/>
        <color theme="1"/>
        <name val="Arial"/>
      </font>
      <alignment horizontal="center" vertical="center"/>
      <protection locked="1" hidden="0"/>
    </dxf>
    <dxf>
      <font>
        <strike val="0"/>
        <condense val="0"/>
        <extend val="0"/>
        <outline val="0"/>
        <shadow val="0"/>
        <vertAlign val="baseline"/>
        <sz val="11"/>
        <color theme="1"/>
        <name val="Arial"/>
      </font>
      <alignment horizontal="center" vertical="center"/>
      <protection locked="1" hidden="0"/>
    </dxf>
    <dxf>
      <font>
        <strike val="0"/>
        <condense val="0"/>
        <extend val="0"/>
        <outline val="0"/>
        <shadow val="0"/>
        <vertAlign val="baseline"/>
        <sz val="11"/>
        <color theme="1"/>
        <name val="Arial"/>
      </font>
      <alignment horizontal="center" vertical="center"/>
      <protection locked="1" hidden="0"/>
    </dxf>
    <dxf>
      <font>
        <strike val="0"/>
        <condense val="0"/>
        <extend val="0"/>
        <outline val="0"/>
        <shadow val="0"/>
        <vertAlign val="baseline"/>
        <sz val="11"/>
        <color theme="1"/>
        <name val="Arial"/>
      </font>
      <numFmt numFmtId="170" formatCode="&quot;$&quot;#,##0"/>
      <alignment horizontal="center" vertical="center"/>
      <border>
        <left style="thin">
          <color indexed="64"/>
        </left>
        <right/>
        <top style="thin">
          <color indexed="64"/>
        </top>
        <bottom style="thin">
          <color indexed="64"/>
        </bottom>
        <vertical style="thin">
          <color indexed="64"/>
        </vertical>
        <horizontal style="thin">
          <color indexed="64"/>
        </horizontal>
      </border>
      <protection locked="1" hidden="0"/>
    </dxf>
    <dxf>
      <font>
        <strike val="0"/>
        <condense val="0"/>
        <extend val="0"/>
        <outline val="0"/>
        <shadow val="0"/>
        <vertAlign val="baseline"/>
        <sz val="11"/>
        <color theme="1"/>
        <name val="Arial"/>
      </font>
      <numFmt numFmtId="170" formatCode="&quot;$&quot;#,##0"/>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condense val="0"/>
        <extend val="0"/>
        <outline val="0"/>
        <shadow val="0"/>
        <vertAlign val="baseline"/>
        <sz val="11"/>
        <color theme="1"/>
        <name val="Arial"/>
      </font>
      <numFmt numFmtId="170" formatCode="&quot;$&quot;#,##0"/>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condense val="0"/>
        <extend val="0"/>
        <outline val="0"/>
        <shadow val="0"/>
        <vertAlign val="baseline"/>
        <sz val="11"/>
        <color theme="1"/>
        <name val="Arial"/>
      </font>
      <numFmt numFmtId="170" formatCode="&quot;$&quot;#,##0"/>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condense val="0"/>
        <extend val="0"/>
        <outline val="0"/>
        <shadow val="0"/>
        <vertAlign val="baseline"/>
        <sz val="11"/>
        <color theme="1"/>
        <name val="Arial"/>
      </font>
      <numFmt numFmtId="170" formatCode="&quot;$&quot;#,##0"/>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condense val="0"/>
        <extend val="0"/>
        <outline val="0"/>
        <shadow val="0"/>
        <vertAlign val="baseline"/>
        <sz val="11"/>
        <color theme="1"/>
        <name val="Arial"/>
      </font>
      <numFmt numFmtId="170" formatCode="&quot;$&quot;#,##0"/>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condense val="0"/>
        <extend val="0"/>
        <outline val="0"/>
        <shadow val="0"/>
        <vertAlign val="baseline"/>
        <sz val="11"/>
        <color theme="1"/>
        <name val="Arial"/>
      </font>
      <numFmt numFmtId="0" formatCode="General"/>
      <alignment horizontal="center" vertical="center"/>
      <border>
        <left/>
        <right style="thin">
          <color indexed="64"/>
        </right>
        <top style="thin">
          <color indexed="64"/>
        </top>
        <bottom style="thin">
          <color indexed="64"/>
        </bottom>
        <vertical style="thin">
          <color indexed="64"/>
        </vertical>
        <horizontal style="thin">
          <color indexed="64"/>
        </horizontal>
      </border>
      <protection locked="1" hidden="0"/>
    </dxf>
    <dxf>
      <border>
        <top style="thin">
          <color indexed="64"/>
        </top>
      </border>
    </dxf>
    <dxf>
      <border>
        <left style="thin">
          <color indexed="64"/>
        </left>
        <right style="thin">
          <color indexed="64"/>
        </right>
        <top style="thin">
          <color indexed="64"/>
        </top>
        <bottom style="thin">
          <color indexed="64"/>
        </bottom>
      </border>
    </dxf>
    <dxf>
      <font>
        <strike val="0"/>
        <condense val="0"/>
        <extend val="0"/>
        <outline val="0"/>
        <shadow val="0"/>
        <vertAlign val="baseline"/>
        <sz val="11"/>
        <color theme="1"/>
        <name val="Arial"/>
      </font>
      <alignment horizontal="center" vertical="center"/>
      <protection locked="1" hidden="0"/>
    </dxf>
    <dxf>
      <border>
        <bottom style="thin">
          <color indexed="64"/>
        </bottom>
      </border>
    </dxf>
    <dxf>
      <font>
        <strike val="0"/>
        <condense val="0"/>
        <extend val="0"/>
        <outline val="0"/>
        <shadow val="0"/>
        <vertAlign val="baseline"/>
        <sz val="11"/>
        <color theme="1"/>
        <name val="Arial"/>
      </font>
      <alignment horizontal="center" vertical="center"/>
      <border>
        <left style="thin">
          <color indexed="64"/>
        </left>
        <right style="thin">
          <color indexed="64"/>
        </right>
        <top/>
        <bottom/>
        <vertical style="thin">
          <color indexed="64"/>
        </vertical>
        <horizontal style="thin">
          <color indexed="64"/>
        </horizontal>
      </border>
      <protection locked="1" hidden="0"/>
    </dxf>
    <dxf>
      <font>
        <strike val="0"/>
        <outline val="0"/>
        <shadow val="0"/>
        <vertAlign val="baseline"/>
        <sz val="11"/>
        <color theme="1"/>
        <name val="Arial"/>
        <family val="2"/>
      </font>
      <numFmt numFmtId="170" formatCode="&quot;$&quot;#,##0"/>
      <fill>
        <patternFill patternType="solid">
          <fgColor indexed="64"/>
          <bgColor theme="0"/>
        </patternFill>
      </fill>
      <alignment horizontal="center" vertical="center"/>
      <border>
        <left/>
        <right style="thin">
          <color auto="1"/>
        </right>
        <top/>
        <bottom/>
        <vertical/>
        <horizontal/>
      </border>
      <protection locked="1" hidden="0"/>
    </dxf>
    <dxf>
      <font>
        <strike val="0"/>
        <outline val="0"/>
        <shadow val="0"/>
        <vertAlign val="baseline"/>
        <sz val="11"/>
        <color theme="1"/>
        <name val="Arial"/>
        <family val="2"/>
      </font>
      <numFmt numFmtId="170" formatCode="&quot;$&quot;#,##0"/>
      <fill>
        <patternFill patternType="solid">
          <fgColor indexed="64"/>
          <bgColor theme="0"/>
        </patternFill>
      </fill>
      <alignment horizontal="center" vertical="center"/>
      <border outline="0">
        <left/>
        <right/>
        <top style="thin">
          <color indexed="64"/>
        </top>
        <bottom style="thin">
          <color indexed="64"/>
        </bottom>
      </border>
      <protection locked="1" hidden="0"/>
    </dxf>
    <dxf>
      <font>
        <strike val="0"/>
        <outline val="0"/>
        <shadow val="0"/>
        <vertAlign val="baseline"/>
        <sz val="11"/>
        <color theme="1"/>
        <name val="Arial"/>
        <family val="2"/>
      </font>
      <numFmt numFmtId="170" formatCode="&quot;$&quot;#,##0"/>
      <fill>
        <patternFill patternType="solid">
          <fgColor indexed="64"/>
          <bgColor theme="0"/>
        </patternFill>
      </fill>
      <alignment horizontal="center" vertical="center"/>
      <border outline="0">
        <left/>
        <right/>
        <top style="thin">
          <color indexed="64"/>
        </top>
        <bottom style="thin">
          <color indexed="64"/>
        </bottom>
      </border>
      <protection locked="1" hidden="0"/>
    </dxf>
    <dxf>
      <font>
        <strike val="0"/>
        <outline val="0"/>
        <shadow val="0"/>
        <vertAlign val="baseline"/>
        <sz val="11"/>
        <color theme="1"/>
        <name val="Arial"/>
        <family val="2"/>
      </font>
      <numFmt numFmtId="170" formatCode="&quot;$&quot;#,##0"/>
      <fill>
        <patternFill patternType="solid">
          <fgColor indexed="64"/>
          <bgColor theme="0"/>
        </patternFill>
      </fill>
      <alignment horizontal="center" vertical="center"/>
      <border outline="0">
        <left/>
        <right/>
        <top style="thin">
          <color indexed="64"/>
        </top>
        <bottom style="thin">
          <color indexed="64"/>
        </bottom>
      </border>
      <protection locked="1" hidden="0"/>
    </dxf>
    <dxf>
      <font>
        <strike val="0"/>
        <outline val="0"/>
        <shadow val="0"/>
        <vertAlign val="baseline"/>
        <sz val="11"/>
        <color theme="1"/>
        <name val="Arial"/>
        <family val="2"/>
      </font>
      <numFmt numFmtId="170" formatCode="&quot;$&quot;#,##0"/>
      <fill>
        <patternFill patternType="solid">
          <fgColor indexed="64"/>
          <bgColor theme="0"/>
        </patternFill>
      </fill>
      <alignment horizontal="center" vertical="center"/>
      <border outline="0">
        <left/>
        <right/>
        <top style="thin">
          <color indexed="64"/>
        </top>
        <bottom style="thin">
          <color indexed="64"/>
        </bottom>
      </border>
      <protection locked="1" hidden="0"/>
    </dxf>
    <dxf>
      <font>
        <strike val="0"/>
        <outline val="0"/>
        <shadow val="0"/>
        <vertAlign val="baseline"/>
        <sz val="11"/>
        <color theme="1"/>
        <name val="Arial"/>
        <family val="2"/>
      </font>
      <numFmt numFmtId="170" formatCode="&quot;$&quot;#,##0"/>
      <fill>
        <patternFill patternType="solid">
          <fgColor indexed="64"/>
          <bgColor theme="0"/>
        </patternFill>
      </fill>
      <alignment horizontal="center" vertical="center"/>
      <border outline="0">
        <left/>
        <right/>
        <top style="thin">
          <color indexed="64"/>
        </top>
        <bottom style="thin">
          <color indexed="64"/>
        </bottom>
      </border>
      <protection locked="1" hidden="0"/>
    </dxf>
    <dxf>
      <font>
        <strike val="0"/>
        <outline val="0"/>
        <shadow val="0"/>
        <vertAlign val="baseline"/>
        <sz val="11"/>
        <color theme="1"/>
        <name val="Arial"/>
        <family val="2"/>
      </font>
      <numFmt numFmtId="170" formatCode="&quot;$&quot;#,##0"/>
      <fill>
        <patternFill patternType="solid">
          <fgColor indexed="64"/>
          <bgColor theme="0"/>
        </patternFill>
      </fill>
      <alignment horizontal="center" vertical="center"/>
      <border outline="0">
        <left/>
        <right/>
        <top style="thin">
          <color indexed="64"/>
        </top>
        <bottom style="thin">
          <color indexed="64"/>
        </bottom>
      </border>
      <protection locked="1" hidden="0"/>
    </dxf>
    <dxf>
      <font>
        <strike val="0"/>
        <outline val="0"/>
        <shadow val="0"/>
        <vertAlign val="baseline"/>
        <sz val="11"/>
        <color theme="1"/>
        <name val="Arial"/>
        <family val="2"/>
      </font>
      <numFmt numFmtId="170" formatCode="&quot;$&quot;#,##0"/>
      <fill>
        <patternFill patternType="solid">
          <fgColor indexed="64"/>
          <bgColor theme="0"/>
        </patternFill>
      </fill>
      <alignment horizontal="center" vertical="center"/>
      <border>
        <left style="thin">
          <color indexed="64"/>
        </left>
        <right/>
        <top/>
        <bottom/>
        <vertical/>
        <horizontal/>
      </border>
      <protection locked="1" hidden="0"/>
    </dxf>
    <dxf>
      <font>
        <strike val="0"/>
        <outline val="0"/>
        <shadow val="0"/>
        <vertAlign val="baseline"/>
        <sz val="11"/>
        <color auto="1"/>
        <name val="Arial"/>
        <family val="2"/>
      </font>
      <numFmt numFmtId="13" formatCode="0%"/>
      <alignment horizontal="left" vertical="center"/>
      <border outline="0">
        <left/>
        <right/>
        <top style="thin">
          <color indexed="64"/>
        </top>
        <bottom style="thin">
          <color indexed="64"/>
        </bottom>
      </border>
      <protection locked="1" hidden="0"/>
    </dxf>
    <dxf>
      <border>
        <top style="thin">
          <color indexed="64"/>
        </top>
      </border>
    </dxf>
    <dxf>
      <border>
        <left style="medium">
          <color indexed="64"/>
        </left>
        <right style="medium">
          <color indexed="64"/>
        </right>
        <top style="medium">
          <color indexed="64"/>
        </top>
        <bottom style="medium">
          <color indexed="64"/>
        </bottom>
      </border>
    </dxf>
    <dxf>
      <font>
        <strike val="0"/>
        <outline val="0"/>
        <shadow val="0"/>
        <vertAlign val="baseline"/>
        <sz val="11"/>
        <color auto="1"/>
        <name val="Arial"/>
        <family val="2"/>
      </font>
      <alignment horizontal="center" vertical="center"/>
      <protection locked="1" hidden="0"/>
    </dxf>
    <dxf>
      <border>
        <bottom style="thin">
          <color indexed="64"/>
        </bottom>
      </border>
    </dxf>
    <dxf>
      <font>
        <strike val="0"/>
        <outline val="0"/>
        <shadow val="0"/>
        <vertAlign val="baseline"/>
        <sz val="11"/>
        <color auto="1"/>
        <name val="Arial"/>
        <family val="2"/>
      </font>
      <alignment vertical="center"/>
      <border>
        <left style="thin">
          <color indexed="64"/>
        </left>
        <right style="thin">
          <color indexed="64"/>
        </right>
        <top/>
        <bottom/>
        <vertical style="thin">
          <color indexed="64"/>
        </vertical>
        <horizontal style="thin">
          <color indexed="64"/>
        </horizontal>
      </border>
      <protection locked="1" hidden="0"/>
    </dxf>
    <dxf>
      <font>
        <strike val="0"/>
        <condense val="0"/>
        <extend val="0"/>
        <outline val="0"/>
        <shadow val="0"/>
        <vertAlign val="baseline"/>
        <sz val="11"/>
        <color auto="1"/>
        <name val="Arial"/>
      </font>
      <numFmt numFmtId="0" formatCode="Genera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condense val="0"/>
        <extend val="0"/>
        <outline val="0"/>
        <shadow val="0"/>
        <vertAlign val="baseline"/>
        <sz val="11"/>
        <color auto="1"/>
        <name val="Arial"/>
      </font>
      <numFmt numFmtId="0" formatCode="General"/>
      <alignment horizontal="center" vertical="center"/>
      <border>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numFmt numFmtId="170" formatCode="&quot;$&quot;#,##0"/>
      <fill>
        <patternFill>
          <fgColor indexed="64"/>
          <bgColor indexed="65"/>
        </patternFill>
      </fill>
      <alignment horizontal="left" vertical="center" indent="1"/>
      <border>
        <left style="thick">
          <color theme="6" tint="-0.499984740745262"/>
        </left>
        <right style="thin">
          <color indexed="64"/>
        </right>
        <top style="thin">
          <color indexed="64"/>
        </top>
        <bottom style="thin">
          <color indexed="64"/>
        </bottom>
        <vertical/>
        <horizontal style="thin">
          <color indexed="64"/>
        </horizontal>
      </border>
      <protection locked="1" hidden="0"/>
    </dxf>
    <dxf>
      <font>
        <strike val="0"/>
        <condense val="0"/>
        <extend val="0"/>
        <outline val="0"/>
        <shadow val="0"/>
        <vertAlign val="baseline"/>
        <sz val="11"/>
        <color auto="1"/>
        <name val="Arial"/>
      </font>
      <numFmt numFmtId="170" formatCode="&quot;$&quot;#,##0"/>
      <fill>
        <patternFill>
          <fgColor indexed="64"/>
          <bgColor indexed="65"/>
        </patternFill>
      </fill>
      <alignment horizontal="left" vertical="center" relativeIndent="1"/>
      <border>
        <left style="thin">
          <color indexed="64"/>
        </left>
        <right style="thick">
          <color theme="6" tint="-0.499984740745262"/>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horizontal/>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left" vertical="center" indent="1"/>
      <border>
        <left style="thin">
          <color indexed="64"/>
        </left>
        <right style="thin">
          <color indexed="64"/>
        </right>
        <top style="thin">
          <color indexed="64"/>
        </top>
        <bottom style="thin">
          <color indexed="64"/>
        </bottom>
        <vertical/>
        <horizontal/>
      </border>
      <protection locked="0" hidden="0"/>
    </dxf>
    <dxf>
      <font>
        <strike val="0"/>
        <condense val="0"/>
        <extend val="0"/>
        <outline val="0"/>
        <shadow val="0"/>
        <vertAlign val="baseline"/>
        <sz val="11"/>
        <color auto="1"/>
        <name val="Arial"/>
      </font>
      <numFmt numFmtId="170" formatCode="&quot;$&quot;#,##0"/>
      <fill>
        <patternFill>
          <fgColor indexed="64"/>
          <bgColor indexed="65"/>
        </patternFill>
      </fill>
      <alignment horizontal="left" vertical="center" relativeIndent="1"/>
      <border>
        <left/>
        <right style="thin">
          <color indexed="64"/>
        </right>
        <top style="thin">
          <color auto="1"/>
        </top>
        <bottom style="thin">
          <color auto="1"/>
        </bottom>
      </border>
      <protection locked="1" hidden="0"/>
    </dxf>
    <dxf>
      <font>
        <strike val="0"/>
        <condense val="0"/>
        <extend val="0"/>
        <outline val="0"/>
        <shadow val="0"/>
        <vertAlign val="baseline"/>
        <sz val="11"/>
        <color auto="1"/>
        <name val="Arial"/>
      </font>
      <numFmt numFmtId="170" formatCode="&quot;$&quot;#,##0"/>
      <fill>
        <patternFill patternType="solid">
          <fgColor indexed="64"/>
          <bgColor rgb="FFFFFFCC"/>
        </patternFill>
      </fill>
      <alignment horizontal="left" vertical="center" relativeIndent="1"/>
      <border>
        <left style="medium">
          <color indexed="64"/>
        </left>
        <right/>
        <top style="thin">
          <color auto="1"/>
        </top>
        <bottom style="thin">
          <color auto="1"/>
        </bottom>
      </border>
      <protection locked="0" hidden="0"/>
    </dxf>
    <dxf>
      <font>
        <strike val="0"/>
        <outline val="0"/>
        <shadow val="0"/>
        <vertAlign val="baseline"/>
        <sz val="11"/>
        <color auto="1"/>
        <name val="Arial"/>
      </font>
      <numFmt numFmtId="170" formatCode="&quot;$&quot;#,##0"/>
      <alignment horizontal="left" vertical="center" relativeIndent="1"/>
      <border>
        <left style="thin">
          <color indexed="64"/>
        </left>
        <right style="thick">
          <color theme="6" tint="-0.499984740745262"/>
        </right>
        <top style="thin">
          <color auto="1"/>
        </top>
        <bottom style="thin">
          <color auto="1"/>
        </bottom>
        <vertical/>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horizontal/>
      </border>
      <protection locked="0" hidden="0"/>
    </dxf>
    <dxf>
      <font>
        <strike val="0"/>
        <condense val="0"/>
        <extend val="0"/>
        <outline val="0"/>
        <shadow val="0"/>
        <vertAlign val="baseline"/>
        <sz val="11"/>
        <color auto="1"/>
        <name val="Arial"/>
      </font>
      <numFmt numFmtId="0" formatCode="General"/>
      <fill>
        <patternFill patternType="solid">
          <fgColor indexed="64"/>
          <bgColor rgb="FFFFFFCC"/>
        </patternFill>
      </fill>
      <alignment horizontal="center" vertical="center"/>
      <border>
        <left/>
        <right/>
        <top style="thin">
          <color auto="1"/>
        </top>
        <bottom style="thin">
          <color auto="1"/>
        </bottom>
      </border>
      <protection locked="0" hidden="0"/>
    </dxf>
    <dxf>
      <font>
        <strike val="0"/>
        <condense val="0"/>
        <extend val="0"/>
        <outline val="0"/>
        <shadow val="0"/>
        <vertAlign val="baseline"/>
        <sz val="11"/>
        <color auto="1"/>
        <name val="Arial"/>
      </font>
      <numFmt numFmtId="170" formatCode="&quot;$&quot;#,##0"/>
      <alignment horizontal="left" vertical="center" relativeIndent="1"/>
      <border>
        <left/>
        <right style="thin">
          <color indexed="64"/>
        </right>
        <top style="thin">
          <color auto="1"/>
        </top>
        <bottom style="thin">
          <color auto="1"/>
        </bottom>
      </border>
      <protection locked="1" hidden="0"/>
    </dxf>
    <dxf>
      <font>
        <strike val="0"/>
        <condense val="0"/>
        <extend val="0"/>
        <outline val="0"/>
        <shadow val="0"/>
        <vertAlign val="baseline"/>
        <sz val="11"/>
        <color auto="1"/>
        <name val="Arial"/>
      </font>
      <numFmt numFmtId="170" formatCode="&quot;$&quot;#,##0"/>
      <fill>
        <patternFill patternType="solid">
          <fgColor indexed="64"/>
          <bgColor rgb="FFFFFFCC"/>
        </patternFill>
      </fill>
      <alignment horizontal="left" vertical="center" relativeIndent="1"/>
      <border>
        <left style="medium">
          <color indexed="64"/>
        </left>
        <right/>
        <top style="thin">
          <color auto="1"/>
        </top>
        <bottom style="thin">
          <color auto="1"/>
        </bottom>
      </border>
      <protection locked="0" hidden="0"/>
    </dxf>
    <dxf>
      <font>
        <strike val="0"/>
        <condense val="0"/>
        <extend val="0"/>
        <outline val="0"/>
        <shadow val="0"/>
        <vertAlign val="baseline"/>
        <sz val="11"/>
        <color auto="1"/>
        <name val="Arial"/>
      </font>
      <numFmt numFmtId="170" formatCode="&quot;$&quot;#,##0"/>
      <alignment horizontal="left" vertical="center" relativeIndent="1"/>
      <border>
        <left style="thin">
          <color indexed="64"/>
        </left>
        <right style="medium">
          <color indexed="64"/>
        </right>
        <top style="thin">
          <color indexed="64"/>
        </top>
        <bottom style="thin">
          <color indexed="64"/>
        </bottom>
        <vertical style="thin">
          <color indexed="64"/>
        </vertical>
        <horizontal style="thin">
          <color indexed="64"/>
        </horizontal>
      </border>
      <protection locked="1" hidden="0"/>
    </dxf>
    <dxf>
      <font>
        <strike val="0"/>
        <outline val="0"/>
        <shadow val="0"/>
        <vertAlign val="baseline"/>
        <sz val="11"/>
        <color auto="1"/>
        <name val="Arial"/>
      </font>
      <numFmt numFmtId="170" formatCode="&quot;$&quot;#,##0"/>
      <alignment horizontal="left" vertical="center" relativeIndent="1"/>
      <border>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vertAlign val="baseline"/>
        <sz val="11"/>
        <color auto="1"/>
        <name val="Arial"/>
      </font>
      <numFmt numFmtId="170" formatCode="&quot;$&quot;#,##0"/>
      <fill>
        <patternFill patternType="solid">
          <fgColor indexed="64"/>
          <bgColor rgb="FFFFFFCC"/>
        </patternFill>
      </fill>
      <alignment horizontal="left" vertical="center" relativeIndent="1"/>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vertAlign val="baseline"/>
        <sz val="11"/>
        <color auto="1"/>
        <name val="Arial"/>
      </font>
      <numFmt numFmtId="170" formatCode="&quot;$&quot;#,##0"/>
      <alignment horizontal="left" vertical="center" relativeIndent="1"/>
      <border>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outline val="0"/>
        <shadow val="0"/>
        <vertAlign val="baseline"/>
        <sz val="11"/>
        <color theme="1"/>
        <name val="Arial"/>
      </font>
      <numFmt numFmtId="170" formatCode="&quot;$&quot;#,##0"/>
      <fill>
        <patternFill patternType="solid">
          <fgColor indexed="64"/>
          <bgColor rgb="FFFFFFCC"/>
        </patternFill>
      </fill>
      <alignment horizontal="left" vertical="center" relativeIndent="1"/>
      <border outline="0">
        <left style="thin">
          <color auto="1"/>
        </left>
        <right style="thin">
          <color indexed="64"/>
        </right>
        <top style="thin">
          <color indexed="64"/>
        </top>
        <bottom style="thin">
          <color indexed="64"/>
        </bottom>
      </border>
      <protection locked="0" hidden="0"/>
    </dxf>
    <dxf>
      <font>
        <strike val="0"/>
        <outline val="0"/>
        <shadow val="0"/>
        <vertAlign val="baseline"/>
        <sz val="11"/>
        <color auto="1"/>
        <name val="Arial"/>
      </font>
      <numFmt numFmtId="170" formatCode="&quot;$&quot;#,##0"/>
      <fill>
        <patternFill patternType="solid">
          <fgColor indexed="64"/>
          <bgColor rgb="FFFFFFCC"/>
        </patternFill>
      </fill>
      <alignment horizontal="left" vertical="center" relativeIndent="1"/>
      <border outline="0">
        <left style="thin">
          <color indexed="64"/>
        </left>
        <right style="thin">
          <color indexed="64"/>
        </right>
        <top style="thin">
          <color indexed="64"/>
        </top>
        <bottom style="thin">
          <color indexed="64"/>
        </bottom>
      </border>
      <protection locked="1" hidden="0"/>
    </dxf>
    <dxf>
      <font>
        <strike val="0"/>
        <outline val="0"/>
        <shadow val="0"/>
        <vertAlign val="baseline"/>
        <sz val="11"/>
        <color auto="1"/>
        <name val="Arial"/>
      </font>
      <numFmt numFmtId="9" formatCode="&quot;$&quot;#,##0_);\(&quot;$&quot;#,##0\)"/>
      <fill>
        <patternFill patternType="solid">
          <fgColor indexed="64"/>
          <bgColor theme="0"/>
        </patternFill>
      </fill>
      <alignment horizontal="left" vertical="center" relativeIndent="1"/>
      <border outline="0">
        <left style="thin">
          <color indexed="64"/>
        </left>
        <right style="thin">
          <color indexed="64"/>
        </right>
        <top style="thin">
          <color indexed="64"/>
        </top>
        <bottom style="thin">
          <color indexed="64"/>
        </bottom>
      </border>
      <protection locked="1" hidden="0"/>
    </dxf>
    <dxf>
      <font>
        <strike val="0"/>
        <outline val="0"/>
        <shadow val="0"/>
        <vertAlign val="baseline"/>
        <sz val="11"/>
        <color auto="1"/>
        <name val="Arial"/>
      </font>
      <numFmt numFmtId="170" formatCode="&quot;$&quot;#,##0"/>
      <fill>
        <patternFill patternType="solid">
          <fgColor indexed="64"/>
          <bgColor rgb="FFFFFFCC"/>
        </patternFill>
      </fill>
      <alignment horizontal="center" vertical="center"/>
      <border>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auto="1"/>
        <name val="Arial"/>
      </font>
      <numFmt numFmtId="170" formatCode="&quot;$&quot;#,##0"/>
      <fill>
        <patternFill patternType="solid">
          <fgColor indexed="64"/>
          <bgColor theme="0"/>
        </patternFill>
      </fill>
      <alignment horizontal="right" vertical="center" relativeIndent="1"/>
      <border>
        <left style="thin">
          <color indexed="64"/>
        </left>
        <right style="medium">
          <color indexed="64"/>
        </right>
        <top style="thin">
          <color indexed="64"/>
        </top>
        <bottom style="thin">
          <color indexed="64"/>
        </bottom>
        <vertical style="thin">
          <color indexed="64"/>
        </vertical>
        <horizontal style="thin">
          <color indexed="64"/>
        </horizontal>
      </border>
      <protection locked="1" hidden="0"/>
    </dxf>
    <dxf>
      <font>
        <strike val="0"/>
        <condense val="0"/>
        <extend val="0"/>
        <outline val="0"/>
        <shadow val="0"/>
        <vertAlign val="baseline"/>
        <sz val="11"/>
        <color auto="1"/>
        <name val="Arial"/>
        <family val="2"/>
      </font>
      <numFmt numFmtId="170" formatCode="&quot;$&quot;#,##0"/>
      <fill>
        <patternFill patternType="solid">
          <fgColor indexed="64"/>
          <bgColor theme="0"/>
        </patternFill>
      </fill>
      <alignment horizontal="right" vertical="center" wrapText="1" relativeIndent="1"/>
      <border>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condense val="0"/>
        <extend val="0"/>
        <outline val="0"/>
        <shadow val="0"/>
        <vertAlign val="baseline"/>
        <sz val="11"/>
        <color theme="1"/>
        <name val="Arial"/>
        <family val="2"/>
      </font>
      <numFmt numFmtId="170" formatCode="&quot;$&quot;#,##0"/>
      <alignment horizontal="right" vertical="center" indent="1"/>
      <border>
        <left style="thin">
          <color indexed="64"/>
        </left>
        <right style="thin">
          <color auto="1"/>
        </right>
        <top style="thin">
          <color indexed="64"/>
        </top>
        <bottom style="thin">
          <color indexed="64"/>
        </bottom>
        <vertical/>
        <horizontal/>
      </border>
    </dxf>
    <dxf>
      <font>
        <strike val="0"/>
        <condense val="0"/>
        <extend val="0"/>
        <outline val="0"/>
        <shadow val="0"/>
        <vertAlign val="baseline"/>
        <sz val="11"/>
        <color theme="1"/>
        <name val="Arial"/>
        <family val="2"/>
      </font>
      <numFmt numFmtId="170" formatCode="&quot;$&quot;#,##0"/>
      <alignment horizontal="right" vertical="center" indent="1"/>
      <border>
        <left style="thin">
          <color indexed="64"/>
        </left>
        <right style="thin">
          <color auto="1"/>
        </right>
        <top style="thin">
          <color indexed="64"/>
        </top>
        <bottom style="thin">
          <color indexed="64"/>
        </bottom>
        <vertical/>
        <horizontal/>
      </border>
    </dxf>
    <dxf>
      <font>
        <strike val="0"/>
        <condense val="0"/>
        <extend val="0"/>
        <outline val="0"/>
        <shadow val="0"/>
        <vertAlign val="baseline"/>
        <sz val="11"/>
        <color auto="1"/>
        <name val="Arial"/>
        <family val="2"/>
      </font>
      <numFmt numFmtId="170" formatCode="&quot;$&quot;#,##0"/>
      <fill>
        <patternFill patternType="solid">
          <fgColor indexed="64"/>
          <bgColor theme="0"/>
        </patternFill>
      </fill>
      <alignment horizontal="right" vertical="center" relativeIndent="1"/>
      <border>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condense val="0"/>
        <extend val="0"/>
        <outline val="0"/>
        <shadow val="0"/>
        <vertAlign val="baseline"/>
        <sz val="11"/>
        <color auto="1"/>
        <name val="Arial"/>
        <family val="2"/>
      </font>
      <numFmt numFmtId="170" formatCode="&quot;$&quot;#,##0"/>
      <fill>
        <patternFill patternType="solid">
          <fgColor indexed="64"/>
          <bgColor theme="0"/>
        </patternFill>
      </fill>
      <alignment horizontal="right" vertical="center" relativeIndent="1"/>
      <border>
        <left style="medium">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medium">
          <color indexed="64"/>
        </left>
        <right style="medium">
          <color indexed="64"/>
        </right>
        <top style="thin">
          <color indexed="64"/>
        </top>
        <bottom style="thin">
          <color indexed="64"/>
        </bottom>
        <vertical/>
        <horizontal style="thin">
          <color indexed="64"/>
        </horizontal>
      </border>
      <protection locked="0" hidden="0"/>
    </dxf>
    <dxf>
      <font>
        <strike val="0"/>
        <condense val="0"/>
        <extend val="0"/>
        <outline val="0"/>
        <shadow val="0"/>
        <vertAlign val="baseline"/>
        <sz val="11"/>
        <color auto="1"/>
        <name val="Arial"/>
        <family val="2"/>
      </font>
      <fill>
        <patternFill patternType="solid">
          <fgColor indexed="64"/>
          <bgColor theme="0"/>
        </patternFill>
      </fill>
      <alignment horizontal="center" vertical="center"/>
      <border>
        <left/>
        <right/>
        <top style="thin">
          <color indexed="64"/>
        </top>
        <bottom style="thin">
          <color indexed="64"/>
        </bottom>
        <horizontal style="thin">
          <color indexed="64"/>
        </horizontal>
      </border>
    </dxf>
    <dxf>
      <font>
        <strike val="0"/>
        <condense val="0"/>
        <extend val="0"/>
        <outline val="0"/>
        <shadow val="0"/>
        <vertAlign val="baseline"/>
        <sz val="11"/>
        <color auto="1"/>
        <name val="Arial"/>
        <family val="2"/>
      </font>
      <fill>
        <patternFill patternType="solid">
          <fgColor indexed="64"/>
          <bgColor theme="0"/>
        </patternFill>
      </fill>
      <alignment horizontal="center" vertical="center"/>
      <border>
        <left style="thin">
          <color auto="1"/>
        </left>
        <right style="thin">
          <color indexed="64"/>
        </right>
        <top style="thin">
          <color indexed="64"/>
        </top>
        <bottom style="thin">
          <color indexed="64"/>
        </bottom>
        <vertical/>
        <horizontal style="thin">
          <color indexed="64"/>
        </horizontal>
      </border>
    </dxf>
    <dxf>
      <font>
        <strike val="0"/>
        <condense val="0"/>
        <extend val="0"/>
        <outline val="0"/>
        <shadow val="0"/>
        <vertAlign val="baseline"/>
        <sz val="11"/>
        <color auto="1"/>
        <name val="Arial"/>
        <family val="2"/>
      </font>
      <fill>
        <patternFill patternType="solid">
          <fgColor indexed="64"/>
          <bgColor theme="0"/>
        </patternFill>
      </fill>
      <alignment horizontal="center" vertical="center"/>
      <border outline="0">
        <left style="medium">
          <color indexed="64"/>
        </left>
        <right style="thin">
          <color indexed="64"/>
        </right>
        <top style="thin">
          <color indexed="64"/>
        </top>
        <bottom style="thin">
          <color indexed="64"/>
        </bottom>
      </border>
    </dxf>
    <dxf>
      <font>
        <strike val="0"/>
        <condense val="0"/>
        <extend val="0"/>
        <outline val="0"/>
        <shadow val="0"/>
        <vertAlign val="baseline"/>
        <sz val="11"/>
        <color auto="1"/>
        <name val="Arial"/>
      </font>
      <numFmt numFmtId="0" formatCode="General"/>
      <fill>
        <patternFill patternType="solid">
          <fgColor indexed="64"/>
          <bgColor rgb="FFFFFFCC"/>
        </patternFill>
      </fill>
      <alignment horizontal="center" vertical="center"/>
      <border outline="0">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ont>
      <fill>
        <patternFill patternType="solid">
          <fgColor indexed="64"/>
          <bgColor rgb="FFFFFFCC"/>
        </patternFill>
      </fill>
      <alignment horizontal="center" vertical="center"/>
      <border outline="0">
        <left style="thin">
          <color indexed="64"/>
        </left>
        <right style="thin">
          <color indexed="64"/>
        </right>
        <top style="thin">
          <color indexed="64"/>
        </top>
        <bottom style="thin">
          <color indexed="64"/>
        </bottom>
      </border>
      <protection locked="0" hidden="0"/>
    </dxf>
    <dxf>
      <font>
        <strike val="0"/>
        <condense val="0"/>
        <extend val="0"/>
        <outline val="0"/>
        <shadow val="0"/>
        <vertAlign val="baseline"/>
        <sz val="11"/>
        <color auto="1"/>
        <name val="Arial"/>
      </font>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auto="1"/>
        </right>
        <top style="thin">
          <color indexed="64"/>
        </top>
        <bottom style="thin">
          <color indexed="64"/>
        </bottom>
        <vertical/>
        <horizontal/>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auto="1"/>
        </right>
        <top style="thin">
          <color indexed="64"/>
        </top>
        <bottom style="thin">
          <color indexed="64"/>
        </bottom>
        <vertical/>
        <horizontal/>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auto="1"/>
        <name val="Arial"/>
      </font>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auto="1"/>
        <name val="Arial"/>
      </font>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outline="0">
        <left style="thin">
          <color auto="1"/>
        </left>
        <right style="thin">
          <color auto="1"/>
        </right>
        <top style="thin">
          <color indexed="64"/>
        </top>
        <bottom style="thin">
          <color indexed="64"/>
        </bottom>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outline="0">
        <left style="thin">
          <color auto="1"/>
        </left>
        <right style="thin">
          <color indexed="64"/>
        </right>
        <top style="thin">
          <color indexed="64"/>
        </top>
        <bottom style="thin">
          <color indexed="64"/>
        </bottom>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outline="0">
        <left style="thin">
          <color auto="1"/>
        </left>
        <right style="thin">
          <color indexed="64"/>
        </right>
        <top style="thin">
          <color indexed="64"/>
        </top>
        <bottom style="thin">
          <color indexed="64"/>
        </bottom>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outline="0">
        <left style="thin">
          <color auto="1"/>
        </left>
        <right style="thin">
          <color indexed="64"/>
        </right>
        <top style="thin">
          <color indexed="64"/>
        </top>
        <bottom style="thin">
          <color indexed="64"/>
        </bottom>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outline="0">
        <left style="thin">
          <color auto="1"/>
        </left>
        <right style="thin">
          <color indexed="64"/>
        </right>
        <top style="thin">
          <color indexed="64"/>
        </top>
        <bottom style="thin">
          <color indexed="64"/>
        </bottom>
      </border>
      <protection locked="0" hidden="0"/>
    </dxf>
    <dxf>
      <font>
        <strike val="0"/>
        <condense val="0"/>
        <extend val="0"/>
        <outline val="0"/>
        <shadow val="0"/>
        <vertAlign val="baseline"/>
        <sz val="11"/>
        <color auto="1"/>
        <name val="Arial"/>
        <family val="2"/>
      </font>
      <numFmt numFmtId="0" formatCode="General"/>
      <fill>
        <patternFill patternType="solid">
          <fgColor indexed="64"/>
          <bgColor rgb="FFFFFFCC"/>
        </patternFill>
      </fill>
      <alignment horizontal="center" vertical="center"/>
      <border outline="0">
        <left style="thin">
          <color indexed="64"/>
        </left>
        <right style="thin">
          <color indexed="64"/>
        </right>
        <top style="thin">
          <color indexed="64"/>
        </top>
        <bottom style="thin">
          <color indexed="64"/>
        </bottom>
      </border>
      <protection locked="1" hidden="0"/>
    </dxf>
    <dxf>
      <font>
        <strike val="0"/>
        <outline val="0"/>
        <shadow val="0"/>
        <vertAlign val="baseline"/>
        <sz val="11"/>
        <color auto="1"/>
        <name val="Arial"/>
      </font>
      <fill>
        <patternFill patternType="solid">
          <fgColor indexed="64"/>
          <bgColor rgb="FFFFFFCC"/>
        </patternFill>
      </fill>
      <alignment horizontal="center" vertical="center"/>
      <border outline="0">
        <left style="thin">
          <color indexed="64"/>
        </left>
        <right style="thin">
          <color indexed="64"/>
        </right>
        <top style="thin">
          <color indexed="64"/>
        </top>
        <bottom style="thin">
          <color indexed="64"/>
        </bottom>
      </border>
      <protection locked="0" hidden="0"/>
    </dxf>
    <dxf>
      <font>
        <strike val="0"/>
        <outline val="0"/>
        <shadow val="0"/>
        <vertAlign val="baseline"/>
        <sz val="11"/>
        <color auto="1"/>
        <name val="Arial"/>
      </font>
      <fill>
        <patternFill patternType="solid">
          <fgColor indexed="64"/>
          <bgColor rgb="FFFFFFCC"/>
        </patternFill>
      </fil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medium">
          <color indexed="64"/>
        </left>
        <right style="thin">
          <color indexed="64"/>
        </right>
        <top style="thin">
          <color indexed="64"/>
        </top>
        <bottom style="thin">
          <color indexed="64"/>
        </bottom>
        <vertical style="thin">
          <color indexed="64"/>
        </vertical>
        <horizontal style="thin">
          <color indexed="64"/>
        </horizontal>
      </border>
      <protection locked="0" hidden="0"/>
    </dxf>
    <dxf>
      <font>
        <strike val="0"/>
        <outline val="0"/>
        <shadow val="0"/>
        <vertAlign val="baseline"/>
        <sz val="11"/>
        <color auto="1"/>
        <name val="Arial"/>
      </font>
      <alignment horizontal="center" vertical="center"/>
      <protection locked="1" hidden="0"/>
    </dxf>
    <dxf>
      <border>
        <bottom style="thin">
          <color indexed="64"/>
        </bottom>
      </border>
    </dxf>
    <dxf>
      <font>
        <strike val="0"/>
        <condense val="0"/>
        <extend val="0"/>
        <outline val="0"/>
        <shadow val="0"/>
        <vertAlign val="baseline"/>
        <sz val="11"/>
        <color theme="1"/>
        <name val="Arial"/>
      </font>
      <fill>
        <patternFill patternType="solid">
          <fgColor indexed="64"/>
          <bgColor theme="0" tint="-4.9989318521683403E-2"/>
        </patternFill>
      </fill>
      <alignment horizontal="center" vertical="center" wrapText="1"/>
      <border>
        <left style="thin">
          <color indexed="64"/>
        </left>
        <right style="thin">
          <color indexed="64"/>
        </right>
        <top/>
        <bottom/>
      </border>
      <protection locked="1" hidden="0"/>
    </dxf>
    <dxf>
      <font>
        <color theme="0"/>
      </font>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ont>
        <color rgb="FF9C0006"/>
      </font>
      <fill>
        <patternFill>
          <bgColor rgb="FFFFC7CE"/>
        </patternFill>
      </fill>
    </dxf>
    <dxf>
      <font>
        <color theme="0"/>
      </font>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FD6B6E"/>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ont>
        <color theme="0"/>
      </font>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ont>
        <color auto="1"/>
      </font>
      <fill>
        <patternFill>
          <fgColor theme="6" tint="0.39994506668294322"/>
          <bgColor theme="6" tint="0.79995117038483843"/>
        </patternFill>
      </fill>
      <border>
        <left/>
        <right/>
        <top/>
        <bottom/>
      </border>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92D050"/>
          </stop>
        </gradientFill>
      </fill>
    </dxf>
    <dxf>
      <fill>
        <gradientFill degree="90">
          <stop position="0">
            <color theme="0"/>
          </stop>
          <stop position="1">
            <color rgb="FFFF7575"/>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92D050"/>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ill>
        <gradientFill degree="90">
          <stop position="0">
            <color theme="0"/>
          </stop>
          <stop position="1">
            <color rgb="FFFF4F4F"/>
          </stop>
        </gradientFill>
      </fill>
    </dxf>
    <dxf>
      <fill>
        <patternFill>
          <bgColor indexed="43"/>
        </patternFill>
      </fill>
    </dxf>
    <dxf>
      <fill>
        <patternFill>
          <bgColor indexed="43"/>
        </patternFill>
      </fill>
    </dxf>
    <dxf>
      <fill>
        <patternFill>
          <bgColor indexed="43"/>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5700"/>
      </font>
      <fill>
        <patternFill>
          <bgColor rgb="FFFFEB9C"/>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ill>
        <patternFill>
          <bgColor theme="0"/>
        </patternFill>
      </fill>
    </dxf>
    <dxf>
      <fill>
        <gradientFill degree="90">
          <stop position="0">
            <color theme="0"/>
          </stop>
          <stop position="1">
            <color rgb="FFFF8585"/>
          </stop>
        </gradientFill>
      </fill>
    </dxf>
    <dxf>
      <fill>
        <gradientFill degree="90">
          <stop position="0">
            <color theme="0"/>
          </stop>
          <stop position="1">
            <color rgb="FF00B050"/>
          </stop>
        </gradientFill>
      </fill>
    </dxf>
    <dxf>
      <fill>
        <gradientFill degree="90">
          <stop position="0">
            <color theme="0"/>
          </stop>
          <stop position="1">
            <color rgb="FF00B050"/>
          </stop>
        </gradientFill>
      </fill>
    </dxf>
    <dxf>
      <fill>
        <gradientFill degree="90">
          <stop position="0">
            <color theme="0"/>
          </stop>
          <stop position="1">
            <color rgb="FF00B050"/>
          </stop>
        </gradientFill>
      </fill>
    </dxf>
    <dxf>
      <fill>
        <gradientFill degree="90">
          <stop position="0">
            <color theme="0"/>
          </stop>
          <stop position="1">
            <color rgb="FF00B050"/>
          </stop>
        </gradientFill>
      </fill>
    </dxf>
    <dxf>
      <font>
        <color theme="0"/>
      </font>
    </dxf>
    <dxf>
      <font>
        <color theme="0"/>
      </font>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00B050"/>
          </stop>
        </gradientFill>
      </fill>
    </dxf>
    <dxf>
      <fill>
        <gradientFill degree="90">
          <stop position="0">
            <color theme="0"/>
          </stop>
          <stop position="1">
            <color rgb="FF00B050"/>
          </stop>
        </gradientFill>
      </fill>
    </dxf>
    <dxf>
      <font>
        <color theme="0"/>
      </font>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theme="0"/>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theme="0"/>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numFmt numFmtId="170" formatCode="&quot;$&quot;#,##0"/>
      <fill>
        <patternFill patternType="solid">
          <fgColor indexed="64"/>
          <bgColor theme="0"/>
        </patternFill>
      </fill>
      <alignment horizontal="right"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numFmt numFmtId="170" formatCode="&quot;$&quot;#,##0"/>
      <fill>
        <patternFill patternType="solid">
          <fgColor indexed="64"/>
          <bgColor theme="0"/>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alignment horizontal="right" vertical="center" shrinkToFit="1"/>
      <border outline="0">
        <left style="thin">
          <color indexed="64"/>
        </left>
        <right style="thin">
          <color indexed="64"/>
        </right>
        <top/>
        <bottom/>
      </border>
      <protection locked="1" hidden="0"/>
    </dxf>
    <dxf>
      <font>
        <strike val="0"/>
        <condense val="0"/>
        <extend val="0"/>
        <outline val="0"/>
        <shadow val="0"/>
        <vertAlign val="baseline"/>
        <sz val="11"/>
        <color auto="1"/>
        <name val="Arial"/>
        <family val="2"/>
      </font>
      <numFmt numFmtId="170" formatCode="&quot;$&quot;#,##0"/>
      <alignment horizontal="right" vertical="center" shrinkToFi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theme="0"/>
        </patternFill>
      </fill>
      <alignment horizontal="right" vertical="center" wrapText="1"/>
      <border outline="0">
        <left style="thin">
          <color indexed="64"/>
        </left>
        <right style="thin">
          <color indexed="64"/>
        </right>
        <top/>
        <bottom/>
      </border>
      <protection locked="1" hidden="0"/>
    </dxf>
    <dxf>
      <font>
        <strike val="0"/>
        <condense val="0"/>
        <extend val="0"/>
        <outline val="0"/>
        <shadow val="0"/>
        <vertAlign val="baseline"/>
        <sz val="11"/>
        <color auto="1"/>
        <name val="Arial"/>
        <family val="2"/>
      </font>
      <numFmt numFmtId="170" formatCode="&quot;$&quot;#,##0"/>
      <fill>
        <patternFill patternType="solid">
          <fgColor indexed="64"/>
          <bgColor theme="0"/>
        </patternFill>
      </fill>
      <alignment horizontal="right" vertical="center" wrapText="1"/>
      <border>
        <left style="thin">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general" vertical="center" wrapText="1"/>
      <border outline="0">
        <left style="thin">
          <color indexed="64"/>
        </left>
        <right style="thin">
          <color indexed="64"/>
        </right>
        <top/>
        <bottom/>
      </border>
      <protection locked="0" hidden="0"/>
    </dxf>
    <dxf>
      <font>
        <strike val="0"/>
        <condense val="0"/>
        <extend val="0"/>
        <outline val="0"/>
        <shadow val="0"/>
        <vertAlign val="baseline"/>
        <sz val="11"/>
        <color auto="1"/>
        <name val="Arial"/>
        <family val="2"/>
      </font>
      <fill>
        <patternFill patternType="solid">
          <fgColor indexed="64"/>
          <bgColor rgb="FFFFFFCC"/>
        </patternFill>
      </fill>
      <alignment horizontal="general" vertical="center" wrapText="1"/>
      <border>
        <left style="thin">
          <color indexed="64"/>
        </left>
        <right style="thin">
          <color indexed="64"/>
        </right>
        <top style="thin">
          <color indexed="64"/>
        </top>
        <bottom style="thin">
          <color indexed="64"/>
        </bottom>
      </border>
      <protection locked="1" hidden="0"/>
    </dxf>
    <dxf>
      <border outline="0">
        <top style="thin">
          <color indexed="64"/>
        </top>
        <bottom style="thin">
          <color indexed="64"/>
        </bottom>
      </border>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wrapText="1"/>
      <protection locked="1" hidden="0"/>
    </dxf>
    <dxf>
      <border outline="0">
        <bottom style="thin">
          <color indexed="64"/>
        </bottom>
      </border>
    </dxf>
    <dxf>
      <font>
        <strike val="0"/>
        <condense val="0"/>
        <extend val="0"/>
        <outline val="0"/>
        <shadow val="0"/>
        <vertAlign val="baseline"/>
        <sz val="11"/>
        <color theme="0"/>
        <name val="Arial"/>
        <family val="2"/>
      </font>
      <numFmt numFmtId="170" formatCode="&quot;$&quot;#,##0"/>
      <fill>
        <patternFill patternType="solid">
          <fgColor indexed="64"/>
          <bgColor theme="0"/>
        </patternFill>
      </fill>
      <alignment horizontal="left" vertical="center" wrapText="1" indent="1"/>
      <border>
        <left style="thin">
          <color indexed="64"/>
        </left>
        <right style="thin">
          <color indexed="64"/>
        </right>
        <top/>
        <bottom/>
      </border>
      <protection locked="1" hidden="0"/>
    </dxf>
    <dxf>
      <fill>
        <patternFill>
          <bgColor theme="8" tint="0.79998168889431442"/>
        </patternFill>
      </fill>
    </dxf>
    <dxf>
      <font>
        <color theme="0"/>
      </font>
    </dxf>
    <dxf>
      <font>
        <strike val="0"/>
        <condense val="0"/>
        <extend val="0"/>
        <outline val="0"/>
        <shadow val="0"/>
        <vertAlign val="baseline"/>
        <sz val="11"/>
        <color auto="1"/>
        <name val="Arial"/>
        <family val="2"/>
      </font>
      <fill>
        <patternFill patternType="solid">
          <fgColor indexed="64"/>
          <bgColor rgb="FFFFFFCC"/>
        </patternFill>
      </fill>
      <alignment horizontal="left" vertical="center"/>
      <border>
        <left style="thin">
          <color indexed="64"/>
        </left>
        <right style="medium">
          <color indexed="64"/>
        </right>
        <top style="thin">
          <color indexed="64"/>
        </top>
        <bottom style="thin">
          <color indexed="64"/>
        </bottom>
        <vertical style="thin">
          <color indexed="64"/>
        </vertical>
        <horizontal style="thin">
          <color indexed="64"/>
        </horizontal>
      </border>
      <protection locked="1"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border>
        <left style="medium">
          <color indexed="64"/>
        </left>
        <right style="thin">
          <color indexed="64"/>
        </right>
        <top style="thin">
          <color indexed="64"/>
        </top>
        <bottom style="thin">
          <color indexed="64"/>
        </bottom>
      </border>
      <protection locked="1"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border>
        <left style="thin">
          <color indexed="64"/>
        </left>
        <right style="thin">
          <color indexed="64"/>
        </right>
        <top style="thin">
          <color indexed="64"/>
        </top>
        <bottom/>
      </border>
      <protection locked="1"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border>
        <left style="thin">
          <color indexed="64"/>
        </left>
        <right style="thin">
          <color indexed="64"/>
        </right>
        <top style="thin">
          <color indexed="64"/>
        </top>
        <bottom/>
      </border>
      <protection locked="1"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border>
        <left style="thin">
          <color indexed="64"/>
        </left>
        <right style="thin">
          <color indexed="64"/>
        </right>
        <top style="thin">
          <color indexed="64"/>
        </top>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vertical/>
        <horizontal/>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vertical/>
        <horizontal/>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top style="thin">
          <color indexed="64"/>
        </top>
        <bottom/>
        <vertical/>
        <horizontal/>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vertical/>
        <horizontal/>
      </border>
      <protection locked="1" hidden="0"/>
    </dxf>
    <dxf>
      <font>
        <strike val="0"/>
        <condense val="0"/>
        <extend val="0"/>
        <outline val="0"/>
        <shadow val="0"/>
        <vertAlign val="baseline"/>
        <sz val="11"/>
        <color auto="1"/>
        <name val="Arial"/>
        <family val="2"/>
      </font>
      <numFmt numFmtId="14" formatCode="0.00%"/>
      <fill>
        <patternFill patternType="solid">
          <fgColor indexed="64"/>
          <bgColor rgb="FFFFFFCC"/>
        </patternFill>
      </fill>
      <alignment horizontal="center" vertical="center"/>
      <border>
        <left style="medium">
          <color indexed="64"/>
        </left>
        <right/>
        <top style="thin">
          <color indexed="64"/>
        </top>
        <bottom/>
        <vertical/>
        <horizontal/>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vertical/>
        <horizontal/>
      </border>
      <protection locked="1"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center" vertical="center"/>
      <border>
        <left style="thin">
          <color indexed="64"/>
        </left>
        <right style="thin">
          <color indexed="64"/>
        </right>
        <top style="thin">
          <color indexed="64"/>
        </top>
        <bottom/>
        <vertical/>
        <horizontal/>
      </border>
      <protection locked="1" hidden="0"/>
    </dxf>
    <dxf>
      <font>
        <strike val="0"/>
        <condense val="0"/>
        <extend val="0"/>
        <outline val="0"/>
        <shadow val="0"/>
        <vertAlign val="baseline"/>
        <sz val="11"/>
        <color auto="1"/>
        <name val="Arial"/>
        <family val="2"/>
      </font>
      <numFmt numFmtId="14" formatCode="0.00%"/>
      <fill>
        <patternFill patternType="solid">
          <fgColor indexed="64"/>
          <bgColor rgb="FFFFFFCC"/>
        </patternFill>
      </fill>
      <alignment horizontal="center" vertical="center"/>
      <border>
        <left style="medium">
          <color indexed="64"/>
        </left>
        <right style="thin">
          <color indexed="64"/>
        </right>
        <top style="thin">
          <color indexed="64"/>
        </top>
        <bottom/>
      </border>
      <protection locked="1" hidden="0"/>
    </dxf>
    <dxf>
      <font>
        <strike val="0"/>
        <condense val="0"/>
        <extend val="0"/>
        <outline val="0"/>
        <shadow val="0"/>
        <vertAlign val="baseline"/>
        <sz val="11"/>
        <color auto="1"/>
        <name val="Arial"/>
        <family val="2"/>
      </font>
      <numFmt numFmtId="170" formatCode="&quot;$&quot;#,##0"/>
      <fill>
        <patternFill patternType="solid">
          <fgColor indexed="64"/>
          <bgColor rgb="FFFFFFCC"/>
        </patternFill>
      </fill>
      <alignment horizontal="right" vertical="center"/>
      <border>
        <left style="medium">
          <color indexed="64"/>
        </left>
        <right style="thin">
          <color indexed="64"/>
        </right>
        <top style="thin">
          <color indexed="64"/>
        </top>
        <bottom style="thin">
          <color indexed="64"/>
        </bottom>
        <vertical style="thin">
          <color indexed="64"/>
        </vertical>
        <horizontal style="thin">
          <color indexed="64"/>
        </horizontal>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auto="1"/>
        </left>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auto="1"/>
        </left>
        <right/>
        <top style="thin">
          <color indexed="64"/>
        </top>
        <bottom style="thin">
          <color indexed="64"/>
        </bottom>
        <vertical/>
        <horizontal/>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right style="thin">
          <color indexed="64"/>
        </right>
        <top style="thin">
          <color indexed="64"/>
        </top>
        <bottom/>
      </border>
      <protection locked="1" hidden="0"/>
    </dxf>
    <dxf>
      <font>
        <strike val="0"/>
        <condense val="0"/>
        <extend val="0"/>
        <outline val="0"/>
        <shadow val="0"/>
        <vertAlign val="baseline"/>
        <sz val="11"/>
        <color auto="1"/>
        <name val="Arial"/>
        <family val="2"/>
      </font>
      <fill>
        <patternFill patternType="solid">
          <fgColor indexed="64"/>
          <bgColor theme="0"/>
        </patternFill>
      </fill>
      <alignment horizontal="center" vertical="center"/>
      <border>
        <left/>
        <right style="thin">
          <color indexed="64"/>
        </right>
        <top style="thin">
          <color indexed="64"/>
        </top>
        <bottom/>
      </border>
      <protection locked="1" hidden="0"/>
    </dxf>
    <dxf>
      <font>
        <strike val="0"/>
        <condense val="0"/>
        <extend val="0"/>
        <outline val="0"/>
        <shadow val="0"/>
        <vertAlign val="baseline"/>
        <sz val="11"/>
        <color auto="1"/>
        <name val="Arial"/>
        <family val="2"/>
      </font>
      <fill>
        <patternFill patternType="solid">
          <fgColor indexed="64"/>
          <bgColor theme="0"/>
        </patternFill>
      </fill>
      <alignment horizontal="left" vertical="center" wrapText="1" relativeIndent="1" shrinkToFit="1"/>
      <border>
        <left style="thin">
          <color indexed="64"/>
        </left>
        <right/>
        <top style="thin">
          <color indexed="64"/>
        </top>
        <bottom/>
      </border>
      <protection locked="1" hidden="0"/>
    </dxf>
    <dxf>
      <font>
        <strike val="0"/>
        <condense val="0"/>
        <extend val="0"/>
        <outline val="0"/>
        <shadow val="0"/>
        <vertAlign val="baseline"/>
        <sz val="11"/>
        <color auto="1"/>
        <name val="Arial"/>
        <family val="2"/>
      </font>
      <numFmt numFmtId="19" formatCode="m/d/yyyy"/>
      <fill>
        <patternFill patternType="solid">
          <fgColor indexed="64"/>
          <bgColor rgb="FFFFFFCC"/>
        </patternFill>
      </fill>
      <alignment horizontal="center" vertical="center"/>
      <border>
        <left style="thin">
          <color indexed="64"/>
        </left>
        <right/>
        <top style="thin">
          <color indexed="64"/>
        </top>
        <bottom/>
      </border>
      <protection locked="1" hidden="0"/>
    </dxf>
    <dxf>
      <font>
        <strike val="0"/>
        <condense val="0"/>
        <extend val="0"/>
        <outline val="0"/>
        <shadow val="0"/>
        <vertAlign val="baseline"/>
        <sz val="11"/>
        <color auto="1"/>
        <name val="Arial"/>
        <family val="2"/>
      </font>
      <fill>
        <patternFill patternType="solid">
          <fgColor indexed="64"/>
          <bgColor rgb="FFFFFFCC"/>
        </patternFill>
      </fill>
      <alignment horizontal="center" vertical="center"/>
      <border>
        <left style="thin">
          <color indexed="64"/>
        </left>
        <right style="thin">
          <color indexed="64"/>
        </right>
        <top style="thin">
          <color indexed="64"/>
        </top>
        <bottom/>
        <vertical/>
        <horizontal/>
      </border>
      <protection locked="1" hidden="0"/>
    </dxf>
    <dxf>
      <border outline="0">
        <left style="thin">
          <color indexed="64"/>
        </left>
        <right style="thin">
          <color indexed="64"/>
        </right>
        <top style="thin">
          <color indexed="64"/>
        </top>
        <bottom style="thin">
          <color indexed="64"/>
        </bottom>
      </border>
    </dxf>
    <dxf>
      <protection locked="1" hidden="0"/>
    </dxf>
    <dxf>
      <font>
        <strike val="0"/>
        <condense val="0"/>
        <extend val="0"/>
        <outline val="0"/>
        <shadow val="0"/>
        <vertAlign val="baseline"/>
        <sz val="11"/>
        <color auto="1"/>
        <name val="Arial"/>
        <family val="2"/>
      </font>
      <fill>
        <patternFill patternType="solid">
          <fgColor indexed="64"/>
          <bgColor theme="0"/>
        </patternFill>
      </fill>
      <alignment horizontal="center" vertical="center" wrapText="1"/>
      <protection locked="1" hidden="0"/>
    </dxf>
    <dxf>
      <font>
        <color theme="0"/>
      </font>
    </dxf>
    <dxf>
      <fill>
        <patternFill patternType="solid">
          <fgColor indexed="64"/>
          <bgColor rgb="FFFFFFCC"/>
        </patternFill>
      </fill>
      <alignment horizontal="center" vertical="center" wrapText="1"/>
      <border>
        <left style="thin">
          <color auto="1"/>
        </left>
        <right/>
        <top style="thin">
          <color indexed="64"/>
        </top>
        <bottom style="thin">
          <color indexed="64"/>
        </bottom>
      </border>
      <protection locked="0" hidden="0"/>
    </dxf>
    <dxf>
      <font>
        <strike val="0"/>
        <condense val="0"/>
        <extend val="0"/>
        <outline val="0"/>
        <shadow val="0"/>
        <vertAlign val="baseline"/>
        <sz val="11"/>
        <color theme="1"/>
        <name val="Arial"/>
      </font>
      <numFmt numFmtId="30" formatCode="@"/>
      <fill>
        <patternFill patternType="solid">
          <fgColor indexed="64"/>
          <bgColor rgb="FFFFFFCC"/>
        </patternFill>
      </fill>
      <alignment horizontal="left" vertical="center" wrapText="1"/>
      <border>
        <left style="thin">
          <color indexed="64"/>
        </left>
        <right style="thin">
          <color auto="1"/>
        </right>
        <top style="thin">
          <color indexed="64"/>
        </top>
        <bottom style="thin">
          <color indexed="64"/>
        </bottom>
      </border>
      <protection locked="0" hidden="0"/>
    </dxf>
    <dxf>
      <fill>
        <patternFill patternType="solid">
          <fgColor indexed="64"/>
          <bgColor rgb="FFFFFFCC"/>
        </patternFill>
      </fill>
      <alignment horizontal="center" vertical="center" wrapText="1"/>
      <border>
        <left style="thin">
          <color auto="1"/>
        </left>
        <right style="thin">
          <color indexed="64"/>
        </right>
        <top style="thin">
          <color indexed="64"/>
        </top>
        <bottom style="thin">
          <color indexed="64"/>
        </bottom>
      </border>
      <protection locked="0" hidden="0"/>
    </dxf>
    <dxf>
      <font>
        <strike val="0"/>
        <condense val="0"/>
        <extend val="0"/>
        <outline val="0"/>
        <shadow val="0"/>
        <vertAlign val="baseline"/>
        <sz val="11"/>
        <color theme="1"/>
        <name val="Arial"/>
      </font>
      <numFmt numFmtId="30" formatCode="@"/>
      <fill>
        <patternFill patternType="solid">
          <fgColor indexed="64"/>
          <bgColor rgb="FFFFFFCC"/>
        </patternFill>
      </fill>
      <alignment horizontal="left" vertical="center" wrapText="1"/>
      <border>
        <left style="thin">
          <color indexed="64"/>
        </left>
        <right style="thin">
          <color indexed="64"/>
        </right>
        <top style="thin">
          <color indexed="64"/>
        </top>
        <bottom style="thin">
          <color indexed="64"/>
        </bottom>
      </border>
      <protection locked="0" hidden="0"/>
    </dxf>
    <dxf>
      <fill>
        <patternFill patternType="solid">
          <fgColor indexed="64"/>
          <bgColor rgb="FFFFFFCC"/>
        </patternFill>
      </fill>
      <alignment horizontal="center" vertical="center" wrapText="1"/>
      <border>
        <left style="thin">
          <color auto="1"/>
        </left>
        <right style="thin">
          <color indexed="64"/>
        </right>
        <top style="thin">
          <color indexed="64"/>
        </top>
        <bottom style="thin">
          <color indexed="64"/>
        </bottom>
      </border>
      <protection locked="0" hidden="0"/>
    </dxf>
    <dxf>
      <font>
        <strike val="0"/>
        <condense val="0"/>
        <extend val="0"/>
        <outline val="0"/>
        <shadow val="0"/>
        <vertAlign val="baseline"/>
        <sz val="11"/>
        <color theme="1"/>
        <name val="Arial"/>
      </font>
      <numFmt numFmtId="30" formatCode="@"/>
      <fill>
        <patternFill patternType="solid">
          <fgColor indexed="64"/>
          <bgColor rgb="FFFFFFCC"/>
        </patternFill>
      </fill>
      <alignment horizontal="left" vertical="center" wrapText="1"/>
      <border>
        <left/>
        <right style="thin">
          <color indexed="64"/>
        </right>
        <top style="thin">
          <color auto="1"/>
        </top>
        <bottom style="thin">
          <color indexed="64"/>
        </bottom>
      </border>
      <protection locked="0" hidden="0"/>
    </dxf>
    <dxf>
      <border outline="0">
        <top style="thin">
          <color indexed="64"/>
        </top>
      </border>
    </dxf>
    <dxf>
      <border outline="0">
        <left style="thin">
          <color indexed="64"/>
        </left>
        <right style="thin">
          <color indexed="64"/>
        </right>
        <top style="thin">
          <color indexed="64"/>
        </top>
        <bottom style="thin">
          <color indexed="64"/>
        </bottom>
      </border>
    </dxf>
    <dxf>
      <alignment horizontal="center" vertical="center" wrapText="1"/>
      <protection locked="1" hidden="0"/>
    </dxf>
    <dxf>
      <border outline="0">
        <bottom style="thin">
          <color indexed="64"/>
        </bottom>
      </border>
    </dxf>
    <dxf>
      <font>
        <b/>
        <strike val="0"/>
        <condense val="0"/>
        <extend val="0"/>
        <outline val="0"/>
        <shadow val="0"/>
        <vertAlign val="baseline"/>
        <sz val="11"/>
        <color theme="1"/>
        <name val="Arial"/>
      </font>
      <fill>
        <patternFill patternType="solid">
          <fgColor indexed="64"/>
          <bgColor theme="0"/>
        </patternFill>
      </fill>
      <alignment horizontal="center" vertical="center"/>
      <border>
        <left style="thin">
          <color indexed="64"/>
        </left>
        <right style="thin">
          <color indexed="64"/>
        </right>
        <top/>
        <bottom/>
      </border>
      <protection locked="1" hidden="0"/>
    </dxf>
    <dxf>
      <font>
        <strike val="0"/>
        <condense val="0"/>
        <extend val="0"/>
        <outline val="0"/>
        <shadow val="0"/>
        <vertAlign val="baseline"/>
        <sz val="11"/>
        <color theme="1"/>
        <name val="Arial"/>
      </font>
      <fill>
        <patternFill patternType="solid">
          <fgColor indexed="64"/>
          <bgColor rgb="FFFFFFCC"/>
        </patternFill>
      </fill>
      <alignment horizontal="center" vertical="center" wrapText="1"/>
      <border>
        <left style="thin">
          <color indexed="64"/>
        </left>
        <right/>
        <top style="thin">
          <color indexed="64"/>
        </top>
        <bottom/>
      </border>
      <protection locked="1" hidden="0"/>
    </dxf>
    <dxf>
      <font>
        <strike val="0"/>
        <condense val="0"/>
        <extend val="0"/>
        <outline val="0"/>
        <shadow val="0"/>
        <vertAlign val="baseline"/>
        <sz val="11"/>
        <color theme="1"/>
        <name val="Arial"/>
      </font>
      <fill>
        <patternFill patternType="solid">
          <fgColor indexed="64"/>
          <bgColor rgb="FFFFFFCC"/>
        </patternFill>
      </fill>
      <alignment horizontal="center" vertical="center" wrapText="1"/>
      <border>
        <left style="thin">
          <color auto="1"/>
        </left>
        <right style="thin">
          <color auto="1"/>
        </right>
        <top style="thin">
          <color auto="1"/>
        </top>
        <bottom/>
      </border>
      <protection locked="1" hidden="0"/>
    </dxf>
    <dxf>
      <font>
        <strike val="0"/>
        <condense val="0"/>
        <extend val="0"/>
        <outline val="0"/>
        <shadow val="0"/>
        <vertAlign val="baseline"/>
        <sz val="11"/>
        <color theme="1"/>
        <name val="Arial"/>
      </font>
      <fill>
        <patternFill patternType="solid">
          <fgColor indexed="64"/>
          <bgColor rgb="FFFFFFCC"/>
        </patternFill>
      </fill>
      <alignment horizontal="left" vertical="center" wrapText="1"/>
      <border>
        <left style="thin">
          <color auto="1"/>
        </left>
        <right style="thin">
          <color auto="1"/>
        </right>
        <top style="thin">
          <color auto="1"/>
        </top>
        <bottom/>
      </border>
      <protection locked="1" hidden="0"/>
    </dxf>
    <dxf>
      <font>
        <strike val="0"/>
        <condense val="0"/>
        <extend val="0"/>
        <outline val="0"/>
        <shadow val="0"/>
        <vertAlign val="baseline"/>
        <sz val="11"/>
        <color theme="1"/>
        <name val="Arial"/>
      </font>
      <fill>
        <patternFill patternType="solid">
          <fgColor indexed="64"/>
          <bgColor rgb="FFFFFFCC"/>
        </patternFill>
      </fill>
      <alignment horizontal="left" vertical="center" wrapText="1"/>
      <border>
        <left style="thin">
          <color auto="1"/>
        </left>
        <right style="thin">
          <color auto="1"/>
        </right>
        <top style="thin">
          <color auto="1"/>
        </top>
        <bottom/>
      </border>
      <protection locked="1" hidden="0"/>
    </dxf>
    <dxf>
      <font>
        <strike val="0"/>
        <condense val="0"/>
        <extend val="0"/>
        <outline val="0"/>
        <shadow val="0"/>
        <vertAlign val="baseline"/>
        <sz val="11"/>
        <color theme="1"/>
        <name val="Arial"/>
      </font>
      <numFmt numFmtId="172" formatCode="[&lt;=9999999]###\-####;\(###\)\ ###\-####"/>
      <fill>
        <patternFill patternType="solid">
          <fgColor indexed="64"/>
          <bgColor rgb="FFFFFFCC"/>
        </patternFill>
      </fill>
      <alignment horizontal="left" vertical="center" wrapText="1"/>
      <border>
        <left style="thin">
          <color auto="1"/>
        </left>
        <right style="thin">
          <color auto="1"/>
        </right>
        <top style="thin">
          <color auto="1"/>
        </top>
        <bottom/>
      </border>
      <protection locked="1" hidden="0"/>
    </dxf>
    <dxf>
      <numFmt numFmtId="30" formatCode="@"/>
      <fill>
        <patternFill patternType="solid">
          <fgColor indexed="64"/>
          <bgColor rgb="FFFFFFCC"/>
        </patternFill>
      </fill>
      <alignment horizontal="left" vertical="center" wrapText="1"/>
      <border>
        <left style="thin">
          <color auto="1"/>
        </left>
        <right style="thin">
          <color auto="1"/>
        </right>
        <top style="thin">
          <color auto="1"/>
        </top>
        <bottom/>
      </border>
      <protection locked="1" hidden="0"/>
    </dxf>
    <dxf>
      <font>
        <strike val="0"/>
        <condense val="0"/>
        <extend val="0"/>
        <outline val="0"/>
        <shadow val="0"/>
        <vertAlign val="baseline"/>
        <sz val="11"/>
        <color theme="1"/>
        <name val="Arial"/>
      </font>
      <numFmt numFmtId="30" formatCode="@"/>
      <fill>
        <patternFill patternType="solid">
          <fgColor indexed="64"/>
          <bgColor rgb="FFFFFFCC"/>
        </patternFill>
      </fill>
      <alignment horizontal="left" vertical="center" wrapText="1"/>
      <border>
        <left style="thin">
          <color auto="1"/>
        </left>
        <right style="thin">
          <color auto="1"/>
        </right>
        <top style="thin">
          <color auto="1"/>
        </top>
        <bottom/>
      </border>
      <protection locked="1" hidden="0"/>
    </dxf>
    <dxf>
      <font>
        <strike val="0"/>
        <condense val="0"/>
        <extend val="0"/>
        <outline val="0"/>
        <shadow val="0"/>
        <vertAlign val="baseline"/>
        <sz val="11"/>
        <color theme="1"/>
        <name val="Arial"/>
      </font>
      <numFmt numFmtId="30" formatCode="@"/>
      <fill>
        <patternFill patternType="solid">
          <fgColor indexed="64"/>
          <bgColor rgb="FFFFFFCC"/>
        </patternFill>
      </fill>
      <alignment horizontal="left" vertical="center" wrapText="1"/>
      <border>
        <left style="thin">
          <color auto="1"/>
        </left>
        <right style="thin">
          <color auto="1"/>
        </right>
        <top style="thin">
          <color auto="1"/>
        </top>
        <bottom/>
      </border>
      <protection locked="1" hidden="0"/>
    </dxf>
    <dxf>
      <font>
        <strike val="0"/>
        <condense val="0"/>
        <extend val="0"/>
        <outline val="0"/>
        <shadow val="0"/>
        <vertAlign val="baseline"/>
        <sz val="11"/>
        <color theme="1"/>
        <name val="Arial"/>
      </font>
      <numFmt numFmtId="172" formatCode="[&lt;=9999999]###\-####;\(###\)\ ###\-####"/>
      <fill>
        <patternFill patternType="solid">
          <fgColor indexed="64"/>
          <bgColor rgb="FFFFFFCC"/>
        </patternFill>
      </fill>
      <alignment horizontal="left" vertical="center" wrapText="1"/>
      <border>
        <left style="thin">
          <color auto="1"/>
        </left>
        <right style="thin">
          <color auto="1"/>
        </right>
        <top style="thin">
          <color auto="1"/>
        </top>
        <bottom/>
      </border>
      <protection locked="1" hidden="0"/>
    </dxf>
    <dxf>
      <numFmt numFmtId="30" formatCode="@"/>
      <fill>
        <patternFill patternType="solid">
          <fgColor indexed="64"/>
          <bgColor rgb="FFFFFFCC"/>
        </patternFill>
      </fill>
      <alignment horizontal="left" vertical="center" wrapText="1"/>
      <border>
        <left style="thin">
          <color auto="1"/>
        </left>
        <right style="thin">
          <color auto="1"/>
        </right>
        <top style="thin">
          <color auto="1"/>
        </top>
        <bottom/>
      </border>
      <protection locked="1" hidden="0"/>
    </dxf>
    <dxf>
      <font>
        <strike val="0"/>
        <condense val="0"/>
        <extend val="0"/>
        <outline val="0"/>
        <shadow val="0"/>
        <vertAlign val="baseline"/>
        <sz val="11"/>
        <color theme="1"/>
        <name val="Arial"/>
      </font>
      <numFmt numFmtId="30" formatCode="@"/>
      <fill>
        <patternFill patternType="solid">
          <fgColor indexed="64"/>
          <bgColor rgb="FFFFFFCC"/>
        </patternFill>
      </fill>
      <alignment horizontal="left" vertical="center" wrapText="1"/>
      <border>
        <left style="thin">
          <color auto="1"/>
        </left>
        <right style="thin">
          <color auto="1"/>
        </right>
        <top style="thin">
          <color auto="1"/>
        </top>
        <bottom/>
      </border>
      <protection locked="1" hidden="0"/>
    </dxf>
    <dxf>
      <font>
        <strike val="0"/>
        <condense val="0"/>
        <extend val="0"/>
        <outline val="0"/>
        <shadow val="0"/>
        <vertAlign val="baseline"/>
        <sz val="11"/>
        <color theme="1"/>
        <name val="Arial"/>
      </font>
      <numFmt numFmtId="30" formatCode="@"/>
      <fill>
        <patternFill patternType="solid">
          <fgColor indexed="64"/>
          <bgColor rgb="FFFFFFCC"/>
        </patternFill>
      </fill>
      <alignment horizontal="left" vertical="center" wrapText="1"/>
      <border>
        <left style="thin">
          <color auto="1"/>
        </left>
        <right style="thin">
          <color auto="1"/>
        </right>
        <top style="thin">
          <color auto="1"/>
        </top>
        <bottom/>
      </border>
      <protection locked="1" hidden="0"/>
    </dxf>
    <dxf>
      <font>
        <strike val="0"/>
        <condense val="0"/>
        <extend val="0"/>
        <outline val="0"/>
        <shadow val="0"/>
        <vertAlign val="baseline"/>
        <sz val="11"/>
        <color theme="1"/>
        <name val="Arial"/>
      </font>
      <fill>
        <patternFill patternType="solid">
          <fgColor indexed="64"/>
          <bgColor rgb="FFFFFFCC"/>
        </patternFill>
      </fill>
      <alignment horizontal="center" vertical="center" wrapText="1"/>
      <border>
        <left style="thin">
          <color auto="1"/>
        </left>
        <right style="thin">
          <color auto="1"/>
        </right>
        <top style="thin">
          <color auto="1"/>
        </top>
        <bottom/>
      </border>
      <protection locked="0" hidden="0"/>
    </dxf>
    <dxf>
      <font>
        <strike val="0"/>
        <condense val="0"/>
        <extend val="0"/>
        <outline val="0"/>
        <shadow val="0"/>
        <vertAlign val="baseline"/>
        <sz val="11"/>
        <color theme="1"/>
        <name val="Arial"/>
      </font>
      <numFmt numFmtId="30" formatCode="@"/>
      <fill>
        <patternFill patternType="solid">
          <fgColor indexed="64"/>
          <bgColor rgb="FFFFFFCC"/>
        </patternFill>
      </fill>
      <alignment horizontal="center" vertical="center" wrapText="1"/>
      <border>
        <left style="thin">
          <color auto="1"/>
        </left>
        <right style="thin">
          <color auto="1"/>
        </right>
        <top style="thin">
          <color auto="1"/>
        </top>
        <bottom/>
      </border>
      <protection locked="0" hidden="0"/>
    </dxf>
    <dxf>
      <font>
        <strike val="0"/>
        <condense val="0"/>
        <extend val="0"/>
        <outline val="0"/>
        <shadow val="0"/>
        <vertAlign val="baseline"/>
        <sz val="11"/>
        <color theme="1"/>
        <name val="Arial"/>
      </font>
      <numFmt numFmtId="30" formatCode="@"/>
      <fill>
        <patternFill patternType="solid">
          <fgColor indexed="64"/>
          <bgColor rgb="FFFFFFCC"/>
        </patternFill>
      </fill>
      <alignment horizontal="left" vertical="center" wrapText="1"/>
      <border>
        <left style="thin">
          <color auto="1"/>
        </left>
        <right style="thin">
          <color auto="1"/>
        </right>
        <top style="thin">
          <color auto="1"/>
        </top>
        <bottom/>
      </border>
      <protection locked="0" hidden="0"/>
    </dxf>
    <dxf>
      <font>
        <strike val="0"/>
        <condense val="0"/>
        <extend val="0"/>
        <outline val="0"/>
        <shadow val="0"/>
        <vertAlign val="baseline"/>
        <sz val="11"/>
        <color theme="1"/>
        <name val="Arial"/>
      </font>
      <numFmt numFmtId="30" formatCode="@"/>
      <fill>
        <patternFill patternType="solid">
          <fgColor indexed="64"/>
          <bgColor rgb="FFFFFFCC"/>
        </patternFill>
      </fill>
      <alignment horizontal="left" vertical="center" wrapText="1"/>
      <border>
        <left style="thin">
          <color auto="1"/>
        </left>
        <right style="thin">
          <color auto="1"/>
        </right>
        <top style="thin">
          <color auto="1"/>
        </top>
        <bottom/>
      </border>
      <protection locked="0" hidden="0"/>
    </dxf>
    <dxf>
      <font>
        <strike val="0"/>
        <condense val="0"/>
        <extend val="0"/>
        <outline val="0"/>
        <shadow val="0"/>
        <vertAlign val="baseline"/>
        <sz val="11"/>
        <color theme="1"/>
        <name val="Arial"/>
      </font>
      <fill>
        <patternFill patternType="solid">
          <fgColor indexed="64"/>
          <bgColor theme="0"/>
        </patternFill>
      </fill>
      <alignment horizontal="left" vertical="center" wrapText="1"/>
      <border>
        <left style="thin">
          <color auto="1"/>
        </left>
        <right style="thin">
          <color auto="1"/>
        </right>
        <top style="thin">
          <color auto="1"/>
        </top>
        <bottom/>
      </border>
      <protection locked="1" hidden="0"/>
    </dxf>
    <dxf>
      <font>
        <strike val="0"/>
        <condense val="0"/>
        <extend val="0"/>
        <outline val="0"/>
        <shadow val="0"/>
        <vertAlign val="baseline"/>
        <sz val="11"/>
        <color theme="1"/>
        <name val="Arial"/>
      </font>
      <fill>
        <patternFill patternType="solid">
          <fgColor indexed="64"/>
          <bgColor theme="0"/>
        </patternFill>
      </fill>
      <alignment horizontal="left" vertical="center" wrapText="1"/>
      <border>
        <left style="thin">
          <color auto="1"/>
        </left>
        <right style="thin">
          <color auto="1"/>
        </right>
        <top style="thin">
          <color auto="1"/>
        </top>
        <bottom/>
      </border>
      <protection locked="1" hidden="0"/>
    </dxf>
    <dxf>
      <font>
        <strike val="0"/>
        <condense val="0"/>
        <extend val="0"/>
        <outline val="0"/>
        <shadow val="0"/>
        <vertAlign val="baseline"/>
        <sz val="11"/>
        <color theme="1"/>
        <name val="Arial"/>
      </font>
      <fill>
        <patternFill patternType="solid">
          <fgColor indexed="64"/>
          <bgColor theme="0"/>
        </patternFill>
      </fill>
      <alignment horizontal="left" vertical="center" wrapText="1"/>
      <border>
        <left style="thin">
          <color auto="1"/>
        </left>
        <right style="thin">
          <color auto="1"/>
        </right>
        <top style="thin">
          <color auto="1"/>
        </top>
        <bottom/>
      </border>
      <protection locked="1" hidden="0"/>
    </dxf>
    <dxf>
      <font>
        <strike val="0"/>
        <condense val="0"/>
        <extend val="0"/>
        <outline val="0"/>
        <shadow val="0"/>
        <vertAlign val="baseline"/>
        <sz val="11"/>
        <color auto="1"/>
        <name val="Arial"/>
        <family val="2"/>
      </font>
      <fill>
        <patternFill patternType="solid">
          <fgColor indexed="64"/>
          <bgColor theme="0"/>
        </patternFill>
      </fill>
      <alignment horizontal="right" vertical="center" wrapText="1" indent="1"/>
      <border>
        <left/>
        <right style="thin">
          <color auto="1"/>
        </right>
        <top style="thin">
          <color auto="1"/>
        </top>
        <bottom/>
      </border>
      <protection locked="1" hidden="0"/>
    </dxf>
    <dxf>
      <border outline="0">
        <top style="thin">
          <color indexed="64"/>
        </top>
      </border>
    </dxf>
    <dxf>
      <border outline="0">
        <left style="thin">
          <color indexed="64"/>
        </left>
        <right style="thin">
          <color indexed="64"/>
        </right>
        <top style="thin">
          <color indexed="64"/>
        </top>
        <bottom style="thin">
          <color indexed="64"/>
        </bottom>
      </border>
    </dxf>
    <dxf>
      <font>
        <strike val="0"/>
        <condense val="0"/>
        <extend val="0"/>
        <outline val="0"/>
        <shadow val="0"/>
        <vertAlign val="baseline"/>
        <sz val="11"/>
        <color theme="1"/>
        <name val="Arial"/>
      </font>
      <fill>
        <patternFill patternType="solid">
          <fgColor indexed="64"/>
          <bgColor rgb="FFFFFFCC"/>
        </patternFill>
      </fill>
      <alignment horizontal="center" vertical="center" wrapText="1"/>
      <protection locked="1" hidden="0"/>
    </dxf>
    <dxf>
      <border outline="0">
        <bottom style="thin">
          <color indexed="64"/>
        </bottom>
      </border>
    </dxf>
    <dxf>
      <font>
        <b/>
        <strike val="0"/>
        <condense val="0"/>
        <extend val="0"/>
        <outline val="0"/>
        <shadow val="0"/>
        <vertAlign val="baseline"/>
        <sz val="11"/>
        <color theme="1"/>
        <name val="Arial"/>
      </font>
      <fill>
        <patternFill patternType="solid">
          <fgColor indexed="64"/>
          <bgColor theme="5" tint="0.79998168889431442"/>
        </patternFill>
      </fill>
      <alignment horizontal="center" vertical="center"/>
      <border>
        <left style="thin">
          <color indexed="64"/>
        </left>
        <right style="thin">
          <color indexed="64"/>
        </right>
        <top/>
        <bottom/>
      </border>
      <protection locked="1" hidden="0"/>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patternFill>
          <bgColor rgb="FFC00000"/>
        </patternFill>
      </fill>
    </dxf>
    <dxf>
      <fill>
        <patternFill>
          <bgColor theme="0" tint="-4.9989318521683403E-2"/>
        </patternFill>
      </fill>
      <border>
        <left style="thin">
          <color auto="1"/>
        </left>
        <right style="thin">
          <color auto="1"/>
        </right>
        <top style="thin">
          <color auto="1"/>
        </top>
        <bottom style="thin">
          <color auto="1"/>
        </bottom>
      </border>
    </dxf>
    <dxf>
      <font>
        <b/>
        <color rgb="FF0000FF"/>
      </font>
      <border>
        <left style="thin">
          <color rgb="FF00B050"/>
        </left>
        <right style="thin">
          <color rgb="FF00B050"/>
        </right>
        <top style="thin">
          <color rgb="FF00B050"/>
        </top>
        <bottom style="thin">
          <color rgb="FF00B050"/>
        </bottom>
        <vertical/>
        <horizontal/>
      </border>
    </dxf>
    <dxf>
      <border>
        <left style="thin">
          <color rgb="FF00B050"/>
        </left>
        <right style="thin">
          <color rgb="FF00B050"/>
        </right>
        <top style="thin">
          <color rgb="FF00B050"/>
        </top>
        <bottom style="thin">
          <color rgb="FF00B050"/>
        </bottom>
        <vertical/>
        <horizontal/>
      </border>
    </dxf>
    <dxf>
      <border>
        <left style="thin">
          <color rgb="FF00B050"/>
        </left>
        <right style="thin">
          <color rgb="FF00B050"/>
        </right>
        <top style="thin">
          <color rgb="FF00B050"/>
        </top>
        <bottom style="thin">
          <color rgb="FF00B050"/>
        </bottom>
        <vertical/>
        <horizontal/>
      </border>
    </dxf>
    <dxf>
      <font>
        <b/>
        <color rgb="FF0000FF"/>
      </font>
      <fill>
        <gradientFill type="path" left="0.5" right="0.5" top="0.5" bottom="0.5">
          <stop position="0">
            <color theme="7" tint="0.80001220740379042"/>
          </stop>
          <stop position="1">
            <color theme="0"/>
          </stop>
        </gradientFill>
      </fill>
      <border>
        <left style="thin">
          <color rgb="FF00A33C"/>
        </left>
        <right style="thin">
          <color rgb="FF00A33C"/>
        </right>
        <top style="thin">
          <color rgb="FF00A33C"/>
        </top>
        <bottom style="thin">
          <color rgb="FF00A33C"/>
        </bottom>
      </border>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EACAE"/>
          </stop>
        </gradientFill>
      </fill>
    </dxf>
    <dxf>
      <fill>
        <gradientFill degree="90">
          <stop position="0">
            <color theme="0"/>
          </stop>
          <stop position="1">
            <color rgb="FFFF8585"/>
          </stop>
        </gradientFill>
      </fill>
    </dxf>
    <dxf>
      <fill>
        <gradientFill type="path" left="0.5" right="0.5" top="0.5" bottom="0.5">
          <stop position="0">
            <color theme="0"/>
          </stop>
          <stop position="1">
            <color rgb="FFFF9393"/>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fill>
        <gradientFill degree="90">
          <stop position="0">
            <color theme="0"/>
          </stop>
          <stop position="1">
            <color rgb="FFFF7171"/>
          </stop>
        </gradientFill>
      </fill>
    </dxf>
    <dxf>
      <fill>
        <patternFill>
          <bgColor rgb="FFFFFFCC"/>
        </patternFill>
      </fill>
    </dxf>
    <dxf>
      <fill>
        <gradientFill degree="90">
          <stop position="0">
            <color theme="0"/>
          </stop>
          <stop position="1">
            <color rgb="FF92D050"/>
          </stop>
        </gradientFill>
      </fill>
    </dxf>
    <dxf>
      <fill>
        <gradientFill degree="90">
          <stop position="0">
            <color theme="0"/>
          </stop>
          <stop position="1">
            <color rgb="FFFF7171"/>
          </stop>
        </gradientFill>
      </fill>
    </dxf>
    <dxf>
      <fill>
        <gradientFill degree="90">
          <stop position="0">
            <color theme="0"/>
          </stop>
          <stop position="1">
            <color rgb="FFFEACAE"/>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EACAE"/>
          </stop>
        </gradientFill>
      </fill>
    </dxf>
    <dxf>
      <fill>
        <gradientFill degree="90">
          <stop position="0">
            <color theme="0"/>
          </stop>
          <stop position="1">
            <color rgb="FFFEACAE"/>
          </stop>
        </gradientFill>
      </fill>
    </dxf>
    <dxf>
      <fill>
        <gradientFill degree="90">
          <stop position="0">
            <color theme="0"/>
          </stop>
          <stop position="1">
            <color rgb="FF92D050"/>
          </stop>
        </gradientFill>
      </fill>
    </dxf>
    <dxf>
      <fill>
        <gradientFill degree="90">
          <stop position="0">
            <color theme="0"/>
          </stop>
          <stop position="1">
            <color rgb="FFFEACAE"/>
          </stop>
        </gradientFill>
      </fill>
    </dxf>
    <dxf>
      <fill>
        <gradientFill degree="90">
          <stop position="0">
            <color theme="0"/>
          </stop>
          <stop position="1">
            <color rgb="FFFEACAE"/>
          </stop>
        </gradientFill>
      </fill>
    </dxf>
    <dxf>
      <fill>
        <gradientFill degree="90">
          <stop position="0">
            <color theme="0"/>
          </stop>
          <stop position="1">
            <color rgb="FFFEACAE"/>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D6B6E"/>
          </stop>
        </gradientFill>
      </fill>
    </dxf>
    <dxf>
      <border>
        <left style="thin">
          <color rgb="FF00B050"/>
        </left>
        <right style="thin">
          <color rgb="FF00B050"/>
        </right>
        <top style="thin">
          <color rgb="FF00B050"/>
        </top>
        <bottom style="thin">
          <color rgb="FF00B050"/>
        </bottom>
        <vertical/>
        <horizontal/>
      </border>
    </dxf>
    <dxf>
      <fill>
        <patternFill>
          <bgColor theme="0" tint="-4.9989318521683403E-2"/>
        </patternFill>
      </fill>
      <border>
        <left style="thin">
          <color auto="1"/>
        </left>
        <right style="thin">
          <color auto="1"/>
        </right>
        <top style="thin">
          <color auto="1"/>
        </top>
        <bottom style="thin">
          <color auto="1"/>
        </bottom>
      </border>
    </dxf>
    <dxf>
      <font>
        <b/>
        <color rgb="FF0000FF"/>
      </font>
      <border>
        <left style="thin">
          <color rgb="FF00B050"/>
        </left>
        <right style="thin">
          <color rgb="FF00B050"/>
        </right>
        <top style="thin">
          <color rgb="FF00B050"/>
        </top>
        <bottom style="thin">
          <color rgb="FF00B050"/>
        </bottom>
        <vertical/>
        <horizontal/>
      </border>
    </dxf>
    <dxf>
      <fill>
        <patternFill>
          <bgColor theme="0" tint="-4.9989318521683403E-2"/>
        </patternFill>
      </fill>
      <border>
        <left style="thin">
          <color auto="1"/>
        </left>
        <right style="thin">
          <color auto="1"/>
        </right>
        <top style="thin">
          <color auto="1"/>
        </top>
        <bottom style="thin">
          <color auto="1"/>
        </bottom>
      </border>
    </dxf>
    <dxf>
      <font>
        <b/>
        <color rgb="FF0000FF"/>
      </font>
      <border>
        <left style="thin">
          <color rgb="FF00B050"/>
        </left>
        <right style="thin">
          <color rgb="FF00B050"/>
        </right>
        <top style="thin">
          <color rgb="FF00B050"/>
        </top>
        <bottom style="thin">
          <color rgb="FF00B050"/>
        </bottom>
        <vertical/>
        <horizontal/>
      </border>
    </dxf>
    <dxf>
      <border>
        <left style="thin">
          <color rgb="FF00B050"/>
        </left>
        <right style="thin">
          <color rgb="FF00B050"/>
        </right>
        <top style="thin">
          <color rgb="FF00B050"/>
        </top>
        <bottom style="thin">
          <color rgb="FF00B050"/>
        </bottom>
        <vertical/>
        <horizontal/>
      </border>
    </dxf>
    <dxf>
      <fill>
        <patternFill>
          <bgColor theme="0" tint="-4.9989318521683403E-2"/>
        </patternFill>
      </fill>
      <border>
        <left style="thin">
          <color auto="1"/>
        </left>
        <right style="thin">
          <color auto="1"/>
        </right>
        <top style="thin">
          <color auto="1"/>
        </top>
        <bottom style="thin">
          <color auto="1"/>
        </bottom>
      </border>
    </dxf>
    <dxf>
      <font>
        <b/>
        <color rgb="FF0000FF"/>
      </font>
      <border>
        <left style="thin">
          <color rgb="FF00B050"/>
        </left>
        <right style="thin">
          <color rgb="FF00B050"/>
        </right>
        <top style="thin">
          <color rgb="FF00B050"/>
        </top>
        <bottom style="thin">
          <color rgb="FF00B050"/>
        </bottom>
        <vertical/>
        <horizontal/>
      </border>
    </dxf>
    <dxf>
      <border>
        <left style="thin">
          <color rgb="FF00B050"/>
        </left>
        <right style="thin">
          <color rgb="FF00B050"/>
        </right>
        <top style="thin">
          <color rgb="FF00B050"/>
        </top>
        <bottom style="thin">
          <color rgb="FF00B050"/>
        </bottom>
        <vertical/>
        <horizontal/>
      </border>
    </dxf>
    <dxf>
      <border>
        <left style="thin">
          <color rgb="FF00B050"/>
        </left>
        <right style="thin">
          <color rgb="FF00B050"/>
        </right>
        <top style="thin">
          <color rgb="FF00B050"/>
        </top>
        <bottom style="thin">
          <color rgb="FF00B050"/>
        </bottom>
        <vertical/>
        <horizontal/>
      </border>
    </dxf>
    <dxf>
      <fill>
        <patternFill>
          <bgColor theme="0" tint="-4.9989318521683403E-2"/>
        </patternFill>
      </fill>
      <border>
        <left style="thin">
          <color auto="1"/>
        </left>
        <right style="thin">
          <color auto="1"/>
        </right>
        <top style="thin">
          <color auto="1"/>
        </top>
        <bottom style="thin">
          <color auto="1"/>
        </bottom>
      </border>
    </dxf>
    <dxf>
      <font>
        <b/>
        <color rgb="FF0000FF"/>
      </font>
      <border>
        <left style="thin">
          <color rgb="FF00B050"/>
        </left>
        <right style="thin">
          <color rgb="FF00B050"/>
        </right>
        <top style="thin">
          <color rgb="FF00B050"/>
        </top>
        <bottom style="thin">
          <color rgb="FF00B050"/>
        </bottom>
        <vertical/>
        <horizontal/>
      </border>
    </dxf>
    <dxf>
      <border>
        <left style="thin">
          <color rgb="FF00B050"/>
        </left>
        <right style="thin">
          <color rgb="FF00B050"/>
        </right>
        <top style="thin">
          <color rgb="FF00B050"/>
        </top>
        <bottom style="thin">
          <color rgb="FF00B050"/>
        </bottom>
        <vertical/>
        <horizontal/>
      </border>
    </dxf>
    <dxf>
      <fill>
        <patternFill>
          <bgColor theme="0" tint="-4.9989318521683403E-2"/>
        </patternFill>
      </fill>
      <border>
        <left style="thin">
          <color auto="1"/>
        </left>
        <right style="thin">
          <color auto="1"/>
        </right>
        <top style="thin">
          <color auto="1"/>
        </top>
        <bottom style="thin">
          <color auto="1"/>
        </bottom>
      </border>
    </dxf>
    <dxf>
      <font>
        <b/>
        <color rgb="FF0000FF"/>
      </font>
      <border>
        <left style="thin">
          <color rgb="FF00B050"/>
        </left>
        <right style="thin">
          <color rgb="FF00B050"/>
        </right>
        <top style="thin">
          <color rgb="FF00B050"/>
        </top>
        <bottom style="thin">
          <color rgb="FF00B050"/>
        </bottom>
        <vertical/>
        <horizontal/>
      </border>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border>
        <top style="thin">
          <color auto="1"/>
        </top>
        <vertical/>
        <horizontal/>
      </border>
    </dxf>
    <dxf>
      <border>
        <top style="thin">
          <color auto="1"/>
        </top>
        <vertical/>
        <horizontal/>
      </border>
    </dxf>
    <dxf>
      <fill>
        <gradientFill degree="90">
          <stop position="0">
            <color theme="0"/>
          </stop>
          <stop position="1">
            <color rgb="FFFF8585"/>
          </stop>
        </gradientFill>
      </fill>
    </dxf>
    <dxf>
      <fill>
        <gradientFill type="path" left="0.5" right="0.5" top="0.5" bottom="0.5">
          <stop position="0">
            <color theme="0"/>
          </stop>
          <stop position="1">
            <color rgb="FFFF9393"/>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ont>
        <color theme="0"/>
      </font>
      <fill>
        <patternFill>
          <bgColor rgb="FFFFFFFF"/>
        </pattern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border>
        <left style="thin">
          <color rgb="FF00B050"/>
        </left>
        <right style="thin">
          <color rgb="FF00B050"/>
        </right>
        <top style="thin">
          <color rgb="FF00B050"/>
        </top>
        <bottom style="thin">
          <color rgb="FF00B050"/>
        </bottom>
        <vertical/>
        <horizontal/>
      </border>
    </dxf>
    <dxf>
      <font>
        <b/>
        <color rgb="FF0000FF"/>
      </font>
      <fill>
        <gradientFill type="path" left="0.5" right="0.5" top="0.5" bottom="0.5">
          <stop position="0">
            <color theme="7" tint="0.80001220740379042"/>
          </stop>
          <stop position="1">
            <color theme="0"/>
          </stop>
        </gradientFill>
      </fill>
      <border>
        <left style="thin">
          <color rgb="FF00A33C"/>
        </left>
        <right style="thin">
          <color rgb="FF00A33C"/>
        </right>
        <top style="thin">
          <color rgb="FF00A33C"/>
        </top>
        <bottom style="thin">
          <color rgb="FF00A33C"/>
        </bottom>
      </border>
    </dxf>
    <dxf>
      <border>
        <left style="thin">
          <color rgb="FF00B050"/>
        </left>
        <right style="thin">
          <color rgb="FF00B050"/>
        </right>
        <top style="thin">
          <color rgb="FF00B050"/>
        </top>
        <bottom style="thin">
          <color rgb="FF00B050"/>
        </bottom>
        <vertical/>
        <horizontal/>
      </border>
    </dxf>
    <dxf>
      <font>
        <b/>
        <color rgb="FF0000FF"/>
      </font>
      <fill>
        <gradientFill type="path" left="0.5" right="0.5" top="0.5" bottom="0.5">
          <stop position="0">
            <color theme="7" tint="0.80001220740379042"/>
          </stop>
          <stop position="1">
            <color theme="0"/>
          </stop>
        </gradientFill>
      </fill>
      <border>
        <left style="thin">
          <color rgb="FF00A33C"/>
        </left>
        <right style="thin">
          <color rgb="FF00A33C"/>
        </right>
        <top style="thin">
          <color rgb="FF00A33C"/>
        </top>
        <bottom style="thin">
          <color rgb="FF00A33C"/>
        </bottom>
      </border>
    </dxf>
    <dxf>
      <fill>
        <gradientFill type="path" left="0.5" right="0.5" top="0.5" bottom="0.5">
          <stop position="0">
            <color rgb="FFDDFFE9"/>
          </stop>
          <stop position="1">
            <color theme="0"/>
          </stop>
        </gradientFill>
      </fill>
      <border>
        <left style="thin">
          <color rgb="FF00A33C"/>
        </left>
        <right style="thin">
          <color rgb="FF00A33C"/>
        </right>
        <top style="thin">
          <color rgb="FF00A33C"/>
        </top>
        <bottom style="thin">
          <color rgb="FF00A33C"/>
        </bottom>
      </border>
    </dxf>
    <dxf>
      <fill>
        <gradientFill degree="90">
          <stop position="0">
            <color theme="0"/>
          </stop>
          <stop position="1">
            <color rgb="FFFF8585"/>
          </stop>
        </gradientFill>
      </fill>
    </dxf>
    <dxf>
      <fill>
        <gradientFill degree="90">
          <stop position="0">
            <color theme="0"/>
          </stop>
          <stop position="1">
            <color rgb="FFFF8585"/>
          </stop>
        </gradientFill>
      </fill>
    </dxf>
    <dxf>
      <fill>
        <gradientFill type="path" left="0.5" right="0.5" top="0.5" bottom="0.5">
          <stop position="0">
            <color theme="0"/>
          </stop>
          <stop position="1">
            <color rgb="FFFF9393"/>
          </stop>
        </gradientFill>
      </fill>
    </dxf>
    <dxf>
      <fill>
        <gradientFill type="path" left="0.5" right="0.5" top="0.5" bottom="0.5">
          <stop position="0">
            <color theme="0"/>
          </stop>
          <stop position="1">
            <color rgb="FFFF9393"/>
          </stop>
        </gradientFill>
      </fill>
    </dxf>
    <dxf>
      <fill>
        <gradientFill type="path" left="0.5" right="0.5" top="0.5" bottom="0.5">
          <stop position="0">
            <color theme="0"/>
          </stop>
          <stop position="1">
            <color rgb="FFFF9393"/>
          </stop>
        </gradientFill>
      </fill>
    </dxf>
    <dxf>
      <fill>
        <gradientFill degree="90">
          <stop position="0">
            <color theme="0"/>
          </stop>
          <stop position="1">
            <color rgb="FFFF8585"/>
          </stop>
        </gradientFill>
      </fill>
    </dxf>
    <dxf>
      <fill>
        <gradientFill degree="90">
          <stop position="0">
            <color theme="0"/>
          </stop>
          <stop position="1">
            <color rgb="FF92D050"/>
          </stop>
        </gradientFill>
      </fill>
    </dxf>
    <dxf>
      <border>
        <left style="thin">
          <color rgb="FF00B050"/>
        </left>
        <right style="thin">
          <color rgb="FF00B050"/>
        </right>
        <top style="thin">
          <color rgb="FF00B050"/>
        </top>
        <bottom style="thin">
          <color rgb="FF00B050"/>
        </bottom>
        <vertical/>
        <horizontal/>
      </border>
    </dxf>
    <dxf>
      <border>
        <left style="thin">
          <color rgb="FF00B050"/>
        </left>
        <right style="thin">
          <color rgb="FF00B050"/>
        </right>
        <top style="thin">
          <color rgb="FF00B050"/>
        </top>
        <bottom style="thin">
          <color rgb="FF00B050"/>
        </bottom>
        <vertical/>
        <horizontal/>
      </border>
    </dxf>
    <dxf>
      <border>
        <left style="thin">
          <color rgb="FF00B050"/>
        </left>
        <right style="thin">
          <color rgb="FF00B050"/>
        </right>
        <top style="thin">
          <color rgb="FF00B050"/>
        </top>
        <bottom style="thin">
          <color rgb="FF00B050"/>
        </bottom>
        <vertical/>
        <horizontal/>
      </border>
    </dxf>
    <dxf>
      <border>
        <left style="thin">
          <color rgb="FF00B050"/>
        </left>
        <right style="thin">
          <color rgb="FF00B050"/>
        </right>
        <top style="thin">
          <color rgb="FF00B050"/>
        </top>
        <bottom style="thin">
          <color rgb="FF00B050"/>
        </bottom>
        <vertical/>
        <horizontal/>
      </border>
    </dxf>
    <dxf>
      <border>
        <left style="thin">
          <color rgb="FF00B050"/>
        </left>
        <right style="thin">
          <color rgb="FF00B050"/>
        </right>
        <top style="thin">
          <color rgb="FF00B050"/>
        </top>
        <bottom style="thin">
          <color rgb="FF00B050"/>
        </bottom>
        <vertical/>
        <horizontal/>
      </border>
    </dxf>
    <dxf>
      <border>
        <left style="thin">
          <color rgb="FF00B050"/>
        </left>
        <right style="thin">
          <color rgb="FF00B050"/>
        </right>
        <top style="thin">
          <color rgb="FF00B050"/>
        </top>
        <bottom style="thin">
          <color rgb="FF00B050"/>
        </bottom>
        <vertical/>
        <horizontal/>
      </border>
    </dxf>
    <dxf>
      <font>
        <b/>
        <color rgb="FF0000FF"/>
      </font>
      <fill>
        <gradientFill type="path" left="0.5" right="0.5" top="0.5" bottom="0.5">
          <stop position="0">
            <color theme="7" tint="0.80001220740379042"/>
          </stop>
          <stop position="1">
            <color theme="0"/>
          </stop>
        </gradientFill>
      </fill>
      <border>
        <left style="thin">
          <color rgb="FF00A33C"/>
        </left>
        <right style="thin">
          <color rgb="FF00A33C"/>
        </right>
        <top style="thin">
          <color rgb="FF00A33C"/>
        </top>
        <bottom style="thin">
          <color rgb="FF00A33C"/>
        </bottom>
      </border>
    </dxf>
    <dxf>
      <font>
        <b/>
        <color rgb="FF0000FF"/>
      </font>
      <fill>
        <gradientFill type="path" left="0.5" right="0.5" top="0.5" bottom="0.5">
          <stop position="0">
            <color theme="7" tint="0.80001220740379042"/>
          </stop>
          <stop position="1">
            <color theme="0"/>
          </stop>
        </gradientFill>
      </fill>
      <border>
        <left style="thin">
          <color rgb="FF00A33C"/>
        </left>
        <right style="thin">
          <color rgb="FF00A33C"/>
        </right>
        <top style="thin">
          <color rgb="FF00A33C"/>
        </top>
        <bottom style="thin">
          <color rgb="FF00A33C"/>
        </bottom>
      </border>
    </dxf>
    <dxf>
      <font>
        <b/>
        <color rgb="FF0000FF"/>
      </font>
      <fill>
        <gradientFill type="path" left="0.5" right="0.5" top="0.5" bottom="0.5">
          <stop position="0">
            <color theme="7" tint="0.80001220740379042"/>
          </stop>
          <stop position="1">
            <color theme="0"/>
          </stop>
        </gradientFill>
      </fill>
      <border>
        <left style="thin">
          <color rgb="FF00A33C"/>
        </left>
        <right style="thin">
          <color rgb="FF00A33C"/>
        </right>
        <top style="thin">
          <color rgb="FF00A33C"/>
        </top>
        <bottom style="thin">
          <color rgb="FF00A33C"/>
        </bottom>
      </border>
    </dxf>
    <dxf>
      <font>
        <b/>
        <color rgb="FF0000FF"/>
      </font>
      <fill>
        <gradientFill type="path" left="0.5" right="0.5" top="0.5" bottom="0.5">
          <stop position="0">
            <color theme="7" tint="0.80001220740379042"/>
          </stop>
          <stop position="1">
            <color theme="0"/>
          </stop>
        </gradientFill>
      </fill>
      <border>
        <left style="thin">
          <color rgb="FF00A33C"/>
        </left>
        <right style="thin">
          <color rgb="FF00A33C"/>
        </right>
        <top style="thin">
          <color rgb="FF00A33C"/>
        </top>
        <bottom style="thin">
          <color rgb="FF00A33C"/>
        </bottom>
      </border>
    </dxf>
    <dxf>
      <font>
        <b/>
        <color rgb="FF0000FF"/>
      </font>
      <fill>
        <gradientFill type="path" left="0.5" right="0.5" top="0.5" bottom="0.5">
          <stop position="0">
            <color theme="7" tint="0.80001220740379042"/>
          </stop>
          <stop position="1">
            <color theme="0"/>
          </stop>
        </gradientFill>
      </fill>
      <border>
        <left style="thin">
          <color rgb="FF00A33C"/>
        </left>
        <right style="thin">
          <color rgb="FF00A33C"/>
        </right>
        <top style="thin">
          <color rgb="FF00A33C"/>
        </top>
        <bottom style="thin">
          <color rgb="FF00A33C"/>
        </bottom>
      </border>
    </dxf>
    <dxf>
      <font>
        <b/>
        <color rgb="FF0000FF"/>
      </font>
      <fill>
        <gradientFill type="path" left="0.5" right="0.5" top="0.5" bottom="0.5">
          <stop position="0">
            <color theme="7" tint="0.80001220740379042"/>
          </stop>
          <stop position="1">
            <color theme="0"/>
          </stop>
        </gradientFill>
      </fill>
      <border>
        <left style="thin">
          <color rgb="FF00A33C"/>
        </left>
        <right style="thin">
          <color rgb="FF00A33C"/>
        </right>
        <top style="thin">
          <color rgb="FF00A33C"/>
        </top>
        <bottom style="thin">
          <color rgb="FF00A33C"/>
        </bottom>
      </border>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type="path" left="0.5" right="0.5" top="0.5" bottom="0.5">
          <stop position="0">
            <color rgb="FFDDFFE9"/>
          </stop>
          <stop position="1">
            <color theme="0"/>
          </stop>
        </gradientFill>
      </fill>
      <border>
        <left style="thin">
          <color rgb="FF00A33C"/>
        </left>
        <right style="thin">
          <color rgb="FF00A33C"/>
        </right>
        <top style="thin">
          <color rgb="FF00A33C"/>
        </top>
        <bottom style="thin">
          <color rgb="FF00A33C"/>
        </bottom>
      </border>
    </dxf>
    <dxf>
      <fill>
        <gradientFill degree="90">
          <stop position="0">
            <color theme="0"/>
          </stop>
          <stop position="1">
            <color rgb="FFFF8585"/>
          </stop>
        </gradientFill>
      </fill>
    </dxf>
    <dxf>
      <fill>
        <gradientFill degree="90">
          <stop position="0">
            <color theme="0"/>
          </stop>
          <stop position="1">
            <color rgb="FFFF8585"/>
          </stop>
        </gradientFill>
      </fill>
    </dxf>
    <dxf>
      <font>
        <color rgb="FFC00000"/>
      </font>
    </dxf>
    <dxf>
      <font>
        <color rgb="FFC00000"/>
      </font>
    </dxf>
    <dxf>
      <font>
        <color theme="0"/>
      </font>
      <fill>
        <patternFill>
          <bgColor theme="0"/>
        </patternFill>
      </fill>
    </dxf>
    <dxf>
      <font>
        <color theme="0"/>
      </font>
      <fill>
        <patternFill>
          <bgColor theme="0"/>
        </pattern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ont>
        <color theme="0"/>
      </font>
      <fill>
        <patternFill>
          <bgColor rgb="FFFFFFFF"/>
        </patternFill>
      </fill>
    </dxf>
    <dxf>
      <font>
        <color theme="0"/>
      </font>
      <fill>
        <patternFill>
          <bgColor theme="0"/>
        </patternFill>
      </fill>
    </dxf>
    <dxf>
      <font>
        <color theme="0"/>
      </font>
      <fill>
        <patternFill>
          <bgColor theme="0"/>
        </patternFill>
      </fill>
    </dxf>
    <dxf>
      <font>
        <color theme="0"/>
      </font>
      <fill>
        <patternFill>
          <bgColor rgb="FFFFFFFF"/>
        </pattern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patternFill>
          <bgColor indexed="43"/>
        </patternFill>
      </fill>
    </dxf>
    <dxf>
      <fill>
        <gradientFill degree="90">
          <stop position="0">
            <color theme="0"/>
          </stop>
          <stop position="1">
            <color rgb="FFFF8585"/>
          </stop>
        </gradientFill>
      </fill>
    </dxf>
    <dxf>
      <fill>
        <gradientFill degree="90">
          <stop position="0">
            <color theme="0"/>
          </stop>
          <stop position="1">
            <color theme="5" tint="0.40000610370189521"/>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ill>
        <gradientFill degree="90">
          <stop position="0">
            <color theme="0"/>
          </stop>
          <stop position="1">
            <color rgb="FFFF8585"/>
          </stop>
        </gradient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gradientFill degree="90">
          <stop position="0">
            <color theme="0"/>
          </stop>
          <stop position="1">
            <color rgb="FFFF8585"/>
          </stop>
        </gradient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gradientFill degree="90">
          <stop position="0">
            <color theme="0"/>
          </stop>
          <stop position="1">
            <color rgb="FFFF8585"/>
          </stop>
        </gradient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gradientFill degree="90">
          <stop position="0">
            <color theme="0"/>
          </stop>
          <stop position="1">
            <color rgb="FFFF8585"/>
          </stop>
        </gradient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gradientFill degree="90">
          <stop position="0">
            <color theme="0"/>
          </stop>
          <stop position="1">
            <color rgb="FFFF8585"/>
          </stop>
        </gradient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gradientFill degree="90">
          <stop position="0">
            <color theme="0"/>
          </stop>
          <stop position="1">
            <color rgb="FFFF8585"/>
          </stop>
        </gradient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gradientFill degree="90">
          <stop position="0">
            <color theme="0"/>
          </stop>
          <stop position="1">
            <color rgb="FFFF8585"/>
          </stop>
        </gradient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gradientFill degree="90">
          <stop position="0">
            <color theme="0"/>
          </stop>
          <stop position="1">
            <color rgb="FFFF8585"/>
          </stop>
        </gradient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gradientFill degree="90">
          <stop position="0">
            <color theme="0"/>
          </stop>
          <stop position="1">
            <color rgb="FFFF8585"/>
          </stop>
        </gradient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gradientFill degree="90">
          <stop position="0">
            <color theme="0"/>
          </stop>
          <stop position="1">
            <color rgb="FFFF8585"/>
          </stop>
        </gradient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gradientFill degree="90">
          <stop position="0">
            <color theme="0"/>
          </stop>
          <stop position="1">
            <color rgb="FFFF8585"/>
          </stop>
        </gradient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gradientFill degree="90">
          <stop position="0">
            <color theme="0"/>
          </stop>
          <stop position="1">
            <color rgb="FFFF8585"/>
          </stop>
        </gradient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gradientFill degree="90">
          <stop position="0">
            <color theme="0"/>
          </stop>
          <stop position="1">
            <color rgb="FFFF8585"/>
          </stop>
        </gradient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gradientFill degree="90">
          <stop position="0">
            <color theme="0"/>
          </stop>
          <stop position="1">
            <color rgb="FFFF8585"/>
          </stop>
        </gradient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gradientFill degree="90">
          <stop position="0">
            <color theme="0"/>
          </stop>
          <stop position="1">
            <color rgb="FFFF8585"/>
          </stop>
        </gradient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gradientFill degree="90">
          <stop position="0">
            <color theme="0"/>
          </stop>
          <stop position="1">
            <color rgb="FFFF8585"/>
          </stop>
        </gradient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gradientFill degree="90">
          <stop position="0">
            <color theme="0"/>
          </stop>
          <stop position="1">
            <color rgb="FFFF8585"/>
          </stop>
        </gradientFill>
      </fill>
    </dxf>
    <dxf>
      <fill>
        <gradientFill type="path" left="0.5" right="0.5" top="0.5" bottom="0.5">
          <stop position="0">
            <color theme="0"/>
          </stop>
          <stop position="1">
            <color rgb="FFFF8585"/>
          </stop>
        </gradientFill>
      </fill>
    </dxf>
    <dxf>
      <font>
        <strike val="0"/>
        <outline val="0"/>
        <shadow val="0"/>
        <vertAlign val="baseline"/>
        <sz val="11"/>
        <color theme="0" tint="-0.34998626667073579"/>
        <name val="Arial"/>
      </font>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vertAlign val="baseline"/>
        <sz val="11"/>
        <color theme="0" tint="-0.34998626667073579"/>
        <name val="Arial"/>
      </font>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vertAlign val="baseline"/>
        <sz val="11"/>
        <color theme="0" tint="-0.34998626667073579"/>
        <name val="Arial"/>
      </font>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vertAlign val="baseline"/>
        <sz val="11"/>
        <color theme="0" tint="-0.34998626667073579"/>
        <name val="Arial"/>
      </font>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vertAlign val="baseline"/>
        <sz val="11"/>
        <color theme="0" tint="-0.34998626667073579"/>
        <name val="Arial"/>
      </font>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vertAlign val="baseline"/>
        <sz val="11"/>
        <color theme="0" tint="-0.34998626667073579"/>
        <name val="Arial"/>
      </font>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vertAlign val="baseline"/>
        <sz val="11"/>
        <color theme="0" tint="-0.34998626667073579"/>
        <name val="Arial"/>
      </font>
      <numFmt numFmtId="0" formatCode="Genera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dxf>
    <dxf>
      <font>
        <strike val="0"/>
        <condense val="0"/>
        <extend val="0"/>
        <outline val="0"/>
        <shadow val="0"/>
        <vertAlign val="baseline"/>
        <sz val="11"/>
        <color theme="0" tint="-0.34998626667073579"/>
        <name val="Arial"/>
      </font>
      <numFmt numFmtId="0" formatCode="Genera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vertAlign val="baseline"/>
        <sz val="11"/>
        <color theme="0" tint="-0.34998626667073579"/>
        <name val="Arial"/>
        <family val="2"/>
      </font>
      <numFmt numFmtId="0" formatCode="Genera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dxf>
    <dxf>
      <font>
        <strike val="0"/>
        <condense val="0"/>
        <extend val="0"/>
        <outline val="0"/>
        <shadow val="0"/>
        <vertAlign val="baseline"/>
        <sz val="11"/>
        <color auto="1"/>
        <name val="Arial"/>
      </font>
      <alignment horizontal="left" vertical="center" indent="1"/>
      <border>
        <left style="thin">
          <color indexed="64"/>
        </left>
        <right style="thin">
          <color indexed="64"/>
        </right>
        <top style="thin">
          <color indexed="64"/>
        </top>
        <bottom style="thin">
          <color indexed="64"/>
        </bottom>
        <vertical/>
        <horizontal/>
      </border>
    </dxf>
    <dxf>
      <font>
        <strike val="0"/>
        <condense val="0"/>
        <extend val="0"/>
        <outline val="0"/>
        <shadow val="0"/>
        <vertAlign val="baseline"/>
        <sz val="11"/>
        <color theme="0" tint="-0.34998626667073579"/>
        <name val="Arial"/>
      </font>
      <numFmt numFmtId="0" formatCode="General"/>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vertAlign val="baseline"/>
        <sz val="11"/>
        <name val="Arial"/>
      </font>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vertAlign val="baseline"/>
        <sz val="11"/>
        <name val="Arial"/>
      </font>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vertAlign val="baseline"/>
        <sz val="11"/>
        <name val="Arial"/>
      </font>
      <alignment horizontal="center" vertical="center"/>
      <border>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vertAlign val="baseline"/>
        <sz val="11"/>
        <name val="Arial"/>
      </font>
      <numFmt numFmtId="0" formatCode="General"/>
      <alignment horizontal="center" vertical="center"/>
      <border outline="0">
        <left/>
        <right style="thin">
          <color indexed="64"/>
        </right>
        <top style="thin">
          <color indexed="64"/>
        </top>
        <bottom style="thin">
          <color indexed="64"/>
        </bottom>
      </border>
    </dxf>
    <dxf>
      <font>
        <strike val="0"/>
        <outline val="0"/>
        <shadow val="0"/>
        <vertAlign val="baseline"/>
        <sz val="11"/>
        <name val="Arial"/>
      </font>
      <alignment horizontal="left" vertical="center" relativeIndent="1"/>
      <border outline="0">
        <left style="thin">
          <color indexed="64"/>
        </left>
        <right style="thin">
          <color indexed="64"/>
        </right>
        <top style="thin">
          <color indexed="64"/>
        </top>
        <bottom style="thin">
          <color indexed="64"/>
        </bottom>
      </border>
    </dxf>
    <dxf>
      <font>
        <strike val="0"/>
        <outline val="0"/>
        <shadow val="0"/>
        <vertAlign val="baseline"/>
        <sz val="11"/>
        <name val="Arial"/>
      </font>
      <alignment horizontal="center" vertical="center"/>
    </dxf>
    <dxf>
      <border>
        <bottom style="thin">
          <color indexed="64"/>
        </bottom>
      </border>
    </dxf>
    <dxf>
      <font>
        <strike val="0"/>
        <outline val="0"/>
        <shadow val="0"/>
        <vertAlign val="baseline"/>
        <sz val="11"/>
        <color theme="0"/>
        <name val="Arial"/>
      </font>
      <alignment horizontal="center" vertical="center"/>
      <border>
        <left style="thin">
          <color indexed="64"/>
        </left>
        <right style="thin">
          <color indexed="64"/>
        </right>
        <top/>
        <bottom/>
        <vertical style="thin">
          <color indexed="64"/>
        </vertical>
        <horizontal style="thin">
          <color indexed="64"/>
        </horizontal>
      </border>
    </dxf>
    <dxf>
      <font>
        <color rgb="FF00B050"/>
      </font>
    </dxf>
    <dxf>
      <font>
        <color rgb="FF00B050"/>
      </font>
    </dxf>
    <dxf>
      <font>
        <color rgb="FF00B050"/>
      </font>
      <fill>
        <patternFill>
          <bgColor theme="6" tint="0.79998168889431442"/>
        </patternFill>
      </fill>
    </dxf>
    <dxf>
      <font>
        <color rgb="FF00B050"/>
      </font>
    </dxf>
    <dxf>
      <font>
        <color rgb="FF00B050"/>
      </font>
      <fill>
        <patternFill>
          <bgColor theme="6" tint="0.79998168889431442"/>
        </patternFill>
      </fill>
    </dxf>
    <dxf>
      <fill>
        <patternFill>
          <bgColor theme="8" tint="0.79998168889431442"/>
        </patternFill>
      </fill>
    </dxf>
    <dxf>
      <fill>
        <patternFill>
          <bgColor theme="7" tint="0.79998168889431442"/>
        </patternFill>
      </fill>
    </dxf>
    <dxf>
      <fill>
        <patternFill>
          <bgColor theme="6" tint="0.79998168889431442"/>
        </patternFill>
      </fill>
    </dxf>
  </dxfs>
  <tableStyles count="0" defaultTableStyle="TableStyleMedium9" defaultPivotStyle="PivotStyleLight16"/>
  <colors>
    <mruColors>
      <color rgb="FFFFFFCC"/>
      <color rgb="FF538DD5"/>
      <color rgb="FFFDE9D9"/>
      <color rgb="FFC6EFCE"/>
      <color rgb="FF0000FF"/>
      <color rgb="FFE26B0A"/>
      <color rgb="FFFFF44F"/>
      <color rgb="FF9C0006"/>
      <color rgb="FF006100"/>
      <color rgb="FFFFC7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externalLink" Target="externalLinks/externalLink4.xml"/><Relationship Id="rId47" Type="http://schemas.openxmlformats.org/officeDocument/2006/relationships/styles" Target="styles.xml"/><Relationship Id="rId50" Type="http://schemas.microsoft.com/office/2017/06/relationships/rdRichValue" Target="richData/rdrichvalue.xml"/><Relationship Id="rId55"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externalLink" Target="externalLinks/externalLink2.xml"/><Relationship Id="rId45" Type="http://schemas.openxmlformats.org/officeDocument/2006/relationships/externalLink" Target="externalLinks/externalLink7.xml"/><Relationship Id="rId53" Type="http://schemas.openxmlformats.org/officeDocument/2006/relationships/calcChain" Target="calcChain.xml"/><Relationship Id="rId5" Type="http://schemas.openxmlformats.org/officeDocument/2006/relationships/worksheet" Target="worksheets/sheet5.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externalLink" Target="externalLinks/externalLink5.xml"/><Relationship Id="rId48" Type="http://schemas.openxmlformats.org/officeDocument/2006/relationships/sharedStrings" Target="sharedStrings.xml"/><Relationship Id="rId56" Type="http://schemas.openxmlformats.org/officeDocument/2006/relationships/customXml" Target="../customXml/item3.xml"/><Relationship Id="rId8" Type="http://schemas.openxmlformats.org/officeDocument/2006/relationships/worksheet" Target="worksheets/sheet8.xml"/><Relationship Id="rId51" Type="http://schemas.microsoft.com/office/2017/06/relationships/rdRichValueStructure" Target="richData/rdrichvaluestructure.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theme" Target="theme/theme1.xml"/><Relationship Id="rId20" Type="http://schemas.openxmlformats.org/officeDocument/2006/relationships/worksheet" Target="worksheets/sheet20.xml"/><Relationship Id="rId41" Type="http://schemas.openxmlformats.org/officeDocument/2006/relationships/externalLink" Target="externalLinks/externalLink3.xml"/><Relationship Id="rId54"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heetMetadata" Target="metadata.xml"/><Relationship Id="rId57" Type="http://schemas.microsoft.com/office/2006/relationships/vbaProject" Target="vbaProject.bin"/><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externalLink" Target="externalLinks/externalLink6.xml"/><Relationship Id="rId52" Type="http://schemas.microsoft.com/office/2017/06/relationships/rdRichValueTypes" Target="richData/rdRichValueTyp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GBox" noThreeD="1"/>
</file>

<file path=xl/ctrlProps/ctrlProp4.xml><?xml version="1.0" encoding="utf-8"?>
<formControlPr xmlns="http://schemas.microsoft.com/office/spreadsheetml/2009/9/main" objectType="GBox" noThreeD="1"/>
</file>

<file path=xl/ctrlProps/ctrlProp5.xml><?xml version="1.0" encoding="utf-8"?>
<formControlPr xmlns="http://schemas.microsoft.com/office/spreadsheetml/2009/9/main" objectType="GBox" noThreeD="1"/>
</file>

<file path=xl/ctrlProps/ctrlProp6.xml><?xml version="1.0" encoding="utf-8"?>
<formControlPr xmlns="http://schemas.microsoft.com/office/spreadsheetml/2009/9/main" objectType="GBox" noThreeD="1"/>
</file>

<file path=xl/ctrlProps/ctrlProp7.xml><?xml version="1.0" encoding="utf-8"?>
<formControlPr xmlns="http://schemas.microsoft.com/office/spreadsheetml/2009/9/main" objectType="GBox"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GBox" noThreeD="1"/>
</file>

<file path=xl/ctrlProps/ctrlProp12.xml><?xml version="1.0" encoding="utf-8"?>
<formControlPr xmlns="http://schemas.microsoft.com/office/spreadsheetml/2009/9/main" objectType="GBox" noThreeD="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5</xdr:col>
      <xdr:colOff>1114425</xdr:colOff>
      <xdr:row>12</xdr:row>
      <xdr:rowOff>57150</xdr:rowOff>
    </xdr:from>
    <xdr:to>
      <xdr:col>7</xdr:col>
      <xdr:colOff>295</xdr:colOff>
      <xdr:row>22</xdr:row>
      <xdr:rowOff>86048</xdr:rowOff>
    </xdr:to>
    <xdr:pic>
      <xdr:nvPicPr>
        <xdr:cNvPr id="2" name="Picture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581900" y="2343150"/>
          <a:ext cx="2114845" cy="2314898"/>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295275</xdr:colOff>
      <xdr:row>237</xdr:row>
      <xdr:rowOff>104775</xdr:rowOff>
    </xdr:from>
    <xdr:to>
      <xdr:col>12</xdr:col>
      <xdr:colOff>398462</xdr:colOff>
      <xdr:row>276</xdr:row>
      <xdr:rowOff>92711</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295275" y="43453050"/>
          <a:ext cx="10815637" cy="8903336"/>
        </a:xfrm>
        <a:prstGeom prst="rect">
          <a:avLst/>
        </a:prstGeom>
        <a:ln w="19050">
          <a:solidFill>
            <a:schemeClr val="accent4">
              <a:lumMod val="60000"/>
              <a:lumOff val="40000"/>
            </a:schemeClr>
          </a:solidFill>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15</xdr:col>
      <xdr:colOff>123826</xdr:colOff>
      <xdr:row>4</xdr:row>
      <xdr:rowOff>85725</xdr:rowOff>
    </xdr:from>
    <xdr:to>
      <xdr:col>24</xdr:col>
      <xdr:colOff>152401</xdr:colOff>
      <xdr:row>17</xdr:row>
      <xdr:rowOff>8890</xdr:rowOff>
    </xdr:to>
    <xdr:pic>
      <xdr:nvPicPr>
        <xdr:cNvPr id="2" name="Picture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cstate="print"/>
        <a:stretch>
          <a:fillRect/>
        </a:stretch>
      </xdr:blipFill>
      <xdr:spPr bwMode="auto">
        <a:xfrm>
          <a:off x="3990976" y="1990725"/>
          <a:ext cx="2514600" cy="2409825"/>
        </a:xfrm>
        <a:prstGeom prst="rect">
          <a:avLst/>
        </a:prstGeom>
        <a:noFill/>
        <a:ln>
          <a:prstDash val="solid"/>
        </a:ln>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581025</xdr:colOff>
          <xdr:row>4</xdr:row>
          <xdr:rowOff>47625</xdr:rowOff>
        </xdr:from>
        <xdr:to>
          <xdr:col>3</xdr:col>
          <xdr:colOff>257175</xdr:colOff>
          <xdr:row>5</xdr:row>
          <xdr:rowOff>9525</xdr:rowOff>
        </xdr:to>
        <xdr:sp macro="" textlink="">
          <xdr:nvSpPr>
            <xdr:cNvPr id="4099" name="Object 3" hidden="1">
              <a:extLst>
                <a:ext uri="{63B3BB69-23CF-44E3-9099-C40C66FF867C}">
                  <a14:compatExt spid="_x0000_s4099"/>
                </a:ext>
                <a:ext uri="{FF2B5EF4-FFF2-40B4-BE49-F238E27FC236}">
                  <a16:creationId xmlns:a16="http://schemas.microsoft.com/office/drawing/2014/main" id="{00000000-0008-0000-0400-000003100000}"/>
                </a:ext>
              </a:extLst>
            </xdr:cNvPr>
            <xdr:cNvSpPr/>
          </xdr:nvSpPr>
          <xdr:spPr bwMode="auto">
            <a:xfrm>
              <a:off x="0" y="0"/>
              <a:ext cx="0" cy="0"/>
            </a:xfrm>
            <a:prstGeom prst="rect">
              <a:avLst/>
            </a:prstGeom>
            <a:solidFill>
              <a:srgbClr val="99CCFF" mc:Ignorable="a14" a14:legacySpreadsheetColorIndex="44"/>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104775</xdr:colOff>
          <xdr:row>0</xdr:row>
          <xdr:rowOff>95250</xdr:rowOff>
        </xdr:from>
        <xdr:to>
          <xdr:col>6</xdr:col>
          <xdr:colOff>1543050</xdr:colOff>
          <xdr:row>0</xdr:row>
          <xdr:rowOff>647700</xdr:rowOff>
        </xdr:to>
        <xdr:sp macro="" textlink="">
          <xdr:nvSpPr>
            <xdr:cNvPr id="944149" name="Button 21" hidden="1">
              <a:extLst>
                <a:ext uri="{63B3BB69-23CF-44E3-9099-C40C66FF867C}">
                  <a14:compatExt spid="_x0000_s944149"/>
                </a:ext>
                <a:ext uri="{FF2B5EF4-FFF2-40B4-BE49-F238E27FC236}">
                  <a16:creationId xmlns:a16="http://schemas.microsoft.com/office/drawing/2014/main" id="{00000000-0008-0000-0C00-000015680E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1" i="0" u="none" strike="noStrike" baseline="0">
                  <a:solidFill>
                    <a:srgbClr val="000000"/>
                  </a:solidFill>
                  <a:latin typeface="Arial"/>
                  <a:cs typeface="Arial"/>
                </a:rPr>
                <a:t>Instructions</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47</xdr:col>
          <xdr:colOff>85725</xdr:colOff>
          <xdr:row>2</xdr:row>
          <xdr:rowOff>85725</xdr:rowOff>
        </xdr:from>
        <xdr:to>
          <xdr:col>47</xdr:col>
          <xdr:colOff>704850</xdr:colOff>
          <xdr:row>3</xdr:row>
          <xdr:rowOff>142875</xdr:rowOff>
        </xdr:to>
        <xdr:sp macro="" textlink="">
          <xdr:nvSpPr>
            <xdr:cNvPr id="413750" name="Button 54" hidden="1">
              <a:extLst>
                <a:ext uri="{63B3BB69-23CF-44E3-9099-C40C66FF867C}">
                  <a14:compatExt spid="_x0000_s413750"/>
                </a:ext>
                <a:ext uri="{FF2B5EF4-FFF2-40B4-BE49-F238E27FC236}">
                  <a16:creationId xmlns:a16="http://schemas.microsoft.com/office/drawing/2014/main" id="{00000000-0008-0000-0D00-0000365006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US" sz="1000" b="0" i="0" u="none" strike="noStrike" baseline="0">
                  <a:solidFill>
                    <a:srgbClr val="000000"/>
                  </a:solidFill>
                  <a:latin typeface="Arial"/>
                  <a:cs typeface="Arial"/>
                </a:rPr>
                <a:t>Click Here</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30</xdr:col>
          <xdr:colOff>0</xdr:colOff>
          <xdr:row>10</xdr:row>
          <xdr:rowOff>0</xdr:rowOff>
        </xdr:from>
        <xdr:to>
          <xdr:col>41</xdr:col>
          <xdr:colOff>447675</xdr:colOff>
          <xdr:row>10</xdr:row>
          <xdr:rowOff>0</xdr:rowOff>
        </xdr:to>
        <xdr:sp macro="" textlink="">
          <xdr:nvSpPr>
            <xdr:cNvPr id="458754" name="Group Box 2" hidden="1">
              <a:extLst>
                <a:ext uri="{63B3BB69-23CF-44E3-9099-C40C66FF867C}">
                  <a14:compatExt spid="_x0000_s458754"/>
                </a:ext>
                <a:ext uri="{FF2B5EF4-FFF2-40B4-BE49-F238E27FC236}">
                  <a16:creationId xmlns:a16="http://schemas.microsoft.com/office/drawing/2014/main" id="{00000000-0008-0000-1E00-0000020007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Group Box 41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10</xdr:row>
          <xdr:rowOff>0</xdr:rowOff>
        </xdr:from>
        <xdr:to>
          <xdr:col>41</xdr:col>
          <xdr:colOff>447675</xdr:colOff>
          <xdr:row>10</xdr:row>
          <xdr:rowOff>0</xdr:rowOff>
        </xdr:to>
        <xdr:sp macro="" textlink="">
          <xdr:nvSpPr>
            <xdr:cNvPr id="458756" name="Group Box 4" hidden="1">
              <a:extLst>
                <a:ext uri="{63B3BB69-23CF-44E3-9099-C40C66FF867C}">
                  <a14:compatExt spid="_x0000_s458756"/>
                </a:ext>
                <a:ext uri="{FF2B5EF4-FFF2-40B4-BE49-F238E27FC236}">
                  <a16:creationId xmlns:a16="http://schemas.microsoft.com/office/drawing/2014/main" id="{00000000-0008-0000-1E00-0000040007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Group Box 41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10</xdr:row>
          <xdr:rowOff>0</xdr:rowOff>
        </xdr:from>
        <xdr:to>
          <xdr:col>41</xdr:col>
          <xdr:colOff>447675</xdr:colOff>
          <xdr:row>10</xdr:row>
          <xdr:rowOff>0</xdr:rowOff>
        </xdr:to>
        <xdr:sp macro="" textlink="">
          <xdr:nvSpPr>
            <xdr:cNvPr id="458761" name="Group Box 9" hidden="1">
              <a:extLst>
                <a:ext uri="{63B3BB69-23CF-44E3-9099-C40C66FF867C}">
                  <a14:compatExt spid="_x0000_s458761"/>
                </a:ext>
                <a:ext uri="{FF2B5EF4-FFF2-40B4-BE49-F238E27FC236}">
                  <a16:creationId xmlns:a16="http://schemas.microsoft.com/office/drawing/2014/main" id="{00000000-0008-0000-1E00-0000090007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Group Box 41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10</xdr:row>
          <xdr:rowOff>0</xdr:rowOff>
        </xdr:from>
        <xdr:to>
          <xdr:col>41</xdr:col>
          <xdr:colOff>447675</xdr:colOff>
          <xdr:row>10</xdr:row>
          <xdr:rowOff>0</xdr:rowOff>
        </xdr:to>
        <xdr:sp macro="" textlink="">
          <xdr:nvSpPr>
            <xdr:cNvPr id="458762" name="Group Box 10" hidden="1">
              <a:extLst>
                <a:ext uri="{63B3BB69-23CF-44E3-9099-C40C66FF867C}">
                  <a14:compatExt spid="_x0000_s458762"/>
                </a:ext>
                <a:ext uri="{FF2B5EF4-FFF2-40B4-BE49-F238E27FC236}">
                  <a16:creationId xmlns:a16="http://schemas.microsoft.com/office/drawing/2014/main" id="{00000000-0008-0000-1E00-00000A0007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Group Box 41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10</xdr:row>
          <xdr:rowOff>0</xdr:rowOff>
        </xdr:from>
        <xdr:to>
          <xdr:col>41</xdr:col>
          <xdr:colOff>447675</xdr:colOff>
          <xdr:row>10</xdr:row>
          <xdr:rowOff>0</xdr:rowOff>
        </xdr:to>
        <xdr:sp macro="" textlink="">
          <xdr:nvSpPr>
            <xdr:cNvPr id="458753" name="Group Box 1" hidden="1">
              <a:extLst>
                <a:ext uri="{63B3BB69-23CF-44E3-9099-C40C66FF867C}">
                  <a14:compatExt spid="_x0000_s458753"/>
                </a:ext>
                <a:ext uri="{FF2B5EF4-FFF2-40B4-BE49-F238E27FC236}">
                  <a16:creationId xmlns:a16="http://schemas.microsoft.com/office/drawing/2014/main" id="{00000000-0008-0000-1E00-0000010007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Group Box 37</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10</xdr:row>
          <xdr:rowOff>0</xdr:rowOff>
        </xdr:from>
        <xdr:to>
          <xdr:col>41</xdr:col>
          <xdr:colOff>447675</xdr:colOff>
          <xdr:row>10</xdr:row>
          <xdr:rowOff>0</xdr:rowOff>
        </xdr:to>
        <xdr:sp macro="" textlink="">
          <xdr:nvSpPr>
            <xdr:cNvPr id="458757" name="Group Box 5" hidden="1">
              <a:extLst>
                <a:ext uri="{63B3BB69-23CF-44E3-9099-C40C66FF867C}">
                  <a14:compatExt spid="_x0000_s458757"/>
                </a:ext>
                <a:ext uri="{FF2B5EF4-FFF2-40B4-BE49-F238E27FC236}">
                  <a16:creationId xmlns:a16="http://schemas.microsoft.com/office/drawing/2014/main" id="{00000000-0008-0000-1E00-0000050007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Group Box 41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10</xdr:row>
          <xdr:rowOff>0</xdr:rowOff>
        </xdr:from>
        <xdr:to>
          <xdr:col>41</xdr:col>
          <xdr:colOff>447675</xdr:colOff>
          <xdr:row>10</xdr:row>
          <xdr:rowOff>0</xdr:rowOff>
        </xdr:to>
        <xdr:sp macro="" textlink="">
          <xdr:nvSpPr>
            <xdr:cNvPr id="458758" name="Group Box 6" hidden="1">
              <a:extLst>
                <a:ext uri="{63B3BB69-23CF-44E3-9099-C40C66FF867C}">
                  <a14:compatExt spid="_x0000_s458758"/>
                </a:ext>
                <a:ext uri="{FF2B5EF4-FFF2-40B4-BE49-F238E27FC236}">
                  <a16:creationId xmlns:a16="http://schemas.microsoft.com/office/drawing/2014/main" id="{00000000-0008-0000-1E00-0000060007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Group Box 41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28575</xdr:colOff>
          <xdr:row>10</xdr:row>
          <xdr:rowOff>0</xdr:rowOff>
        </xdr:from>
        <xdr:to>
          <xdr:col>41</xdr:col>
          <xdr:colOff>409575</xdr:colOff>
          <xdr:row>10</xdr:row>
          <xdr:rowOff>0</xdr:rowOff>
        </xdr:to>
        <xdr:sp macro="" textlink="">
          <xdr:nvSpPr>
            <xdr:cNvPr id="458755" name="Group Box 3" hidden="1">
              <a:extLst>
                <a:ext uri="{63B3BB69-23CF-44E3-9099-C40C66FF867C}">
                  <a14:compatExt spid="_x0000_s458755"/>
                </a:ext>
                <a:ext uri="{FF2B5EF4-FFF2-40B4-BE49-F238E27FC236}">
                  <a16:creationId xmlns:a16="http://schemas.microsoft.com/office/drawing/2014/main" id="{00000000-0008-0000-1E00-0000030007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Group Box 44</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10</xdr:row>
          <xdr:rowOff>0</xdr:rowOff>
        </xdr:from>
        <xdr:to>
          <xdr:col>41</xdr:col>
          <xdr:colOff>447675</xdr:colOff>
          <xdr:row>10</xdr:row>
          <xdr:rowOff>0</xdr:rowOff>
        </xdr:to>
        <xdr:sp macro="" textlink="">
          <xdr:nvSpPr>
            <xdr:cNvPr id="458759" name="Group Box 7" hidden="1">
              <a:extLst>
                <a:ext uri="{63B3BB69-23CF-44E3-9099-C40C66FF867C}">
                  <a14:compatExt spid="_x0000_s458759"/>
                </a:ext>
                <a:ext uri="{FF2B5EF4-FFF2-40B4-BE49-F238E27FC236}">
                  <a16:creationId xmlns:a16="http://schemas.microsoft.com/office/drawing/2014/main" id="{00000000-0008-0000-1E00-0000070007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Group Box 41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30</xdr:col>
          <xdr:colOff>0</xdr:colOff>
          <xdr:row>10</xdr:row>
          <xdr:rowOff>0</xdr:rowOff>
        </xdr:from>
        <xdr:to>
          <xdr:col>41</xdr:col>
          <xdr:colOff>447675</xdr:colOff>
          <xdr:row>10</xdr:row>
          <xdr:rowOff>0</xdr:rowOff>
        </xdr:to>
        <xdr:sp macro="" textlink="">
          <xdr:nvSpPr>
            <xdr:cNvPr id="458760" name="Group Box 8" hidden="1">
              <a:extLst>
                <a:ext uri="{63B3BB69-23CF-44E3-9099-C40C66FF867C}">
                  <a14:compatExt spid="_x0000_s458760"/>
                </a:ext>
                <a:ext uri="{FF2B5EF4-FFF2-40B4-BE49-F238E27FC236}">
                  <a16:creationId xmlns:a16="http://schemas.microsoft.com/office/drawing/2014/main" id="{00000000-0008-0000-1E00-000008000700}"/>
                </a:ext>
              </a:extLst>
            </xdr:cNvPr>
            <xdr:cNvSpPr/>
          </xdr:nvSpPr>
          <xdr:spPr bwMode="auto">
            <a:xfrm>
              <a:off x="0" y="0"/>
              <a:ext cx="0" cy="0"/>
            </a:xfrm>
            <a:prstGeom prst="rect">
              <a:avLst/>
            </a:prstGeom>
            <a:noFill/>
            <a:ln w="9525">
              <a:miter lim="800000"/>
              <a:headEnd/>
              <a:tailEnd/>
            </a:ln>
            <a:extLst>
              <a:ext uri="{909E8E84-426E-40DD-AFC4-6F175D3DCCD1}">
                <a14:hiddenFill>
                  <a:noFill/>
                </a14:hiddenFill>
              </a:ext>
            </a:extLst>
          </xdr:spPr>
          <xdr:txBody>
            <a:bodyPr vertOverflow="clip" wrap="none" lIns="27432" tIns="18288" rIns="0" bIns="0" anchor="t" upright="1"/>
            <a:lstStyle/>
            <a:p>
              <a:pPr algn="l" rtl="0">
                <a:defRPr sz="1000"/>
              </a:pPr>
              <a:r>
                <a:rPr lang="en-US" sz="800" b="0" i="0" u="none" strike="noStrike" baseline="0">
                  <a:solidFill>
                    <a:srgbClr val="000000"/>
                  </a:solidFill>
                  <a:latin typeface="Segoe UI"/>
                  <a:cs typeface="Segoe UI"/>
                </a:rPr>
                <a:t>Group Box 41</a:t>
              </a:r>
            </a:p>
          </xdr:txBody>
        </xdr:sp>
        <xdr:clientData/>
      </xdr:twoCellAnchor>
    </mc:Choice>
    <mc:Fallback/>
  </mc:AlternateContent>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cahcd.sharepoint.com/sites/DSFAHub/Programs/5.%20MFSN%20(AB%20434)/1%20PDI/Round%204%20(Jan%202026)%20-%20MHP%20Gap%20NOFA/Design/Application/2026%20MFSN-Gapplication%20(4.15.26)%20Melissa.xlsm" TargetMode="External"/><Relationship Id="rId1" Type="http://schemas.openxmlformats.org/officeDocument/2006/relationships/externalLinkPath" Target="2026%20MFSN-Gapplication%20(4.15.26)%20Melissa.xlsm"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_rels/externalLink3.xml.rels><?xml version="1.0" encoding="UTF-8" standalone="yes"?>
<Relationships xmlns="http://schemas.openxmlformats.org/package/2006/relationships"><Relationship Id="rId1" Type="http://schemas.microsoft.com/office/2006/relationships/xlExternalLinkPath/xlPathMissing" Target="RecoveredExternalLink2"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C:\Users\DHervey\Downloads\2026-4-percent-attachment-40.xlsx" TargetMode="External"/><Relationship Id="rId1" Type="http://schemas.openxmlformats.org/officeDocument/2006/relationships/externalLinkPath" Target="2026-4-percent-attachment-40.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Users/grodine/Downloads/universalapplication.xls" TargetMode="External"/><Relationship Id="rId1" Type="http://schemas.openxmlformats.org/officeDocument/2006/relationships/externalLinkPath" Target="/Users/grodine/Downloads/universalapplication.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QFILES\groups\CA\AMC-RHDS%20P&amp;P%20Task%20Force\Universal%20Application\Core%20UA%2008-24-10%20unprotected.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hqfiles\groups\DFA\Programs\VHHP\4.%20VHHP%20Round%203%20(12-14-16)%20Planning\Application\Copy%20of%20universalapplication.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ropdowns"/>
      <sheetName val="Lists"/>
      <sheetName val="Visibility"/>
      <sheetName val="Cover Page"/>
      <sheetName val="Instructions"/>
      <sheetName val="Application Certification"/>
      <sheetName val="Project Overview"/>
      <sheetName val="Contact List"/>
      <sheetName val="Updated Dev Sources"/>
      <sheetName val="Sponsor History"/>
      <sheetName val="Max Loan and Grant Amounts"/>
      <sheetName val="Gap Eligibility"/>
      <sheetName val="Updated Unit Mix"/>
      <sheetName val="Updated Operating Budget"/>
      <sheetName val="Updated Dev Budget SU"/>
      <sheetName val="Supportive Services Costs"/>
      <sheetName val="HCD Reserves Calculator"/>
      <sheetName val="Updated Cash Flow"/>
      <sheetName val="VHHP Threshold Requirements"/>
      <sheetName val="VHHP Program Requirements"/>
      <sheetName val="VHHP Resident Services Coord"/>
      <sheetName val="VHHP - Supportive Services Plan"/>
      <sheetName val="SHMHP or TOD Requirements"/>
      <sheetName val="MHP Threshold Requirements"/>
      <sheetName val="MHP - Supportive Services Plan"/>
      <sheetName val="At High Risk Req"/>
      <sheetName val="SH &amp; SNP Exp"/>
      <sheetName val="Supportive Services Verif"/>
      <sheetName val="FWHG Threshold Requirements"/>
      <sheetName val="IIG Threshold Requirements"/>
      <sheetName val="High-Cost Verification"/>
      <sheetName val="Developer Fee"/>
      <sheetName val="Scoring"/>
      <sheetName val="Local Enviro Verification"/>
      <sheetName val="Sponsor Certification"/>
      <sheetName val="Entity Org Docs"/>
      <sheetName val="Document Checklist-Full List"/>
      <sheetName val="Application Sup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ropdowns"/>
      <sheetName val="Lists"/>
      <sheetName val="Visibility"/>
      <sheetName val="Cover Page"/>
      <sheetName val="Instructions"/>
      <sheetName val="Application Self-Certification"/>
      <sheetName val="Project Overview"/>
      <sheetName val="Contact List"/>
      <sheetName val="Dev Sources"/>
      <sheetName val="Sponsor History"/>
      <sheetName val="Basis &amp; Credits"/>
      <sheetName val="Funding Gap Tool"/>
      <sheetName val="Unit Mix"/>
      <sheetName val="Max Loan and Grant Amounts"/>
      <sheetName val="Operating Budget"/>
      <sheetName val="Dev Budget SU"/>
      <sheetName val="Supportive Services Costs"/>
      <sheetName val="HCD Reserves Calculator"/>
      <sheetName val="Cash Flow"/>
      <sheetName val="VHHP Threshold Requirements"/>
      <sheetName val="VHHP Program Requirements"/>
      <sheetName val="VHHP Resident Services Coord"/>
      <sheetName val="VHHP - Supportive Services Plan"/>
      <sheetName val="SHMHP or TOD Requirements"/>
      <sheetName val="MHP Threshold Requirements"/>
      <sheetName val="MHP - Supportive Services Plan"/>
      <sheetName val="At High Risk Req"/>
      <sheetName val="SH &amp; SNP Exp"/>
      <sheetName val="Supportive Services Verif"/>
      <sheetName val="FWHG Threshold Requirements"/>
      <sheetName val="IIG Threshold Requirements"/>
      <sheetName val="High-Cost Verification"/>
      <sheetName val="Developer Fee"/>
      <sheetName val="Scoring"/>
      <sheetName val="Local Enviro Verification"/>
      <sheetName val="Sponsor Certification"/>
      <sheetName val="Entity Org Docs"/>
      <sheetName val="Document Checklist-Full List"/>
      <sheetName val="Application Support"/>
      <sheetName val="RecoveredExternalLink1"/>
      <sheetName val="Application Coverpage"/>
      <sheetName val="Overview"/>
      <sheetName val="Mapping"/>
      <sheetName val="Contacts Information"/>
      <sheetName val="Additional Requirements"/>
      <sheetName val="Summary"/>
      <sheetName val="Rent Limits"/>
      <sheetName val="Dev Fee 2022"/>
      <sheetName val="Special Conditions"/>
      <sheetName val="Project Milestones"/>
      <sheetName val="Upload checklist"/>
    </sheetNames>
    <sheetDataSet>
      <sheetData sheetId="0">
        <row r="1">
          <cell r="A1" t="str">
            <v>Cooperative</v>
          </cell>
        </row>
        <row r="2">
          <cell r="A2" t="str">
            <v>Corporation</v>
          </cell>
        </row>
        <row r="3">
          <cell r="A3" t="str">
            <v>Individual</v>
          </cell>
        </row>
        <row r="4">
          <cell r="A4" t="str">
            <v>Limited Liability Corporation</v>
          </cell>
        </row>
        <row r="5">
          <cell r="A5" t="str">
            <v>Limited Partnership</v>
          </cell>
        </row>
        <row r="6">
          <cell r="A6" t="str">
            <v>Local Public Entity</v>
          </cell>
        </row>
        <row r="7">
          <cell r="A7" t="str">
            <v>Other Legal Entity</v>
          </cell>
          <cell r="P7">
            <v>0.15</v>
          </cell>
        </row>
        <row r="8">
          <cell r="A8" t="str">
            <v>Partnership</v>
          </cell>
          <cell r="P8">
            <v>0.2</v>
          </cell>
        </row>
        <row r="9">
          <cell r="A9" t="str">
            <v>Joint Venture</v>
          </cell>
          <cell r="P9">
            <v>0.25</v>
          </cell>
        </row>
        <row r="10">
          <cell r="A10" t="str">
            <v>Tribal Entity</v>
          </cell>
          <cell r="P10">
            <v>0.3</v>
          </cell>
        </row>
        <row r="11">
          <cell r="A11" t="str">
            <v>Trust</v>
          </cell>
          <cell r="P11">
            <v>0.35</v>
          </cell>
        </row>
        <row r="12">
          <cell r="P12">
            <v>0.4</v>
          </cell>
        </row>
        <row r="13">
          <cell r="P13">
            <v>0.45</v>
          </cell>
        </row>
        <row r="14">
          <cell r="P14">
            <v>0.5</v>
          </cell>
        </row>
        <row r="15">
          <cell r="P15">
            <v>0.55000000000000004</v>
          </cell>
        </row>
        <row r="16">
          <cell r="P16">
            <v>0.6</v>
          </cell>
        </row>
        <row r="17">
          <cell r="P17">
            <v>0.65</v>
          </cell>
        </row>
        <row r="18">
          <cell r="P18">
            <v>0.7</v>
          </cell>
        </row>
        <row r="19">
          <cell r="P19">
            <v>0.75</v>
          </cell>
        </row>
        <row r="20">
          <cell r="P20">
            <v>0.8</v>
          </cell>
        </row>
        <row r="21">
          <cell r="P21">
            <v>0.85</v>
          </cell>
        </row>
        <row r="22">
          <cell r="P22">
            <v>0.9</v>
          </cell>
        </row>
        <row r="23">
          <cell r="P23">
            <v>0.95</v>
          </cell>
        </row>
        <row r="24">
          <cell r="P24" t="str">
            <v>Manager</v>
          </cell>
        </row>
        <row r="25">
          <cell r="P25" t="str">
            <v>Market</v>
          </cell>
        </row>
        <row r="85">
          <cell r="A85" t="str">
            <v>No</v>
          </cell>
        </row>
        <row r="87">
          <cell r="A87" t="str">
            <v>Yes</v>
          </cell>
        </row>
        <row r="88">
          <cell r="A88" t="str">
            <v>No</v>
          </cell>
        </row>
      </sheetData>
      <sheetData sheetId="1"/>
      <sheetData sheetId="2">
        <row r="3">
          <cell r="L3">
            <v>0</v>
          </cell>
          <cell r="M3">
            <v>0</v>
          </cell>
          <cell r="N3">
            <v>0</v>
          </cell>
          <cell r="O3">
            <v>0</v>
          </cell>
          <cell r="P3">
            <v>0</v>
          </cell>
          <cell r="Q3">
            <v>0</v>
          </cell>
        </row>
      </sheetData>
      <sheetData sheetId="3"/>
      <sheetData sheetId="4"/>
      <sheetData sheetId="5"/>
      <sheetData sheetId="6">
        <row r="3">
          <cell r="AO3" t="b">
            <v>0</v>
          </cell>
        </row>
        <row r="6">
          <cell r="AO6" t="b">
            <v>0</v>
          </cell>
        </row>
        <row r="14">
          <cell r="AO14" t="b">
            <v>0</v>
          </cell>
        </row>
        <row r="15">
          <cell r="AO15" t="b">
            <v>0</v>
          </cell>
        </row>
        <row r="16">
          <cell r="AO16" t="b">
            <v>0</v>
          </cell>
        </row>
        <row r="17">
          <cell r="AO17" t="b">
            <v>0</v>
          </cell>
        </row>
        <row r="22">
          <cell r="B22" t="str">
            <v>No</v>
          </cell>
        </row>
        <row r="30">
          <cell r="AO30" t="b">
            <v>0</v>
          </cell>
        </row>
        <row r="40">
          <cell r="AO40" t="b">
            <v>0</v>
          </cell>
        </row>
        <row r="43">
          <cell r="AO43" t="b">
            <v>0</v>
          </cell>
        </row>
        <row r="47">
          <cell r="AO47" t="b">
            <v>0</v>
          </cell>
        </row>
        <row r="50">
          <cell r="AO50" t="b">
            <v>0</v>
          </cell>
        </row>
        <row r="53">
          <cell r="AO53" t="b">
            <v>0</v>
          </cell>
        </row>
        <row r="58">
          <cell r="AO58" t="b">
            <v>0</v>
          </cell>
        </row>
        <row r="60">
          <cell r="AO60" t="b">
            <v>0</v>
          </cell>
        </row>
        <row r="63">
          <cell r="AO63" t="b">
            <v>0</v>
          </cell>
        </row>
        <row r="181">
          <cell r="F181" t="str">
            <v>Los Angeles</v>
          </cell>
        </row>
        <row r="207">
          <cell r="H207">
            <v>0.04</v>
          </cell>
        </row>
      </sheetData>
      <sheetData sheetId="7"/>
      <sheetData sheetId="8">
        <row r="64">
          <cell r="E64">
            <v>0</v>
          </cell>
        </row>
      </sheetData>
      <sheetData sheetId="9"/>
      <sheetData sheetId="10"/>
      <sheetData sheetId="11"/>
      <sheetData sheetId="12">
        <row r="2">
          <cell r="CR2">
            <v>0</v>
          </cell>
          <cell r="CS2">
            <v>0.9</v>
          </cell>
        </row>
        <row r="3">
          <cell r="CR3">
            <v>1</v>
          </cell>
          <cell r="CS3">
            <v>1</v>
          </cell>
        </row>
        <row r="4">
          <cell r="CR4">
            <v>2</v>
          </cell>
          <cell r="CS4">
            <v>1.25</v>
          </cell>
        </row>
        <row r="5">
          <cell r="CR5">
            <v>3</v>
          </cell>
          <cell r="CS5">
            <v>1.5</v>
          </cell>
        </row>
        <row r="6">
          <cell r="CR6">
            <v>4</v>
          </cell>
          <cell r="CS6">
            <v>1.75</v>
          </cell>
        </row>
        <row r="7">
          <cell r="AH7">
            <v>0</v>
          </cell>
        </row>
        <row r="8">
          <cell r="AD8">
            <v>0</v>
          </cell>
        </row>
      </sheetData>
      <sheetData sheetId="13">
        <row r="9">
          <cell r="B9" t="b">
            <v>0</v>
          </cell>
        </row>
      </sheetData>
      <sheetData sheetId="14"/>
      <sheetData sheetId="15">
        <row r="4">
          <cell r="L4">
            <v>0</v>
          </cell>
        </row>
      </sheetData>
      <sheetData sheetId="16"/>
      <sheetData sheetId="17"/>
      <sheetData sheetId="18">
        <row r="94">
          <cell r="E94">
            <v>0</v>
          </cell>
          <cell r="J94">
            <v>0</v>
          </cell>
        </row>
      </sheetData>
      <sheetData sheetId="19"/>
      <sheetData sheetId="20"/>
      <sheetData sheetId="21"/>
      <sheetData sheetId="22"/>
      <sheetData sheetId="23">
        <row r="16">
          <cell r="AL16" t="str">
            <v>No</v>
          </cell>
        </row>
      </sheetData>
      <sheetData sheetId="24"/>
      <sheetData sheetId="25"/>
      <sheetData sheetId="26"/>
      <sheetData sheetId="27"/>
      <sheetData sheetId="28"/>
      <sheetData sheetId="29"/>
      <sheetData sheetId="30">
        <row r="19">
          <cell r="AL19" t="str">
            <v>Yes</v>
          </cell>
        </row>
      </sheetData>
      <sheetData sheetId="31">
        <row r="14">
          <cell r="I14">
            <v>0</v>
          </cell>
          <cell r="O14">
            <v>0</v>
          </cell>
        </row>
        <row r="22">
          <cell r="AF22" t="str">
            <v>Yes</v>
          </cell>
        </row>
      </sheetData>
      <sheetData sheetId="32"/>
      <sheetData sheetId="33">
        <row r="2">
          <cell r="AK2">
            <v>45890</v>
          </cell>
        </row>
      </sheetData>
      <sheetData sheetId="34"/>
      <sheetData sheetId="35"/>
      <sheetData sheetId="36"/>
      <sheetData sheetId="37">
        <row r="13">
          <cell r="AJ13" t="str">
            <v>Not Applicable</v>
          </cell>
        </row>
        <row r="14">
          <cell r="AJ14" t="str">
            <v>Not Applicable</v>
          </cell>
        </row>
        <row r="23">
          <cell r="AJ23" t="str">
            <v>Not Applicable</v>
          </cell>
        </row>
        <row r="159">
          <cell r="AJ159" t="str">
            <v>Not Applicable</v>
          </cell>
        </row>
        <row r="166">
          <cell r="AJ166" t="str">
            <v>Not Applicable</v>
          </cell>
        </row>
        <row r="167">
          <cell r="AJ167" t="str">
            <v>Not Applicable</v>
          </cell>
        </row>
        <row r="168">
          <cell r="AJ168" t="str">
            <v>Not Applicable</v>
          </cell>
        </row>
        <row r="169">
          <cell r="AJ169" t="str">
            <v>Not Applicable</v>
          </cell>
        </row>
      </sheetData>
      <sheetData sheetId="38"/>
      <sheetData sheetId="39" refreshError="1"/>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App Completion"/>
      <sheetName val="Instructions-Electronic Submit"/>
      <sheetName val="Checklist Items"/>
      <sheetName val="Application"/>
      <sheetName val="Sources and Uses Budget"/>
      <sheetName val="Basis &amp; Credits"/>
      <sheetName val="Sources and Basis Breakdown"/>
      <sheetName val="Points System"/>
      <sheetName val="Disaster Credit Tie Breaker"/>
      <sheetName val="Tie Breaker"/>
      <sheetName val="Subsidy Contract Calculation"/>
      <sheetName val="15 Year Pro Forma"/>
      <sheetName val="Applicant Notes"/>
      <sheetName val="Post-award Instructions"/>
      <sheetName val="SCE Basis and Credits"/>
      <sheetName val="FCE Basis and Credits"/>
      <sheetName val="Post-award Project Cost Changes"/>
      <sheetName val="Instructions-App Completion "/>
      <sheetName val="Application Checklist"/>
      <sheetName val="CalHFA Addendum"/>
    </sheetNames>
    <sheetDataSet>
      <sheetData sheetId="0"/>
      <sheetData sheetId="1"/>
      <sheetData sheetId="2"/>
      <sheetData sheetId="3">
        <row r="159">
          <cell r="CB159" t="str">
            <v>County</v>
          </cell>
        </row>
        <row r="160">
          <cell r="CC160">
            <v>2796</v>
          </cell>
          <cell r="CD160">
            <v>2996</v>
          </cell>
          <cell r="CE160">
            <v>3596</v>
          </cell>
          <cell r="CF160">
            <v>4154</v>
          </cell>
          <cell r="CG160">
            <v>4634</v>
          </cell>
          <cell r="CH160">
            <v>5114</v>
          </cell>
          <cell r="CJ160">
            <v>1937</v>
          </cell>
          <cell r="CK160">
            <v>2201</v>
          </cell>
          <cell r="CL160">
            <v>2682</v>
          </cell>
          <cell r="CM160">
            <v>3432</v>
          </cell>
          <cell r="CN160">
            <v>4077</v>
          </cell>
        </row>
        <row r="161">
          <cell r="CC161">
            <v>2020</v>
          </cell>
          <cell r="CD161">
            <v>2162</v>
          </cell>
          <cell r="CE161">
            <v>2594</v>
          </cell>
          <cell r="CF161">
            <v>3000</v>
          </cell>
          <cell r="CG161">
            <v>3346</v>
          </cell>
          <cell r="CH161">
            <v>3692</v>
          </cell>
          <cell r="CJ161">
            <v>1003</v>
          </cell>
          <cell r="CK161">
            <v>1101</v>
          </cell>
          <cell r="CL161">
            <v>1445</v>
          </cell>
          <cell r="CM161">
            <v>2025</v>
          </cell>
          <cell r="CN161">
            <v>2396</v>
          </cell>
        </row>
        <row r="162">
          <cell r="CC162">
            <v>1924</v>
          </cell>
          <cell r="CD162">
            <v>2062</v>
          </cell>
          <cell r="CE162">
            <v>2474</v>
          </cell>
          <cell r="CF162">
            <v>2856</v>
          </cell>
          <cell r="CG162">
            <v>3186</v>
          </cell>
          <cell r="CH162">
            <v>3516</v>
          </cell>
          <cell r="CJ162">
            <v>1253</v>
          </cell>
          <cell r="CK162">
            <v>1260</v>
          </cell>
          <cell r="CL162">
            <v>1493</v>
          </cell>
          <cell r="CM162">
            <v>2084</v>
          </cell>
          <cell r="CN162">
            <v>2507</v>
          </cell>
        </row>
        <row r="163">
          <cell r="CC163">
            <v>1644</v>
          </cell>
          <cell r="CD163">
            <v>1762</v>
          </cell>
          <cell r="CE163">
            <v>2114</v>
          </cell>
          <cell r="CF163">
            <v>2442</v>
          </cell>
          <cell r="CG163">
            <v>2724</v>
          </cell>
          <cell r="CH163">
            <v>3006</v>
          </cell>
          <cell r="CJ163">
            <v>1069</v>
          </cell>
          <cell r="CK163">
            <v>1126</v>
          </cell>
          <cell r="CL163">
            <v>1466</v>
          </cell>
          <cell r="CM163">
            <v>2054</v>
          </cell>
          <cell r="CN163">
            <v>2462</v>
          </cell>
        </row>
        <row r="164">
          <cell r="CC164">
            <v>1776</v>
          </cell>
          <cell r="CD164">
            <v>1902</v>
          </cell>
          <cell r="CE164">
            <v>2284</v>
          </cell>
          <cell r="CF164">
            <v>2640</v>
          </cell>
          <cell r="CG164">
            <v>2944</v>
          </cell>
          <cell r="CH164">
            <v>3248</v>
          </cell>
          <cell r="CJ164">
            <v>989</v>
          </cell>
          <cell r="CK164">
            <v>1086</v>
          </cell>
          <cell r="CL164">
            <v>1425</v>
          </cell>
          <cell r="CM164">
            <v>1997</v>
          </cell>
          <cell r="CN164">
            <v>2195</v>
          </cell>
        </row>
        <row r="165">
          <cell r="CC165">
            <v>1680</v>
          </cell>
          <cell r="CD165">
            <v>1800</v>
          </cell>
          <cell r="CE165">
            <v>2160</v>
          </cell>
          <cell r="CF165">
            <v>2496</v>
          </cell>
          <cell r="CG165">
            <v>2784</v>
          </cell>
          <cell r="CH165">
            <v>3072</v>
          </cell>
          <cell r="CJ165">
            <v>915</v>
          </cell>
          <cell r="CK165">
            <v>921</v>
          </cell>
          <cell r="CL165">
            <v>1208</v>
          </cell>
          <cell r="CM165">
            <v>1625</v>
          </cell>
          <cell r="CN165">
            <v>1631</v>
          </cell>
        </row>
        <row r="166">
          <cell r="CC166">
            <v>2796</v>
          </cell>
          <cell r="CD166">
            <v>2996</v>
          </cell>
          <cell r="CE166">
            <v>3596</v>
          </cell>
          <cell r="CF166">
            <v>4154</v>
          </cell>
          <cell r="CG166">
            <v>4634</v>
          </cell>
          <cell r="CH166">
            <v>5114</v>
          </cell>
          <cell r="CJ166">
            <v>1937</v>
          </cell>
          <cell r="CK166">
            <v>2201</v>
          </cell>
          <cell r="CL166">
            <v>2682</v>
          </cell>
          <cell r="CM166">
            <v>3432</v>
          </cell>
          <cell r="CN166">
            <v>4077</v>
          </cell>
        </row>
        <row r="167">
          <cell r="CC167">
            <v>1644</v>
          </cell>
          <cell r="CD167">
            <v>1762</v>
          </cell>
          <cell r="CE167">
            <v>2114</v>
          </cell>
          <cell r="CF167">
            <v>2442</v>
          </cell>
          <cell r="CG167">
            <v>2724</v>
          </cell>
          <cell r="CH167">
            <v>3006</v>
          </cell>
          <cell r="CJ167">
            <v>869</v>
          </cell>
          <cell r="CK167">
            <v>1086</v>
          </cell>
          <cell r="CL167">
            <v>1253</v>
          </cell>
          <cell r="CM167">
            <v>1756</v>
          </cell>
          <cell r="CN167">
            <v>2104</v>
          </cell>
        </row>
        <row r="168">
          <cell r="CC168">
            <v>2252</v>
          </cell>
          <cell r="CD168">
            <v>2412</v>
          </cell>
          <cell r="CE168">
            <v>2894</v>
          </cell>
          <cell r="CF168">
            <v>3342</v>
          </cell>
          <cell r="CG168">
            <v>3730</v>
          </cell>
          <cell r="CH168">
            <v>4116</v>
          </cell>
          <cell r="CJ168">
            <v>1679</v>
          </cell>
          <cell r="CK168">
            <v>1777</v>
          </cell>
          <cell r="CL168">
            <v>2206</v>
          </cell>
          <cell r="CM168">
            <v>2992</v>
          </cell>
          <cell r="CN168">
            <v>3455</v>
          </cell>
        </row>
        <row r="169">
          <cell r="CC169">
            <v>1644</v>
          </cell>
          <cell r="CD169">
            <v>1762</v>
          </cell>
          <cell r="CE169">
            <v>2114</v>
          </cell>
          <cell r="CF169">
            <v>2442</v>
          </cell>
          <cell r="CG169">
            <v>2724</v>
          </cell>
          <cell r="CH169">
            <v>3006</v>
          </cell>
          <cell r="CJ169">
            <v>1210</v>
          </cell>
          <cell r="CK169">
            <v>1217</v>
          </cell>
          <cell r="CL169">
            <v>1505</v>
          </cell>
          <cell r="CM169">
            <v>2109</v>
          </cell>
          <cell r="CN169">
            <v>2415</v>
          </cell>
        </row>
        <row r="170">
          <cell r="CC170">
            <v>1644</v>
          </cell>
          <cell r="CD170">
            <v>1762</v>
          </cell>
          <cell r="CE170">
            <v>2114</v>
          </cell>
          <cell r="CF170">
            <v>2442</v>
          </cell>
          <cell r="CG170">
            <v>2724</v>
          </cell>
          <cell r="CH170">
            <v>3006</v>
          </cell>
          <cell r="CJ170">
            <v>841</v>
          </cell>
          <cell r="CK170">
            <v>935</v>
          </cell>
          <cell r="CL170">
            <v>1227</v>
          </cell>
          <cell r="CM170">
            <v>1631</v>
          </cell>
          <cell r="CN170">
            <v>2060</v>
          </cell>
        </row>
        <row r="171">
          <cell r="CC171">
            <v>1644</v>
          </cell>
          <cell r="CD171">
            <v>1762</v>
          </cell>
          <cell r="CE171">
            <v>2114</v>
          </cell>
          <cell r="CF171">
            <v>2442</v>
          </cell>
          <cell r="CG171">
            <v>2724</v>
          </cell>
          <cell r="CH171">
            <v>3006</v>
          </cell>
          <cell r="CJ171">
            <v>1065</v>
          </cell>
          <cell r="CK171">
            <v>1132</v>
          </cell>
          <cell r="CL171">
            <v>1478</v>
          </cell>
          <cell r="CM171">
            <v>2071</v>
          </cell>
          <cell r="CN171">
            <v>2482</v>
          </cell>
        </row>
        <row r="172">
          <cell r="CC172">
            <v>1644</v>
          </cell>
          <cell r="CD172">
            <v>1762</v>
          </cell>
          <cell r="CE172">
            <v>2114</v>
          </cell>
          <cell r="CF172">
            <v>2442</v>
          </cell>
          <cell r="CG172">
            <v>2724</v>
          </cell>
          <cell r="CH172">
            <v>3006</v>
          </cell>
          <cell r="CJ172">
            <v>940</v>
          </cell>
          <cell r="CK172">
            <v>1056</v>
          </cell>
          <cell r="CL172">
            <v>1371</v>
          </cell>
          <cell r="CM172">
            <v>1873</v>
          </cell>
          <cell r="CN172">
            <v>2287</v>
          </cell>
        </row>
        <row r="173">
          <cell r="CC173">
            <v>1680</v>
          </cell>
          <cell r="CD173">
            <v>1800</v>
          </cell>
          <cell r="CE173">
            <v>2160</v>
          </cell>
          <cell r="CF173">
            <v>2496</v>
          </cell>
          <cell r="CG173">
            <v>2784</v>
          </cell>
          <cell r="CH173">
            <v>3072</v>
          </cell>
          <cell r="CJ173">
            <v>978</v>
          </cell>
          <cell r="CK173">
            <v>1254</v>
          </cell>
          <cell r="CL173">
            <v>1426</v>
          </cell>
          <cell r="CM173">
            <v>1734</v>
          </cell>
          <cell r="CN173">
            <v>2365</v>
          </cell>
        </row>
        <row r="174">
          <cell r="CC174">
            <v>1644</v>
          </cell>
          <cell r="CD174">
            <v>1762</v>
          </cell>
          <cell r="CE174">
            <v>2114</v>
          </cell>
          <cell r="CF174">
            <v>2442</v>
          </cell>
          <cell r="CG174">
            <v>2724</v>
          </cell>
          <cell r="CH174">
            <v>3006</v>
          </cell>
          <cell r="CJ174">
            <v>1058</v>
          </cell>
          <cell r="CK174">
            <v>1064</v>
          </cell>
          <cell r="CL174">
            <v>1380</v>
          </cell>
          <cell r="CM174">
            <v>1934</v>
          </cell>
          <cell r="CN174">
            <v>2317</v>
          </cell>
        </row>
        <row r="175">
          <cell r="CC175">
            <v>1644</v>
          </cell>
          <cell r="CD175">
            <v>1762</v>
          </cell>
          <cell r="CE175">
            <v>2114</v>
          </cell>
          <cell r="CF175">
            <v>2442</v>
          </cell>
          <cell r="CG175">
            <v>2724</v>
          </cell>
          <cell r="CH175">
            <v>3006</v>
          </cell>
          <cell r="CJ175">
            <v>1151</v>
          </cell>
          <cell r="CK175">
            <v>1158</v>
          </cell>
          <cell r="CL175">
            <v>1445</v>
          </cell>
          <cell r="CM175">
            <v>2025</v>
          </cell>
          <cell r="CN175">
            <v>2427</v>
          </cell>
        </row>
        <row r="176">
          <cell r="CC176">
            <v>1644</v>
          </cell>
          <cell r="CD176">
            <v>1762</v>
          </cell>
          <cell r="CE176">
            <v>2114</v>
          </cell>
          <cell r="CF176">
            <v>2442</v>
          </cell>
          <cell r="CG176">
            <v>2724</v>
          </cell>
          <cell r="CH176">
            <v>3006</v>
          </cell>
          <cell r="CJ176">
            <v>1053</v>
          </cell>
          <cell r="CK176">
            <v>1060</v>
          </cell>
          <cell r="CL176">
            <v>1390</v>
          </cell>
          <cell r="CM176">
            <v>1948</v>
          </cell>
          <cell r="CN176">
            <v>2334</v>
          </cell>
        </row>
        <row r="177">
          <cell r="CC177">
            <v>1644</v>
          </cell>
          <cell r="CD177">
            <v>1762</v>
          </cell>
          <cell r="CE177">
            <v>2114</v>
          </cell>
          <cell r="CF177">
            <v>2442</v>
          </cell>
          <cell r="CG177">
            <v>2724</v>
          </cell>
          <cell r="CH177">
            <v>3006</v>
          </cell>
          <cell r="CJ177">
            <v>819</v>
          </cell>
          <cell r="CK177">
            <v>910</v>
          </cell>
          <cell r="CL177">
            <v>1194</v>
          </cell>
          <cell r="CM177">
            <v>1673</v>
          </cell>
          <cell r="CN177">
            <v>2005</v>
          </cell>
        </row>
        <row r="178">
          <cell r="CC178">
            <v>2650</v>
          </cell>
          <cell r="CD178">
            <v>2840</v>
          </cell>
          <cell r="CE178">
            <v>3406</v>
          </cell>
          <cell r="CF178">
            <v>3938</v>
          </cell>
          <cell r="CG178">
            <v>4392</v>
          </cell>
          <cell r="CH178">
            <v>4846</v>
          </cell>
          <cell r="CJ178">
            <v>1856</v>
          </cell>
          <cell r="CK178">
            <v>2081</v>
          </cell>
          <cell r="CL178">
            <v>2625</v>
          </cell>
          <cell r="CM178">
            <v>3335</v>
          </cell>
          <cell r="CN178">
            <v>3698</v>
          </cell>
        </row>
        <row r="179">
          <cell r="CC179">
            <v>1644</v>
          </cell>
          <cell r="CD179">
            <v>1762</v>
          </cell>
          <cell r="CE179">
            <v>2114</v>
          </cell>
          <cell r="CF179">
            <v>2442</v>
          </cell>
          <cell r="CG179">
            <v>2724</v>
          </cell>
          <cell r="CH179">
            <v>3006</v>
          </cell>
          <cell r="CJ179">
            <v>1099</v>
          </cell>
          <cell r="CK179">
            <v>1106</v>
          </cell>
          <cell r="CL179">
            <v>1433</v>
          </cell>
          <cell r="CM179">
            <v>2008</v>
          </cell>
          <cell r="CN179">
            <v>2293</v>
          </cell>
        </row>
        <row r="180">
          <cell r="CC180">
            <v>3384</v>
          </cell>
          <cell r="CD180">
            <v>3626</v>
          </cell>
          <cell r="CE180">
            <v>4352</v>
          </cell>
          <cell r="CF180">
            <v>5028</v>
          </cell>
          <cell r="CG180">
            <v>5610</v>
          </cell>
          <cell r="CH180">
            <v>6190</v>
          </cell>
          <cell r="CJ180">
            <v>2275</v>
          </cell>
          <cell r="CK180">
            <v>2780</v>
          </cell>
          <cell r="CL180">
            <v>3318</v>
          </cell>
          <cell r="CM180">
            <v>4138</v>
          </cell>
          <cell r="CN180">
            <v>4399</v>
          </cell>
        </row>
        <row r="181">
          <cell r="CC181">
            <v>1644</v>
          </cell>
          <cell r="CD181">
            <v>1762</v>
          </cell>
          <cell r="CE181">
            <v>2114</v>
          </cell>
          <cell r="CF181">
            <v>2442</v>
          </cell>
          <cell r="CG181">
            <v>2724</v>
          </cell>
          <cell r="CH181">
            <v>3006</v>
          </cell>
          <cell r="CJ181">
            <v>928</v>
          </cell>
          <cell r="CK181">
            <v>1119</v>
          </cell>
          <cell r="CL181">
            <v>1338</v>
          </cell>
          <cell r="CM181">
            <v>1875</v>
          </cell>
          <cell r="CN181">
            <v>2247</v>
          </cell>
        </row>
        <row r="182">
          <cell r="CC182">
            <v>1644</v>
          </cell>
          <cell r="CD182">
            <v>1762</v>
          </cell>
          <cell r="CE182">
            <v>2114</v>
          </cell>
          <cell r="CF182">
            <v>2442</v>
          </cell>
          <cell r="CG182">
            <v>2724</v>
          </cell>
          <cell r="CH182">
            <v>3006</v>
          </cell>
          <cell r="CJ182">
            <v>1173</v>
          </cell>
          <cell r="CK182">
            <v>1220</v>
          </cell>
          <cell r="CL182">
            <v>1601</v>
          </cell>
          <cell r="CM182">
            <v>2243</v>
          </cell>
          <cell r="CN182">
            <v>2688</v>
          </cell>
        </row>
        <row r="183">
          <cell r="CC183">
            <v>1644</v>
          </cell>
          <cell r="CD183">
            <v>1762</v>
          </cell>
          <cell r="CE183">
            <v>2114</v>
          </cell>
          <cell r="CF183">
            <v>2442</v>
          </cell>
          <cell r="CG183">
            <v>2724</v>
          </cell>
          <cell r="CH183">
            <v>3006</v>
          </cell>
          <cell r="CJ183">
            <v>1071</v>
          </cell>
          <cell r="CK183">
            <v>1227</v>
          </cell>
          <cell r="CL183">
            <v>1509</v>
          </cell>
          <cell r="CM183">
            <v>2081</v>
          </cell>
          <cell r="CN183">
            <v>2534</v>
          </cell>
        </row>
        <row r="184">
          <cell r="CC184">
            <v>1644</v>
          </cell>
          <cell r="CD184">
            <v>1762</v>
          </cell>
          <cell r="CE184">
            <v>2114</v>
          </cell>
          <cell r="CF184">
            <v>2442</v>
          </cell>
          <cell r="CG184">
            <v>2724</v>
          </cell>
          <cell r="CH184">
            <v>3006</v>
          </cell>
          <cell r="CJ184">
            <v>731</v>
          </cell>
          <cell r="CK184">
            <v>886</v>
          </cell>
          <cell r="CL184">
            <v>1054</v>
          </cell>
          <cell r="CM184">
            <v>1270</v>
          </cell>
          <cell r="CN184">
            <v>1748</v>
          </cell>
        </row>
        <row r="185">
          <cell r="CC185">
            <v>1784</v>
          </cell>
          <cell r="CD185">
            <v>1912</v>
          </cell>
          <cell r="CE185">
            <v>2294</v>
          </cell>
          <cell r="CF185">
            <v>2652</v>
          </cell>
          <cell r="CG185">
            <v>2960</v>
          </cell>
          <cell r="CH185">
            <v>3266</v>
          </cell>
          <cell r="CJ185">
            <v>1036</v>
          </cell>
          <cell r="CK185">
            <v>1348</v>
          </cell>
          <cell r="CL185">
            <v>1493</v>
          </cell>
          <cell r="CM185">
            <v>2092</v>
          </cell>
          <cell r="CN185">
            <v>2476</v>
          </cell>
        </row>
        <row r="186">
          <cell r="CC186">
            <v>2530</v>
          </cell>
          <cell r="CD186">
            <v>2710</v>
          </cell>
          <cell r="CE186">
            <v>3254</v>
          </cell>
          <cell r="CF186">
            <v>3760</v>
          </cell>
          <cell r="CG186">
            <v>4192</v>
          </cell>
          <cell r="CH186">
            <v>4626</v>
          </cell>
          <cell r="CJ186">
            <v>2414</v>
          </cell>
          <cell r="CK186">
            <v>2479</v>
          </cell>
          <cell r="CL186">
            <v>2982</v>
          </cell>
          <cell r="CM186">
            <v>4025</v>
          </cell>
          <cell r="CN186">
            <v>4383</v>
          </cell>
        </row>
        <row r="187">
          <cell r="CC187">
            <v>2804</v>
          </cell>
          <cell r="CD187">
            <v>3004</v>
          </cell>
          <cell r="CE187">
            <v>3606</v>
          </cell>
          <cell r="CF187">
            <v>4168</v>
          </cell>
          <cell r="CG187">
            <v>4650</v>
          </cell>
          <cell r="CH187">
            <v>5130</v>
          </cell>
          <cell r="CJ187">
            <v>1915</v>
          </cell>
          <cell r="CK187">
            <v>2128</v>
          </cell>
          <cell r="CL187">
            <v>2792</v>
          </cell>
          <cell r="CM187">
            <v>3636</v>
          </cell>
          <cell r="CN187">
            <v>4144</v>
          </cell>
        </row>
        <row r="188">
          <cell r="CC188">
            <v>1992</v>
          </cell>
          <cell r="CD188">
            <v>2132</v>
          </cell>
          <cell r="CE188">
            <v>2560</v>
          </cell>
          <cell r="CF188">
            <v>2958</v>
          </cell>
          <cell r="CG188">
            <v>3300</v>
          </cell>
          <cell r="CH188">
            <v>3642</v>
          </cell>
          <cell r="CJ188">
            <v>1352</v>
          </cell>
          <cell r="CK188">
            <v>1361</v>
          </cell>
          <cell r="CL188">
            <v>1785</v>
          </cell>
          <cell r="CM188">
            <v>2501</v>
          </cell>
          <cell r="CN188">
            <v>2997</v>
          </cell>
        </row>
        <row r="189">
          <cell r="CC189">
            <v>2962</v>
          </cell>
          <cell r="CD189">
            <v>3172</v>
          </cell>
          <cell r="CE189">
            <v>3806</v>
          </cell>
          <cell r="CF189">
            <v>4400</v>
          </cell>
          <cell r="CG189">
            <v>4906</v>
          </cell>
          <cell r="CH189">
            <v>5416</v>
          </cell>
          <cell r="CJ189">
            <v>2352</v>
          </cell>
          <cell r="CK189">
            <v>2454</v>
          </cell>
          <cell r="CL189">
            <v>2903</v>
          </cell>
          <cell r="CM189">
            <v>3927</v>
          </cell>
          <cell r="CN189">
            <v>4693</v>
          </cell>
        </row>
        <row r="190">
          <cell r="CC190">
            <v>2252</v>
          </cell>
          <cell r="CD190">
            <v>2412</v>
          </cell>
          <cell r="CE190">
            <v>2894</v>
          </cell>
          <cell r="CF190">
            <v>3342</v>
          </cell>
          <cell r="CG190">
            <v>3730</v>
          </cell>
          <cell r="CH190">
            <v>4116</v>
          </cell>
          <cell r="CJ190">
            <v>1679</v>
          </cell>
          <cell r="CK190">
            <v>1777</v>
          </cell>
          <cell r="CL190">
            <v>2206</v>
          </cell>
          <cell r="CM190">
            <v>2992</v>
          </cell>
          <cell r="CN190">
            <v>3455</v>
          </cell>
        </row>
        <row r="191">
          <cell r="CC191">
            <v>1670</v>
          </cell>
          <cell r="CD191">
            <v>1788</v>
          </cell>
          <cell r="CE191">
            <v>2144</v>
          </cell>
          <cell r="CF191">
            <v>2478</v>
          </cell>
          <cell r="CG191">
            <v>2764</v>
          </cell>
          <cell r="CH191">
            <v>3050</v>
          </cell>
          <cell r="CJ191">
            <v>904</v>
          </cell>
          <cell r="CK191">
            <v>1005</v>
          </cell>
          <cell r="CL191">
            <v>1318</v>
          </cell>
          <cell r="CM191">
            <v>1847</v>
          </cell>
          <cell r="CN191">
            <v>1883</v>
          </cell>
        </row>
        <row r="192">
          <cell r="CC192">
            <v>1960</v>
          </cell>
          <cell r="CD192">
            <v>2098</v>
          </cell>
          <cell r="CE192">
            <v>2516</v>
          </cell>
          <cell r="CF192">
            <v>2910</v>
          </cell>
          <cell r="CG192">
            <v>3244</v>
          </cell>
          <cell r="CH192">
            <v>3580</v>
          </cell>
          <cell r="CJ192">
            <v>1776</v>
          </cell>
          <cell r="CK192">
            <v>1852</v>
          </cell>
          <cell r="CL192">
            <v>2306</v>
          </cell>
          <cell r="CM192">
            <v>3079</v>
          </cell>
          <cell r="CN192">
            <v>3745</v>
          </cell>
        </row>
        <row r="193">
          <cell r="CC193">
            <v>2252</v>
          </cell>
          <cell r="CD193">
            <v>2412</v>
          </cell>
          <cell r="CE193">
            <v>2894</v>
          </cell>
          <cell r="CF193">
            <v>3342</v>
          </cell>
          <cell r="CG193">
            <v>3730</v>
          </cell>
          <cell r="CH193">
            <v>4116</v>
          </cell>
          <cell r="CJ193">
            <v>1679</v>
          </cell>
          <cell r="CK193">
            <v>1777</v>
          </cell>
          <cell r="CL193">
            <v>2206</v>
          </cell>
          <cell r="CM193">
            <v>2992</v>
          </cell>
          <cell r="CN193">
            <v>3455</v>
          </cell>
        </row>
        <row r="194">
          <cell r="CC194">
            <v>2340</v>
          </cell>
          <cell r="CD194">
            <v>2506</v>
          </cell>
          <cell r="CE194">
            <v>3006</v>
          </cell>
          <cell r="CF194">
            <v>3472</v>
          </cell>
          <cell r="CG194">
            <v>3874</v>
          </cell>
          <cell r="CH194">
            <v>4276</v>
          </cell>
          <cell r="CJ194">
            <v>1799</v>
          </cell>
          <cell r="CK194">
            <v>1999</v>
          </cell>
          <cell r="CL194">
            <v>2623</v>
          </cell>
          <cell r="CM194">
            <v>3655</v>
          </cell>
          <cell r="CN194">
            <v>4046</v>
          </cell>
        </row>
        <row r="195">
          <cell r="CC195">
            <v>1960</v>
          </cell>
          <cell r="CD195">
            <v>2098</v>
          </cell>
          <cell r="CE195">
            <v>2516</v>
          </cell>
          <cell r="CF195">
            <v>2910</v>
          </cell>
          <cell r="CG195">
            <v>3244</v>
          </cell>
          <cell r="CH195">
            <v>3580</v>
          </cell>
          <cell r="CJ195">
            <v>1776</v>
          </cell>
          <cell r="CK195">
            <v>1852</v>
          </cell>
          <cell r="CL195">
            <v>2306</v>
          </cell>
          <cell r="CM195">
            <v>3079</v>
          </cell>
          <cell r="CN195">
            <v>3745</v>
          </cell>
        </row>
        <row r="196">
          <cell r="CC196">
            <v>2894</v>
          </cell>
          <cell r="CD196">
            <v>3100</v>
          </cell>
          <cell r="CE196">
            <v>3722</v>
          </cell>
          <cell r="CF196">
            <v>4300</v>
          </cell>
          <cell r="CG196">
            <v>4796</v>
          </cell>
          <cell r="CH196">
            <v>5292</v>
          </cell>
          <cell r="CJ196">
            <v>2145</v>
          </cell>
          <cell r="CK196">
            <v>2328</v>
          </cell>
          <cell r="CL196">
            <v>2881</v>
          </cell>
          <cell r="CM196">
            <v>3852</v>
          </cell>
          <cell r="CN196">
            <v>4690</v>
          </cell>
        </row>
        <row r="197">
          <cell r="CC197">
            <v>3384</v>
          </cell>
          <cell r="CD197">
            <v>3626</v>
          </cell>
          <cell r="CE197">
            <v>4352</v>
          </cell>
          <cell r="CF197">
            <v>5028</v>
          </cell>
          <cell r="CG197">
            <v>5610</v>
          </cell>
          <cell r="CH197">
            <v>6190</v>
          </cell>
          <cell r="CJ197">
            <v>2275</v>
          </cell>
          <cell r="CK197">
            <v>2780</v>
          </cell>
          <cell r="CL197">
            <v>3318</v>
          </cell>
          <cell r="CM197">
            <v>4138</v>
          </cell>
          <cell r="CN197">
            <v>4399</v>
          </cell>
        </row>
        <row r="198">
          <cell r="CC198">
            <v>1832</v>
          </cell>
          <cell r="CD198">
            <v>1962</v>
          </cell>
          <cell r="CE198">
            <v>2354</v>
          </cell>
          <cell r="CF198">
            <v>2720</v>
          </cell>
          <cell r="CG198">
            <v>3034</v>
          </cell>
          <cell r="CH198">
            <v>3348</v>
          </cell>
          <cell r="CJ198">
            <v>1248</v>
          </cell>
          <cell r="CK198">
            <v>1363</v>
          </cell>
          <cell r="CL198">
            <v>1736</v>
          </cell>
          <cell r="CM198">
            <v>2433</v>
          </cell>
          <cell r="CN198">
            <v>2915</v>
          </cell>
        </row>
        <row r="199">
          <cell r="CC199">
            <v>2432</v>
          </cell>
          <cell r="CD199">
            <v>2606</v>
          </cell>
          <cell r="CE199">
            <v>3126</v>
          </cell>
          <cell r="CF199">
            <v>3612</v>
          </cell>
          <cell r="CG199">
            <v>4032</v>
          </cell>
          <cell r="CH199">
            <v>4448</v>
          </cell>
          <cell r="CJ199">
            <v>1669</v>
          </cell>
          <cell r="CK199">
            <v>1855</v>
          </cell>
          <cell r="CL199">
            <v>2434</v>
          </cell>
          <cell r="CM199">
            <v>3250</v>
          </cell>
          <cell r="CN199">
            <v>3683</v>
          </cell>
        </row>
        <row r="200">
          <cell r="CC200">
            <v>3384</v>
          </cell>
          <cell r="CD200">
            <v>3626</v>
          </cell>
          <cell r="CE200">
            <v>4352</v>
          </cell>
          <cell r="CF200">
            <v>5028</v>
          </cell>
          <cell r="CG200">
            <v>5610</v>
          </cell>
          <cell r="CH200">
            <v>6190</v>
          </cell>
          <cell r="CJ200">
            <v>2275</v>
          </cell>
          <cell r="CK200">
            <v>2780</v>
          </cell>
          <cell r="CL200">
            <v>3318</v>
          </cell>
          <cell r="CM200">
            <v>4138</v>
          </cell>
          <cell r="CN200">
            <v>4399</v>
          </cell>
        </row>
        <row r="201">
          <cell r="CC201">
            <v>3090</v>
          </cell>
          <cell r="CD201">
            <v>3310</v>
          </cell>
          <cell r="CE201">
            <v>3972</v>
          </cell>
          <cell r="CF201">
            <v>4590</v>
          </cell>
          <cell r="CG201">
            <v>5120</v>
          </cell>
          <cell r="CH201">
            <v>5648</v>
          </cell>
          <cell r="CJ201">
            <v>2381</v>
          </cell>
          <cell r="CK201">
            <v>2688</v>
          </cell>
          <cell r="CL201">
            <v>3028</v>
          </cell>
          <cell r="CM201">
            <v>4011</v>
          </cell>
          <cell r="CN201">
            <v>4468</v>
          </cell>
        </row>
        <row r="202">
          <cell r="CC202">
            <v>3516</v>
          </cell>
          <cell r="CD202">
            <v>3768</v>
          </cell>
          <cell r="CE202">
            <v>4522</v>
          </cell>
          <cell r="CF202">
            <v>5222</v>
          </cell>
          <cell r="CG202">
            <v>5826</v>
          </cell>
          <cell r="CH202">
            <v>6430</v>
          </cell>
          <cell r="CJ202">
            <v>2608</v>
          </cell>
          <cell r="CK202">
            <v>2975</v>
          </cell>
          <cell r="CL202">
            <v>3446</v>
          </cell>
          <cell r="CM202">
            <v>4477</v>
          </cell>
          <cell r="CN202">
            <v>4878</v>
          </cell>
        </row>
        <row r="203">
          <cell r="CC203">
            <v>3462</v>
          </cell>
          <cell r="CD203">
            <v>3708</v>
          </cell>
          <cell r="CE203">
            <v>4450</v>
          </cell>
          <cell r="CF203">
            <v>5142</v>
          </cell>
          <cell r="CG203">
            <v>5734</v>
          </cell>
          <cell r="CH203">
            <v>6330</v>
          </cell>
          <cell r="CJ203">
            <v>3056</v>
          </cell>
          <cell r="CK203">
            <v>3221</v>
          </cell>
          <cell r="CL203">
            <v>4223</v>
          </cell>
          <cell r="CM203">
            <v>5256</v>
          </cell>
          <cell r="CN203">
            <v>5605</v>
          </cell>
        </row>
        <row r="204">
          <cell r="CC204">
            <v>1702</v>
          </cell>
          <cell r="CD204">
            <v>1822</v>
          </cell>
          <cell r="CE204">
            <v>2190</v>
          </cell>
          <cell r="CF204">
            <v>2530</v>
          </cell>
          <cell r="CG204">
            <v>2822</v>
          </cell>
          <cell r="CH204">
            <v>3114</v>
          </cell>
          <cell r="CJ204">
            <v>1151</v>
          </cell>
          <cell r="CK204">
            <v>1229</v>
          </cell>
          <cell r="CL204">
            <v>1613</v>
          </cell>
          <cell r="CM204">
            <v>2260</v>
          </cell>
          <cell r="CN204">
            <v>2709</v>
          </cell>
        </row>
        <row r="205">
          <cell r="CC205">
            <v>1644</v>
          </cell>
          <cell r="CD205">
            <v>1762</v>
          </cell>
          <cell r="CE205">
            <v>2114</v>
          </cell>
          <cell r="CF205">
            <v>2442</v>
          </cell>
          <cell r="CG205">
            <v>2724</v>
          </cell>
          <cell r="CH205">
            <v>3006</v>
          </cell>
          <cell r="CJ205">
            <v>1003</v>
          </cell>
          <cell r="CK205">
            <v>1101</v>
          </cell>
          <cell r="CL205">
            <v>1445</v>
          </cell>
          <cell r="CM205">
            <v>2025</v>
          </cell>
          <cell r="CN205">
            <v>2396</v>
          </cell>
        </row>
        <row r="206">
          <cell r="CC206">
            <v>1644</v>
          </cell>
          <cell r="CD206">
            <v>1762</v>
          </cell>
          <cell r="CE206">
            <v>2114</v>
          </cell>
          <cell r="CF206">
            <v>2442</v>
          </cell>
          <cell r="CG206">
            <v>2724</v>
          </cell>
          <cell r="CH206">
            <v>3006</v>
          </cell>
          <cell r="CJ206">
            <v>924</v>
          </cell>
          <cell r="CK206">
            <v>930</v>
          </cell>
          <cell r="CL206">
            <v>1201</v>
          </cell>
          <cell r="CM206">
            <v>1683</v>
          </cell>
          <cell r="CN206">
            <v>1834</v>
          </cell>
        </row>
        <row r="207">
          <cell r="CC207">
            <v>2404</v>
          </cell>
          <cell r="CD207">
            <v>2576</v>
          </cell>
          <cell r="CE207">
            <v>3092</v>
          </cell>
          <cell r="CF207">
            <v>3572</v>
          </cell>
          <cell r="CG207">
            <v>3984</v>
          </cell>
          <cell r="CH207">
            <v>4396</v>
          </cell>
          <cell r="CJ207">
            <v>1724</v>
          </cell>
          <cell r="CK207">
            <v>1894</v>
          </cell>
          <cell r="CL207">
            <v>2420</v>
          </cell>
          <cell r="CM207">
            <v>3234</v>
          </cell>
          <cell r="CN207">
            <v>3663</v>
          </cell>
        </row>
        <row r="208">
          <cell r="CC208">
            <v>2642</v>
          </cell>
          <cell r="CD208">
            <v>2830</v>
          </cell>
          <cell r="CE208">
            <v>3396</v>
          </cell>
          <cell r="CF208">
            <v>3926</v>
          </cell>
          <cell r="CG208">
            <v>4380</v>
          </cell>
          <cell r="CH208">
            <v>4832</v>
          </cell>
          <cell r="CJ208">
            <v>1879</v>
          </cell>
          <cell r="CK208">
            <v>2089</v>
          </cell>
          <cell r="CL208">
            <v>2740</v>
          </cell>
          <cell r="CM208">
            <v>3743</v>
          </cell>
          <cell r="CN208">
            <v>3960</v>
          </cell>
        </row>
        <row r="209">
          <cell r="CC209">
            <v>1724</v>
          </cell>
          <cell r="CD209">
            <v>1846</v>
          </cell>
          <cell r="CE209">
            <v>2216</v>
          </cell>
          <cell r="CF209">
            <v>2560</v>
          </cell>
          <cell r="CG209">
            <v>2856</v>
          </cell>
          <cell r="CH209">
            <v>3152</v>
          </cell>
          <cell r="CJ209">
            <v>1130</v>
          </cell>
          <cell r="CK209">
            <v>1209</v>
          </cell>
          <cell r="CL209">
            <v>1566</v>
          </cell>
          <cell r="CM209">
            <v>2194</v>
          </cell>
          <cell r="CN209">
            <v>2549</v>
          </cell>
        </row>
        <row r="210">
          <cell r="CC210">
            <v>1680</v>
          </cell>
          <cell r="CD210">
            <v>1800</v>
          </cell>
          <cell r="CE210">
            <v>2160</v>
          </cell>
          <cell r="CF210">
            <v>2496</v>
          </cell>
          <cell r="CG210">
            <v>2784</v>
          </cell>
          <cell r="CH210">
            <v>3072</v>
          </cell>
          <cell r="CJ210">
            <v>1195</v>
          </cell>
          <cell r="CK210">
            <v>1197</v>
          </cell>
          <cell r="CL210">
            <v>1522</v>
          </cell>
          <cell r="CM210">
            <v>2133</v>
          </cell>
          <cell r="CN210">
            <v>2556</v>
          </cell>
        </row>
        <row r="211">
          <cell r="CC211">
            <v>1644</v>
          </cell>
          <cell r="CD211">
            <v>1762</v>
          </cell>
          <cell r="CE211">
            <v>2114</v>
          </cell>
          <cell r="CF211">
            <v>2442</v>
          </cell>
          <cell r="CG211">
            <v>2724</v>
          </cell>
          <cell r="CH211">
            <v>3006</v>
          </cell>
          <cell r="CJ211">
            <v>926</v>
          </cell>
          <cell r="CK211">
            <v>1030</v>
          </cell>
          <cell r="CL211">
            <v>1351</v>
          </cell>
          <cell r="CM211">
            <v>1778</v>
          </cell>
          <cell r="CN211">
            <v>2229</v>
          </cell>
        </row>
        <row r="212">
          <cell r="CC212">
            <v>1644</v>
          </cell>
          <cell r="CD212">
            <v>1762</v>
          </cell>
          <cell r="CE212">
            <v>2114</v>
          </cell>
          <cell r="CF212">
            <v>2442</v>
          </cell>
          <cell r="CG212">
            <v>2724</v>
          </cell>
          <cell r="CH212">
            <v>3006</v>
          </cell>
          <cell r="CJ212">
            <v>777</v>
          </cell>
          <cell r="CK212">
            <v>854</v>
          </cell>
          <cell r="CL212">
            <v>1120</v>
          </cell>
          <cell r="CM212">
            <v>1569</v>
          </cell>
          <cell r="CN212">
            <v>1708</v>
          </cell>
        </row>
        <row r="213">
          <cell r="CC213">
            <v>1644</v>
          </cell>
          <cell r="CD213">
            <v>1762</v>
          </cell>
          <cell r="CE213">
            <v>2114</v>
          </cell>
          <cell r="CF213">
            <v>2442</v>
          </cell>
          <cell r="CG213">
            <v>2724</v>
          </cell>
          <cell r="CH213">
            <v>3006</v>
          </cell>
          <cell r="CJ213">
            <v>1082</v>
          </cell>
          <cell r="CK213">
            <v>1089</v>
          </cell>
          <cell r="CL213">
            <v>1429</v>
          </cell>
          <cell r="CM213">
            <v>1967</v>
          </cell>
          <cell r="CN213">
            <v>2272</v>
          </cell>
        </row>
        <row r="214">
          <cell r="CC214">
            <v>1780</v>
          </cell>
          <cell r="CD214">
            <v>1906</v>
          </cell>
          <cell r="CE214">
            <v>2286</v>
          </cell>
          <cell r="CF214">
            <v>2642</v>
          </cell>
          <cell r="CG214">
            <v>2946</v>
          </cell>
          <cell r="CH214">
            <v>3252</v>
          </cell>
          <cell r="CJ214">
            <v>987</v>
          </cell>
          <cell r="CK214">
            <v>1123</v>
          </cell>
          <cell r="CL214">
            <v>1439</v>
          </cell>
          <cell r="CM214">
            <v>1891</v>
          </cell>
          <cell r="CN214">
            <v>2416</v>
          </cell>
        </row>
        <row r="215">
          <cell r="CC215">
            <v>2620</v>
          </cell>
          <cell r="CD215">
            <v>2806</v>
          </cell>
          <cell r="CE215">
            <v>3370</v>
          </cell>
          <cell r="CF215">
            <v>3892</v>
          </cell>
          <cell r="CG215">
            <v>4342</v>
          </cell>
          <cell r="CH215">
            <v>4792</v>
          </cell>
          <cell r="CJ215">
            <v>1871</v>
          </cell>
          <cell r="CK215">
            <v>2147</v>
          </cell>
          <cell r="CL215">
            <v>2569</v>
          </cell>
          <cell r="CM215">
            <v>3505</v>
          </cell>
          <cell r="CN215">
            <v>4080</v>
          </cell>
        </row>
        <row r="216">
          <cell r="CC216">
            <v>2204</v>
          </cell>
          <cell r="CD216">
            <v>2362</v>
          </cell>
          <cell r="CE216">
            <v>2832</v>
          </cell>
          <cell r="CF216">
            <v>3272</v>
          </cell>
          <cell r="CG216">
            <v>3652</v>
          </cell>
          <cell r="CH216">
            <v>4030</v>
          </cell>
          <cell r="CJ216">
            <v>1602</v>
          </cell>
          <cell r="CK216">
            <v>1613</v>
          </cell>
          <cell r="CL216">
            <v>2116</v>
          </cell>
          <cell r="CM216">
            <v>2944</v>
          </cell>
          <cell r="CN216">
            <v>3299</v>
          </cell>
        </row>
        <row r="217">
          <cell r="CC217">
            <v>1680</v>
          </cell>
          <cell r="CD217">
            <v>1800</v>
          </cell>
          <cell r="CE217">
            <v>2160</v>
          </cell>
          <cell r="CF217">
            <v>2496</v>
          </cell>
          <cell r="CG217">
            <v>2784</v>
          </cell>
          <cell r="CH217">
            <v>3072</v>
          </cell>
          <cell r="CJ217">
            <v>1195</v>
          </cell>
          <cell r="CK217">
            <v>1197</v>
          </cell>
          <cell r="CL217">
            <v>1522</v>
          </cell>
          <cell r="CM217">
            <v>2133</v>
          </cell>
          <cell r="CN217">
            <v>2556</v>
          </cell>
        </row>
        <row r="525">
          <cell r="AZ525" t="str">
            <v>(select)</v>
          </cell>
        </row>
        <row r="526">
          <cell r="AZ526" t="str">
            <v>Accrued Interest</v>
          </cell>
        </row>
        <row r="527">
          <cell r="AZ527" t="str">
            <v>Cost Deferral</v>
          </cell>
        </row>
        <row r="528">
          <cell r="AZ528" t="str">
            <v>Developer Fee, Deferral</v>
          </cell>
        </row>
        <row r="529">
          <cell r="AZ529" t="str">
            <v>Developer Fee, Contribution</v>
          </cell>
        </row>
        <row r="530">
          <cell r="AZ530" t="str">
            <v>Equity, Conventional</v>
          </cell>
        </row>
        <row r="531">
          <cell r="AZ531" t="str">
            <v>Equity, General Partner</v>
          </cell>
        </row>
        <row r="532">
          <cell r="AZ532" t="str">
            <v>Equity, LIHTC Investor</v>
          </cell>
        </row>
        <row r="533">
          <cell r="AZ533" t="str">
            <v>Equity, Other Investor</v>
          </cell>
        </row>
        <row r="534">
          <cell r="AZ534" t="str">
            <v>Grant</v>
          </cell>
        </row>
        <row r="535">
          <cell r="AZ535" t="str">
            <v>Loan, Conventional</v>
          </cell>
        </row>
        <row r="536">
          <cell r="AZ536" t="str">
            <v>Loan, Equity Bridge</v>
          </cell>
        </row>
        <row r="537">
          <cell r="AZ537" t="str">
            <v>Loan, Residual Receipts</v>
          </cell>
        </row>
        <row r="538">
          <cell r="AZ538" t="str">
            <v>Loan, Seller Note</v>
          </cell>
        </row>
        <row r="539">
          <cell r="AZ539" t="str">
            <v>Loan, General Partner</v>
          </cell>
        </row>
        <row r="540">
          <cell r="AZ540" t="str">
            <v>Loan, Taxable</v>
          </cell>
        </row>
        <row r="541">
          <cell r="AZ541" t="str">
            <v>Loan, Tax-Exempt</v>
          </cell>
        </row>
        <row r="542">
          <cell r="AZ542" t="str">
            <v>Loan, Tax-Exempt, Recycled</v>
          </cell>
        </row>
        <row r="543">
          <cell r="AZ543" t="str">
            <v>Net Operating Income</v>
          </cell>
        </row>
        <row r="544">
          <cell r="AZ544" t="str">
            <v>Other Source</v>
          </cell>
        </row>
        <row r="545">
          <cell r="AZ545" t="str">
            <v>Reserve, Acquired</v>
          </cell>
        </row>
        <row r="546">
          <cell r="AZ546" t="str">
            <v>Reserve, Held by Others</v>
          </cell>
        </row>
        <row r="547">
          <cell r="AZ547" t="str">
            <v>Return of Deposit</v>
          </cell>
        </row>
        <row r="548">
          <cell r="AZ548" t="str">
            <v>Value of Donation</v>
          </cell>
        </row>
        <row r="549">
          <cell r="AZ549" t="str">
            <v>Value of Lease</v>
          </cell>
        </row>
        <row r="550">
          <cell r="AZ550" t="str">
            <v>Waived Fee</v>
          </cell>
        </row>
        <row r="696">
          <cell r="BP696" t="str">
            <v>Alameda</v>
          </cell>
          <cell r="BQ696">
            <v>2796</v>
          </cell>
          <cell r="BR696">
            <v>2996</v>
          </cell>
          <cell r="BS696">
            <v>3596</v>
          </cell>
          <cell r="BT696">
            <v>4154</v>
          </cell>
          <cell r="BU696">
            <v>4634</v>
          </cell>
          <cell r="BV696">
            <v>5114</v>
          </cell>
        </row>
        <row r="697">
          <cell r="BP697" t="str">
            <v>Alpine</v>
          </cell>
          <cell r="BQ697">
            <v>2020</v>
          </cell>
          <cell r="BR697">
            <v>2162</v>
          </cell>
          <cell r="BS697">
            <v>2594</v>
          </cell>
          <cell r="BT697">
            <v>3000</v>
          </cell>
          <cell r="BU697">
            <v>3346</v>
          </cell>
          <cell r="BV697">
            <v>3692</v>
          </cell>
        </row>
        <row r="698">
          <cell r="BP698" t="str">
            <v>Amador</v>
          </cell>
          <cell r="BQ698">
            <v>1924</v>
          </cell>
          <cell r="BR698">
            <v>2062</v>
          </cell>
          <cell r="BS698">
            <v>2474</v>
          </cell>
          <cell r="BT698">
            <v>2856</v>
          </cell>
          <cell r="BU698">
            <v>3186</v>
          </cell>
          <cell r="BV698">
            <v>3516</v>
          </cell>
        </row>
        <row r="699">
          <cell r="BP699" t="str">
            <v>Butte</v>
          </cell>
          <cell r="BQ699">
            <v>1644</v>
          </cell>
          <cell r="BR699">
            <v>1762</v>
          </cell>
          <cell r="BS699">
            <v>2114</v>
          </cell>
          <cell r="BT699">
            <v>2442</v>
          </cell>
          <cell r="BU699">
            <v>2724</v>
          </cell>
          <cell r="BV699">
            <v>3006</v>
          </cell>
        </row>
        <row r="700">
          <cell r="BP700" t="str">
            <v>Calaveras</v>
          </cell>
          <cell r="BQ700">
            <v>1776</v>
          </cell>
          <cell r="BR700">
            <v>1902</v>
          </cell>
          <cell r="BS700">
            <v>2284</v>
          </cell>
          <cell r="BT700">
            <v>2640</v>
          </cell>
          <cell r="BU700">
            <v>2944</v>
          </cell>
          <cell r="BV700">
            <v>3248</v>
          </cell>
        </row>
        <row r="701">
          <cell r="BP701" t="str">
            <v>Colusa</v>
          </cell>
          <cell r="BQ701">
            <v>1680</v>
          </cell>
          <cell r="BR701">
            <v>1800</v>
          </cell>
          <cell r="BS701">
            <v>2160</v>
          </cell>
          <cell r="BT701">
            <v>2496</v>
          </cell>
          <cell r="BU701">
            <v>2784</v>
          </cell>
          <cell r="BV701">
            <v>3072</v>
          </cell>
        </row>
        <row r="702">
          <cell r="BP702" t="str">
            <v>Contra Costa</v>
          </cell>
          <cell r="BQ702">
            <v>2796</v>
          </cell>
          <cell r="BR702">
            <v>2996</v>
          </cell>
          <cell r="BS702">
            <v>3596</v>
          </cell>
          <cell r="BT702">
            <v>4154</v>
          </cell>
          <cell r="BU702">
            <v>4634</v>
          </cell>
          <cell r="BV702">
            <v>5114</v>
          </cell>
        </row>
        <row r="703">
          <cell r="BP703" t="str">
            <v>Del Norte</v>
          </cell>
          <cell r="BQ703">
            <v>1644</v>
          </cell>
          <cell r="BR703">
            <v>1762</v>
          </cell>
          <cell r="BS703">
            <v>2114</v>
          </cell>
          <cell r="BT703">
            <v>2442</v>
          </cell>
          <cell r="BU703">
            <v>2724</v>
          </cell>
          <cell r="BV703">
            <v>3006</v>
          </cell>
        </row>
        <row r="704">
          <cell r="BP704" t="str">
            <v>El Dorado</v>
          </cell>
          <cell r="BQ704">
            <v>2252</v>
          </cell>
          <cell r="BR704">
            <v>2412</v>
          </cell>
          <cell r="BS704">
            <v>2894</v>
          </cell>
          <cell r="BT704">
            <v>3342</v>
          </cell>
          <cell r="BU704">
            <v>3730</v>
          </cell>
          <cell r="BV704">
            <v>4116</v>
          </cell>
        </row>
        <row r="705">
          <cell r="BP705" t="str">
            <v>Fresno</v>
          </cell>
          <cell r="BQ705">
            <v>1644</v>
          </cell>
          <cell r="BR705">
            <v>1762</v>
          </cell>
          <cell r="BS705">
            <v>2114</v>
          </cell>
          <cell r="BT705">
            <v>2442</v>
          </cell>
          <cell r="BU705">
            <v>2724</v>
          </cell>
          <cell r="BV705">
            <v>3006</v>
          </cell>
        </row>
        <row r="706">
          <cell r="BP706" t="str">
            <v>Glenn</v>
          </cell>
          <cell r="BQ706">
            <v>1644</v>
          </cell>
          <cell r="BR706">
            <v>1762</v>
          </cell>
          <cell r="BS706">
            <v>2114</v>
          </cell>
          <cell r="BT706">
            <v>2442</v>
          </cell>
          <cell r="BU706">
            <v>2724</v>
          </cell>
          <cell r="BV706">
            <v>3006</v>
          </cell>
        </row>
        <row r="707">
          <cell r="BP707" t="str">
            <v>Humboldt</v>
          </cell>
          <cell r="BQ707">
            <v>1644</v>
          </cell>
          <cell r="BR707">
            <v>1762</v>
          </cell>
          <cell r="BS707">
            <v>2114</v>
          </cell>
          <cell r="BT707">
            <v>2442</v>
          </cell>
          <cell r="BU707">
            <v>2724</v>
          </cell>
          <cell r="BV707">
            <v>3006</v>
          </cell>
        </row>
        <row r="708">
          <cell r="BP708" t="str">
            <v>Imperial</v>
          </cell>
          <cell r="BQ708">
            <v>1644</v>
          </cell>
          <cell r="BR708">
            <v>1762</v>
          </cell>
          <cell r="BS708">
            <v>2114</v>
          </cell>
          <cell r="BT708">
            <v>2442</v>
          </cell>
          <cell r="BU708">
            <v>2724</v>
          </cell>
          <cell r="BV708">
            <v>3006</v>
          </cell>
        </row>
        <row r="709">
          <cell r="BP709" t="str">
            <v>Inyo</v>
          </cell>
          <cell r="BQ709">
            <v>1680</v>
          </cell>
          <cell r="BR709">
            <v>1800</v>
          </cell>
          <cell r="BS709">
            <v>2160</v>
          </cell>
          <cell r="BT709">
            <v>2496</v>
          </cell>
          <cell r="BU709">
            <v>2784</v>
          </cell>
          <cell r="BV709">
            <v>3072</v>
          </cell>
        </row>
        <row r="710">
          <cell r="BP710" t="str">
            <v>Kern</v>
          </cell>
          <cell r="BQ710">
            <v>1644</v>
          </cell>
          <cell r="BR710">
            <v>1762</v>
          </cell>
          <cell r="BS710">
            <v>2114</v>
          </cell>
          <cell r="BT710">
            <v>2442</v>
          </cell>
          <cell r="BU710">
            <v>2724</v>
          </cell>
          <cell r="BV710">
            <v>3006</v>
          </cell>
        </row>
        <row r="711">
          <cell r="BP711" t="str">
            <v>Kings</v>
          </cell>
          <cell r="BQ711">
            <v>1644</v>
          </cell>
          <cell r="BR711">
            <v>1762</v>
          </cell>
          <cell r="BS711">
            <v>2114</v>
          </cell>
          <cell r="BT711">
            <v>2442</v>
          </cell>
          <cell r="BU711">
            <v>2724</v>
          </cell>
          <cell r="BV711">
            <v>3006</v>
          </cell>
        </row>
        <row r="712">
          <cell r="BP712" t="str">
            <v>Lake</v>
          </cell>
          <cell r="BQ712">
            <v>1644</v>
          </cell>
          <cell r="BR712">
            <v>1762</v>
          </cell>
          <cell r="BS712">
            <v>2114</v>
          </cell>
          <cell r="BT712">
            <v>2442</v>
          </cell>
          <cell r="BU712">
            <v>2724</v>
          </cell>
          <cell r="BV712">
            <v>3006</v>
          </cell>
        </row>
        <row r="713">
          <cell r="BP713" t="str">
            <v>Lassen</v>
          </cell>
          <cell r="BQ713">
            <v>1644</v>
          </cell>
          <cell r="BR713">
            <v>1762</v>
          </cell>
          <cell r="BS713">
            <v>2114</v>
          </cell>
          <cell r="BT713">
            <v>2442</v>
          </cell>
          <cell r="BU713">
            <v>2724</v>
          </cell>
          <cell r="BV713">
            <v>3006</v>
          </cell>
        </row>
        <row r="714">
          <cell r="BP714" t="str">
            <v>Los Angeles</v>
          </cell>
          <cell r="BQ714">
            <v>2650</v>
          </cell>
          <cell r="BR714">
            <v>2840</v>
          </cell>
          <cell r="BS714">
            <v>3406</v>
          </cell>
          <cell r="BT714">
            <v>3938</v>
          </cell>
          <cell r="BU714">
            <v>4392</v>
          </cell>
          <cell r="BV714">
            <v>4846</v>
          </cell>
        </row>
        <row r="715">
          <cell r="BP715" t="str">
            <v>Madera</v>
          </cell>
          <cell r="BQ715">
            <v>1644</v>
          </cell>
          <cell r="BR715">
            <v>1762</v>
          </cell>
          <cell r="BS715">
            <v>2114</v>
          </cell>
          <cell r="BT715">
            <v>2442</v>
          </cell>
          <cell r="BU715">
            <v>2724</v>
          </cell>
          <cell r="BV715">
            <v>3006</v>
          </cell>
        </row>
        <row r="716">
          <cell r="BP716" t="str">
            <v>Marin</v>
          </cell>
          <cell r="BQ716">
            <v>3384</v>
          </cell>
          <cell r="BR716">
            <v>3626</v>
          </cell>
          <cell r="BS716">
            <v>4352</v>
          </cell>
          <cell r="BT716">
            <v>5028</v>
          </cell>
          <cell r="BU716">
            <v>5610</v>
          </cell>
          <cell r="BV716">
            <v>6190</v>
          </cell>
        </row>
        <row r="717">
          <cell r="AZ717" t="str">
            <v>SRO/Studio</v>
          </cell>
          <cell r="BP717" t="str">
            <v>Mariposa</v>
          </cell>
          <cell r="BQ717">
            <v>1644</v>
          </cell>
          <cell r="BR717">
            <v>1762</v>
          </cell>
          <cell r="BS717">
            <v>2114</v>
          </cell>
          <cell r="BT717">
            <v>2442</v>
          </cell>
          <cell r="BU717">
            <v>2724</v>
          </cell>
          <cell r="BV717">
            <v>3006</v>
          </cell>
        </row>
        <row r="718">
          <cell r="AZ718" t="str">
            <v>1 Bedroom</v>
          </cell>
          <cell r="BP718" t="str">
            <v>Mendocino</v>
          </cell>
          <cell r="BQ718">
            <v>1644</v>
          </cell>
          <cell r="BR718">
            <v>1762</v>
          </cell>
          <cell r="BS718">
            <v>2114</v>
          </cell>
          <cell r="BT718">
            <v>2442</v>
          </cell>
          <cell r="BU718">
            <v>2724</v>
          </cell>
          <cell r="BV718">
            <v>3006</v>
          </cell>
        </row>
        <row r="719">
          <cell r="AZ719" t="str">
            <v>2 Bedrooms</v>
          </cell>
          <cell r="BP719" t="str">
            <v>Merced</v>
          </cell>
          <cell r="BQ719">
            <v>1644</v>
          </cell>
          <cell r="BR719">
            <v>1762</v>
          </cell>
          <cell r="BS719">
            <v>2114</v>
          </cell>
          <cell r="BT719">
            <v>2442</v>
          </cell>
          <cell r="BU719">
            <v>2724</v>
          </cell>
          <cell r="BV719">
            <v>3006</v>
          </cell>
        </row>
        <row r="720">
          <cell r="AZ720" t="str">
            <v>3 Bedrooms</v>
          </cell>
          <cell r="BP720" t="str">
            <v>Modoc</v>
          </cell>
          <cell r="BQ720">
            <v>1644</v>
          </cell>
          <cell r="BR720">
            <v>1762</v>
          </cell>
          <cell r="BS720">
            <v>2114</v>
          </cell>
          <cell r="BT720">
            <v>2442</v>
          </cell>
          <cell r="BU720">
            <v>2724</v>
          </cell>
          <cell r="BV720">
            <v>3006</v>
          </cell>
        </row>
        <row r="721">
          <cell r="AZ721" t="str">
            <v>4 Bedrooms</v>
          </cell>
          <cell r="BP721" t="str">
            <v>Mono</v>
          </cell>
          <cell r="BQ721">
            <v>1784</v>
          </cell>
          <cell r="BR721">
            <v>1912</v>
          </cell>
          <cell r="BS721">
            <v>2294</v>
          </cell>
          <cell r="BT721">
            <v>2652</v>
          </cell>
          <cell r="BU721">
            <v>2960</v>
          </cell>
          <cell r="BV721">
            <v>3266</v>
          </cell>
        </row>
        <row r="722">
          <cell r="AZ722" t="str">
            <v>5 Bedrooms</v>
          </cell>
          <cell r="BP722" t="str">
            <v>Monterey</v>
          </cell>
          <cell r="BQ722">
            <v>2530</v>
          </cell>
          <cell r="BR722">
            <v>2710</v>
          </cell>
          <cell r="BS722">
            <v>3254</v>
          </cell>
          <cell r="BT722">
            <v>3760</v>
          </cell>
          <cell r="BU722">
            <v>4192</v>
          </cell>
          <cell r="BV722">
            <v>4626</v>
          </cell>
        </row>
        <row r="723">
          <cell r="BP723" t="str">
            <v>Napa</v>
          </cell>
          <cell r="BQ723">
            <v>2804</v>
          </cell>
          <cell r="BR723">
            <v>3004</v>
          </cell>
          <cell r="BS723">
            <v>3606</v>
          </cell>
          <cell r="BT723">
            <v>4168</v>
          </cell>
          <cell r="BU723">
            <v>4650</v>
          </cell>
          <cell r="BV723">
            <v>5130</v>
          </cell>
        </row>
        <row r="724">
          <cell r="BP724" t="str">
            <v>Nevada</v>
          </cell>
          <cell r="BQ724">
            <v>1992</v>
          </cell>
          <cell r="BR724">
            <v>2132</v>
          </cell>
          <cell r="BS724">
            <v>2560</v>
          </cell>
          <cell r="BT724">
            <v>2958</v>
          </cell>
          <cell r="BU724">
            <v>3300</v>
          </cell>
          <cell r="BV724">
            <v>3642</v>
          </cell>
        </row>
        <row r="725">
          <cell r="BP725" t="str">
            <v>Orange</v>
          </cell>
          <cell r="BQ725">
            <v>2962</v>
          </cell>
          <cell r="BR725">
            <v>3172</v>
          </cell>
          <cell r="BS725">
            <v>3806</v>
          </cell>
          <cell r="BT725">
            <v>4400</v>
          </cell>
          <cell r="BU725">
            <v>4906</v>
          </cell>
          <cell r="BV725">
            <v>5416</v>
          </cell>
        </row>
        <row r="726">
          <cell r="BP726" t="str">
            <v>Placer</v>
          </cell>
          <cell r="BQ726">
            <v>2252</v>
          </cell>
          <cell r="BR726">
            <v>2412</v>
          </cell>
          <cell r="BS726">
            <v>2894</v>
          </cell>
          <cell r="BT726">
            <v>3342</v>
          </cell>
          <cell r="BU726">
            <v>3730</v>
          </cell>
          <cell r="BV726">
            <v>4116</v>
          </cell>
        </row>
        <row r="727">
          <cell r="BP727" t="str">
            <v>Plumas</v>
          </cell>
          <cell r="BQ727">
            <v>1670</v>
          </cell>
          <cell r="BR727">
            <v>1788</v>
          </cell>
          <cell r="BS727">
            <v>2144</v>
          </cell>
          <cell r="BT727">
            <v>2478</v>
          </cell>
          <cell r="BU727">
            <v>2764</v>
          </cell>
          <cell r="BV727">
            <v>3050</v>
          </cell>
        </row>
        <row r="728">
          <cell r="BP728" t="str">
            <v>Riverside</v>
          </cell>
          <cell r="BQ728">
            <v>1960</v>
          </cell>
          <cell r="BR728">
            <v>2098</v>
          </cell>
          <cell r="BS728">
            <v>2516</v>
          </cell>
          <cell r="BT728">
            <v>2910</v>
          </cell>
          <cell r="BU728">
            <v>3244</v>
          </cell>
          <cell r="BV728">
            <v>3580</v>
          </cell>
        </row>
        <row r="729">
          <cell r="BP729" t="str">
            <v>Sacramento</v>
          </cell>
          <cell r="BQ729">
            <v>2252</v>
          </cell>
          <cell r="BR729">
            <v>2412</v>
          </cell>
          <cell r="BS729">
            <v>2894</v>
          </cell>
          <cell r="BT729">
            <v>3342</v>
          </cell>
          <cell r="BU729">
            <v>3730</v>
          </cell>
          <cell r="BV729">
            <v>4116</v>
          </cell>
        </row>
        <row r="730">
          <cell r="BP730" t="str">
            <v>San Benito</v>
          </cell>
          <cell r="BQ730">
            <v>2340</v>
          </cell>
          <cell r="BR730">
            <v>2506</v>
          </cell>
          <cell r="BS730">
            <v>3006</v>
          </cell>
          <cell r="BT730">
            <v>3472</v>
          </cell>
          <cell r="BU730">
            <v>3874</v>
          </cell>
          <cell r="BV730">
            <v>4276</v>
          </cell>
        </row>
        <row r="731">
          <cell r="BP731" t="str">
            <v>San Bernardino</v>
          </cell>
          <cell r="BQ731">
            <v>1960</v>
          </cell>
          <cell r="BR731">
            <v>2098</v>
          </cell>
          <cell r="BS731">
            <v>2516</v>
          </cell>
          <cell r="BT731">
            <v>2910</v>
          </cell>
          <cell r="BU731">
            <v>3244</v>
          </cell>
          <cell r="BV731">
            <v>3580</v>
          </cell>
        </row>
        <row r="732">
          <cell r="BP732" t="str">
            <v>San Diego</v>
          </cell>
          <cell r="BQ732">
            <v>2894</v>
          </cell>
          <cell r="BR732">
            <v>3100</v>
          </cell>
          <cell r="BS732">
            <v>3722</v>
          </cell>
          <cell r="BT732">
            <v>4300</v>
          </cell>
          <cell r="BU732">
            <v>4796</v>
          </cell>
          <cell r="BV732">
            <v>5292</v>
          </cell>
        </row>
        <row r="733">
          <cell r="BP733" t="str">
            <v>San Francisco</v>
          </cell>
          <cell r="BQ733">
            <v>3384</v>
          </cell>
          <cell r="BR733">
            <v>3626</v>
          </cell>
          <cell r="BS733">
            <v>4352</v>
          </cell>
          <cell r="BT733">
            <v>5028</v>
          </cell>
          <cell r="BU733">
            <v>5610</v>
          </cell>
          <cell r="BV733">
            <v>6190</v>
          </cell>
        </row>
        <row r="734">
          <cell r="BP734" t="str">
            <v>San Joaquin</v>
          </cell>
          <cell r="BQ734">
            <v>1832</v>
          </cell>
          <cell r="BR734">
            <v>1962</v>
          </cell>
          <cell r="BS734">
            <v>2354</v>
          </cell>
          <cell r="BT734">
            <v>2720</v>
          </cell>
          <cell r="BU734">
            <v>3034</v>
          </cell>
          <cell r="BV734">
            <v>3348</v>
          </cell>
        </row>
        <row r="735">
          <cell r="BP735" t="str">
            <v>San Luis Obispo</v>
          </cell>
          <cell r="BQ735">
            <v>2432</v>
          </cell>
          <cell r="BR735">
            <v>2606</v>
          </cell>
          <cell r="BS735">
            <v>3126</v>
          </cell>
          <cell r="BT735">
            <v>3612</v>
          </cell>
          <cell r="BU735">
            <v>4032</v>
          </cell>
          <cell r="BV735">
            <v>4448</v>
          </cell>
        </row>
        <row r="736">
          <cell r="BP736" t="str">
            <v>San Mateo</v>
          </cell>
          <cell r="BQ736">
            <v>3384</v>
          </cell>
          <cell r="BR736">
            <v>3626</v>
          </cell>
          <cell r="BS736">
            <v>4352</v>
          </cell>
          <cell r="BT736">
            <v>5028</v>
          </cell>
          <cell r="BU736">
            <v>5610</v>
          </cell>
          <cell r="BV736">
            <v>6190</v>
          </cell>
        </row>
        <row r="737">
          <cell r="BP737" t="str">
            <v>Santa Barbara</v>
          </cell>
          <cell r="BQ737">
            <v>3090</v>
          </cell>
          <cell r="BR737">
            <v>3310</v>
          </cell>
          <cell r="BS737">
            <v>3972</v>
          </cell>
          <cell r="BT737">
            <v>4590</v>
          </cell>
          <cell r="BU737">
            <v>5120</v>
          </cell>
          <cell r="BV737">
            <v>5648</v>
          </cell>
        </row>
        <row r="738">
          <cell r="BP738" t="str">
            <v>Santa Clara</v>
          </cell>
          <cell r="BQ738">
            <v>3516</v>
          </cell>
          <cell r="BR738">
            <v>3768</v>
          </cell>
          <cell r="BS738">
            <v>4522</v>
          </cell>
          <cell r="BT738">
            <v>5222</v>
          </cell>
          <cell r="BU738">
            <v>5826</v>
          </cell>
          <cell r="BV738">
            <v>6430</v>
          </cell>
        </row>
        <row r="739">
          <cell r="BP739" t="str">
            <v>Santa Cruz</v>
          </cell>
          <cell r="BQ739">
            <v>3462</v>
          </cell>
          <cell r="BR739">
            <v>3708</v>
          </cell>
          <cell r="BS739">
            <v>4450</v>
          </cell>
          <cell r="BT739">
            <v>5142</v>
          </cell>
          <cell r="BU739">
            <v>5734</v>
          </cell>
          <cell r="BV739">
            <v>6330</v>
          </cell>
        </row>
        <row r="740">
          <cell r="BP740" t="str">
            <v>Shasta</v>
          </cell>
          <cell r="BQ740">
            <v>1702</v>
          </cell>
          <cell r="BR740">
            <v>1822</v>
          </cell>
          <cell r="BS740">
            <v>2190</v>
          </cell>
          <cell r="BT740">
            <v>2530</v>
          </cell>
          <cell r="BU740">
            <v>2822</v>
          </cell>
          <cell r="BV740">
            <v>3114</v>
          </cell>
        </row>
        <row r="741">
          <cell r="BP741" t="str">
            <v>Sierra</v>
          </cell>
          <cell r="BQ741">
            <v>1644</v>
          </cell>
          <cell r="BR741">
            <v>1762</v>
          </cell>
          <cell r="BS741">
            <v>2114</v>
          </cell>
          <cell r="BT741">
            <v>2442</v>
          </cell>
          <cell r="BU741">
            <v>2724</v>
          </cell>
          <cell r="BV741">
            <v>3006</v>
          </cell>
        </row>
        <row r="742">
          <cell r="BP742" t="str">
            <v>Siskiyou</v>
          </cell>
          <cell r="BQ742">
            <v>1644</v>
          </cell>
          <cell r="BR742">
            <v>1762</v>
          </cell>
          <cell r="BS742">
            <v>2114</v>
          </cell>
          <cell r="BT742">
            <v>2442</v>
          </cell>
          <cell r="BU742">
            <v>2724</v>
          </cell>
          <cell r="BV742">
            <v>3006</v>
          </cell>
        </row>
        <row r="743">
          <cell r="BP743" t="str">
            <v>Solano</v>
          </cell>
          <cell r="BQ743">
            <v>2404</v>
          </cell>
          <cell r="BR743">
            <v>2576</v>
          </cell>
          <cell r="BS743">
            <v>3092</v>
          </cell>
          <cell r="BT743">
            <v>3572</v>
          </cell>
          <cell r="BU743">
            <v>3984</v>
          </cell>
          <cell r="BV743">
            <v>4396</v>
          </cell>
        </row>
        <row r="744">
          <cell r="BP744" t="str">
            <v>Sonoma</v>
          </cell>
          <cell r="BQ744">
            <v>2642</v>
          </cell>
          <cell r="BR744">
            <v>2830</v>
          </cell>
          <cell r="BS744">
            <v>3396</v>
          </cell>
          <cell r="BT744">
            <v>3926</v>
          </cell>
          <cell r="BU744">
            <v>4380</v>
          </cell>
          <cell r="BV744">
            <v>4832</v>
          </cell>
        </row>
        <row r="745">
          <cell r="BP745" t="str">
            <v>Stanislaus</v>
          </cell>
          <cell r="BQ745">
            <v>1724</v>
          </cell>
          <cell r="BR745">
            <v>1846</v>
          </cell>
          <cell r="BS745">
            <v>2216</v>
          </cell>
          <cell r="BT745">
            <v>2560</v>
          </cell>
          <cell r="BU745">
            <v>2856</v>
          </cell>
          <cell r="BV745">
            <v>3152</v>
          </cell>
        </row>
        <row r="746">
          <cell r="BP746" t="str">
            <v>Sutter</v>
          </cell>
          <cell r="BQ746">
            <v>1680</v>
          </cell>
          <cell r="BR746">
            <v>1800</v>
          </cell>
          <cell r="BS746">
            <v>2160</v>
          </cell>
          <cell r="BT746">
            <v>2496</v>
          </cell>
          <cell r="BU746">
            <v>2784</v>
          </cell>
          <cell r="BV746">
            <v>3072</v>
          </cell>
        </row>
        <row r="747">
          <cell r="BP747" t="str">
            <v>Tehama</v>
          </cell>
          <cell r="BQ747">
            <v>1644</v>
          </cell>
          <cell r="BR747">
            <v>1762</v>
          </cell>
          <cell r="BS747">
            <v>2114</v>
          </cell>
          <cell r="BT747">
            <v>2442</v>
          </cell>
          <cell r="BU747">
            <v>2724</v>
          </cell>
          <cell r="BV747">
            <v>3006</v>
          </cell>
        </row>
        <row r="748">
          <cell r="BP748" t="str">
            <v>Trinity</v>
          </cell>
          <cell r="BQ748">
            <v>1644</v>
          </cell>
          <cell r="BR748">
            <v>1762</v>
          </cell>
          <cell r="BS748">
            <v>2114</v>
          </cell>
          <cell r="BT748">
            <v>2442</v>
          </cell>
          <cell r="BU748">
            <v>2724</v>
          </cell>
          <cell r="BV748">
            <v>3006</v>
          </cell>
        </row>
        <row r="749">
          <cell r="BP749" t="str">
            <v>Tulare</v>
          </cell>
          <cell r="BQ749">
            <v>1644</v>
          </cell>
          <cell r="BR749">
            <v>1762</v>
          </cell>
          <cell r="BS749">
            <v>2114</v>
          </cell>
          <cell r="BT749">
            <v>2442</v>
          </cell>
          <cell r="BU749">
            <v>2724</v>
          </cell>
          <cell r="BV749">
            <v>3006</v>
          </cell>
        </row>
        <row r="750">
          <cell r="BP750" t="str">
            <v>Tuolumne</v>
          </cell>
          <cell r="BQ750">
            <v>1780</v>
          </cell>
          <cell r="BR750">
            <v>1906</v>
          </cell>
          <cell r="BS750">
            <v>2286</v>
          </cell>
          <cell r="BT750">
            <v>2642</v>
          </cell>
          <cell r="BU750">
            <v>2946</v>
          </cell>
          <cell r="BV750">
            <v>3252</v>
          </cell>
        </row>
        <row r="751">
          <cell r="BP751" t="str">
            <v>Ventura</v>
          </cell>
          <cell r="BQ751">
            <v>2620</v>
          </cell>
          <cell r="BR751">
            <v>2806</v>
          </cell>
          <cell r="BS751">
            <v>3370</v>
          </cell>
          <cell r="BT751">
            <v>3892</v>
          </cell>
          <cell r="BU751">
            <v>4342</v>
          </cell>
          <cell r="BV751">
            <v>4792</v>
          </cell>
        </row>
        <row r="752">
          <cell r="BP752" t="str">
            <v>Yolo</v>
          </cell>
          <cell r="BQ752">
            <v>2204</v>
          </cell>
          <cell r="BR752">
            <v>2362</v>
          </cell>
          <cell r="BS752">
            <v>2832</v>
          </cell>
          <cell r="BT752">
            <v>3272</v>
          </cell>
          <cell r="BU752">
            <v>3652</v>
          </cell>
          <cell r="BV752">
            <v>4030</v>
          </cell>
        </row>
        <row r="753">
          <cell r="BP753" t="str">
            <v>Yuba</v>
          </cell>
          <cell r="BQ753">
            <v>1680</v>
          </cell>
          <cell r="BR753">
            <v>1800</v>
          </cell>
          <cell r="BS753">
            <v>2160</v>
          </cell>
          <cell r="BT753">
            <v>2496</v>
          </cell>
          <cell r="BU753">
            <v>2784</v>
          </cell>
          <cell r="BV753">
            <v>3072</v>
          </cell>
        </row>
      </sheetData>
      <sheetData sheetId="4">
        <row r="15">
          <cell r="B15">
            <v>0</v>
          </cell>
        </row>
      </sheetData>
      <sheetData sheetId="5"/>
      <sheetData sheetId="6">
        <row r="2">
          <cell r="F2" t="str">
            <v>70% PVC for New Const/
Rehabilitation
DDA/QCT
Building(s)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tions-App Completion "/>
      <sheetName val="Instructions-Electronic Submit"/>
      <sheetName val="Application Checklist"/>
      <sheetName val="Application"/>
      <sheetName val="Sources and Uses Budget"/>
      <sheetName val="Sources and Basis Breakdown"/>
      <sheetName val="CalHFA Addendum"/>
      <sheetName val="Basis &amp; Credits"/>
      <sheetName val="Points System"/>
      <sheetName val="Tie Breaker"/>
      <sheetName val="Subsidy Contract Calculation"/>
      <sheetName val="15 Year Pro Forma"/>
      <sheetName val="Post-award Instructions"/>
      <sheetName val="Post-award Project Cost Chang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Instructions"/>
      <sheetName val="General "/>
      <sheetName val="Narrative "/>
      <sheetName val="Contacts"/>
      <sheetName val="Site &amp; Units"/>
      <sheetName val="Misc."/>
      <sheetName val="Rents "/>
      <sheetName val="VHHP Rents"/>
      <sheetName val="Subsidies"/>
      <sheetName val="Dev Sources"/>
      <sheetName val="Dev Budget"/>
      <sheetName val="Perm S&amp;U"/>
      <sheetName val="Operating "/>
      <sheetName val="Cash Flow"/>
      <sheetName val="VHHP Cash Flow"/>
      <sheetName val="Experience"/>
      <sheetName val="Certifications"/>
      <sheetName val="Legal Status"/>
      <sheetName val="Narrative-Concat."/>
      <sheetName val="SD_Dropdowns"/>
      <sheetName val="Drop Down"/>
      <sheetName val="Contact Names Formula"/>
      <sheetName val="MAPPING"/>
      <sheetName val="universalapplication"/>
      <sheetName val="Overview"/>
      <sheetName val="General_"/>
      <sheetName val="Narrative_"/>
      <sheetName val="Site_&amp;_Units"/>
      <sheetName val="Misc_"/>
      <sheetName val="Rents_"/>
      <sheetName val="VHHP_Rents"/>
      <sheetName val="Dev_Sources"/>
      <sheetName val="Dev_Budget"/>
      <sheetName val="Perm_S&amp;U"/>
      <sheetName val="Operating_"/>
      <sheetName val="Cash_Flow"/>
      <sheetName val="VHHP_Cash_Flow"/>
      <sheetName val="Legal_Status"/>
      <sheetName val="Narrative-Concat_"/>
      <sheetName val="Drop_Down"/>
      <sheetName val="Contact_Names_Formula"/>
      <sheetName val="Selection of Metho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ow r="2">
          <cell r="A2">
            <v>1</v>
          </cell>
          <cell r="C2">
            <v>1</v>
          </cell>
          <cell r="E2">
            <v>1</v>
          </cell>
          <cell r="G2" t="str">
            <v>AK</v>
          </cell>
        </row>
        <row r="3">
          <cell r="A3">
            <v>2</v>
          </cell>
          <cell r="C3">
            <v>2</v>
          </cell>
          <cell r="E3">
            <v>2</v>
          </cell>
          <cell r="G3" t="str">
            <v>AL</v>
          </cell>
        </row>
        <row r="4">
          <cell r="A4">
            <v>3</v>
          </cell>
          <cell r="C4">
            <v>3</v>
          </cell>
          <cell r="E4">
            <v>3</v>
          </cell>
          <cell r="G4" t="str">
            <v>AR</v>
          </cell>
        </row>
        <row r="5">
          <cell r="A5">
            <v>4</v>
          </cell>
          <cell r="C5">
            <v>4</v>
          </cell>
          <cell r="E5">
            <v>4</v>
          </cell>
          <cell r="G5" t="str">
            <v>AZ</v>
          </cell>
        </row>
        <row r="6">
          <cell r="A6">
            <v>5</v>
          </cell>
          <cell r="C6">
            <v>5</v>
          </cell>
          <cell r="E6">
            <v>5</v>
          </cell>
          <cell r="G6" t="str">
            <v>CA</v>
          </cell>
        </row>
        <row r="7">
          <cell r="A7">
            <v>6</v>
          </cell>
          <cell r="C7">
            <v>6</v>
          </cell>
          <cell r="E7">
            <v>6</v>
          </cell>
          <cell r="G7" t="str">
            <v>CO</v>
          </cell>
        </row>
        <row r="8">
          <cell r="A8">
            <v>7</v>
          </cell>
          <cell r="C8">
            <v>7</v>
          </cell>
          <cell r="E8">
            <v>7</v>
          </cell>
          <cell r="G8" t="str">
            <v>CT</v>
          </cell>
        </row>
        <row r="9">
          <cell r="A9">
            <v>8</v>
          </cell>
          <cell r="C9">
            <v>8</v>
          </cell>
          <cell r="E9">
            <v>8</v>
          </cell>
          <cell r="G9" t="str">
            <v>DC</v>
          </cell>
        </row>
        <row r="10">
          <cell r="A10">
            <v>9</v>
          </cell>
          <cell r="C10">
            <v>9</v>
          </cell>
          <cell r="E10">
            <v>9</v>
          </cell>
          <cell r="G10" t="str">
            <v>DE</v>
          </cell>
        </row>
        <row r="11">
          <cell r="A11">
            <v>10</v>
          </cell>
          <cell r="C11">
            <v>10</v>
          </cell>
          <cell r="E11">
            <v>10</v>
          </cell>
          <cell r="G11" t="str">
            <v>FL</v>
          </cell>
        </row>
        <row r="12">
          <cell r="A12">
            <v>11</v>
          </cell>
          <cell r="C12">
            <v>11</v>
          </cell>
          <cell r="E12">
            <v>11</v>
          </cell>
          <cell r="G12" t="str">
            <v>GA</v>
          </cell>
        </row>
        <row r="13">
          <cell r="A13">
            <v>12</v>
          </cell>
          <cell r="C13">
            <v>12</v>
          </cell>
          <cell r="E13">
            <v>12</v>
          </cell>
          <cell r="G13" t="str">
            <v>HI</v>
          </cell>
        </row>
        <row r="14">
          <cell r="A14">
            <v>13</v>
          </cell>
          <cell r="C14">
            <v>13</v>
          </cell>
          <cell r="E14">
            <v>13</v>
          </cell>
          <cell r="G14" t="str">
            <v>IA</v>
          </cell>
        </row>
        <row r="15">
          <cell r="A15">
            <v>14</v>
          </cell>
          <cell r="C15">
            <v>14</v>
          </cell>
          <cell r="E15">
            <v>14</v>
          </cell>
          <cell r="G15" t="str">
            <v>ID</v>
          </cell>
        </row>
        <row r="16">
          <cell r="A16">
            <v>15</v>
          </cell>
          <cell r="C16">
            <v>15</v>
          </cell>
          <cell r="E16">
            <v>15</v>
          </cell>
          <cell r="G16" t="str">
            <v>IL</v>
          </cell>
        </row>
        <row r="17">
          <cell r="A17">
            <v>16</v>
          </cell>
          <cell r="C17">
            <v>16</v>
          </cell>
          <cell r="E17">
            <v>16</v>
          </cell>
          <cell r="G17" t="str">
            <v>IN</v>
          </cell>
        </row>
        <row r="18">
          <cell r="A18">
            <v>17</v>
          </cell>
          <cell r="C18">
            <v>17</v>
          </cell>
          <cell r="E18">
            <v>17</v>
          </cell>
          <cell r="G18" t="str">
            <v>KS</v>
          </cell>
        </row>
        <row r="19">
          <cell r="A19">
            <v>18</v>
          </cell>
          <cell r="C19">
            <v>18</v>
          </cell>
          <cell r="E19">
            <v>18</v>
          </cell>
          <cell r="G19" t="str">
            <v>KY</v>
          </cell>
        </row>
        <row r="20">
          <cell r="A20">
            <v>19</v>
          </cell>
          <cell r="C20">
            <v>19</v>
          </cell>
          <cell r="E20">
            <v>19</v>
          </cell>
          <cell r="G20" t="str">
            <v>LA</v>
          </cell>
        </row>
        <row r="21">
          <cell r="A21">
            <v>20</v>
          </cell>
          <cell r="C21">
            <v>20</v>
          </cell>
          <cell r="E21">
            <v>20</v>
          </cell>
          <cell r="G21" t="str">
            <v>MA</v>
          </cell>
        </row>
        <row r="22">
          <cell r="A22">
            <v>22</v>
          </cell>
          <cell r="C22">
            <v>22</v>
          </cell>
          <cell r="E22">
            <v>21</v>
          </cell>
          <cell r="G22" t="str">
            <v>MD</v>
          </cell>
        </row>
        <row r="23">
          <cell r="A23">
            <v>23</v>
          </cell>
          <cell r="C23">
            <v>23</v>
          </cell>
          <cell r="E23">
            <v>22</v>
          </cell>
          <cell r="G23" t="str">
            <v>ME</v>
          </cell>
        </row>
        <row r="24">
          <cell r="A24">
            <v>24</v>
          </cell>
          <cell r="C24">
            <v>24</v>
          </cell>
          <cell r="E24">
            <v>23</v>
          </cell>
          <cell r="G24" t="str">
            <v>MI</v>
          </cell>
        </row>
        <row r="25">
          <cell r="A25">
            <v>25</v>
          </cell>
          <cell r="C25">
            <v>25</v>
          </cell>
          <cell r="E25">
            <v>24</v>
          </cell>
          <cell r="G25" t="str">
            <v>MN</v>
          </cell>
        </row>
        <row r="26">
          <cell r="A26">
            <v>26</v>
          </cell>
          <cell r="C26">
            <v>26</v>
          </cell>
          <cell r="E26">
            <v>25</v>
          </cell>
          <cell r="G26" t="str">
            <v>MO</v>
          </cell>
        </row>
        <row r="27">
          <cell r="A27">
            <v>27</v>
          </cell>
          <cell r="C27">
            <v>27</v>
          </cell>
          <cell r="E27">
            <v>26</v>
          </cell>
          <cell r="G27" t="str">
            <v>MS</v>
          </cell>
        </row>
        <row r="28">
          <cell r="A28">
            <v>28</v>
          </cell>
          <cell r="C28">
            <v>28</v>
          </cell>
          <cell r="E28">
            <v>27</v>
          </cell>
          <cell r="G28" t="str">
            <v>MT</v>
          </cell>
        </row>
        <row r="29">
          <cell r="A29">
            <v>29</v>
          </cell>
          <cell r="C29">
            <v>29</v>
          </cell>
          <cell r="E29">
            <v>28</v>
          </cell>
          <cell r="G29" t="str">
            <v>NC</v>
          </cell>
        </row>
        <row r="30">
          <cell r="A30">
            <v>30</v>
          </cell>
          <cell r="C30">
            <v>30</v>
          </cell>
          <cell r="E30">
            <v>29</v>
          </cell>
          <cell r="G30" t="str">
            <v>ND</v>
          </cell>
        </row>
        <row r="31">
          <cell r="A31">
            <v>31</v>
          </cell>
          <cell r="C31">
            <v>31</v>
          </cell>
          <cell r="E31">
            <v>30</v>
          </cell>
          <cell r="G31" t="str">
            <v>NE</v>
          </cell>
        </row>
        <row r="32">
          <cell r="A32">
            <v>32</v>
          </cell>
          <cell r="C32">
            <v>32</v>
          </cell>
          <cell r="E32">
            <v>31</v>
          </cell>
          <cell r="G32" t="str">
            <v>NH</v>
          </cell>
        </row>
        <row r="33">
          <cell r="A33">
            <v>33</v>
          </cell>
          <cell r="C33">
            <v>33</v>
          </cell>
          <cell r="E33">
            <v>32</v>
          </cell>
          <cell r="G33" t="str">
            <v>NJ</v>
          </cell>
        </row>
        <row r="34">
          <cell r="A34">
            <v>34</v>
          </cell>
          <cell r="C34">
            <v>34</v>
          </cell>
          <cell r="E34">
            <v>33</v>
          </cell>
          <cell r="G34" t="str">
            <v>NM</v>
          </cell>
        </row>
        <row r="35">
          <cell r="A35">
            <v>35</v>
          </cell>
          <cell r="C35">
            <v>35</v>
          </cell>
          <cell r="E35">
            <v>34</v>
          </cell>
          <cell r="G35" t="str">
            <v>NV</v>
          </cell>
        </row>
        <row r="36">
          <cell r="A36">
            <v>36</v>
          </cell>
          <cell r="C36">
            <v>36</v>
          </cell>
          <cell r="E36">
            <v>35</v>
          </cell>
          <cell r="G36" t="str">
            <v>NY</v>
          </cell>
        </row>
        <row r="37">
          <cell r="A37">
            <v>37</v>
          </cell>
          <cell r="C37">
            <v>37</v>
          </cell>
          <cell r="E37">
            <v>36</v>
          </cell>
          <cell r="G37" t="str">
            <v>OH</v>
          </cell>
        </row>
        <row r="38">
          <cell r="A38">
            <v>38</v>
          </cell>
          <cell r="C38">
            <v>38</v>
          </cell>
          <cell r="E38">
            <v>37</v>
          </cell>
          <cell r="G38" t="str">
            <v>OK</v>
          </cell>
        </row>
        <row r="39">
          <cell r="A39">
            <v>39</v>
          </cell>
          <cell r="C39">
            <v>39</v>
          </cell>
          <cell r="E39">
            <v>38</v>
          </cell>
          <cell r="G39" t="str">
            <v>OR</v>
          </cell>
        </row>
        <row r="40">
          <cell r="A40">
            <v>40</v>
          </cell>
          <cell r="C40">
            <v>40</v>
          </cell>
          <cell r="E40">
            <v>39</v>
          </cell>
          <cell r="G40" t="str">
            <v>PA</v>
          </cell>
        </row>
        <row r="41">
          <cell r="A41">
            <v>41</v>
          </cell>
          <cell r="E41">
            <v>40</v>
          </cell>
          <cell r="G41" t="str">
            <v>RI</v>
          </cell>
        </row>
        <row r="42">
          <cell r="A42">
            <v>42</v>
          </cell>
          <cell r="E42">
            <v>41</v>
          </cell>
          <cell r="G42" t="str">
            <v>SC</v>
          </cell>
        </row>
        <row r="43">
          <cell r="A43">
            <v>43</v>
          </cell>
          <cell r="E43">
            <v>42</v>
          </cell>
          <cell r="G43" t="str">
            <v>SD</v>
          </cell>
        </row>
        <row r="44">
          <cell r="A44">
            <v>44</v>
          </cell>
          <cell r="E44">
            <v>43</v>
          </cell>
          <cell r="G44" t="str">
            <v>TN</v>
          </cell>
        </row>
        <row r="45">
          <cell r="A45">
            <v>45</v>
          </cell>
          <cell r="E45">
            <v>44</v>
          </cell>
          <cell r="G45" t="str">
            <v>TX</v>
          </cell>
        </row>
        <row r="46">
          <cell r="A46">
            <v>46</v>
          </cell>
          <cell r="E46">
            <v>45</v>
          </cell>
          <cell r="G46" t="str">
            <v>UT</v>
          </cell>
        </row>
        <row r="47">
          <cell r="A47">
            <v>47</v>
          </cell>
          <cell r="E47">
            <v>46</v>
          </cell>
          <cell r="G47" t="str">
            <v>VA</v>
          </cell>
        </row>
        <row r="48">
          <cell r="A48">
            <v>48</v>
          </cell>
          <cell r="E48">
            <v>47</v>
          </cell>
          <cell r="G48" t="str">
            <v>VT</v>
          </cell>
        </row>
        <row r="49">
          <cell r="A49">
            <v>49</v>
          </cell>
          <cell r="E49">
            <v>48</v>
          </cell>
          <cell r="G49" t="str">
            <v>WA</v>
          </cell>
        </row>
        <row r="50">
          <cell r="A50">
            <v>50</v>
          </cell>
          <cell r="E50">
            <v>49</v>
          </cell>
          <cell r="G50" t="str">
            <v>WI</v>
          </cell>
        </row>
        <row r="51">
          <cell r="A51">
            <v>51</v>
          </cell>
          <cell r="E51">
            <v>50</v>
          </cell>
          <cell r="G51" t="str">
            <v>WV</v>
          </cell>
        </row>
        <row r="52">
          <cell r="A52">
            <v>52</v>
          </cell>
          <cell r="E52">
            <v>51</v>
          </cell>
          <cell r="G52" t="str">
            <v>WY</v>
          </cell>
        </row>
        <row r="53">
          <cell r="E53">
            <v>52</v>
          </cell>
        </row>
        <row r="54">
          <cell r="E54">
            <v>53</v>
          </cell>
        </row>
        <row r="55">
          <cell r="E55">
            <v>54</v>
          </cell>
        </row>
        <row r="56">
          <cell r="E56">
            <v>55</v>
          </cell>
        </row>
        <row r="57">
          <cell r="E57">
            <v>56</v>
          </cell>
        </row>
        <row r="58">
          <cell r="E58">
            <v>57</v>
          </cell>
        </row>
        <row r="59">
          <cell r="E59">
            <v>58</v>
          </cell>
        </row>
        <row r="60">
          <cell r="E60">
            <v>59</v>
          </cell>
        </row>
        <row r="61">
          <cell r="E61">
            <v>60</v>
          </cell>
        </row>
        <row r="62">
          <cell r="E62">
            <v>61</v>
          </cell>
        </row>
        <row r="63">
          <cell r="E63">
            <v>62</v>
          </cell>
        </row>
        <row r="64">
          <cell r="E64">
            <v>63</v>
          </cell>
        </row>
        <row r="65">
          <cell r="E65">
            <v>64</v>
          </cell>
        </row>
        <row r="66">
          <cell r="E66">
            <v>65</v>
          </cell>
        </row>
        <row r="67">
          <cell r="E67">
            <v>66</v>
          </cell>
        </row>
        <row r="68">
          <cell r="E68">
            <v>67</v>
          </cell>
        </row>
        <row r="69">
          <cell r="E69">
            <v>68</v>
          </cell>
        </row>
        <row r="70">
          <cell r="E70">
            <v>69</v>
          </cell>
        </row>
        <row r="71">
          <cell r="E71">
            <v>70</v>
          </cell>
        </row>
        <row r="72">
          <cell r="E72">
            <v>71</v>
          </cell>
        </row>
        <row r="73">
          <cell r="E73">
            <v>72</v>
          </cell>
        </row>
        <row r="74">
          <cell r="E74">
            <v>73</v>
          </cell>
        </row>
        <row r="75">
          <cell r="E75">
            <v>74</v>
          </cell>
        </row>
        <row r="76">
          <cell r="E76">
            <v>75</v>
          </cell>
        </row>
        <row r="77">
          <cell r="E77">
            <v>76</v>
          </cell>
        </row>
        <row r="78">
          <cell r="E78">
            <v>77</v>
          </cell>
        </row>
        <row r="79">
          <cell r="E79">
            <v>78</v>
          </cell>
        </row>
        <row r="80">
          <cell r="E80">
            <v>79</v>
          </cell>
        </row>
        <row r="81">
          <cell r="E81">
            <v>80</v>
          </cell>
        </row>
      </sheetData>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General "/>
      <sheetName val="Narrative "/>
      <sheetName val="Contacts"/>
      <sheetName val="Site &amp; Units"/>
      <sheetName val="Misc."/>
      <sheetName val="Rents "/>
      <sheetName val="Subsidies"/>
      <sheetName val="Dev Sources"/>
      <sheetName val="Dev Budget"/>
      <sheetName val="Perm S&amp;U"/>
      <sheetName val="Operating "/>
      <sheetName val="Cash Flow"/>
      <sheetName val="Experience"/>
      <sheetName val="Certifications"/>
      <sheetName val="Legal Status"/>
      <sheetName val="Narrative-Concat."/>
      <sheetName val="SD_Dropdowns"/>
      <sheetName val="Drop Down"/>
      <sheetName val="Contact Names Formula"/>
      <sheetName val="unit mix"/>
      <sheetName val="project overview"/>
    </sheetNames>
    <sheetDataSet>
      <sheetData sheetId="0"/>
      <sheetData sheetId="1"/>
      <sheetData sheetId="2"/>
      <sheetData sheetId="3"/>
      <sheetData sheetId="4"/>
      <sheetData sheetId="5"/>
      <sheetData sheetId="6">
        <row r="25">
          <cell r="Z25">
            <v>0.5</v>
          </cell>
        </row>
      </sheetData>
      <sheetData sheetId="7"/>
      <sheetData sheetId="8"/>
      <sheetData sheetId="9"/>
      <sheetData sheetId="10"/>
      <sheetData sheetId="11"/>
      <sheetData sheetId="12"/>
      <sheetData sheetId="13"/>
      <sheetData sheetId="14"/>
      <sheetData sheetId="15"/>
      <sheetData sheetId="16"/>
      <sheetData sheetId="17">
        <row r="2">
          <cell r="A2">
            <v>1</v>
          </cell>
          <cell r="C2">
            <v>1</v>
          </cell>
          <cell r="E2">
            <v>1</v>
          </cell>
          <cell r="G2" t="str">
            <v>AK</v>
          </cell>
        </row>
        <row r="3">
          <cell r="A3">
            <v>2</v>
          </cell>
          <cell r="C3">
            <v>2</v>
          </cell>
          <cell r="E3">
            <v>2</v>
          </cell>
          <cell r="G3" t="str">
            <v>AL</v>
          </cell>
        </row>
        <row r="4">
          <cell r="A4">
            <v>3</v>
          </cell>
          <cell r="C4">
            <v>3</v>
          </cell>
          <cell r="E4">
            <v>3</v>
          </cell>
          <cell r="G4" t="str">
            <v>AR</v>
          </cell>
        </row>
        <row r="5">
          <cell r="A5">
            <v>4</v>
          </cell>
          <cell r="C5">
            <v>4</v>
          </cell>
          <cell r="E5">
            <v>4</v>
          </cell>
          <cell r="G5" t="str">
            <v>AZ</v>
          </cell>
        </row>
        <row r="6">
          <cell r="A6">
            <v>5</v>
          </cell>
          <cell r="C6">
            <v>5</v>
          </cell>
          <cell r="E6">
            <v>5</v>
          </cell>
          <cell r="G6" t="str">
            <v>CA</v>
          </cell>
        </row>
        <row r="7">
          <cell r="A7">
            <v>6</v>
          </cell>
          <cell r="C7">
            <v>6</v>
          </cell>
          <cell r="E7">
            <v>6</v>
          </cell>
          <cell r="G7" t="str">
            <v>CO</v>
          </cell>
        </row>
        <row r="8">
          <cell r="A8">
            <v>7</v>
          </cell>
          <cell r="C8">
            <v>7</v>
          </cell>
          <cell r="E8">
            <v>7</v>
          </cell>
          <cell r="G8" t="str">
            <v>CT</v>
          </cell>
        </row>
        <row r="9">
          <cell r="A9">
            <v>8</v>
          </cell>
          <cell r="C9">
            <v>8</v>
          </cell>
          <cell r="E9">
            <v>8</v>
          </cell>
          <cell r="G9" t="str">
            <v>DC</v>
          </cell>
        </row>
        <row r="10">
          <cell r="A10">
            <v>9</v>
          </cell>
          <cell r="C10">
            <v>9</v>
          </cell>
          <cell r="E10">
            <v>9</v>
          </cell>
          <cell r="G10" t="str">
            <v>DE</v>
          </cell>
        </row>
        <row r="11">
          <cell r="A11">
            <v>10</v>
          </cell>
          <cell r="C11">
            <v>10</v>
          </cell>
          <cell r="E11">
            <v>10</v>
          </cell>
          <cell r="G11" t="str">
            <v>FL</v>
          </cell>
        </row>
        <row r="12">
          <cell r="A12">
            <v>11</v>
          </cell>
          <cell r="C12">
            <v>11</v>
          </cell>
          <cell r="E12">
            <v>11</v>
          </cell>
          <cell r="G12" t="str">
            <v>GA</v>
          </cell>
        </row>
        <row r="13">
          <cell r="A13">
            <v>12</v>
          </cell>
          <cell r="C13">
            <v>12</v>
          </cell>
          <cell r="E13">
            <v>12</v>
          </cell>
          <cell r="G13" t="str">
            <v>HI</v>
          </cell>
        </row>
        <row r="14">
          <cell r="A14">
            <v>13</v>
          </cell>
          <cell r="C14">
            <v>13</v>
          </cell>
          <cell r="E14">
            <v>13</v>
          </cell>
          <cell r="G14" t="str">
            <v>IA</v>
          </cell>
        </row>
        <row r="15">
          <cell r="A15">
            <v>14</v>
          </cell>
          <cell r="C15">
            <v>14</v>
          </cell>
          <cell r="E15">
            <v>14</v>
          </cell>
          <cell r="G15" t="str">
            <v>ID</v>
          </cell>
        </row>
        <row r="16">
          <cell r="A16">
            <v>15</v>
          </cell>
          <cell r="C16">
            <v>15</v>
          </cell>
          <cell r="E16">
            <v>15</v>
          </cell>
          <cell r="G16" t="str">
            <v>IL</v>
          </cell>
        </row>
        <row r="17">
          <cell r="A17">
            <v>16</v>
          </cell>
          <cell r="C17">
            <v>16</v>
          </cell>
          <cell r="E17">
            <v>16</v>
          </cell>
          <cell r="G17" t="str">
            <v>IN</v>
          </cell>
        </row>
        <row r="18">
          <cell r="A18">
            <v>17</v>
          </cell>
          <cell r="C18">
            <v>17</v>
          </cell>
          <cell r="E18">
            <v>17</v>
          </cell>
          <cell r="G18" t="str">
            <v>KS</v>
          </cell>
        </row>
        <row r="19">
          <cell r="A19">
            <v>18</v>
          </cell>
          <cell r="C19">
            <v>18</v>
          </cell>
          <cell r="E19">
            <v>18</v>
          </cell>
          <cell r="G19" t="str">
            <v>KY</v>
          </cell>
        </row>
        <row r="20">
          <cell r="A20">
            <v>19</v>
          </cell>
          <cell r="C20">
            <v>19</v>
          </cell>
          <cell r="E20">
            <v>19</v>
          </cell>
          <cell r="G20" t="str">
            <v>LA</v>
          </cell>
        </row>
        <row r="21">
          <cell r="A21">
            <v>20</v>
          </cell>
          <cell r="C21">
            <v>20</v>
          </cell>
          <cell r="E21">
            <v>20</v>
          </cell>
          <cell r="G21" t="str">
            <v>MA</v>
          </cell>
        </row>
        <row r="22">
          <cell r="A22">
            <v>22</v>
          </cell>
          <cell r="C22">
            <v>22</v>
          </cell>
          <cell r="E22">
            <v>21</v>
          </cell>
          <cell r="G22" t="str">
            <v>MD</v>
          </cell>
        </row>
        <row r="23">
          <cell r="A23">
            <v>23</v>
          </cell>
          <cell r="C23">
            <v>23</v>
          </cell>
          <cell r="E23">
            <v>22</v>
          </cell>
          <cell r="G23" t="str">
            <v>ME</v>
          </cell>
        </row>
        <row r="24">
          <cell r="A24">
            <v>24</v>
          </cell>
          <cell r="C24">
            <v>24</v>
          </cell>
          <cell r="E24">
            <v>23</v>
          </cell>
          <cell r="G24" t="str">
            <v>MI</v>
          </cell>
        </row>
        <row r="25">
          <cell r="A25">
            <v>25</v>
          </cell>
          <cell r="C25">
            <v>25</v>
          </cell>
          <cell r="E25">
            <v>24</v>
          </cell>
          <cell r="G25" t="str">
            <v>MN</v>
          </cell>
        </row>
        <row r="26">
          <cell r="A26">
            <v>26</v>
          </cell>
          <cell r="C26">
            <v>26</v>
          </cell>
          <cell r="E26">
            <v>25</v>
          </cell>
          <cell r="G26" t="str">
            <v>MO</v>
          </cell>
        </row>
        <row r="27">
          <cell r="A27">
            <v>27</v>
          </cell>
          <cell r="C27">
            <v>27</v>
          </cell>
          <cell r="E27">
            <v>26</v>
          </cell>
          <cell r="G27" t="str">
            <v>MS</v>
          </cell>
        </row>
        <row r="28">
          <cell r="A28">
            <v>28</v>
          </cell>
          <cell r="C28">
            <v>28</v>
          </cell>
          <cell r="E28">
            <v>27</v>
          </cell>
          <cell r="G28" t="str">
            <v>MT</v>
          </cell>
        </row>
        <row r="29">
          <cell r="A29">
            <v>29</v>
          </cell>
          <cell r="C29">
            <v>29</v>
          </cell>
          <cell r="E29">
            <v>28</v>
          </cell>
          <cell r="G29" t="str">
            <v>NC</v>
          </cell>
        </row>
        <row r="30">
          <cell r="A30">
            <v>30</v>
          </cell>
          <cell r="C30">
            <v>30</v>
          </cell>
          <cell r="E30">
            <v>29</v>
          </cell>
          <cell r="G30" t="str">
            <v>ND</v>
          </cell>
        </row>
        <row r="31">
          <cell r="A31">
            <v>31</v>
          </cell>
          <cell r="C31">
            <v>31</v>
          </cell>
          <cell r="E31">
            <v>30</v>
          </cell>
          <cell r="G31" t="str">
            <v>NE</v>
          </cell>
        </row>
        <row r="32">
          <cell r="A32">
            <v>32</v>
          </cell>
          <cell r="C32">
            <v>32</v>
          </cell>
          <cell r="E32">
            <v>31</v>
          </cell>
          <cell r="G32" t="str">
            <v>NH</v>
          </cell>
        </row>
        <row r="33">
          <cell r="A33">
            <v>33</v>
          </cell>
          <cell r="C33">
            <v>33</v>
          </cell>
          <cell r="E33">
            <v>32</v>
          </cell>
          <cell r="G33" t="str">
            <v>NJ</v>
          </cell>
        </row>
        <row r="34">
          <cell r="A34">
            <v>34</v>
          </cell>
          <cell r="C34">
            <v>34</v>
          </cell>
          <cell r="E34">
            <v>33</v>
          </cell>
          <cell r="G34" t="str">
            <v>NM</v>
          </cell>
        </row>
        <row r="35">
          <cell r="A35">
            <v>35</v>
          </cell>
          <cell r="C35">
            <v>35</v>
          </cell>
          <cell r="E35">
            <v>34</v>
          </cell>
          <cell r="G35" t="str">
            <v>NV</v>
          </cell>
        </row>
        <row r="36">
          <cell r="A36">
            <v>36</v>
          </cell>
          <cell r="C36">
            <v>36</v>
          </cell>
          <cell r="E36">
            <v>35</v>
          </cell>
          <cell r="G36" t="str">
            <v>NY</v>
          </cell>
        </row>
        <row r="37">
          <cell r="A37">
            <v>37</v>
          </cell>
          <cell r="C37">
            <v>37</v>
          </cell>
          <cell r="E37">
            <v>36</v>
          </cell>
          <cell r="G37" t="str">
            <v>OH</v>
          </cell>
        </row>
        <row r="38">
          <cell r="A38">
            <v>38</v>
          </cell>
          <cell r="C38">
            <v>38</v>
          </cell>
          <cell r="E38">
            <v>37</v>
          </cell>
          <cell r="G38" t="str">
            <v>OK</v>
          </cell>
        </row>
        <row r="39">
          <cell r="A39">
            <v>39</v>
          </cell>
          <cell r="C39">
            <v>39</v>
          </cell>
          <cell r="E39">
            <v>38</v>
          </cell>
          <cell r="G39" t="str">
            <v>OR</v>
          </cell>
        </row>
        <row r="40">
          <cell r="A40">
            <v>40</v>
          </cell>
          <cell r="C40">
            <v>40</v>
          </cell>
          <cell r="E40">
            <v>39</v>
          </cell>
          <cell r="G40" t="str">
            <v>PA</v>
          </cell>
        </row>
        <row r="41">
          <cell r="A41">
            <v>41</v>
          </cell>
          <cell r="E41">
            <v>40</v>
          </cell>
          <cell r="G41" t="str">
            <v>RI</v>
          </cell>
        </row>
        <row r="42">
          <cell r="A42">
            <v>42</v>
          </cell>
          <cell r="E42">
            <v>41</v>
          </cell>
          <cell r="G42" t="str">
            <v>SC</v>
          </cell>
        </row>
        <row r="43">
          <cell r="A43">
            <v>43</v>
          </cell>
          <cell r="E43">
            <v>42</v>
          </cell>
          <cell r="G43" t="str">
            <v>SD</v>
          </cell>
        </row>
        <row r="44">
          <cell r="A44">
            <v>44</v>
          </cell>
          <cell r="E44">
            <v>43</v>
          </cell>
          <cell r="G44" t="str">
            <v>TN</v>
          </cell>
        </row>
        <row r="45">
          <cell r="A45">
            <v>45</v>
          </cell>
          <cell r="E45">
            <v>44</v>
          </cell>
          <cell r="G45" t="str">
            <v>TX</v>
          </cell>
        </row>
        <row r="46">
          <cell r="A46">
            <v>46</v>
          </cell>
          <cell r="E46">
            <v>45</v>
          </cell>
          <cell r="G46" t="str">
            <v>UT</v>
          </cell>
        </row>
        <row r="47">
          <cell r="A47">
            <v>47</v>
          </cell>
          <cell r="E47">
            <v>46</v>
          </cell>
          <cell r="G47" t="str">
            <v>VA</v>
          </cell>
        </row>
        <row r="48">
          <cell r="A48">
            <v>48</v>
          </cell>
          <cell r="E48">
            <v>47</v>
          </cell>
          <cell r="G48" t="str">
            <v>VT</v>
          </cell>
        </row>
        <row r="49">
          <cell r="A49">
            <v>49</v>
          </cell>
          <cell r="E49">
            <v>48</v>
          </cell>
          <cell r="G49" t="str">
            <v>WA</v>
          </cell>
        </row>
        <row r="50">
          <cell r="A50">
            <v>50</v>
          </cell>
          <cell r="E50">
            <v>49</v>
          </cell>
          <cell r="G50" t="str">
            <v>WI</v>
          </cell>
        </row>
        <row r="51">
          <cell r="A51">
            <v>51</v>
          </cell>
          <cell r="E51">
            <v>50</v>
          </cell>
          <cell r="G51" t="str">
            <v>WV</v>
          </cell>
        </row>
        <row r="52">
          <cell r="A52">
            <v>52</v>
          </cell>
          <cell r="E52">
            <v>51</v>
          </cell>
          <cell r="G52" t="str">
            <v>WY</v>
          </cell>
        </row>
        <row r="53">
          <cell r="E53">
            <v>52</v>
          </cell>
        </row>
        <row r="54">
          <cell r="E54">
            <v>53</v>
          </cell>
        </row>
        <row r="55">
          <cell r="E55">
            <v>54</v>
          </cell>
        </row>
        <row r="56">
          <cell r="E56">
            <v>55</v>
          </cell>
        </row>
        <row r="57">
          <cell r="E57">
            <v>56</v>
          </cell>
        </row>
        <row r="58">
          <cell r="E58">
            <v>57</v>
          </cell>
        </row>
        <row r="59">
          <cell r="E59">
            <v>58</v>
          </cell>
        </row>
        <row r="60">
          <cell r="E60">
            <v>59</v>
          </cell>
        </row>
        <row r="61">
          <cell r="E61">
            <v>60</v>
          </cell>
        </row>
        <row r="62">
          <cell r="E62">
            <v>61</v>
          </cell>
        </row>
        <row r="63">
          <cell r="E63">
            <v>62</v>
          </cell>
        </row>
        <row r="64">
          <cell r="E64">
            <v>63</v>
          </cell>
        </row>
        <row r="65">
          <cell r="E65">
            <v>64</v>
          </cell>
        </row>
        <row r="66">
          <cell r="E66">
            <v>65</v>
          </cell>
        </row>
        <row r="67">
          <cell r="E67">
            <v>66</v>
          </cell>
        </row>
        <row r="68">
          <cell r="E68">
            <v>67</v>
          </cell>
        </row>
        <row r="69">
          <cell r="E69">
            <v>68</v>
          </cell>
        </row>
        <row r="70">
          <cell r="E70">
            <v>69</v>
          </cell>
        </row>
        <row r="71">
          <cell r="E71">
            <v>70</v>
          </cell>
        </row>
        <row r="72">
          <cell r="E72">
            <v>71</v>
          </cell>
        </row>
        <row r="73">
          <cell r="E73">
            <v>72</v>
          </cell>
        </row>
        <row r="74">
          <cell r="E74">
            <v>73</v>
          </cell>
        </row>
        <row r="75">
          <cell r="E75">
            <v>74</v>
          </cell>
        </row>
        <row r="76">
          <cell r="E76">
            <v>75</v>
          </cell>
        </row>
        <row r="77">
          <cell r="E77">
            <v>76</v>
          </cell>
        </row>
        <row r="78">
          <cell r="E78">
            <v>77</v>
          </cell>
        </row>
        <row r="79">
          <cell r="E79">
            <v>78</v>
          </cell>
        </row>
        <row r="80">
          <cell r="E80">
            <v>79</v>
          </cell>
        </row>
        <row r="81">
          <cell r="E81">
            <v>80</v>
          </cell>
        </row>
      </sheetData>
      <sheetData sheetId="18">
        <row r="3">
          <cell r="B3" t="str">
            <v>20% at 50%</v>
          </cell>
        </row>
      </sheetData>
      <sheetData sheetId="19"/>
      <sheetData sheetId="20"/>
      <sheetData sheetId="2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ons"/>
      <sheetName val="General "/>
      <sheetName val="Narrative "/>
      <sheetName val="Contacts"/>
      <sheetName val="Site &amp; Units"/>
      <sheetName val="Misc."/>
      <sheetName val="Rents "/>
      <sheetName val="VHHP Rents"/>
      <sheetName val="Subsidies"/>
      <sheetName val="Dev Sources"/>
      <sheetName val="Dev Budget"/>
      <sheetName val="Perm S&amp;U"/>
      <sheetName val="Operating "/>
      <sheetName val="Cash Flow"/>
      <sheetName val="VHHP Cash Flow"/>
      <sheetName val="Experience"/>
      <sheetName val="Certifications"/>
      <sheetName val="Legal Status"/>
      <sheetName val="Narrative-Concat."/>
      <sheetName val="SD_Dropdowns"/>
      <sheetName val="Drop Down"/>
      <sheetName val="Contact Names Formula"/>
      <sheetName val="MAPPING"/>
      <sheetName val="General_"/>
      <sheetName val="Narrative_"/>
      <sheetName val="Site_&amp;_Units"/>
      <sheetName val="Misc_"/>
      <sheetName val="Rents_"/>
      <sheetName val="VHHP_Rents"/>
      <sheetName val="Dev_Sources"/>
      <sheetName val="Dev_Budget"/>
      <sheetName val="Perm_S&amp;U"/>
      <sheetName val="Operating_"/>
      <sheetName val="Cash_Flow"/>
      <sheetName val="VHHP_Cash_Flow"/>
      <sheetName val="Legal_Status"/>
      <sheetName val="Narrative-Concat_"/>
      <sheetName val="Drop_Down"/>
      <sheetName val="Contact_Names_Formula"/>
      <sheetName val="1. Description"/>
      <sheetName val="Project Overview"/>
      <sheetName val="Max Loan and Grant Amounts"/>
      <sheetName val="Document Checklist-Full List"/>
      <sheetName val="Unit Mix"/>
      <sheetName val="iig threshold requirements"/>
      <sheetName val="VHHP Threshold Requirements"/>
      <sheetName val="Scoring"/>
      <sheetName val="HCD Reserves Calculator"/>
      <sheetName val="Developer Fee"/>
    </sheetNames>
    <sheetDataSet>
      <sheetData sheetId="0" refreshError="1"/>
      <sheetData sheetId="1"/>
      <sheetData sheetId="2" refreshError="1"/>
      <sheetData sheetId="3" refreshError="1"/>
      <sheetData sheetId="4" refreshError="1"/>
      <sheetData sheetId="5">
        <row r="15">
          <cell r="I15">
            <v>0</v>
          </cell>
        </row>
      </sheetData>
      <sheetData sheetId="6">
        <row r="15">
          <cell r="I15">
            <v>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row r="2">
          <cell r="A2">
            <v>1</v>
          </cell>
          <cell r="C2">
            <v>1</v>
          </cell>
          <cell r="E2">
            <v>1</v>
          </cell>
          <cell r="G2" t="str">
            <v>AK</v>
          </cell>
        </row>
        <row r="3">
          <cell r="A3">
            <v>2</v>
          </cell>
          <cell r="C3">
            <v>2</v>
          </cell>
          <cell r="E3">
            <v>2</v>
          </cell>
          <cell r="G3" t="str">
            <v>AL</v>
          </cell>
        </row>
        <row r="4">
          <cell r="A4">
            <v>3</v>
          </cell>
          <cell r="C4">
            <v>3</v>
          </cell>
          <cell r="E4">
            <v>3</v>
          </cell>
          <cell r="G4" t="str">
            <v>AR</v>
          </cell>
        </row>
        <row r="5">
          <cell r="A5">
            <v>4</v>
          </cell>
          <cell r="C5">
            <v>4</v>
          </cell>
          <cell r="E5">
            <v>4</v>
          </cell>
          <cell r="G5" t="str">
            <v>AZ</v>
          </cell>
        </row>
        <row r="6">
          <cell r="A6">
            <v>5</v>
          </cell>
          <cell r="C6">
            <v>5</v>
          </cell>
          <cell r="E6">
            <v>5</v>
          </cell>
          <cell r="G6" t="str">
            <v>CA</v>
          </cell>
        </row>
        <row r="7">
          <cell r="A7">
            <v>6</v>
          </cell>
          <cell r="C7">
            <v>6</v>
          </cell>
          <cell r="E7">
            <v>6</v>
          </cell>
          <cell r="G7" t="str">
            <v>CO</v>
          </cell>
        </row>
        <row r="8">
          <cell r="A8">
            <v>7</v>
          </cell>
          <cell r="C8">
            <v>7</v>
          </cell>
          <cell r="E8">
            <v>7</v>
          </cell>
          <cell r="G8" t="str">
            <v>CT</v>
          </cell>
        </row>
        <row r="9">
          <cell r="A9">
            <v>8</v>
          </cell>
          <cell r="C9">
            <v>8</v>
          </cell>
          <cell r="E9">
            <v>8</v>
          </cell>
          <cell r="G9" t="str">
            <v>DC</v>
          </cell>
        </row>
        <row r="10">
          <cell r="A10">
            <v>9</v>
          </cell>
          <cell r="C10">
            <v>9</v>
          </cell>
          <cell r="E10">
            <v>9</v>
          </cell>
          <cell r="G10" t="str">
            <v>DE</v>
          </cell>
        </row>
        <row r="11">
          <cell r="A11">
            <v>10</v>
          </cell>
          <cell r="C11">
            <v>10</v>
          </cell>
          <cell r="E11">
            <v>10</v>
          </cell>
          <cell r="G11" t="str">
            <v>FL</v>
          </cell>
        </row>
        <row r="12">
          <cell r="A12">
            <v>11</v>
          </cell>
          <cell r="C12">
            <v>11</v>
          </cell>
          <cell r="E12">
            <v>11</v>
          </cell>
          <cell r="G12" t="str">
            <v>GA</v>
          </cell>
        </row>
        <row r="13">
          <cell r="A13">
            <v>12</v>
          </cell>
          <cell r="C13">
            <v>12</v>
          </cell>
          <cell r="E13">
            <v>12</v>
          </cell>
          <cell r="G13" t="str">
            <v>HI</v>
          </cell>
        </row>
        <row r="14">
          <cell r="A14">
            <v>13</v>
          </cell>
          <cell r="C14">
            <v>13</v>
          </cell>
          <cell r="E14">
            <v>13</v>
          </cell>
          <cell r="G14" t="str">
            <v>IA</v>
          </cell>
        </row>
        <row r="15">
          <cell r="A15">
            <v>14</v>
          </cell>
          <cell r="C15">
            <v>14</v>
          </cell>
          <cell r="E15">
            <v>14</v>
          </cell>
          <cell r="G15" t="str">
            <v>ID</v>
          </cell>
        </row>
        <row r="16">
          <cell r="A16">
            <v>15</v>
          </cell>
          <cell r="C16">
            <v>15</v>
          </cell>
          <cell r="E16">
            <v>15</v>
          </cell>
          <cell r="G16" t="str">
            <v>IL</v>
          </cell>
        </row>
        <row r="17">
          <cell r="A17">
            <v>16</v>
          </cell>
          <cell r="C17">
            <v>16</v>
          </cell>
          <cell r="E17">
            <v>16</v>
          </cell>
          <cell r="G17" t="str">
            <v>IN</v>
          </cell>
        </row>
        <row r="18">
          <cell r="A18">
            <v>17</v>
          </cell>
          <cell r="C18">
            <v>17</v>
          </cell>
          <cell r="E18">
            <v>17</v>
          </cell>
          <cell r="G18" t="str">
            <v>KS</v>
          </cell>
        </row>
        <row r="19">
          <cell r="A19">
            <v>18</v>
          </cell>
          <cell r="C19">
            <v>18</v>
          </cell>
          <cell r="E19">
            <v>18</v>
          </cell>
          <cell r="G19" t="str">
            <v>KY</v>
          </cell>
        </row>
        <row r="20">
          <cell r="A20">
            <v>19</v>
          </cell>
          <cell r="C20">
            <v>19</v>
          </cell>
          <cell r="E20">
            <v>19</v>
          </cell>
          <cell r="G20" t="str">
            <v>LA</v>
          </cell>
        </row>
        <row r="21">
          <cell r="A21">
            <v>20</v>
          </cell>
          <cell r="C21">
            <v>20</v>
          </cell>
          <cell r="E21">
            <v>20</v>
          </cell>
          <cell r="G21" t="str">
            <v>MA</v>
          </cell>
        </row>
        <row r="22">
          <cell r="A22">
            <v>22</v>
          </cell>
          <cell r="C22">
            <v>22</v>
          </cell>
          <cell r="E22">
            <v>21</v>
          </cell>
          <cell r="G22" t="str">
            <v>MD</v>
          </cell>
        </row>
        <row r="23">
          <cell r="A23">
            <v>23</v>
          </cell>
          <cell r="C23">
            <v>23</v>
          </cell>
          <cell r="E23">
            <v>22</v>
          </cell>
          <cell r="G23" t="str">
            <v>ME</v>
          </cell>
        </row>
        <row r="24">
          <cell r="A24">
            <v>24</v>
          </cell>
          <cell r="C24">
            <v>24</v>
          </cell>
          <cell r="E24">
            <v>23</v>
          </cell>
          <cell r="G24" t="str">
            <v>MI</v>
          </cell>
        </row>
        <row r="25">
          <cell r="A25">
            <v>25</v>
          </cell>
          <cell r="C25">
            <v>25</v>
          </cell>
          <cell r="E25">
            <v>24</v>
          </cell>
          <cell r="G25" t="str">
            <v>MN</v>
          </cell>
        </row>
        <row r="26">
          <cell r="A26">
            <v>26</v>
          </cell>
          <cell r="C26">
            <v>26</v>
          </cell>
          <cell r="E26">
            <v>25</v>
          </cell>
          <cell r="G26" t="str">
            <v>MO</v>
          </cell>
        </row>
        <row r="27">
          <cell r="A27">
            <v>27</v>
          </cell>
          <cell r="C27">
            <v>27</v>
          </cell>
          <cell r="E27">
            <v>26</v>
          </cell>
          <cell r="G27" t="str">
            <v>MS</v>
          </cell>
        </row>
        <row r="28">
          <cell r="A28">
            <v>28</v>
          </cell>
          <cell r="C28">
            <v>28</v>
          </cell>
          <cell r="E28">
            <v>27</v>
          </cell>
          <cell r="G28" t="str">
            <v>MT</v>
          </cell>
        </row>
        <row r="29">
          <cell r="A29">
            <v>29</v>
          </cell>
          <cell r="C29">
            <v>29</v>
          </cell>
          <cell r="E29">
            <v>28</v>
          </cell>
          <cell r="G29" t="str">
            <v>NC</v>
          </cell>
        </row>
        <row r="30">
          <cell r="A30">
            <v>30</v>
          </cell>
          <cell r="C30">
            <v>30</v>
          </cell>
          <cell r="E30">
            <v>29</v>
          </cell>
          <cell r="G30" t="str">
            <v>ND</v>
          </cell>
        </row>
        <row r="31">
          <cell r="A31">
            <v>31</v>
          </cell>
          <cell r="C31">
            <v>31</v>
          </cell>
          <cell r="E31">
            <v>30</v>
          </cell>
          <cell r="G31" t="str">
            <v>NE</v>
          </cell>
        </row>
        <row r="32">
          <cell r="A32">
            <v>32</v>
          </cell>
          <cell r="C32">
            <v>32</v>
          </cell>
          <cell r="E32">
            <v>31</v>
          </cell>
          <cell r="G32" t="str">
            <v>NH</v>
          </cell>
        </row>
        <row r="33">
          <cell r="A33">
            <v>33</v>
          </cell>
          <cell r="C33">
            <v>33</v>
          </cell>
          <cell r="E33">
            <v>32</v>
          </cell>
          <cell r="G33" t="str">
            <v>NJ</v>
          </cell>
        </row>
        <row r="34">
          <cell r="A34">
            <v>34</v>
          </cell>
          <cell r="C34">
            <v>34</v>
          </cell>
          <cell r="E34">
            <v>33</v>
          </cell>
          <cell r="G34" t="str">
            <v>NM</v>
          </cell>
        </row>
        <row r="35">
          <cell r="A35">
            <v>35</v>
          </cell>
          <cell r="C35">
            <v>35</v>
          </cell>
          <cell r="E35">
            <v>34</v>
          </cell>
          <cell r="G35" t="str">
            <v>NV</v>
          </cell>
        </row>
        <row r="36">
          <cell r="A36">
            <v>36</v>
          </cell>
          <cell r="C36">
            <v>36</v>
          </cell>
          <cell r="E36">
            <v>35</v>
          </cell>
          <cell r="G36" t="str">
            <v>NY</v>
          </cell>
        </row>
        <row r="37">
          <cell r="A37">
            <v>37</v>
          </cell>
          <cell r="C37">
            <v>37</v>
          </cell>
          <cell r="E37">
            <v>36</v>
          </cell>
          <cell r="G37" t="str">
            <v>OH</v>
          </cell>
        </row>
        <row r="38">
          <cell r="A38">
            <v>38</v>
          </cell>
          <cell r="C38">
            <v>38</v>
          </cell>
          <cell r="E38">
            <v>37</v>
          </cell>
          <cell r="G38" t="str">
            <v>OK</v>
          </cell>
        </row>
        <row r="39">
          <cell r="A39">
            <v>39</v>
          </cell>
          <cell r="C39">
            <v>39</v>
          </cell>
          <cell r="E39">
            <v>38</v>
          </cell>
          <cell r="G39" t="str">
            <v>OR</v>
          </cell>
        </row>
        <row r="40">
          <cell r="A40">
            <v>40</v>
          </cell>
          <cell r="C40">
            <v>40</v>
          </cell>
          <cell r="E40">
            <v>39</v>
          </cell>
          <cell r="G40" t="str">
            <v>PA</v>
          </cell>
        </row>
        <row r="41">
          <cell r="A41">
            <v>41</v>
          </cell>
          <cell r="E41">
            <v>40</v>
          </cell>
          <cell r="G41" t="str">
            <v>RI</v>
          </cell>
        </row>
        <row r="42">
          <cell r="A42">
            <v>42</v>
          </cell>
          <cell r="E42">
            <v>41</v>
          </cell>
          <cell r="G42" t="str">
            <v>SC</v>
          </cell>
        </row>
        <row r="43">
          <cell r="A43">
            <v>43</v>
          </cell>
          <cell r="E43">
            <v>42</v>
          </cell>
          <cell r="G43" t="str">
            <v>SD</v>
          </cell>
        </row>
        <row r="44">
          <cell r="A44">
            <v>44</v>
          </cell>
          <cell r="E44">
            <v>43</v>
          </cell>
          <cell r="G44" t="str">
            <v>TN</v>
          </cell>
        </row>
        <row r="45">
          <cell r="A45">
            <v>45</v>
          </cell>
          <cell r="E45">
            <v>44</v>
          </cell>
          <cell r="G45" t="str">
            <v>TX</v>
          </cell>
        </row>
        <row r="46">
          <cell r="A46">
            <v>46</v>
          </cell>
          <cell r="E46">
            <v>45</v>
          </cell>
          <cell r="G46" t="str">
            <v>UT</v>
          </cell>
        </row>
        <row r="47">
          <cell r="A47">
            <v>47</v>
          </cell>
          <cell r="E47">
            <v>46</v>
          </cell>
          <cell r="G47" t="str">
            <v>VA</v>
          </cell>
        </row>
        <row r="48">
          <cell r="A48">
            <v>48</v>
          </cell>
          <cell r="E48">
            <v>47</v>
          </cell>
          <cell r="G48" t="str">
            <v>VT</v>
          </cell>
        </row>
        <row r="49">
          <cell r="A49">
            <v>49</v>
          </cell>
          <cell r="E49">
            <v>48</v>
          </cell>
          <cell r="G49" t="str">
            <v>WA</v>
          </cell>
        </row>
        <row r="50">
          <cell r="A50">
            <v>50</v>
          </cell>
          <cell r="E50">
            <v>49</v>
          </cell>
          <cell r="G50" t="str">
            <v>WI</v>
          </cell>
        </row>
        <row r="51">
          <cell r="A51">
            <v>51</v>
          </cell>
          <cell r="E51">
            <v>50</v>
          </cell>
          <cell r="G51" t="str">
            <v>WV</v>
          </cell>
        </row>
        <row r="52">
          <cell r="A52">
            <v>52</v>
          </cell>
          <cell r="E52">
            <v>51</v>
          </cell>
          <cell r="G52" t="str">
            <v>WY</v>
          </cell>
        </row>
        <row r="53">
          <cell r="E53">
            <v>52</v>
          </cell>
        </row>
        <row r="54">
          <cell r="E54">
            <v>53</v>
          </cell>
        </row>
        <row r="55">
          <cell r="E55">
            <v>54</v>
          </cell>
        </row>
        <row r="56">
          <cell r="E56">
            <v>55</v>
          </cell>
        </row>
        <row r="57">
          <cell r="E57">
            <v>56</v>
          </cell>
        </row>
        <row r="58">
          <cell r="E58">
            <v>57</v>
          </cell>
        </row>
        <row r="59">
          <cell r="E59">
            <v>58</v>
          </cell>
        </row>
        <row r="60">
          <cell r="E60">
            <v>59</v>
          </cell>
        </row>
        <row r="61">
          <cell r="E61">
            <v>60</v>
          </cell>
        </row>
        <row r="62">
          <cell r="E62">
            <v>61</v>
          </cell>
        </row>
        <row r="63">
          <cell r="E63">
            <v>62</v>
          </cell>
        </row>
        <row r="64">
          <cell r="E64">
            <v>63</v>
          </cell>
        </row>
        <row r="65">
          <cell r="E65">
            <v>64</v>
          </cell>
        </row>
        <row r="66">
          <cell r="E66">
            <v>65</v>
          </cell>
        </row>
        <row r="67">
          <cell r="E67">
            <v>66</v>
          </cell>
        </row>
        <row r="68">
          <cell r="E68">
            <v>67</v>
          </cell>
        </row>
        <row r="69">
          <cell r="E69">
            <v>68</v>
          </cell>
        </row>
        <row r="70">
          <cell r="E70">
            <v>69</v>
          </cell>
        </row>
        <row r="71">
          <cell r="E71">
            <v>70</v>
          </cell>
        </row>
        <row r="72">
          <cell r="E72">
            <v>71</v>
          </cell>
        </row>
        <row r="73">
          <cell r="E73">
            <v>72</v>
          </cell>
        </row>
        <row r="74">
          <cell r="E74">
            <v>73</v>
          </cell>
        </row>
        <row r="75">
          <cell r="E75">
            <v>74</v>
          </cell>
        </row>
        <row r="76">
          <cell r="E76">
            <v>75</v>
          </cell>
        </row>
        <row r="77">
          <cell r="E77">
            <v>76</v>
          </cell>
        </row>
        <row r="78">
          <cell r="E78">
            <v>77</v>
          </cell>
        </row>
        <row r="79">
          <cell r="E79">
            <v>78</v>
          </cell>
        </row>
        <row r="80">
          <cell r="E80">
            <v>79</v>
          </cell>
        </row>
        <row r="81">
          <cell r="E81">
            <v>80</v>
          </cell>
        </row>
      </sheetData>
      <sheetData sheetId="20">
        <row r="3">
          <cell r="B3" t="str">
            <v>20% at 50%</v>
          </cell>
        </row>
      </sheetData>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sheetData sheetId="41"/>
      <sheetData sheetId="42"/>
      <sheetData sheetId="43"/>
      <sheetData sheetId="44"/>
      <sheetData sheetId="45"/>
      <sheetData sheetId="46"/>
      <sheetData sheetId="47"/>
      <sheetData sheetId="48" refreshError="1"/>
    </sheetDataSet>
  </externalBook>
</externalLink>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13</v>
    <v>3</v>
  </rv>
</rvData>
</file>

<file path=xl/richData/rdrichvaluestructure.xml><?xml version="1.0" encoding="utf-8"?>
<rvStructures xmlns="http://schemas.microsoft.com/office/spreadsheetml/2017/richdata" count="1">
  <s t="_error">
    <k n="errorType" t="i"/>
    <k n="subType" t="i"/>
  </s>
</rvStructure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ComponentVisibility" displayName="ComponentVisibility" ref="B4:Q191" totalsRowShown="0" headerRowDxfId="1905" dataDxfId="1903" headerRowBorderDxfId="1904">
  <sortState xmlns:xlrd2="http://schemas.microsoft.com/office/spreadsheetml/2017/richdata2" ref="B5:Q190">
    <sortCondition ref="B5:B190"/>
    <sortCondition ref="C5:C190"/>
    <sortCondition ref="E5:E190"/>
  </sortState>
  <tableColumns count="16">
    <tableColumn id="1" xr3:uid="{00000000-0010-0000-0000-000001000000}" name="SheetName" dataDxfId="1902"/>
    <tableColumn id="2" xr3:uid="{00000000-0010-0000-0000-000002000000}" name="StartRow" dataDxfId="1901"/>
    <tableColumn id="3" xr3:uid="{00000000-0010-0000-0000-000003000000}" name="EndRow" dataDxfId="1900"/>
    <tableColumn id="14" xr3:uid="{00000000-0010-0000-0000-00000E000000}" name="StartCol" dataDxfId="1899"/>
    <tableColumn id="15" xr3:uid="{00000000-0010-0000-0000-00000F000000}" name="EndCol" dataDxfId="1898"/>
    <tableColumn id="4" xr3:uid="{00000000-0010-0000-0000-000004000000}" name="Visible" dataDxfId="1897">
      <calculatedColumnFormula>OR(ComponentVisibility[[#This Row],[Force True]],AND(ComponentVisibility[[#This Row],[Program True]],NOT(ComponentVisibility[[#This Row],[Force False]])))</calculatedColumnFormula>
    </tableColumn>
    <tableColumn id="8" xr3:uid="{00000000-0010-0000-0000-000008000000}" name="Description" dataDxfId="1896" dataCellStyle="Normal 11"/>
    <tableColumn id="5" xr3:uid="{00000000-0010-0000-0000-000005000000}" name="Force True" dataDxfId="1895">
      <calculatedColumnFormula>'Project Overview'!I231:Y231="Joint Venture"</calculatedColumnFormula>
    </tableColumn>
    <tableColumn id="6" xr3:uid="{00000000-0010-0000-0000-000006000000}" name="Force False" dataDxfId="1894">
      <calculatedColumnFormula>IF(OR(Taxcredit="","None"),FALSE,TRUE)</calculatedColumnFormula>
    </tableColumn>
    <tableColumn id="7" xr3:uid="{00000000-0010-0000-0000-000007000000}" name="Program True" dataDxfId="1893">
      <calculatedColumnFormula>SUMPRODUCT(ComponentVisibility[[#This Row],[IIG]:[SHMHP]],IsPrograms)&gt;0</calculatedColumnFormula>
    </tableColumn>
    <tableColumn id="9" xr3:uid="{00000000-0010-0000-0000-000009000000}" name="IIG" dataDxfId="1892"/>
    <tableColumn id="11" xr3:uid="{00000000-0010-0000-0000-00000B000000}" name="Serna" dataDxfId="1891"/>
    <tableColumn id="10" xr3:uid="{00000000-0010-0000-0000-00000A000000}" name="MHP" dataDxfId="1890"/>
    <tableColumn id="12" xr3:uid="{00000000-0010-0000-0000-00000C000000}" name="TOD" dataDxfId="1889"/>
    <tableColumn id="13" xr3:uid="{00000000-0010-0000-0000-00000D000000}" name="VHHP" dataDxfId="1888"/>
    <tableColumn id="16" xr3:uid="{00000000-0010-0000-0000-000010000000}" name="SHMHP" dataDxfId="1887"/>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ContactListTbl" displayName="ContactListTbl" ref="B4:U22" totalsRowShown="0" headerRowDxfId="1629" dataDxfId="1627" headerRowBorderDxfId="1628" tableBorderDxfId="1626" totalsRowBorderDxfId="1625">
  <tableColumns count="20">
    <tableColumn id="1" xr3:uid="{00000000-0010-0000-0100-000001000000}" name="Contact Type" dataDxfId="1624"/>
    <tableColumn id="2" xr3:uid="{00000000-0010-0000-0100-000002000000}" name="Entity Legal Name" dataDxfId="1623">
      <calculatedColumnFormula>IF('Project Overview'!$P$256&gt;0,'Project Overview'!$P$256,"")</calculatedColumnFormula>
    </tableColumn>
    <tableColumn id="3" xr3:uid="{00000000-0010-0000-0100-000003000000}" name="Eligible Sponsor Type" dataDxfId="1622">
      <calculatedColumnFormula>IF('Project Overview'!$J$257&gt;0,'Project Overview'!$J$257,"")</calculatedColumnFormula>
    </tableColumn>
    <tableColumn id="4" xr3:uid="{00000000-0010-0000-0100-000004000000}" name="Organization Type" dataDxfId="1621">
      <calculatedColumnFormula>IF('Project Overview'!$AE$257&gt;0,'Project Overview'!$AE$257,"")</calculatedColumnFormula>
    </tableColumn>
    <tableColumn id="5" xr3:uid="{00000000-0010-0000-0100-000005000000}" name="Address" dataDxfId="1620"/>
    <tableColumn id="6" xr3:uid="{00000000-0010-0000-0100-000006000000}" name="City" dataDxfId="1619"/>
    <tableColumn id="7" xr3:uid="{00000000-0010-0000-0100-000007000000}" name="State" dataDxfId="1618"/>
    <tableColumn id="8" xr3:uid="{00000000-0010-0000-0100-000008000000}" name="Zip Code" dataDxfId="1617"/>
    <tableColumn id="9" xr3:uid="{00000000-0010-0000-0100-000009000000}" name="Auth Rep Name" dataDxfId="1616"/>
    <tableColumn id="10" xr3:uid="{00000000-0010-0000-0100-00000A000000}" name="Title" dataDxfId="1615"/>
    <tableColumn id="11" xr3:uid="{00000000-0010-0000-0100-00000B000000}" name="Email" dataDxfId="1614"/>
    <tableColumn id="12" xr3:uid="{00000000-0010-0000-0100-00000C000000}" name="Phone #" dataDxfId="1613"/>
    <tableColumn id="13" xr3:uid="{00000000-0010-0000-0100-00000D000000}" name="Contact Name" dataDxfId="1612"/>
    <tableColumn id="14" xr3:uid="{00000000-0010-0000-0100-00000E000000}" name="Title2" dataDxfId="1611"/>
    <tableColumn id="15" xr3:uid="{00000000-0010-0000-0100-00000F000000}" name="Email2" dataDxfId="1610"/>
    <tableColumn id="16" xr3:uid="{00000000-0010-0000-0100-000010000000}" name="Phone #2" dataDxfId="1609"/>
    <tableColumn id="17" xr3:uid="{00000000-0010-0000-0100-000011000000}" name="Contact Address" dataDxfId="1608"/>
    <tableColumn id="18" xr3:uid="{00000000-0010-0000-0100-000012000000}" name="City2" dataDxfId="1607"/>
    <tableColumn id="19" xr3:uid="{00000000-0010-0000-0100-000013000000}" name="State2" dataDxfId="1606"/>
    <tableColumn id="20" xr3:uid="{00000000-0010-0000-0100-000014000000}" name="Zip Code2" dataDxfId="1605"/>
  </tableColumns>
  <tableStyleInfo name="TableStyleMedium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LegInfoTbl" displayName="LegInfoTbl" ref="B24:G28" totalsRowShown="0" headerRowDxfId="1604" dataDxfId="1602" headerRowBorderDxfId="1603" tableBorderDxfId="1601" totalsRowBorderDxfId="1600">
  <tableColumns count="6">
    <tableColumn id="1" xr3:uid="{00000000-0010-0000-0200-000001000000}" name="Congress person Name(s)" dataDxfId="1599"/>
    <tableColumn id="2" xr3:uid="{00000000-0010-0000-0200-000002000000}" name="District #" dataDxfId="1598"/>
    <tableColumn id="3" xr3:uid="{00000000-0010-0000-0200-000003000000}" name="State Senator Name(s)" dataDxfId="1597"/>
    <tableColumn id="4" xr3:uid="{00000000-0010-0000-0200-000004000000}" name="District #2" dataDxfId="1596"/>
    <tableColumn id="5" xr3:uid="{00000000-0010-0000-0200-000005000000}" name="State Assembly Member Name(s) " dataDxfId="1595"/>
    <tableColumn id="6" xr3:uid="{00000000-0010-0000-0200-000006000000}" name="District #3" dataDxfId="1594"/>
  </tableColumns>
  <tableStyleInfo name="TableStyleMedium9"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DevSourcesTbl" displayName="DevSourcesTbl" ref="B4:V61" totalsRowShown="0" headerRowDxfId="1592" dataDxfId="1591" tableBorderDxfId="1590">
  <tableColumns count="21">
    <tableColumn id="2" xr3:uid="{00000000-0010-0000-0B00-000002000000}" name="Construction" dataDxfId="1589"/>
    <tableColumn id="3" xr3:uid="{00000000-0010-0000-0B00-000003000000}" name="Committed?" dataDxfId="1588"/>
    <tableColumn id="4" xr3:uid="{00000000-0010-0000-0B00-000004000000}" name="Source Name (lien priority order)" dataDxfId="1587"/>
    <tableColumn id="5" xr3:uid="{00000000-0010-0000-0B00-000005000000}" name="Source Type" dataDxfId="1586"/>
    <tableColumn id="6" xr3:uid="{00000000-0010-0000-0B00-000006000000}" name="Lien No." dataDxfId="1585"/>
    <tableColumn id="24" xr3:uid="{00000000-0010-0000-0B00-000018000000}" name="Residential Amount" dataDxfId="1584"/>
    <tableColumn id="25" xr3:uid="{00000000-0010-0000-0B00-000019000000}" name="Commercial Amount" dataDxfId="1583"/>
    <tableColumn id="7" xr3:uid="{00000000-0010-0000-0B00-000007000000}" name="Total Amount" dataDxfId="1582"/>
    <tableColumn id="8" xr3:uid="{00000000-0010-0000-0B00-000008000000}" name="Interest Rate" dataDxfId="1581"/>
    <tableColumn id="9" xr3:uid="{00000000-0010-0000-0B00-000009000000}" name="Required_x000a_Payment " dataDxfId="1580"/>
    <tableColumn id="10" xr3:uid="{00000000-0010-0000-0B00-00000A000000}" name="Loan Term_x000a_(months)" dataDxfId="1579"/>
    <tableColumn id="11" xr3:uid="{00000000-0010-0000-0B00-00000B000000}" name="Rate" dataDxfId="1578"/>
    <tableColumn id="12" xr3:uid="{00000000-0010-0000-0B00-00000C000000}" name="Type" dataDxfId="1577"/>
    <tableColumn id="13" xr3:uid="{00000000-0010-0000-0B00-00000D000000}" name="Amortizing_x000a_Period (yrs.)" dataDxfId="1576"/>
    <tableColumn id="14" xr3:uid="{00000000-0010-0000-0B00-00000E000000}" name="Type2" dataDxfId="1575"/>
    <tableColumn id="15" xr3:uid="{00000000-0010-0000-0B00-00000F000000}" name="Due in (yrs.)" dataDxfId="1574"/>
    <tableColumn id="16" xr3:uid="{00000000-0010-0000-0B00-000010000000}" name="Required_x000a_Residential_x000a_Debt Service" dataDxfId="1573"/>
    <tableColumn id="17" xr3:uid="{00000000-0010-0000-0B00-000011000000}" name="Required_x000a_Commercial_x000a_Debt Service" dataDxfId="1572"/>
    <tableColumn id="18" xr3:uid="{00000000-0010-0000-0B00-000012000000}" name="Tax-Exempt_x000a_Amount" dataDxfId="1571"/>
    <tableColumn id="21" xr3:uid="{00000000-0010-0000-0B00-000015000000}" name="Deferred Amount" dataDxfId="1570"/>
    <tableColumn id="22" xr3:uid="{00000000-0010-0000-0B00-000016000000}" name="Description" dataDxfId="1569"/>
  </tableColumns>
  <tableStyleInfo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C000000}" name="DevBudgetSUTbl" displayName="DevBudgetSUTbl" ref="C5:AF205" totalsRowShown="0" headerRowDxfId="1566" dataDxfId="1564" headerRowBorderDxfId="1565" tableBorderDxfId="1563">
  <tableColumns count="30">
    <tableColumn id="1" xr3:uid="{00000000-0010-0000-0C00-000001000000}" name="Column1" dataDxfId="1562" totalsRowDxfId="1561"/>
    <tableColumn id="2" xr3:uid="{00000000-0010-0000-0C00-000002000000}" name="Column2" dataDxfId="1560" totalsRowDxfId="1559">
      <calculatedColumnFormula>SUM(H6:AA6)</calculatedColumnFormula>
    </tableColumn>
    <tableColumn id="3" xr3:uid="{00000000-0010-0000-0C00-000003000000}" name="Column3" dataDxfId="1558" totalsRowDxfId="1557">
      <calculatedColumnFormula>SUM(AC6:AD6)</calculatedColumnFormula>
    </tableColumn>
    <tableColumn id="4" xr3:uid="{00000000-0010-0000-0C00-000004000000}" name="Column4" dataDxfId="1556" totalsRowDxfId="1555"/>
    <tableColumn id="5" xr3:uid="{00000000-0010-0000-0C00-000005000000}" name="Column5" dataDxfId="1554" totalsRowDxfId="1553"/>
    <tableColumn id="6" xr3:uid="{00000000-0010-0000-0C00-000006000000}" name="Column6" dataDxfId="1552" totalsRowDxfId="1551"/>
    <tableColumn id="7" xr3:uid="{00000000-0010-0000-0C00-000007000000}" name="Column7" dataDxfId="1550" totalsRowDxfId="1549"/>
    <tableColumn id="8" xr3:uid="{00000000-0010-0000-0C00-000008000000}" name="Column8" dataDxfId="1548" totalsRowDxfId="1547"/>
    <tableColumn id="16" xr3:uid="{00000000-0010-0000-0C00-000010000000}" name="Column16" dataDxfId="1546" totalsRowDxfId="1545"/>
    <tableColumn id="17" xr3:uid="{00000000-0010-0000-0C00-000011000000}" name="Column17" dataDxfId="1544" totalsRowDxfId="1543"/>
    <tableColumn id="18" xr3:uid="{00000000-0010-0000-0C00-000012000000}" name="Column18" dataDxfId="1542" totalsRowDxfId="1541"/>
    <tableColumn id="19" xr3:uid="{00000000-0010-0000-0C00-000013000000}" name="Column19" dataDxfId="1540" totalsRowDxfId="1539"/>
    <tableColumn id="20" xr3:uid="{00000000-0010-0000-0C00-000014000000}" name="Column20" dataDxfId="1538" totalsRowDxfId="1537"/>
    <tableColumn id="21" xr3:uid="{00000000-0010-0000-0C00-000015000000}" name="Column21" dataDxfId="1536" totalsRowDxfId="1535"/>
    <tableColumn id="22" xr3:uid="{00000000-0010-0000-0C00-000016000000}" name="Column22" dataDxfId="1534" totalsRowDxfId="1533"/>
    <tableColumn id="23" xr3:uid="{00000000-0010-0000-0C00-000017000000}" name="Column23" dataDxfId="1532" totalsRowDxfId="1531"/>
    <tableColumn id="24" xr3:uid="{00000000-0010-0000-0C00-000018000000}" name="Column24" dataDxfId="1530" totalsRowDxfId="1529"/>
    <tableColumn id="25" xr3:uid="{00000000-0010-0000-0C00-000019000000}" name="Column25" dataDxfId="1528" totalsRowDxfId="1527"/>
    <tableColumn id="26" xr3:uid="{00000000-0010-0000-0C00-00001A000000}" name="Column26" dataDxfId="1526" totalsRowDxfId="1525"/>
    <tableColumn id="27" xr3:uid="{00000000-0010-0000-0C00-00001B000000}" name="Column27" dataDxfId="1524" totalsRowDxfId="1523"/>
    <tableColumn id="28" xr3:uid="{00000000-0010-0000-0C00-00001C000000}" name="Column28" dataDxfId="1522" totalsRowDxfId="1521"/>
    <tableColumn id="29" xr3:uid="{00000000-0010-0000-0C00-00001D000000}" name="Column29" dataDxfId="1520" totalsRowDxfId="1519"/>
    <tableColumn id="30" xr3:uid="{00000000-0010-0000-0C00-00001E000000}" name="Column30" dataDxfId="1518" totalsRowDxfId="1517"/>
    <tableColumn id="31" xr3:uid="{00000000-0010-0000-0C00-00001F000000}" name="Column31" dataDxfId="1516" totalsRowDxfId="1515"/>
    <tableColumn id="32" xr3:uid="{00000000-0010-0000-0C00-000020000000}" name="Column32" dataDxfId="1514" totalsRowDxfId="1513"/>
    <tableColumn id="35" xr3:uid="{00000000-0010-0000-0C00-000023000000}" name="Column322" dataDxfId="1512" totalsRowDxfId="1511"/>
    <tableColumn id="33" xr3:uid="{00000000-0010-0000-0C00-000021000000}" name="Column33" dataDxfId="1510" totalsRowDxfId="1509"/>
    <tableColumn id="34" xr3:uid="{00000000-0010-0000-0C00-000022000000}" name="Column34" dataDxfId="1508" totalsRowDxfId="1507"/>
    <tableColumn id="36" xr3:uid="{00000000-0010-0000-0C00-000024000000}" name="Column35" dataDxfId="1506" totalsRowDxfId="1505"/>
    <tableColumn id="37" xr3:uid="{00000000-0010-0000-0C00-000025000000}" name="Column36" dataDxfId="1504" totalsRowDxfId="1503"/>
  </tableColumns>
  <tableStyleInfo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UnitsTbl" displayName="UnitsTbl" ref="B9:BI50" totalsRowShown="0" headerRowDxfId="1421" dataDxfId="1419" headerRowBorderDxfId="1420">
  <tableColumns count="60">
    <tableColumn id="42" xr3:uid="{00000000-0010-0000-0300-00002A000000}" name="Number of Bedrooms" dataDxfId="1418"/>
    <tableColumn id="2" xr3:uid="{00000000-0010-0000-0300-000002000000}" name="Restricted Income Level" dataDxfId="1417"/>
    <tableColumn id="3" xr3:uid="{00000000-0010-0000-0300-000003000000}" name="Total Units" dataDxfId="1416"/>
    <tableColumn id="46" xr3:uid="{00000000-0010-0000-0300-00002E000000}" name="HCD Program" dataDxfId="1415"/>
    <tableColumn id="47" xr3:uid="{00000000-0010-0000-0300-00002F000000}" name="HCD Program2" dataDxfId="1414"/>
    <tableColumn id="59" xr3:uid="{00000000-0010-0000-0300-00003B000000}" name="HCD Program3" dataDxfId="1413" dataCellStyle="Normal 11"/>
    <tableColumn id="60" xr3:uid="{00000000-0010-0000-0300-00003C000000}" name="HCD Program4" dataDxfId="1412" dataCellStyle="Normal 11"/>
    <tableColumn id="48" xr3:uid="{00000000-0010-0000-0300-000030000000}" name="HCD Program 5" dataDxfId="1411"/>
    <tableColumn id="49" xr3:uid="{00000000-0010-0000-0300-000031000000}" name="MHP COSR Units?" dataDxfId="1410" dataCellStyle="Normal 11"/>
    <tableColumn id="14" xr3:uid="{00000000-0010-0000-0300-00000E000000}" name="VHHP_x000a_Assisted" dataDxfId="1409"/>
    <tableColumn id="19" xr3:uid="{00000000-0010-0000-0300-000013000000}" name="Special Needs?" dataDxfId="1408"/>
    <tableColumn id="1" xr3:uid="{00000000-0010-0000-0300-000001000000}" name="Chronic Homelessness" dataDxfId="1407"/>
    <tableColumn id="26" xr3:uid="{00000000-0010-0000-0300-00001A000000}" name="Disability Homelessness" dataDxfId="1406"/>
    <tableColumn id="28" xr3:uid="{00000000-0010-0000-0300-00001C000000}" name="Other Homelessness" dataDxfId="1405"/>
    <tableColumn id="22" xr3:uid="{00000000-0010-0000-0300-000016000000}" name="Homeless youth " dataDxfId="1404" dataCellStyle="Normal 11"/>
    <tableColumn id="58" xr3:uid="{00000000-0010-0000-0300-00003A000000}" name="Individuals exiting institutional settings" dataDxfId="1403" dataCellStyle="Normal 11"/>
    <tableColumn id="35" xr3:uid="{00000000-0010-0000-0300-000023000000}" name="SH or TH?" dataDxfId="1402"/>
    <tableColumn id="54" xr3:uid="{00000000-0010-0000-0300-000036000000}" name="Veteran_x000a_Housing" dataDxfId="1401"/>
    <tableColumn id="53" xr3:uid="{00000000-0010-0000-0300-000035000000}" name="Special Needs2?" dataDxfId="1400" dataCellStyle="Normal 11"/>
    <tableColumn id="45" xr3:uid="{00000000-0010-0000-0300-00002D000000}" name="Chronic Homelessness2" dataDxfId="1399"/>
    <tableColumn id="51" xr3:uid="{00000000-0010-0000-0300-000033000000}" name="Disability Homelessness2" dataDxfId="1398"/>
    <tableColumn id="52" xr3:uid="{00000000-0010-0000-0300-000034000000}" name="Other Homelessness2" dataDxfId="1397"/>
    <tableColumn id="32" xr3:uid="{00000000-0010-0000-0300-000020000000}" name="SH or TH?2" dataDxfId="1396"/>
    <tableColumn id="40" xr3:uid="{00000000-0010-0000-0300-000028000000}" name="At Risk of Homelessness" dataDxfId="1395"/>
    <tableColumn id="38" xr3:uid="{00000000-0010-0000-0300-000026000000}" name="Senior Housing" dataDxfId="1394"/>
    <tableColumn id="37" xr3:uid="{00000000-0010-0000-0300-000025000000}" name="Agricultural Households" dataDxfId="1393"/>
    <tableColumn id="20" xr3:uid="{00000000-0010-0000-0300-000014000000}" name="Other Restricted" dataDxfId="1392"/>
    <tableColumn id="21" xr3:uid="{00000000-0010-0000-0300-000015000000}" name="Other Special Needs" dataDxfId="1391"/>
    <tableColumn id="24" xr3:uid="{00000000-0010-0000-0300-000018000000}" name="Total restricted units" dataDxfId="1390"/>
    <tableColumn id="36" xr3:uid="{00000000-0010-0000-0300-000024000000}" name="Ordinance Required?" dataDxfId="1389" dataCellStyle="Normal 11"/>
    <tableColumn id="56" xr3:uid="{00000000-0010-0000-0300-000038000000}" name="7307_x000a_(d)(1)" dataDxfId="1388" dataCellStyle="Normal 11"/>
    <tableColumn id="55" xr3:uid="{00000000-0010-0000-0300-000037000000}" name="7307_x000a_(d)(2)" dataDxfId="1387" dataCellStyle="Normal 11"/>
    <tableColumn id="57" xr3:uid="{00000000-0010-0000-0300-000039000000}" name="Medi-Cal Funded Supportive Services Units (ALW, HCBA, PACE)" dataDxfId="1386" dataCellStyle="Normal 11"/>
    <tableColumn id="43" xr3:uid="{00000000-0010-0000-0300-00002B000000}" name="IIG Grant Base Limit Amount" dataDxfId="1385">
      <calculatedColumnFormula>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calculatedColumnFormula>
    </tableColumn>
    <tableColumn id="13" xr3:uid="{00000000-0010-0000-0300-00000D000000}" name="FWHG Total Base Loan Amount" dataDxfId="1384">
      <calculatedColumnFormula>IFERROR(IF(AND(IsSerna,OR(UnitsTbl[[#This Row],[VHHP
Assisted]]&gt;0,UnitsTbl[[#This Row],[HCD Program 5]]&gt;0)),0,IF(AND(IsSerna,$B$4="FWHG",UnitsTbl[[#This Row],[Restricted Income Level]]="Manager"),VLOOKUP(CONCATENATE(County," ",0.6),HCDLoanLimitTbl2[],BH10,FALSE)*UnitsTbl[[#This Row],[Total Units]],IF(UnitsTbl[[#This Row],[Restricted Income Level]]&gt;80%,0,IF(IsSerna,VLOOKUP(CONCATENATE(County," ",UnitsTbl[[#This Row],[Restricted Income Level]]),HCDLoanLimitTbl2[],UnitsTbl[[#This Row],[VLOOKUP Base]],FALSE)*UnitsTbl[[#This Row],[HCD Program2]])))),0)</calculatedColumnFormula>
    </tableColumn>
    <tableColumn id="61" xr3:uid="{00000000-0010-0000-0300-00003D000000}" name="TOD Total Base Loan Amount" dataDxfId="1383" dataCellStyle="Normal 11">
      <calculatedColumnFormula>IFERROR(IF(AND(IsTod,OR(UnitsTbl[[#This Row],[HCD Program 5]]&gt;0,UnitsTbl[[#This Row],[HCD Program2]]&gt;0,UnitsTbl[[#This Row],[HCD Program4]]&gt;0,UnitsTbl[[#This Row],[VHHP
Assisted]]&gt;0)),0,(IF(AND(IsTod,$B$4="TOD",UnitsTbl[[#This Row],[Restricted Income Level]]="Manager"),VLOOKUP(CONCATENATE(County," ",0.6),HCDLoanLimitTbl[],BH10,FALSE)*UnitsTbl[[#This Row],[Total Units]],IF(UnitsTbl[[#This Row],[Restricted Income Level]]&gt;60%,0,IF(IsTod,VLOOKUP(CONCATENATE(County," ",UnitsTbl[[#This Row],[Restricted Income Level]]),HCDLoanLimitTbl[],UnitsTbl[[#This Row],[VLOOKUP Base]],FALSE)*UnitsTbl[[#This Row],[HCD Program3]]))))),0)</calculatedColumnFormula>
    </tableColumn>
    <tableColumn id="62" xr3:uid="{00000000-0010-0000-0300-00003E000000}" name="SHMHP Total Base Loan Amount" dataDxfId="1382" dataCellStyle="Normal 11">
      <calculatedColumnFormula>IFERROR(IF(AND(IsShmhp,OR(UnitsTbl[[#This Row],[HCD Program 5]]&gt;0,UnitsTbl[[#This Row],[HCD Program2]]&gt;0,UnitsTbl[[#This Row],[HCD Program3]]&gt;0,UnitsTbl[[#This Row],[VHHP
Assisted]]&gt;0)),0,(IF(AND(IsShmhp,$B$4="SHMHP",UnitsTbl[[#This Row],[Restricted Income Level]]="Manager"),VLOOKUP(CONCATENATE(County," ",0.6),HCDLoanLimitTbl[],BH10,FALSE)*UnitsTbl[[#This Row],[Total Units]],IF(UnitsTbl[[#This Row],[Restricted Income Level]]&gt;60%,0,IF(IsShmhp,VLOOKUP(CONCATENATE(County," ",UnitsTbl[[#This Row],[Restricted Income Level]]),HCDLoanLimitTbl[],UnitsTbl[[#This Row],[VLOOKUP Base]],FALSE)*UnitsTbl[[#This Row],[HCD Program4]]))))),0)</calculatedColumnFormula>
    </tableColumn>
    <tableColumn id="39" xr3:uid="{00000000-0010-0000-0300-000027000000}" name="VHHP Total Base Loan Amount" dataDxfId="1381">
      <calculatedColumnFormula>IFERROR(IF(AND(IsVhhp,OR(UnitsTbl[[#This Row],[HCD Program 5]]&gt;0,UnitsTbl[[#This Row],[HCD Program2]]&gt;0,UnitsTbl[[#This Row],[HCD Program3]]&gt;0,UnitsTbl[[#This Row],[HCD Program4]]&gt;0)),0,(IF(AND(IsVhhp,$B$4="VHHP",UnitsTbl[[#This Row],[Restricted Income Level]]="Manager"),VLOOKUP(CONCATENATE(County," ",0.6),HCDLoanLimitTbl2[],BH10,FALSE)*UnitsTbl[[#This Row],[Total Units]],IF(UnitsTbl[[#This Row],[Restricted Income Level]]&gt;60%,0,IF(IsVhhp,VLOOKUP(CONCATENATE(County," ",UnitsTbl[[#This Row],[Restricted Income Level]]),HCDLoanLimitTbl2[],UnitsTbl[[#This Row],[VLOOKUP Base]],FALSE)*UnitsTbl[[#This Row],[VHHP
Assisted]]))))),0)</calculatedColumnFormula>
    </tableColumn>
    <tableColumn id="31" xr3:uid="{00000000-0010-0000-0300-00001F000000}" name="MHP Total Base Loan Amount2" dataDxfId="1380">
      <calculatedColumnFormula>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",0.6),HCDLoanLimitTbl[],BH10,FALSE)*UnitsTbl[[#This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calculatedColumnFormula>
    </tableColumn>
    <tableColumn id="4" xr3:uid="{00000000-0010-0000-0300-000004000000}" name="Rent Limit Calculation Formula" dataDxfId="1379"/>
    <tableColumn id="5" xr3:uid="{00000000-0010-0000-0300-000005000000}" name="Max Gross Rent" dataDxfId="1378">
      <calculatedColumnFormula>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calculatedColumnFormula>
    </tableColumn>
    <tableColumn id="6" xr3:uid="{00000000-0010-0000-0300-000006000000}" name="Less Utility Allowance Schedule 1" dataDxfId="1377">
      <calculatedColumnFormula>IF(UnitsTbl[[#This Row],[Number of Bedrooms]]="","",IF(UnitsTbl[[#This Row],[Less Utility Allowance Schedule 2]]&gt;0,0,IF(OR(UnitsTbl[[#This Row],[Restricted Income Level]]="Manager",UnitsTbl[[#This Row],[Restricted Income Level]]="Market"),0,IF(UnitsTbl[[#This Row],[Number of Bedrooms]]=0,'Project Overview'!$S$488,IF(UnitsTbl[[#This Row],[Number of Bedrooms]]=1,'Project Overview'!$V$488,IF(UnitsTbl[[#This Row],[Number of Bedrooms]]=2,'Project Overview'!$Y$488,IF(UnitsTbl[[#This Row],[Number of Bedrooms]]=3,'Project Overview'!$AB$488,IF(UnitsTbl[[#This Row],[Number of Bedrooms]]=4,'Project Overview'!$AE$488,IF(UnitsTbl[[#This Row],[Number of Bedrooms]]&gt;=5,'Project Overview'!$AH$488,"")))))))))</calculatedColumnFormula>
    </tableColumn>
    <tableColumn id="7" xr3:uid="{00000000-0010-0000-0300-000007000000}" name="Less Utility Allowance Schedule 2" dataDxfId="1376"/>
    <tableColumn id="8" xr3:uid="{00000000-0010-0000-0300-000008000000}" name="Maximum Net Rent" dataDxfId="1375">
      <calculatedColumnFormula>IFERROR(IF(UnitsTbl[[#This Row],[Max Gross Rent]]=0,"",UnitsTbl[[#This Row],[Max Gross Rent]]-UnitsTbl[[#This Row],[Less Utility Allowance Schedule 1]]-UnitsTbl[[#This Row],[Less Utility Allowance Schedule 2]]),"")</calculatedColumnFormula>
    </tableColumn>
    <tableColumn id="9" xr3:uid="{00000000-0010-0000-0300-000009000000}" name="Proposed Net Rent " dataDxfId="1374"/>
    <tableColumn id="10" xr3:uid="{00000000-0010-0000-0300-00000A000000}" name="Monthly Income at Proposed Rents" dataDxfId="1373">
      <calculatedColumnFormula>IF(UnitsTbl[[#This Row],[Proposed Net Rent ]]="",0,UnitsTbl[[#This Row],[Total Units]]*UnitsTbl[[#This Row],[Proposed Net Rent ]])</calculatedColumnFormula>
    </tableColumn>
    <tableColumn id="15" xr3:uid="{00000000-0010-0000-0300-00000F000000}" name="Monthly Income at Maximum Rents" dataDxfId="1372">
      <calculatedColumnFormula>IF(UnitsTbl[[#This Row],[Proposed Net Rent ]]&gt;0,0,IFERROR(UnitsTbl[[#This Row],[Total Units]]*UnitsTbl[[#This Row],[Maximum Net Rent]],""))</calculatedColumnFormula>
    </tableColumn>
    <tableColumn id="16" xr3:uid="{00000000-0010-0000-0300-000010000000}" name="Gross Monthly Contract Rent" dataDxfId="1371"/>
    <tableColumn id="17" xr3:uid="{00000000-0010-0000-0300-000011000000}" name="Subsidy Payment Over  Gross Rent" dataDxfId="1370">
      <calculatedColumnFormula>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calculatedColumnFormula>
    </tableColumn>
    <tableColumn id="18" xr3:uid="{00000000-0010-0000-0300-000012000000}" name="VASH?" dataDxfId="1369"/>
    <tableColumn id="41" xr3:uid="{00000000-0010-0000-0300-000029000000}" name="Units being subsidized" dataDxfId="1368" dataCellStyle="Normal 11"/>
    <tableColumn id="11" xr3:uid="{00000000-0010-0000-0300-00000B000000}" name="Total Monthly Extra Income" dataDxfId="1367">
      <calculatedColumnFormula>IFERROR(IF(UnitsTbl[[#This Row],[Total Units]]="","",UnitsTbl[[#This Row],[Subsidy Payment Over  Gross Rent]]*UnitsTbl[[#This Row],[Total Units]])*NOT($BA$7=""),"")</calculatedColumnFormula>
    </tableColumn>
    <tableColumn id="25" xr3:uid="{00000000-0010-0000-0300-000019000000}" name="Net Monthly Contract Rent2" dataDxfId="1366"/>
    <tableColumn id="27" xr3:uid="{00000000-0010-0000-0300-00001B000000}" name="Subsidy Payment Over Gross Rent2" dataDxfId="1365">
      <calculatedColumnFormula>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calculatedColumnFormula>
    </tableColumn>
    <tableColumn id="33" xr3:uid="{00000000-0010-0000-0300-000021000000}" name="Section 8?" dataDxfId="1364"/>
    <tableColumn id="44" xr3:uid="{00000000-0010-0000-0300-00002C000000}" name="Units being subsidized2" dataDxfId="1363" dataCellStyle="Normal 11"/>
    <tableColumn id="34" xr3:uid="{00000000-0010-0000-0300-000022000000}" name="Total Monthly Extra Income2" dataDxfId="1362">
      <calculatedColumnFormula>IFERROR(IF(UnitsTbl[[#This Row],[Total Units]]="","",UnitsTbl[[#This Row],[Subsidy Payment Over Gross Rent2]]*UnitsTbl[[#This Row],[Total Units]])*NOT($BF$7=""),"")</calculatedColumnFormula>
    </tableColumn>
    <tableColumn id="23" xr3:uid="{00000000-0010-0000-0300-000017000000}" name="Helper SN" dataDxfId="1361" dataCellStyle="Normal 11">
      <calculatedColumnFormula>IF(OR(UnitsTbl[[#This Row],[Special Needs?]]="Yes",UnitsTbl[[#This Row],[Special Needs2?]]="Yes"), 1,0)</calculatedColumnFormula>
    </tableColumn>
    <tableColumn id="29" xr3:uid="{00000000-0010-0000-0300-00001D000000}" name="VLOOKUP Base" dataDxfId="1360">
      <calculatedColumnFormula>IF(UnitsTbl[[#This Row],[Number of Bedrooms]]="","",IF(UnitsTbl[[#This Row],[Number of Bedrooms]]=0,3,IF(UnitsTbl[[#This Row],[Number of Bedrooms]]=1,4,IF(UnitsTbl[[#This Row],[Number of Bedrooms]]=2,5,IF(UnitsTbl[[#This Row],[Number of Bedrooms]]=3,6,IF(UnitsTbl[[#This Row],[Number of Bedrooms]]=4,7,IF(UnitsTbl[[#This Row],[Number of Bedrooms]]&gt;4,7,"")))))))</calculatedColumnFormula>
    </tableColumn>
    <tableColumn id="12" xr3:uid="{00000000-0010-0000-0300-00000C000000}" name="VLOOKUP Rents, Other Rents" dataDxfId="1359">
      <calculatedColumnFormula>IF(UnitsTbl[[#This Row],[Number of Bedrooms]]="","",IF(UnitsTbl[[#This Row],[Number of Bedrooms]]=0,2,IF(UnitsTbl[[#This Row],[Number of Bedrooms]]=1,3,IF(UnitsTbl[[#This Row],[Number of Bedrooms]]=2,4,IF(UnitsTbl[[#This Row],[Number of Bedrooms]]=3,5,IF(UnitsTbl[[#This Row],[Number of Bedrooms]]=4,6,IF(UnitsTbl[[#This Row],[Number of Bedrooms]]=5,6,"")))))))</calculatedColumnFormula>
    </tableColumn>
  </tableColumns>
  <tableStyleInfo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IncomeLimitsTbl" displayName="IncomeLimitsTbl" ref="BX3:CF61" totalsRowShown="0" headerRowDxfId="1358" dataDxfId="1356" headerRowBorderDxfId="1357" tableBorderDxfId="1355" totalsRowBorderDxfId="1354">
  <tableColumns count="9">
    <tableColumn id="1" xr3:uid="{00000000-0010-0000-0400-000001000000}" name="County" dataDxfId="1353"/>
    <tableColumn id="2" xr3:uid="{00000000-0010-0000-0400-000002000000}" name="P1-lim50" dataDxfId="1352" dataCellStyle="Normal 10"/>
    <tableColumn id="3" xr3:uid="{00000000-0010-0000-0400-000003000000}" name="P2-lim50" dataDxfId="1351" dataCellStyle="Normal 10"/>
    <tableColumn id="4" xr3:uid="{00000000-0010-0000-0400-000004000000}" name="P3-lim50" dataDxfId="1350" dataCellStyle="Normal 10"/>
    <tableColumn id="5" xr3:uid="{00000000-0010-0000-0400-000005000000}" name="P4-lim50" dataDxfId="1349" dataCellStyle="Normal 10"/>
    <tableColumn id="6" xr3:uid="{00000000-0010-0000-0400-000006000000}" name="P5-lim50" dataDxfId="1348" dataCellStyle="Normal 10"/>
    <tableColumn id="7" xr3:uid="{00000000-0010-0000-0400-000007000000}" name="P6-lim50" dataDxfId="1347" dataCellStyle="Normal 10"/>
    <tableColumn id="8" xr3:uid="{00000000-0010-0000-0400-000008000000}" name="P7-lim50" dataDxfId="1346" dataCellStyle="Normal 10"/>
    <tableColumn id="9" xr3:uid="{00000000-0010-0000-0400-000009000000}" name="P8-lim50" dataDxfId="1345" dataCellStyle="Normal 10"/>
  </tableColumns>
  <tableStyleInfo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CACrentTbl" displayName="TCACrentTbl" ref="CI40:CO60" totalsRowShown="0" headerRowDxfId="1344" dataDxfId="1342" headerRowBorderDxfId="1343" tableBorderDxfId="1341" totalsRowBorderDxfId="1340">
  <autoFilter ref="CI40:CO60" xr:uid="{00000000-0009-0000-0100-000006000000}"/>
  <tableColumns count="7">
    <tableColumn id="1" xr3:uid="{00000000-0010-0000-0500-000001000000}" name="Limit" dataDxfId="1339"/>
    <tableColumn id="2" xr3:uid="{00000000-0010-0000-0500-000002000000}" name="0 Bdrm." dataDxfId="1338">
      <calculatedColumnFormula>TRUNC(CI7/12*0.3)</calculatedColumnFormula>
    </tableColumn>
    <tableColumn id="3" xr3:uid="{00000000-0010-0000-0500-000003000000}" name="1 Bdrm." dataDxfId="1337">
      <calculatedColumnFormula>TRUNC((CI7+CJ7)/2/12*0.3)</calculatedColumnFormula>
    </tableColumn>
    <tableColumn id="4" xr3:uid="{00000000-0010-0000-0500-000004000000}" name="2 Bdrm." dataDxfId="1336">
      <calculatedColumnFormula>TRUNC(CK7/12*0.3)</calculatedColumnFormula>
    </tableColumn>
    <tableColumn id="5" xr3:uid="{00000000-0010-0000-0500-000005000000}" name="3 Bdrm." dataDxfId="1335">
      <calculatedColumnFormula>TRUNC((CL7+CM7)/2/12*0.3)</calculatedColumnFormula>
    </tableColumn>
    <tableColumn id="6" xr3:uid="{00000000-0010-0000-0500-000006000000}" name="4 Bdrm." dataDxfId="1334">
      <calculatedColumnFormula>TRUNC(CN7/12*0.3)</calculatedColumnFormula>
    </tableColumn>
    <tableColumn id="7" xr3:uid="{00000000-0010-0000-0500-000007000000}" name="5 Bdrm." dataDxfId="1333">
      <calculatedColumnFormula>TRUNC((CO7+CP7)/2/12*0.3)</calculatedColumnFormula>
    </tableColumn>
  </tableColumns>
  <tableStyleInfo name="TableStyleMedium9"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CalHFArent" displayName="CalHFArent" ref="CI32:CO33" totalsRowShown="0" headerRowDxfId="1332" dataDxfId="1331">
  <autoFilter ref="CI32:CO33" xr:uid="{00000000-0009-0000-0100-000007000000}"/>
  <tableColumns count="7">
    <tableColumn id="1" xr3:uid="{00000000-0010-0000-0600-000001000000}" name="Level" dataDxfId="1330">
      <calculatedColumnFormula>CONCATENATE(County,0.5)</calculatedColumnFormula>
    </tableColumn>
    <tableColumn id="2" xr3:uid="{00000000-0010-0000-0600-000002000000}" name="0 Bdrm." dataDxfId="1329">
      <calculatedColumnFormula>CI19/12*0.3</calculatedColumnFormula>
    </tableColumn>
    <tableColumn id="3" xr3:uid="{00000000-0010-0000-0600-000003000000}" name="1 Bdrm." dataDxfId="1328">
      <calculatedColumnFormula>CJ19/12*0.3</calculatedColumnFormula>
    </tableColumn>
    <tableColumn id="4" xr3:uid="{00000000-0010-0000-0600-000004000000}" name="2 Bdrm." dataDxfId="1327">
      <calculatedColumnFormula>CK19/12*0.3</calculatedColumnFormula>
    </tableColumn>
    <tableColumn id="5" xr3:uid="{00000000-0010-0000-0600-000005000000}" name="3 Bdrm." dataDxfId="1326">
      <calculatedColumnFormula>CL19/12*0.3</calculatedColumnFormula>
    </tableColumn>
    <tableColumn id="6" xr3:uid="{00000000-0010-0000-0600-000006000000}" name="4 Bdrm." dataDxfId="1325">
      <calculatedColumnFormula>CM19/12*0.3</calculatedColumnFormula>
    </tableColumn>
    <tableColumn id="7" xr3:uid="{00000000-0010-0000-0600-000007000000}" name="5 Bdrm." dataDxfId="1324">
      <calculatedColumnFormula>CN19/12*0.3</calculatedColumnFormula>
    </tableColumn>
  </tableColumns>
  <tableStyleInfo name="TableStyleMedium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OtherRentLimitTbl" displayName="OtherRentLimitTbl" ref="AO56:AV76" totalsRowShown="0" headerRowDxfId="1323" dataDxfId="1321" headerRowBorderDxfId="1322" tableBorderDxfId="1320" totalsRowBorderDxfId="1319">
  <tableColumns count="8">
    <tableColumn id="1" xr3:uid="{00000000-0010-0000-0700-000001000000}" name="County" dataDxfId="1318"/>
    <tableColumn id="2" xr3:uid="{00000000-0010-0000-0700-000002000000}" name="AMI" dataDxfId="1317" dataCellStyle="Normal 11"/>
    <tableColumn id="3" xr3:uid="{00000000-0010-0000-0700-000003000000}" name="0" dataDxfId="1316"/>
    <tableColumn id="4" xr3:uid="{00000000-0010-0000-0700-000004000000}" name="1" dataDxfId="1315"/>
    <tableColumn id="5" xr3:uid="{00000000-0010-0000-0700-000005000000}" name="2" dataDxfId="1314"/>
    <tableColumn id="6" xr3:uid="{00000000-0010-0000-0700-000006000000}" name="3" dataDxfId="1313"/>
    <tableColumn id="7" xr3:uid="{00000000-0010-0000-0700-000007000000}" name="4" dataDxfId="1312"/>
    <tableColumn id="8" xr3:uid="{00000000-0010-0000-0700-000008000000}" name="5" dataDxfId="1311"/>
  </tableColumns>
  <tableStyleInfo name="TableStyleMedium9"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IIGgrantTbl" displayName="IIGgrantTbl" ref="BP51:BV56" totalsRowShown="0" headerRowDxfId="1310" dataDxfId="1309" tableBorderDxfId="1308">
  <autoFilter ref="BP51:BV56" xr:uid="{00000000-0009-0000-0100-000009000000}"/>
  <tableColumns count="7">
    <tableColumn id="1" xr3:uid="{00000000-0010-0000-0800-000001000000}" name="Unit Type AMI" dataDxfId="1307" totalsRowDxfId="1306"/>
    <tableColumn id="2" xr3:uid="{00000000-0010-0000-0800-000002000000}" name="Column1" dataDxfId="1305" totalsRowDxfId="1304" dataCellStyle="Normal 11"/>
    <tableColumn id="3" xr3:uid="{00000000-0010-0000-0800-000003000000}" name="0-Bdrm" dataDxfId="1303" dataCellStyle="Normal 11"/>
    <tableColumn id="4" xr3:uid="{00000000-0010-0000-0800-000004000000}" name="1-Bdrm" dataDxfId="1302" totalsRowDxfId="1301" dataCellStyle="Normal 11"/>
    <tableColumn id="5" xr3:uid="{00000000-0010-0000-0800-000005000000}" name="2-Bdrm" dataDxfId="1300" totalsRowDxfId="1299" dataCellStyle="Normal 11"/>
    <tableColumn id="6" xr3:uid="{00000000-0010-0000-0800-000006000000}" name="3-Bdrm" dataDxfId="1298" totalsRowDxfId="1297" dataCellStyle="Normal 11"/>
    <tableColumn id="7" xr3:uid="{00000000-0010-0000-0800-000007000000}" name="4+Bdrm" dataDxfId="1296" totalsRowDxfId="1295" dataCellStyle="Normal 11"/>
  </tableColumns>
  <tableStyleInfo name="TableStyleMedium9"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HCDLoanLimitTbl" displayName="HCDLoanLimitTbl" ref="BP9:BV23" totalsRowShown="0" headerRowDxfId="1294" dataDxfId="1293" tableBorderDxfId="1292">
  <tableColumns count="7">
    <tableColumn id="1" xr3:uid="{00000000-0010-0000-0900-000001000000}" name="County" dataDxfId="1291">
      <calculatedColumnFormula>CONCATENATE(County," ",HCDLoanLimitTbl[[#This Row],[AMI]])</calculatedColumnFormula>
    </tableColumn>
    <tableColumn id="2" xr3:uid="{00000000-0010-0000-0900-000002000000}" name="AMI" dataDxfId="1290"/>
    <tableColumn id="3" xr3:uid="{00000000-0010-0000-0900-000003000000}" name="0 BR " dataDxfId="1289">
      <calculatedColumnFormula>+$BR$5+PV($BS$6/12,$BT$6,-((CJ$51-CJ51)*(1-$BV$6))/$BU$6)</calculatedColumnFormula>
    </tableColumn>
    <tableColumn id="4" xr3:uid="{00000000-0010-0000-0900-000004000000}" name="1 BR" dataDxfId="1288">
      <calculatedColumnFormula>+$BR$5+PV($BS$6/12,$BT$6,-((CK$51-CK51)*(1-$BV$6))/$BU$6)</calculatedColumnFormula>
    </tableColumn>
    <tableColumn id="5" xr3:uid="{00000000-0010-0000-0900-000005000000}" name="2 BR" dataDxfId="1287">
      <calculatedColumnFormula>+$BR$5+PV($BS$6/12,$BT$6,-((CL$51-CL51)*(1-$BV$6))/$BU$6)</calculatedColumnFormula>
    </tableColumn>
    <tableColumn id="6" xr3:uid="{00000000-0010-0000-0900-000006000000}" name="3 BR" dataDxfId="1286">
      <calculatedColumnFormula>+$BR$5+PV($BS$6/12,$BT$6,-((CM$51-CM51)*(1-$BV$6))/$BU$6)</calculatedColumnFormula>
    </tableColumn>
    <tableColumn id="7" xr3:uid="{00000000-0010-0000-0900-000007000000}" name="4+ BR" dataDxfId="1285">
      <calculatedColumnFormula>+$BR$5+PV($BS$6/12,$BT$6,-((CN$51-CN51)*(1-$BV$6))/$BU$6)</calculatedColumnFormula>
    </tableColumn>
  </tableColumns>
  <tableStyleInfo showFirstColumn="0" showLastColumn="0" showRowStripes="0"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HCDLoanLimitTbl2" displayName="HCDLoanLimitTbl2" ref="BP31:BV45" totalsRowShown="0" headerRowDxfId="1284" dataDxfId="1283" tableBorderDxfId="1282">
  <tableColumns count="7">
    <tableColumn id="1" xr3:uid="{00000000-0010-0000-0A00-000001000000}" name="County" dataDxfId="1281">
      <calculatedColumnFormula>CONCATENATE(County," ",HCDLoanLimitTbl2[[#This Row],[AMI]])</calculatedColumnFormula>
    </tableColumn>
    <tableColumn id="2" xr3:uid="{00000000-0010-0000-0A00-000002000000}" name="AMI" dataDxfId="1280"/>
    <tableColumn id="3" xr3:uid="{00000000-0010-0000-0A00-000003000000}" name="0 BR " dataDxfId="1279">
      <calculatedColumnFormula>+$BR$5+PV($BS$6/12,$BT$6,-((CJ$51-CJ73)*(1-$BV$6))/$BU$6)</calculatedColumnFormula>
    </tableColumn>
    <tableColumn id="4" xr3:uid="{00000000-0010-0000-0A00-000004000000}" name="1 BR" dataDxfId="1278">
      <calculatedColumnFormula>+$BR$5+PV($BS$6/12,$BT$6,-((CK$51-CK73)*(1-$BV$6))/$BU$6)</calculatedColumnFormula>
    </tableColumn>
    <tableColumn id="5" xr3:uid="{00000000-0010-0000-0A00-000005000000}" name="2 BR" dataDxfId="1277">
      <calculatedColumnFormula>+$BR$5+PV($BS$6/12,$BT$6,-((CL$51-CL73)*(1-$BV$6))/$BU$6)</calculatedColumnFormula>
    </tableColumn>
    <tableColumn id="6" xr3:uid="{00000000-0010-0000-0A00-000006000000}" name="3 BR" dataDxfId="1276">
      <calculatedColumnFormula>+$BR$5+PV($BS$6/12,$BT$6,-((CM$51-CM73)*(1-$BV$6))/$BU$6)</calculatedColumnFormula>
    </tableColumn>
    <tableColumn id="7" xr3:uid="{00000000-0010-0000-0A00-000007000000}" name="4+ BR" dataDxfId="1275">
      <calculatedColumnFormula>+$BR$5+PV($BS$6/12,$BT$6,-((CN$51-CN73)*(1-$BV$6))/$BU$6)</calculatedColumnFormula>
    </tableColumn>
  </tableColumns>
  <tableStyleInfo showFirstColumn="0" showLastColumn="0" showRowStripes="0"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0D000000}" name="SSCLNotice2405" displayName="SSCLNotice2405" ref="AR4:AZ21" totalsRowShown="0" headerRowDxfId="1214" dataDxfId="1212" headerRowBorderDxfId="1213" tableBorderDxfId="1211" totalsRowBorderDxfId="1210">
  <tableColumns count="9">
    <tableColumn id="1" xr3:uid="{00000000-0010-0000-0D00-000001000000}" name="Fiscal Year" dataDxfId="1209">
      <calculatedColumnFormula>+AR4+1</calculatedColumnFormula>
    </tableColumn>
    <tableColumn id="2" xr3:uid="{00000000-0010-0000-0D00-000002000000}" name="(1)(A) &amp; (B)" dataDxfId="1208">
      <calculatedColumnFormula>AS4*1.025</calculatedColumnFormula>
    </tableColumn>
    <tableColumn id="3" xr3:uid="{00000000-0010-0000-0D00-000003000000}" name="(2)(A) &amp; (B)" dataDxfId="1207">
      <calculatedColumnFormula>AT4*1.025</calculatedColumnFormula>
    </tableColumn>
    <tableColumn id="4" xr3:uid="{00000000-0010-0000-0D00-000004000000}" name="(3)" dataDxfId="1206">
      <calculatedColumnFormula>AU4*1.025</calculatedColumnFormula>
    </tableColumn>
    <tableColumn id="5" xr3:uid="{00000000-0010-0000-0D00-000005000000}" name="(3) VHHP" dataDxfId="1205">
      <calculatedColumnFormula>AV4*1.035</calculatedColumnFormula>
    </tableColumn>
    <tableColumn id="6" xr3:uid="{00000000-0010-0000-0D00-000006000000}" name="8314 (e)(1)" dataDxfId="1204">
      <calculatedColumnFormula>AW4*1.025</calculatedColumnFormula>
    </tableColumn>
    <tableColumn id="7" xr3:uid="{00000000-0010-0000-0D00-000007000000}" name="8314 (e)(2)" dataDxfId="1203">
      <calculatedColumnFormula>AX4*1.025</calculatedColumnFormula>
    </tableColumn>
    <tableColumn id="8" xr3:uid="{00000000-0010-0000-0D00-000008000000}" name="8314 (e)(3)" dataDxfId="1202">
      <calculatedColumnFormula>AY4*1.025</calculatedColumnFormula>
    </tableColumn>
    <tableColumn id="9" xr3:uid="{00000000-0010-0000-0D00-000009000000}" name="8314 (e)(4)" dataDxfId="1201">
      <calculatedColumnFormula>AZ4*1.025</calculatedColumnFormula>
    </tableColumn>
  </tableColumns>
  <tableStyleInfo name="TableStyleMedium7"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0E000000}" name="TCACTBL" displayName="TCACTBL" ref="AQ3:AV61" totalsRowShown="0" headerRowDxfId="614" dataDxfId="612" headerRowBorderDxfId="613" tableBorderDxfId="611" headerRowCellStyle="Normal 4 2 3">
  <autoFilter ref="AQ3:AV61" xr:uid="{00000000-0009-0000-0100-00000F000000}"/>
  <tableColumns count="6">
    <tableColumn id="1" xr3:uid="{00000000-0010-0000-0E00-000001000000}" name="County" dataDxfId="610" dataCellStyle="Normal 4 2 3"/>
    <tableColumn id="2" xr3:uid="{00000000-0010-0000-0E00-000002000000}" name="SRO &amp; STUDIO" dataDxfId="609"/>
    <tableColumn id="3" xr3:uid="{00000000-0010-0000-0E00-000003000000}" name="1 BEDROOM" dataDxfId="608"/>
    <tableColumn id="4" xr3:uid="{00000000-0010-0000-0E00-000004000000}" name="2 BEDROOMS" dataDxfId="607"/>
    <tableColumn id="5" xr3:uid="{00000000-0010-0000-0E00-000005000000}" name="3 BEDROOMS" dataDxfId="606"/>
    <tableColumn id="6" xr3:uid="{00000000-0010-0000-0E00-000006000000}" name="4+ BEDROOMS" dataDxfId="605"/>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vert="wordArtVert"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vert="wordArtVert"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hcd.ca.gov/" TargetMode="External"/><Relationship Id="rId7" Type="http://schemas.openxmlformats.org/officeDocument/2006/relationships/drawing" Target="../drawings/drawing3.xml"/><Relationship Id="rId2" Type="http://schemas.openxmlformats.org/officeDocument/2006/relationships/hyperlink" Target="https://www.hcd.ca.gov/multifamily-finance-supernofa" TargetMode="External"/><Relationship Id="rId1" Type="http://schemas.openxmlformats.org/officeDocument/2006/relationships/hyperlink" Target="https://www.bcsh.ca.gov/" TargetMode="External"/><Relationship Id="rId6" Type="http://schemas.openxmlformats.org/officeDocument/2006/relationships/printerSettings" Target="../printerSettings/printerSettings4.bin"/><Relationship Id="rId5" Type="http://schemas.openxmlformats.org/officeDocument/2006/relationships/hyperlink" Target="mailto:SuperNOFA@hcd.ca.gov" TargetMode="External"/><Relationship Id="rId4" Type="http://schemas.openxmlformats.org/officeDocument/2006/relationships/hyperlink" Target="https://www.hcd.ca.gov/funding/supernofa" TargetMode="External"/></Relationships>
</file>

<file path=xl/worksheets/_rels/sheet5.xml.rels><?xml version="1.0" encoding="UTF-8" standalone="yes"?>
<Relationships xmlns="http://schemas.openxmlformats.org/package/2006/relationships"><Relationship Id="rId8" Type="http://schemas.openxmlformats.org/officeDocument/2006/relationships/package" Target="../embeddings/Microsoft_Word_Document.docx"/><Relationship Id="rId3" Type="http://schemas.openxmlformats.org/officeDocument/2006/relationships/hyperlink" Target="https://www.hcd.ca.gov/funding/supernofa" TargetMode="External"/><Relationship Id="rId7" Type="http://schemas.openxmlformats.org/officeDocument/2006/relationships/vmlDrawing" Target="../drawings/vmlDrawing1.vml"/><Relationship Id="rId2" Type="http://schemas.openxmlformats.org/officeDocument/2006/relationships/hyperlink" Target="mailto:AppSupport@hcd.ca.gov" TargetMode="External"/><Relationship Id="rId1" Type="http://schemas.openxmlformats.org/officeDocument/2006/relationships/hyperlink" Target="https://hcd.ca.gov/multifamily-finance-supernofa" TargetMode="External"/><Relationship Id="rId6" Type="http://schemas.openxmlformats.org/officeDocument/2006/relationships/drawing" Target="../drawings/drawing4.xml"/><Relationship Id="rId5" Type="http://schemas.openxmlformats.org/officeDocument/2006/relationships/printerSettings" Target="../printerSettings/printerSettings5.bin"/><Relationship Id="rId4" Type="http://schemas.openxmlformats.org/officeDocument/2006/relationships/hyperlink" Target="mailto:AppSupport@hcd.ca.gov" TargetMode="External"/><Relationship Id="rId9" Type="http://schemas.openxmlformats.org/officeDocument/2006/relationships/image" Target="../media/image4.emf"/></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hyperlink" Target="https://leginfo.legislature.ca.gov/faces/codes_displaySection.xhtml?lawCode=HSC&amp;sectionNum=50675.7." TargetMode="External"/><Relationship Id="rId13" Type="http://schemas.openxmlformats.org/officeDocument/2006/relationships/comments" Target="../comments1.xml"/><Relationship Id="rId3" Type="http://schemas.openxmlformats.org/officeDocument/2006/relationships/hyperlink" Target="https://www.dhcs.ca.gov/services/ltc/Pages/AssistedLivingWaiver.aspx" TargetMode="External"/><Relationship Id="rId7" Type="http://schemas.openxmlformats.org/officeDocument/2006/relationships/hyperlink" Target="https://fiscal.ca.gov/wp-content/uploads/2019/08/GovtTINForm_000.pdf" TargetMode="External"/><Relationship Id="rId12" Type="http://schemas.openxmlformats.org/officeDocument/2006/relationships/vmlDrawing" Target="../drawings/vmlDrawing2.vml"/><Relationship Id="rId2" Type="http://schemas.openxmlformats.org/officeDocument/2006/relationships/hyperlink" Target="https://www.dhcs.ca.gov/services/ltc/Pages/Home-and-Community-Based-(HCB)-Alternatives-Waiver.aspx" TargetMode="External"/><Relationship Id="rId1" Type="http://schemas.openxmlformats.org/officeDocument/2006/relationships/hyperlink" Target="https://www.dhcs.ca.gov/services/ltc/Pages/ProgramofAll-InclusiveCarefortheElderly.aspx" TargetMode="External"/><Relationship Id="rId6" Type="http://schemas.openxmlformats.org/officeDocument/2006/relationships/hyperlink" Target="https://www.documents.dgs.ca.gov/dgs/fmc/pdf/std204.pdf" TargetMode="External"/><Relationship Id="rId11" Type="http://schemas.openxmlformats.org/officeDocument/2006/relationships/printerSettings" Target="../printerSettings/printerSettings7.bin"/><Relationship Id="rId5" Type="http://schemas.openxmlformats.org/officeDocument/2006/relationships/hyperlink" Target="https://www.treasurer.ca.gov/ctcac/opportunity.asp" TargetMode="External"/><Relationship Id="rId10" Type="http://schemas.openxmlformats.org/officeDocument/2006/relationships/hyperlink" Target="https://www.treasurer.ca.gov/sites/default/files/ctcac/2026-Rural-Status-Verification-Memo.pdf" TargetMode="External"/><Relationship Id="rId4" Type="http://schemas.openxmlformats.org/officeDocument/2006/relationships/hyperlink" Target="https://www.treasurer.ca.gov/ctcac/2025/rural-status.pdf" TargetMode="External"/><Relationship Id="rId9" Type="http://schemas.openxmlformats.org/officeDocument/2006/relationships/hyperlink" Target="https://www.treasurer.ca.gov/sites/default/files/2025-11/rural-status.pdf" TargetMode="External"/></Relationships>
</file>

<file path=xl/worksheets/_rels/sheet8.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3.vml"/><Relationship Id="rId1" Type="http://schemas.openxmlformats.org/officeDocument/2006/relationships/printerSettings" Target="../printerSettings/printerSettings9.bin"/><Relationship Id="rId4" Type="http://schemas.openxmlformats.org/officeDocument/2006/relationships/comments" Target="../comments2.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4.vml"/><Relationship Id="rId1" Type="http://schemas.openxmlformats.org/officeDocument/2006/relationships/printerSettings" Target="../printerSettings/printerSettings10.bin"/><Relationship Id="rId4" Type="http://schemas.openxmlformats.org/officeDocument/2006/relationships/comments" Target="../comments3.xml"/></Relationships>
</file>

<file path=xl/worksheets/_rels/sheet11.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5.v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printerSettings" Target="../printerSettings/printerSettings11.bin"/><Relationship Id="rId1" Type="http://schemas.openxmlformats.org/officeDocument/2006/relationships/hyperlink" Target="https://www.hcd.ca.gov/grants-funding/docs/Admin_Memo21-06_Stacking_Prohibition_Repeal.pdf" TargetMode="External"/><Relationship Id="rId4" Type="http://schemas.openxmlformats.org/officeDocument/2006/relationships/comments" Target="../comments5.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5.xml"/><Relationship Id="rId1" Type="http://schemas.openxmlformats.org/officeDocument/2006/relationships/printerSettings" Target="../printerSettings/printerSettings12.bin"/><Relationship Id="rId5" Type="http://schemas.openxmlformats.org/officeDocument/2006/relationships/comments" Target="../comments6.xml"/><Relationship Id="rId4" Type="http://schemas.openxmlformats.org/officeDocument/2006/relationships/ctrlProp" Target="../ctrlProps/ctrlProp1.xml"/></Relationships>
</file>

<file path=xl/worksheets/_rels/sheet14.xml.rels><?xml version="1.0" encoding="UTF-8" standalone="yes"?>
<Relationships xmlns="http://schemas.openxmlformats.org/package/2006/relationships"><Relationship Id="rId8" Type="http://schemas.openxmlformats.org/officeDocument/2006/relationships/table" Target="../tables/table9.xml"/><Relationship Id="rId13" Type="http://schemas.openxmlformats.org/officeDocument/2006/relationships/comments" Target="../comments7.xml"/><Relationship Id="rId3" Type="http://schemas.openxmlformats.org/officeDocument/2006/relationships/vmlDrawing" Target="../drawings/vmlDrawing8.vml"/><Relationship Id="rId7" Type="http://schemas.openxmlformats.org/officeDocument/2006/relationships/table" Target="../tables/table8.xml"/><Relationship Id="rId12" Type="http://schemas.openxmlformats.org/officeDocument/2006/relationships/table" Target="../tables/table13.xml"/><Relationship Id="rId2" Type="http://schemas.openxmlformats.org/officeDocument/2006/relationships/drawing" Target="../drawings/drawing6.xml"/><Relationship Id="rId1" Type="http://schemas.openxmlformats.org/officeDocument/2006/relationships/printerSettings" Target="../printerSettings/printerSettings13.bin"/><Relationship Id="rId6" Type="http://schemas.openxmlformats.org/officeDocument/2006/relationships/table" Target="../tables/table7.xml"/><Relationship Id="rId11" Type="http://schemas.openxmlformats.org/officeDocument/2006/relationships/table" Target="../tables/table12.xml"/><Relationship Id="rId5" Type="http://schemas.openxmlformats.org/officeDocument/2006/relationships/table" Target="../tables/table6.xml"/><Relationship Id="rId10" Type="http://schemas.openxmlformats.org/officeDocument/2006/relationships/table" Target="../tables/table11.xml"/><Relationship Id="rId4" Type="http://schemas.openxmlformats.org/officeDocument/2006/relationships/ctrlProp" Target="../ctrlProps/ctrlProp2.xml"/><Relationship Id="rId9" Type="http://schemas.openxmlformats.org/officeDocument/2006/relationships/table" Target="../tables/table10.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9.v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printerSettings" Target="../printerSettings/printerSettings15.bin"/><Relationship Id="rId1" Type="http://schemas.openxmlformats.org/officeDocument/2006/relationships/hyperlink" Target="https://www.hcd.ca.gov/sites/default/files/docs/grants-and-funding/supportive-services-costs-memo.pdf" TargetMode="External"/><Relationship Id="rId5" Type="http://schemas.openxmlformats.org/officeDocument/2006/relationships/comments" Target="../comments9.xml"/><Relationship Id="rId4" Type="http://schemas.openxmlformats.org/officeDocument/2006/relationships/table" Target="../tables/table14.xml"/></Relationships>
</file>

<file path=xl/worksheets/_rels/sheet17.xml.rels><?xml version="1.0" encoding="UTF-8" standalone="yes"?>
<Relationships xmlns="http://schemas.openxmlformats.org/package/2006/relationships"><Relationship Id="rId3" Type="http://schemas.openxmlformats.org/officeDocument/2006/relationships/hyperlink" Target="https://www.hcd.ca.gov/sites/default/files/docs/grants-and-funding/transition-reserve-policy-amended.pdf" TargetMode="External"/><Relationship Id="rId2" Type="http://schemas.openxmlformats.org/officeDocument/2006/relationships/hyperlink" Target="https://www.hcd.ca.gov/sites/default/files/docs/grants-and-funding/hcd-administrative-memo-transition-reserve-policy.pdf" TargetMode="External"/><Relationship Id="rId1" Type="http://schemas.openxmlformats.org/officeDocument/2006/relationships/hyperlink" Target="https://www.hcd.ca.gov/sites/default/files/docs/grants-and-funding/hcd-administrative-memo-transition-reserve-policy.pdf" TargetMode="External"/><Relationship Id="rId6" Type="http://schemas.openxmlformats.org/officeDocument/2006/relationships/comments" Target="../comments10.xml"/><Relationship Id="rId5" Type="http://schemas.openxmlformats.org/officeDocument/2006/relationships/vmlDrawing" Target="../drawings/vmlDrawing11.vml"/><Relationship Id="rId4"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2.v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8" Type="http://schemas.openxmlformats.org/officeDocument/2006/relationships/printerSettings" Target="../printerSettings/printerSettings18.bin"/><Relationship Id="rId3" Type="http://schemas.openxmlformats.org/officeDocument/2006/relationships/hyperlink" Target="https://www.hcd.ca.gov/sites/default/files/docs/grants-and-funding/SuperNOFA/Resolution-LP-Borrower-Grant-Recipient.docx" TargetMode="External"/><Relationship Id="rId7" Type="http://schemas.openxmlformats.org/officeDocument/2006/relationships/hyperlink" Target="https://www.hcd.ca.gov/sites/default/files/docs/grants-and-funding/HCD-AB977-HMIS-Project-Setup-Instructions-3-23-2023-rem-complete.pdf" TargetMode="External"/><Relationship Id="rId2" Type="http://schemas.openxmlformats.org/officeDocument/2006/relationships/hyperlink" Target="https://www.hcd.ca.gov/sites/default/files/docs/grants-and-funding/SuperNOFA/Resolution-LLC.docx" TargetMode="External"/><Relationship Id="rId1" Type="http://schemas.openxmlformats.org/officeDocument/2006/relationships/hyperlink" Target="https://www.hcd.ca.gov/sites/default/files/docs/grants-and-funding/SuperNOFA/Resolution-Corp.docx" TargetMode="External"/><Relationship Id="rId6" Type="http://schemas.openxmlformats.org/officeDocument/2006/relationships/hyperlink" Target="https://www.hcd.ca.gov/sites/default/files/docs/grants-and-funding/SuperNOFA/Resolution-Tribal-Entity.docx" TargetMode="External"/><Relationship Id="rId5" Type="http://schemas.openxmlformats.org/officeDocument/2006/relationships/hyperlink" Target="https://www.hcd.ca.gov/sites/default/files/docs/grants-and-funding/SuperNOFA/Resolution-Public-Entity.docx" TargetMode="External"/><Relationship Id="rId4" Type="http://schemas.openxmlformats.org/officeDocument/2006/relationships/hyperlink" Target="https://www.hcd.ca.gov/sites/default/files/docs/grants-and-funding/SuperNOFA/Resolution-LP-Ultimate-Borrower-of-Loan-Program-Funds-Only.docx" TargetMode="External"/></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3.vml"/><Relationship Id="rId1" Type="http://schemas.openxmlformats.org/officeDocument/2006/relationships/printerSettings" Target="../printerSettings/printerSettings20.bin"/></Relationships>
</file>

<file path=xl/worksheets/_rels/sheet23.xml.rels><?xml version="1.0" encoding="UTF-8" standalone="yes"?>
<Relationships xmlns="http://schemas.openxmlformats.org/package/2006/relationships"><Relationship Id="rId2" Type="http://schemas.openxmlformats.org/officeDocument/2006/relationships/comments" Target="../comments13.xml"/><Relationship Id="rId1" Type="http://schemas.openxmlformats.org/officeDocument/2006/relationships/vmlDrawing" Target="../drawings/vmlDrawing14.v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printerSettings" Target="../printerSettings/printerSettings21.bin"/><Relationship Id="rId1" Type="http://schemas.openxmlformats.org/officeDocument/2006/relationships/hyperlink" Target="https://www.hcd.ca.gov/grants-and-funding/supernofa/program-forms" TargetMode="External"/><Relationship Id="rId4" Type="http://schemas.openxmlformats.org/officeDocument/2006/relationships/comments" Target="../comments14.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printerSettings" Target="../printerSettings/printerSettings22.bin"/><Relationship Id="rId1" Type="http://schemas.openxmlformats.org/officeDocument/2006/relationships/hyperlink" Target="https://www.hudexchange.info/resources/documents/btlnat2_6.pdf" TargetMode="External"/><Relationship Id="rId4" Type="http://schemas.openxmlformats.org/officeDocument/2006/relationships/comments" Target="../comments15.xml"/></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7.vml"/><Relationship Id="rId1" Type="http://schemas.openxmlformats.org/officeDocument/2006/relationships/printerSettings" Target="../printerSettings/printerSettings24.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9.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hyperlink" Target="https://www.hcd.ca.gov/grants-and-funding/supernofa/program-forms" TargetMode="External"/><Relationship Id="rId1" Type="http://schemas.openxmlformats.org/officeDocument/2006/relationships/hyperlink" Target="https://www.hcd.ca.gov/grants-funding/docs/admin_memo21-06_stacking_prohibition_repeal.pdf" TargetMode="External"/><Relationship Id="rId5" Type="http://schemas.openxmlformats.org/officeDocument/2006/relationships/comments" Target="../comments17.xml"/><Relationship Id="rId4" Type="http://schemas.openxmlformats.org/officeDocument/2006/relationships/vmlDrawing" Target="../drawings/vmlDrawing18.vml"/></Relationships>
</file>

<file path=xl/worksheets/_rels/sheet30.xml.rels><?xml version="1.0" encoding="UTF-8" standalone="yes"?>
<Relationships xmlns="http://schemas.openxmlformats.org/package/2006/relationships"><Relationship Id="rId3" Type="http://schemas.openxmlformats.org/officeDocument/2006/relationships/printerSettings" Target="../printerSettings/printerSettings27.bin"/><Relationship Id="rId2" Type="http://schemas.openxmlformats.org/officeDocument/2006/relationships/hyperlink" Target="https://www.hcd.ca.gov/grants-and-funding/supernofa/program-forms" TargetMode="External"/><Relationship Id="rId1" Type="http://schemas.openxmlformats.org/officeDocument/2006/relationships/hyperlink" Target="https://www.hcd.ca.gov/grants-funding/docs/admin_memo21-06_stacking_prohibition_repeal.pdf" TargetMode="External"/><Relationship Id="rId5" Type="http://schemas.openxmlformats.org/officeDocument/2006/relationships/comments" Target="../comments18.xml"/><Relationship Id="rId4" Type="http://schemas.openxmlformats.org/officeDocument/2006/relationships/vmlDrawing" Target="../drawings/vmlDrawing19.vml"/></Relationships>
</file>

<file path=xl/worksheets/_rels/sheet31.xml.rels><?xml version="1.0" encoding="UTF-8" standalone="yes"?>
<Relationships xmlns="http://schemas.openxmlformats.org/package/2006/relationships"><Relationship Id="rId8" Type="http://schemas.openxmlformats.org/officeDocument/2006/relationships/ctrlProp" Target="../ctrlProps/ctrlProp6.xml"/><Relationship Id="rId13" Type="http://schemas.openxmlformats.org/officeDocument/2006/relationships/ctrlProp" Target="../ctrlProps/ctrlProp11.xml"/><Relationship Id="rId3" Type="http://schemas.openxmlformats.org/officeDocument/2006/relationships/drawing" Target="../drawings/drawing7.xml"/><Relationship Id="rId7" Type="http://schemas.openxmlformats.org/officeDocument/2006/relationships/ctrlProp" Target="../ctrlProps/ctrlProp5.xml"/><Relationship Id="rId12" Type="http://schemas.openxmlformats.org/officeDocument/2006/relationships/ctrlProp" Target="../ctrlProps/ctrlProp10.xml"/><Relationship Id="rId2" Type="http://schemas.openxmlformats.org/officeDocument/2006/relationships/printerSettings" Target="../printerSettings/printerSettings28.bin"/><Relationship Id="rId1" Type="http://schemas.openxmlformats.org/officeDocument/2006/relationships/hyperlink" Target="https://www.hcd.ca.gov/sites/default/files/docs/grants-and-funding/developer-fee-memo.pdf" TargetMode="External"/><Relationship Id="rId6" Type="http://schemas.openxmlformats.org/officeDocument/2006/relationships/ctrlProp" Target="../ctrlProps/ctrlProp4.xml"/><Relationship Id="rId11" Type="http://schemas.openxmlformats.org/officeDocument/2006/relationships/ctrlProp" Target="../ctrlProps/ctrlProp9.xml"/><Relationship Id="rId5" Type="http://schemas.openxmlformats.org/officeDocument/2006/relationships/ctrlProp" Target="../ctrlProps/ctrlProp3.xml"/><Relationship Id="rId15" Type="http://schemas.openxmlformats.org/officeDocument/2006/relationships/comments" Target="../comments19.xml"/><Relationship Id="rId10" Type="http://schemas.openxmlformats.org/officeDocument/2006/relationships/ctrlProp" Target="../ctrlProps/ctrlProp8.xml"/><Relationship Id="rId4" Type="http://schemas.openxmlformats.org/officeDocument/2006/relationships/vmlDrawing" Target="../drawings/vmlDrawing20.vml"/><Relationship Id="rId9" Type="http://schemas.openxmlformats.org/officeDocument/2006/relationships/ctrlProp" Target="../ctrlProps/ctrlProp7.xml"/><Relationship Id="rId14" Type="http://schemas.openxmlformats.org/officeDocument/2006/relationships/ctrlProp" Target="../ctrlProps/ctrlProp12.xml"/></Relationships>
</file>

<file path=xl/worksheets/_rels/sheet32.xml.rels><?xml version="1.0" encoding="UTF-8" standalone="yes"?>
<Relationships xmlns="http://schemas.openxmlformats.org/package/2006/relationships"><Relationship Id="rId3" Type="http://schemas.openxmlformats.org/officeDocument/2006/relationships/printerSettings" Target="../printerSettings/printerSettings29.bin"/><Relationship Id="rId2" Type="http://schemas.openxmlformats.org/officeDocument/2006/relationships/hyperlink" Target="https://www.treasurer.ca.gov/ctcac/opportunity.asp" TargetMode="External"/><Relationship Id="rId1" Type="http://schemas.openxmlformats.org/officeDocument/2006/relationships/hyperlink" Target="https://www.treasurer.ca.gov/sites/default/files/2026-03/Threshold-Basis-Limits-Memo-2026_0.pdf" TargetMode="External"/><Relationship Id="rId6" Type="http://schemas.openxmlformats.org/officeDocument/2006/relationships/comments" Target="../comments20.xml"/><Relationship Id="rId5" Type="http://schemas.openxmlformats.org/officeDocument/2006/relationships/table" Target="../tables/table15.xml"/><Relationship Id="rId4" Type="http://schemas.openxmlformats.org/officeDocument/2006/relationships/vmlDrawing" Target="../drawings/vmlDrawing21.vml"/></Relationships>
</file>

<file path=xl/worksheets/_rels/sheet33.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printerSettings" Target="../printerSettings/printerSettings30.bin"/><Relationship Id="rId1" Type="http://schemas.openxmlformats.org/officeDocument/2006/relationships/hyperlink" Target="https://www.hcd.ca.gov/sites/default/files/docs/grants-and-funding/negative-points-3.17.23.pdf" TargetMode="External"/><Relationship Id="rId4" Type="http://schemas.openxmlformats.org/officeDocument/2006/relationships/comments" Target="../comments21.xml"/></Relationships>
</file>

<file path=xl/worksheets/_rels/sheet34.xml.rels><?xml version="1.0" encoding="UTF-8" standalone="yes"?>
<Relationships xmlns="http://schemas.openxmlformats.org/package/2006/relationships"><Relationship Id="rId3" Type="http://schemas.openxmlformats.org/officeDocument/2006/relationships/comments" Target="../comments22.xml"/><Relationship Id="rId2" Type="http://schemas.openxmlformats.org/officeDocument/2006/relationships/vmlDrawing" Target="../drawings/vmlDrawing23.vml"/><Relationship Id="rId1" Type="http://schemas.openxmlformats.org/officeDocument/2006/relationships/printerSettings" Target="../printerSettings/printerSettings31.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23.xml"/><Relationship Id="rId2" Type="http://schemas.openxmlformats.org/officeDocument/2006/relationships/vmlDrawing" Target="../drawings/vmlDrawing24.vml"/><Relationship Id="rId1" Type="http://schemas.openxmlformats.org/officeDocument/2006/relationships/printerSettings" Target="../printerSettings/printerSettings33.bin"/></Relationships>
</file>

<file path=xl/worksheets/_rels/sheet37.xml.rels><?xml version="1.0" encoding="UTF-8" standalone="yes"?>
<Relationships xmlns="http://schemas.openxmlformats.org/package/2006/relationships"><Relationship Id="rId3" Type="http://schemas.openxmlformats.org/officeDocument/2006/relationships/hyperlink" Target="https://www.treasurer.ca.gov/ctcac/2025/rural-status.pdf" TargetMode="External"/><Relationship Id="rId7" Type="http://schemas.openxmlformats.org/officeDocument/2006/relationships/printerSettings" Target="../printerSettings/printerSettings34.bin"/><Relationship Id="rId2" Type="http://schemas.openxmlformats.org/officeDocument/2006/relationships/hyperlink" Target="https://fiscal.ca.gov/wp-content/uploads/2019/08/GovtTINForm_000.pdf" TargetMode="External"/><Relationship Id="rId1" Type="http://schemas.openxmlformats.org/officeDocument/2006/relationships/hyperlink" Target="https://www.hcd.ca.gov/super-nofa-program-forms" TargetMode="External"/><Relationship Id="rId6" Type="http://schemas.openxmlformats.org/officeDocument/2006/relationships/hyperlink" Target="https://www.treasurer.ca.gov/sites/default/files/ctcac/2026-Rural-Status-Verification-Memo.pdf" TargetMode="External"/><Relationship Id="rId5" Type="http://schemas.openxmlformats.org/officeDocument/2006/relationships/hyperlink" Target="https://calhcdtest.service-now.com/csp?id=sc_category&amp;sys_id=2f418ecd975e8910776ff98c1253af53&amp;catalog_id=0f910a2ac3112200b12d9f2974d3ae3c" TargetMode="External"/><Relationship Id="rId4" Type="http://schemas.openxmlformats.org/officeDocument/2006/relationships/hyperlink" Target="https://leginfo.legislature.ca.gov/faces/codes_displaySection.xhtml?lawCode=HSC&amp;sectionNum=50675.7." TargetMode="External"/></Relationships>
</file>

<file path=xl/worksheets/_rels/sheet38.xml.rels><?xml version="1.0" encoding="UTF-8" standalone="yes"?>
<Relationships xmlns="http://schemas.openxmlformats.org/package/2006/relationships"><Relationship Id="rId2" Type="http://schemas.openxmlformats.org/officeDocument/2006/relationships/printerSettings" Target="../printerSettings/printerSettings35.bin"/><Relationship Id="rId1" Type="http://schemas.openxmlformats.org/officeDocument/2006/relationships/hyperlink" Target="mailto:AppSupport@hcd.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Dropdowns">
    <tabColor rgb="FF002060"/>
  </sheetPr>
  <dimension ref="A1:X168"/>
  <sheetViews>
    <sheetView topLeftCell="A87" zoomScale="80" zoomScaleNormal="80" workbookViewId="0">
      <selection activeCell="B88" sqref="B88"/>
    </sheetView>
  </sheetViews>
  <sheetFormatPr defaultColWidth="9.28515625" defaultRowHeight="18.75" customHeight="1"/>
  <cols>
    <col min="1" max="1" width="40.42578125" style="476" customWidth="1"/>
    <col min="2" max="2" width="71.5703125" style="476" customWidth="1"/>
    <col min="3" max="3" width="14.7109375" style="15" bestFit="1" customWidth="1"/>
    <col min="4" max="6" width="9.28515625" style="15" customWidth="1"/>
    <col min="7" max="7" width="17.28515625" style="15" customWidth="1"/>
    <col min="8" max="8" width="16.42578125" style="15" customWidth="1"/>
    <col min="9" max="9" width="9.28515625" style="15" customWidth="1"/>
    <col min="10" max="10" width="12.42578125" style="15" customWidth="1"/>
    <col min="11" max="21" width="9.28515625" style="15" customWidth="1"/>
    <col min="22" max="22" width="16.42578125" style="15" customWidth="1"/>
    <col min="23" max="23" width="9.28515625" style="15" customWidth="1"/>
    <col min="24" max="24" width="37.28515625" style="15" customWidth="1"/>
    <col min="25" max="25" width="9.28515625" style="15" customWidth="1"/>
    <col min="26" max="16384" width="9.28515625" style="15"/>
  </cols>
  <sheetData>
    <row r="1" spans="1:24" ht="18.75" customHeight="1">
      <c r="A1" s="639" t="s">
        <v>0</v>
      </c>
      <c r="B1" s="241" t="s">
        <v>1</v>
      </c>
      <c r="C1" s="16" t="s">
        <v>2</v>
      </c>
      <c r="E1" s="15">
        <v>1</v>
      </c>
      <c r="G1" s="15" t="s">
        <v>2</v>
      </c>
      <c r="H1" s="15" t="s">
        <v>3</v>
      </c>
      <c r="J1" s="477" t="s">
        <v>4</v>
      </c>
      <c r="X1" s="276" t="s">
        <v>5</v>
      </c>
    </row>
    <row r="2" spans="1:24" ht="18.75" customHeight="1">
      <c r="A2" s="639" t="s">
        <v>6</v>
      </c>
      <c r="B2" s="241" t="s">
        <v>7</v>
      </c>
      <c r="C2" s="16" t="s">
        <v>8</v>
      </c>
      <c r="E2" s="15">
        <v>2</v>
      </c>
      <c r="G2" s="15" t="s">
        <v>8</v>
      </c>
      <c r="H2" s="15" t="s">
        <v>9</v>
      </c>
      <c r="J2" s="477" t="s">
        <v>10</v>
      </c>
      <c r="X2" s="276" t="s">
        <v>11</v>
      </c>
    </row>
    <row r="3" spans="1:24" ht="18.75" customHeight="1">
      <c r="A3" s="639" t="s">
        <v>12</v>
      </c>
      <c r="B3" s="241"/>
      <c r="C3" s="16" t="s">
        <v>13</v>
      </c>
      <c r="E3" s="15">
        <v>3</v>
      </c>
      <c r="G3" s="15" t="s">
        <v>13</v>
      </c>
      <c r="H3" s="15" t="s">
        <v>9</v>
      </c>
      <c r="J3" s="477" t="s">
        <v>14</v>
      </c>
      <c r="X3" s="276" t="s">
        <v>15</v>
      </c>
    </row>
    <row r="4" spans="1:24" ht="18.75" customHeight="1">
      <c r="A4" s="562" t="s">
        <v>16</v>
      </c>
      <c r="B4" s="241"/>
      <c r="C4" s="16" t="s">
        <v>17</v>
      </c>
      <c r="E4" s="15">
        <v>4</v>
      </c>
      <c r="G4" s="15" t="s">
        <v>17</v>
      </c>
      <c r="H4" s="15" t="s">
        <v>3</v>
      </c>
      <c r="J4" s="477" t="s">
        <v>18</v>
      </c>
      <c r="X4" s="276" t="s">
        <v>19</v>
      </c>
    </row>
    <row r="5" spans="1:24" ht="18.75" customHeight="1">
      <c r="A5" s="639" t="s">
        <v>20</v>
      </c>
      <c r="B5" s="55"/>
      <c r="C5" s="16" t="s">
        <v>21</v>
      </c>
      <c r="E5" s="15">
        <v>5</v>
      </c>
      <c r="G5" s="15" t="s">
        <v>21</v>
      </c>
      <c r="H5" s="15" t="s">
        <v>9</v>
      </c>
      <c r="X5" s="276" t="s">
        <v>22</v>
      </c>
    </row>
    <row r="6" spans="1:24" ht="18.75" customHeight="1">
      <c r="A6" s="639" t="s">
        <v>23</v>
      </c>
      <c r="B6" s="55" t="s">
        <v>24</v>
      </c>
      <c r="C6" s="16" t="s">
        <v>25</v>
      </c>
      <c r="E6" s="15">
        <v>6</v>
      </c>
      <c r="G6" s="15" t="s">
        <v>25</v>
      </c>
      <c r="H6" s="15" t="s">
        <v>9</v>
      </c>
      <c r="V6" s="476" t="s">
        <v>26</v>
      </c>
      <c r="X6" s="276" t="s">
        <v>27</v>
      </c>
    </row>
    <row r="7" spans="1:24" ht="18.75" customHeight="1">
      <c r="A7" s="639" t="s">
        <v>28</v>
      </c>
      <c r="B7" s="55" t="s">
        <v>29</v>
      </c>
      <c r="C7" s="16" t="s">
        <v>30</v>
      </c>
      <c r="E7" s="15">
        <v>7</v>
      </c>
      <c r="G7" s="15" t="s">
        <v>30</v>
      </c>
      <c r="H7" s="15" t="s">
        <v>3</v>
      </c>
      <c r="P7" s="959">
        <v>0.15</v>
      </c>
      <c r="Q7" s="959">
        <v>0.15</v>
      </c>
      <c r="R7" s="959">
        <v>0.15</v>
      </c>
      <c r="T7" s="959">
        <v>0.3</v>
      </c>
      <c r="V7" s="476" t="s">
        <v>31</v>
      </c>
      <c r="X7" s="276" t="s">
        <v>32</v>
      </c>
    </row>
    <row r="8" spans="1:24" ht="18.75" customHeight="1">
      <c r="A8" s="639" t="s">
        <v>33</v>
      </c>
      <c r="B8" s="241" t="s">
        <v>34</v>
      </c>
      <c r="C8" s="16" t="s">
        <v>35</v>
      </c>
      <c r="E8" s="15">
        <v>8</v>
      </c>
      <c r="G8" s="15" t="s">
        <v>35</v>
      </c>
      <c r="H8" s="15" t="s">
        <v>9</v>
      </c>
      <c r="P8" s="960">
        <v>0.2</v>
      </c>
      <c r="Q8" s="960">
        <v>0.2</v>
      </c>
      <c r="R8" s="960">
        <v>0.2</v>
      </c>
      <c r="T8" s="960">
        <v>0.3</v>
      </c>
      <c r="V8" s="476" t="s">
        <v>36</v>
      </c>
      <c r="X8" s="276" t="s">
        <v>37</v>
      </c>
    </row>
    <row r="9" spans="1:24" ht="18.75" customHeight="1">
      <c r="A9" s="563" t="s">
        <v>38</v>
      </c>
      <c r="B9" s="476" t="s">
        <v>39</v>
      </c>
      <c r="C9" s="16" t="s">
        <v>40</v>
      </c>
      <c r="E9" s="15">
        <v>9</v>
      </c>
      <c r="G9" s="15" t="s">
        <v>40</v>
      </c>
      <c r="H9" s="15" t="s">
        <v>3</v>
      </c>
      <c r="J9" s="476" t="s">
        <v>41</v>
      </c>
      <c r="K9" s="138">
        <v>10</v>
      </c>
      <c r="L9" s="138">
        <v>3</v>
      </c>
      <c r="M9" s="138">
        <v>3</v>
      </c>
      <c r="P9" s="960">
        <v>0.25</v>
      </c>
      <c r="Q9" s="960">
        <v>0.25</v>
      </c>
      <c r="R9" s="960">
        <v>0.25</v>
      </c>
      <c r="T9" s="960">
        <v>0.3</v>
      </c>
      <c r="V9" s="476" t="s">
        <v>42</v>
      </c>
      <c r="X9" s="277" t="s">
        <v>43</v>
      </c>
    </row>
    <row r="10" spans="1:24" ht="18.75" customHeight="1">
      <c r="A10" s="639" t="s">
        <v>44</v>
      </c>
      <c r="B10" s="55" t="s">
        <v>45</v>
      </c>
      <c r="C10" s="16" t="s">
        <v>41</v>
      </c>
      <c r="E10" s="15">
        <v>10</v>
      </c>
      <c r="G10" s="15" t="s">
        <v>41</v>
      </c>
      <c r="H10" s="15" t="s">
        <v>3</v>
      </c>
      <c r="J10" s="476" t="s">
        <v>46</v>
      </c>
      <c r="K10" s="138">
        <v>10</v>
      </c>
      <c r="L10" s="138">
        <v>3</v>
      </c>
      <c r="M10" s="138">
        <v>3</v>
      </c>
      <c r="P10" s="960">
        <v>0.3</v>
      </c>
      <c r="Q10" s="960">
        <v>0.3</v>
      </c>
      <c r="R10" s="960">
        <v>0.3</v>
      </c>
      <c r="T10" s="960">
        <v>0.3</v>
      </c>
      <c r="V10" s="476" t="s">
        <v>47</v>
      </c>
      <c r="X10" s="276" t="s">
        <v>48</v>
      </c>
    </row>
    <row r="11" spans="1:24" ht="18.75" customHeight="1">
      <c r="A11" s="639" t="s">
        <v>49</v>
      </c>
      <c r="B11" s="55" t="s">
        <v>50</v>
      </c>
      <c r="C11" s="16" t="s">
        <v>51</v>
      </c>
      <c r="E11" s="15">
        <v>11</v>
      </c>
      <c r="G11" s="15" t="s">
        <v>51</v>
      </c>
      <c r="H11" s="15" t="s">
        <v>9</v>
      </c>
      <c r="J11" s="476" t="s">
        <v>52</v>
      </c>
      <c r="K11" s="138">
        <v>10</v>
      </c>
      <c r="L11" s="138">
        <v>3</v>
      </c>
      <c r="M11" s="138">
        <v>3</v>
      </c>
      <c r="P11" s="960">
        <v>0.35</v>
      </c>
      <c r="Q11" s="960">
        <v>0.35</v>
      </c>
      <c r="R11" s="960">
        <v>0.35</v>
      </c>
      <c r="T11" s="960">
        <v>0.3</v>
      </c>
      <c r="V11" s="476" t="s">
        <v>53</v>
      </c>
      <c r="X11" s="277" t="s">
        <v>54</v>
      </c>
    </row>
    <row r="12" spans="1:24" ht="18.75" customHeight="1">
      <c r="A12" s="278" t="s">
        <v>55</v>
      </c>
      <c r="B12" s="55" t="s">
        <v>56</v>
      </c>
      <c r="C12" s="16" t="s">
        <v>57</v>
      </c>
      <c r="E12" s="15">
        <v>12</v>
      </c>
      <c r="G12" s="15" t="s">
        <v>57</v>
      </c>
      <c r="H12" s="15" t="s">
        <v>9</v>
      </c>
      <c r="J12" s="476" t="s">
        <v>58</v>
      </c>
      <c r="K12" s="138">
        <v>10</v>
      </c>
      <c r="L12" s="138">
        <v>3</v>
      </c>
      <c r="M12" s="138">
        <v>3</v>
      </c>
      <c r="P12" s="960">
        <v>0.4</v>
      </c>
      <c r="Q12" s="960">
        <v>0.4</v>
      </c>
      <c r="R12" s="960">
        <v>0.4</v>
      </c>
      <c r="T12" s="960">
        <v>0.3</v>
      </c>
      <c r="V12" s="476" t="s">
        <v>59</v>
      </c>
      <c r="X12" s="277" t="s">
        <v>60</v>
      </c>
    </row>
    <row r="13" spans="1:24" ht="37.5" customHeight="1">
      <c r="A13" s="279" t="s">
        <v>61</v>
      </c>
      <c r="B13" s="55" t="s">
        <v>62</v>
      </c>
      <c r="C13" s="16" t="s">
        <v>63</v>
      </c>
      <c r="E13" s="15">
        <v>13</v>
      </c>
      <c r="G13" s="487" t="s">
        <v>63</v>
      </c>
      <c r="H13" s="487" t="s">
        <v>64</v>
      </c>
      <c r="J13" s="476" t="s">
        <v>65</v>
      </c>
      <c r="K13" s="138">
        <v>10</v>
      </c>
      <c r="L13" s="138">
        <v>3</v>
      </c>
      <c r="M13" s="138">
        <v>3</v>
      </c>
      <c r="P13" s="960">
        <v>0.45</v>
      </c>
      <c r="Q13" s="960">
        <v>0.45</v>
      </c>
      <c r="R13" s="960">
        <v>0.45</v>
      </c>
      <c r="T13" s="960">
        <v>0.3</v>
      </c>
      <c r="V13" s="476" t="s">
        <v>66</v>
      </c>
      <c r="X13" s="277" t="s">
        <v>67</v>
      </c>
    </row>
    <row r="14" spans="1:24" ht="36" customHeight="1">
      <c r="A14" s="279" t="s">
        <v>68</v>
      </c>
      <c r="B14" s="55" t="s">
        <v>44</v>
      </c>
      <c r="C14" s="16" t="s">
        <v>69</v>
      </c>
      <c r="E14" s="15">
        <v>14</v>
      </c>
      <c r="G14" s="15" t="s">
        <v>69</v>
      </c>
      <c r="H14" s="15" t="s">
        <v>9</v>
      </c>
      <c r="J14" s="476" t="s">
        <v>70</v>
      </c>
      <c r="K14" s="138">
        <v>10</v>
      </c>
      <c r="L14" s="138">
        <v>3</v>
      </c>
      <c r="M14" s="138">
        <v>3</v>
      </c>
      <c r="P14" s="960">
        <v>0.5</v>
      </c>
      <c r="Q14" s="960">
        <v>0.5</v>
      </c>
      <c r="R14" s="960">
        <v>0.5</v>
      </c>
      <c r="T14" s="960">
        <v>0.3</v>
      </c>
      <c r="V14" s="476" t="s">
        <v>71</v>
      </c>
      <c r="X14" s="277" t="s">
        <v>72</v>
      </c>
    </row>
    <row r="15" spans="1:24" ht="51" customHeight="1">
      <c r="A15" s="278" t="s">
        <v>73</v>
      </c>
      <c r="B15" s="241"/>
      <c r="C15" s="16" t="s">
        <v>46</v>
      </c>
      <c r="E15" s="15">
        <v>15</v>
      </c>
      <c r="G15" s="487" t="s">
        <v>46</v>
      </c>
      <c r="H15" s="487" t="s">
        <v>64</v>
      </c>
      <c r="J15" s="476" t="s">
        <v>74</v>
      </c>
      <c r="K15" s="138">
        <v>10</v>
      </c>
      <c r="L15" s="138">
        <v>3</v>
      </c>
      <c r="M15" s="138">
        <v>3</v>
      </c>
      <c r="P15" s="960">
        <v>0.55000000000000004</v>
      </c>
      <c r="Q15" s="960">
        <v>0.55000000000000004</v>
      </c>
      <c r="R15" s="960">
        <v>0.55000000000000004</v>
      </c>
      <c r="T15" s="960">
        <v>0.3</v>
      </c>
      <c r="V15" s="476" t="s">
        <v>75</v>
      </c>
      <c r="X15" s="277" t="s">
        <v>76</v>
      </c>
    </row>
    <row r="16" spans="1:24" ht="18.75" customHeight="1">
      <c r="A16" s="278" t="s">
        <v>77</v>
      </c>
      <c r="B16" s="241"/>
      <c r="C16" s="16" t="s">
        <v>78</v>
      </c>
      <c r="E16" s="15">
        <v>16</v>
      </c>
      <c r="G16" s="15" t="s">
        <v>78</v>
      </c>
      <c r="H16" s="15" t="s">
        <v>3</v>
      </c>
      <c r="J16" s="476" t="s">
        <v>79</v>
      </c>
      <c r="K16" s="138">
        <v>5</v>
      </c>
      <c r="L16" s="138">
        <v>5</v>
      </c>
      <c r="M16" s="138">
        <v>3</v>
      </c>
      <c r="P16" s="960">
        <v>0.6</v>
      </c>
      <c r="Q16" s="960">
        <v>0.6</v>
      </c>
      <c r="R16" s="960">
        <v>0.6</v>
      </c>
      <c r="T16" s="960">
        <v>0.3</v>
      </c>
      <c r="V16" s="476" t="s">
        <v>80</v>
      </c>
      <c r="X16" s="276" t="s">
        <v>81</v>
      </c>
    </row>
    <row r="17" spans="1:22" ht="18.75" customHeight="1">
      <c r="C17" s="16" t="s">
        <v>82</v>
      </c>
      <c r="E17" s="15">
        <v>17</v>
      </c>
      <c r="G17" s="15" t="s">
        <v>82</v>
      </c>
      <c r="H17" s="15" t="s">
        <v>9</v>
      </c>
      <c r="J17" s="476" t="s">
        <v>83</v>
      </c>
      <c r="K17" s="138">
        <v>5</v>
      </c>
      <c r="L17" s="138">
        <v>5</v>
      </c>
      <c r="M17" s="138">
        <v>3</v>
      </c>
      <c r="P17" s="960">
        <v>0.65</v>
      </c>
      <c r="Q17" s="960">
        <v>0.65</v>
      </c>
      <c r="R17" s="960">
        <v>0.7</v>
      </c>
      <c r="T17" s="960">
        <v>0.3</v>
      </c>
      <c r="V17" s="476" t="s">
        <v>84</v>
      </c>
    </row>
    <row r="18" spans="1:22" ht="18.75" customHeight="1">
      <c r="A18" s="15"/>
      <c r="C18" s="16" t="s">
        <v>85</v>
      </c>
      <c r="E18" s="15">
        <v>18</v>
      </c>
      <c r="G18" s="15" t="s">
        <v>85</v>
      </c>
      <c r="H18" s="15" t="s">
        <v>9</v>
      </c>
      <c r="J18" s="476" t="s">
        <v>86</v>
      </c>
      <c r="K18" s="138">
        <v>5</v>
      </c>
      <c r="L18" s="138">
        <v>5</v>
      </c>
      <c r="M18" s="138">
        <v>3</v>
      </c>
      <c r="P18" s="960">
        <v>0.7</v>
      </c>
      <c r="Q18" s="960">
        <v>0.7</v>
      </c>
      <c r="R18" s="960">
        <v>0.7</v>
      </c>
      <c r="T18" s="960">
        <v>0.3</v>
      </c>
      <c r="V18" s="476" t="s">
        <v>87</v>
      </c>
    </row>
    <row r="19" spans="1:22" ht="18.75" customHeight="1">
      <c r="C19" s="16" t="s">
        <v>88</v>
      </c>
      <c r="E19" s="15">
        <v>19</v>
      </c>
      <c r="G19" s="487" t="s">
        <v>88</v>
      </c>
      <c r="H19" s="487" t="s">
        <v>64</v>
      </c>
      <c r="J19" s="476" t="s">
        <v>89</v>
      </c>
      <c r="K19" s="138">
        <v>5</v>
      </c>
      <c r="L19" s="138">
        <v>5</v>
      </c>
      <c r="M19" s="138">
        <v>3</v>
      </c>
      <c r="P19" s="960">
        <v>0.75</v>
      </c>
      <c r="Q19" s="960">
        <v>0.75</v>
      </c>
      <c r="R19" s="960">
        <v>0.8</v>
      </c>
      <c r="T19" s="960">
        <v>0.3</v>
      </c>
      <c r="V19" s="476" t="s">
        <v>90</v>
      </c>
    </row>
    <row r="20" spans="1:22" ht="18.75" customHeight="1">
      <c r="A20" s="476" t="s">
        <v>91</v>
      </c>
      <c r="B20" s="476" t="s">
        <v>92</v>
      </c>
      <c r="C20" s="16" t="s">
        <v>79</v>
      </c>
      <c r="E20" s="15">
        <v>20</v>
      </c>
      <c r="G20" s="15" t="s">
        <v>79</v>
      </c>
      <c r="H20" s="15" t="s">
        <v>3</v>
      </c>
      <c r="J20" s="476" t="s">
        <v>93</v>
      </c>
      <c r="K20" s="138">
        <v>5</v>
      </c>
      <c r="L20" s="138">
        <v>5</v>
      </c>
      <c r="M20" s="138">
        <v>3</v>
      </c>
      <c r="P20" s="960">
        <v>0.8</v>
      </c>
      <c r="Q20" s="960">
        <v>0.8</v>
      </c>
      <c r="R20" s="960">
        <v>0.8</v>
      </c>
      <c r="T20" s="960">
        <v>0.3</v>
      </c>
      <c r="V20" s="476" t="s">
        <v>94</v>
      </c>
    </row>
    <row r="21" spans="1:22" ht="18.75" customHeight="1">
      <c r="A21" s="476" t="s">
        <v>95</v>
      </c>
      <c r="B21" s="241" t="s">
        <v>96</v>
      </c>
      <c r="C21" s="16" t="s">
        <v>97</v>
      </c>
      <c r="E21" s="15">
        <v>21</v>
      </c>
      <c r="G21" s="15" t="s">
        <v>97</v>
      </c>
      <c r="H21" s="15" t="s">
        <v>3</v>
      </c>
      <c r="J21" s="476" t="s">
        <v>98</v>
      </c>
      <c r="K21" s="138">
        <v>5</v>
      </c>
      <c r="L21" s="138">
        <v>5</v>
      </c>
      <c r="M21" s="138">
        <v>3</v>
      </c>
      <c r="P21" s="960">
        <v>0.85</v>
      </c>
      <c r="Q21" s="960" t="s">
        <v>99</v>
      </c>
      <c r="R21" s="960">
        <v>1</v>
      </c>
      <c r="T21" s="960">
        <v>0.3</v>
      </c>
      <c r="V21" s="476" t="s">
        <v>100</v>
      </c>
    </row>
    <row r="22" spans="1:22" ht="18.75" customHeight="1">
      <c r="A22" s="1740" t="s">
        <v>101</v>
      </c>
      <c r="B22" s="241" t="s">
        <v>102</v>
      </c>
      <c r="C22" s="16" t="s">
        <v>103</v>
      </c>
      <c r="E22" s="15">
        <v>22</v>
      </c>
      <c r="G22" s="15" t="s">
        <v>103</v>
      </c>
      <c r="H22" s="15" t="s">
        <v>9</v>
      </c>
      <c r="J22" s="476" t="s">
        <v>104</v>
      </c>
      <c r="K22" s="138">
        <v>5</v>
      </c>
      <c r="L22" s="138">
        <v>5</v>
      </c>
      <c r="M22" s="138">
        <v>3</v>
      </c>
      <c r="P22" s="960">
        <v>0.9</v>
      </c>
      <c r="Q22" s="961" t="s">
        <v>105</v>
      </c>
      <c r="R22" s="960">
        <v>1</v>
      </c>
      <c r="T22" s="960">
        <v>0.3</v>
      </c>
      <c r="V22" s="476" t="s">
        <v>106</v>
      </c>
    </row>
    <row r="23" spans="1:22" ht="18.75" customHeight="1">
      <c r="A23" s="1740" t="s">
        <v>107</v>
      </c>
      <c r="B23" s="241" t="s">
        <v>108</v>
      </c>
      <c r="C23" s="16" t="s">
        <v>109</v>
      </c>
      <c r="E23" s="15">
        <v>23</v>
      </c>
      <c r="G23" s="15" t="s">
        <v>109</v>
      </c>
      <c r="H23" s="15" t="s">
        <v>9</v>
      </c>
      <c r="J23" s="476" t="s">
        <v>110</v>
      </c>
      <c r="K23" s="138">
        <v>5</v>
      </c>
      <c r="L23" s="138">
        <v>5</v>
      </c>
      <c r="M23" s="138">
        <v>3</v>
      </c>
      <c r="P23" s="960">
        <v>0.95</v>
      </c>
      <c r="Q23" s="960"/>
      <c r="R23" s="960">
        <v>1</v>
      </c>
      <c r="T23" s="960">
        <v>0.3</v>
      </c>
    </row>
    <row r="24" spans="1:22" ht="18.75" customHeight="1">
      <c r="A24" s="241" t="s">
        <v>111</v>
      </c>
      <c r="B24" s="476" t="s">
        <v>112</v>
      </c>
      <c r="C24" s="16" t="s">
        <v>83</v>
      </c>
      <c r="E24" s="15">
        <v>24</v>
      </c>
      <c r="G24" s="15" t="s">
        <v>83</v>
      </c>
      <c r="H24" s="15" t="s">
        <v>3</v>
      </c>
      <c r="J24" s="476" t="s">
        <v>2</v>
      </c>
      <c r="K24" s="1744">
        <v>3</v>
      </c>
      <c r="L24" s="138">
        <v>3</v>
      </c>
      <c r="M24" s="138">
        <v>3</v>
      </c>
      <c r="P24" s="960" t="s">
        <v>99</v>
      </c>
      <c r="R24" s="960">
        <v>0</v>
      </c>
      <c r="T24" s="960">
        <v>0</v>
      </c>
    </row>
    <row r="25" spans="1:22" ht="18.75" customHeight="1">
      <c r="A25" s="241" t="s">
        <v>113</v>
      </c>
      <c r="B25" s="476" t="s">
        <v>114</v>
      </c>
      <c r="C25" s="16" t="s">
        <v>115</v>
      </c>
      <c r="E25" s="15">
        <v>25</v>
      </c>
      <c r="G25" s="15" t="s">
        <v>115</v>
      </c>
      <c r="H25" s="15" t="s">
        <v>9</v>
      </c>
      <c r="J25" s="476" t="s">
        <v>8</v>
      </c>
      <c r="K25" s="1744">
        <v>3</v>
      </c>
      <c r="L25" s="138">
        <v>3</v>
      </c>
      <c r="M25" s="138">
        <v>3</v>
      </c>
      <c r="P25" s="961" t="s">
        <v>105</v>
      </c>
      <c r="R25" s="961">
        <v>1</v>
      </c>
      <c r="T25" s="961">
        <v>0.3</v>
      </c>
    </row>
    <row r="26" spans="1:22" ht="18.75" customHeight="1">
      <c r="A26" s="476" t="s">
        <v>116</v>
      </c>
      <c r="B26" s="241" t="s">
        <v>117</v>
      </c>
      <c r="C26" s="16" t="s">
        <v>118</v>
      </c>
      <c r="E26" s="15">
        <v>26</v>
      </c>
      <c r="G26" s="15" t="s">
        <v>118</v>
      </c>
      <c r="H26" s="15" t="s">
        <v>9</v>
      </c>
      <c r="J26" s="476" t="s">
        <v>13</v>
      </c>
      <c r="K26" s="138">
        <v>3</v>
      </c>
      <c r="L26" s="138">
        <v>3</v>
      </c>
      <c r="M26" s="138">
        <v>3</v>
      </c>
      <c r="P26" s="280"/>
    </row>
    <row r="27" spans="1:22" ht="18.75" customHeight="1">
      <c r="A27" s="476" t="s">
        <v>119</v>
      </c>
      <c r="B27" s="241" t="s">
        <v>120</v>
      </c>
      <c r="C27" s="16" t="s">
        <v>52</v>
      </c>
      <c r="E27" s="15">
        <v>27</v>
      </c>
      <c r="G27" s="15" t="s">
        <v>52</v>
      </c>
      <c r="H27" s="15" t="s">
        <v>3</v>
      </c>
      <c r="J27" s="476" t="s">
        <v>17</v>
      </c>
      <c r="K27" s="138">
        <v>3</v>
      </c>
      <c r="L27" s="138">
        <v>3</v>
      </c>
      <c r="M27" s="138">
        <v>3</v>
      </c>
      <c r="P27" s="280"/>
    </row>
    <row r="28" spans="1:22" ht="18.75" customHeight="1">
      <c r="A28" s="1740"/>
      <c r="B28" s="241" t="s">
        <v>121</v>
      </c>
      <c r="C28" s="16" t="s">
        <v>122</v>
      </c>
      <c r="E28" s="15">
        <v>28</v>
      </c>
      <c r="G28" s="15" t="s">
        <v>122</v>
      </c>
      <c r="H28" s="15" t="s">
        <v>3</v>
      </c>
      <c r="J28" s="476" t="s">
        <v>21</v>
      </c>
      <c r="K28" s="138">
        <v>3</v>
      </c>
      <c r="L28" s="138">
        <v>3</v>
      </c>
      <c r="M28" s="138">
        <v>3</v>
      </c>
      <c r="P28" s="280"/>
    </row>
    <row r="29" spans="1:22" ht="18.75" customHeight="1">
      <c r="A29" s="1740"/>
      <c r="B29" s="241" t="s">
        <v>123</v>
      </c>
      <c r="C29" s="16" t="s">
        <v>124</v>
      </c>
      <c r="E29" s="15">
        <v>29</v>
      </c>
      <c r="G29" s="15" t="s">
        <v>124</v>
      </c>
      <c r="H29" s="15" t="s">
        <v>9</v>
      </c>
      <c r="J29" s="476" t="s">
        <v>25</v>
      </c>
      <c r="K29" s="138">
        <v>3</v>
      </c>
      <c r="L29" s="138">
        <v>3</v>
      </c>
      <c r="M29" s="138">
        <v>3</v>
      </c>
      <c r="P29" s="280"/>
    </row>
    <row r="30" spans="1:22" ht="18.75" customHeight="1">
      <c r="B30" s="241" t="s">
        <v>125</v>
      </c>
      <c r="C30" s="16" t="s">
        <v>126</v>
      </c>
      <c r="E30" s="15">
        <v>30</v>
      </c>
      <c r="G30" s="487" t="s">
        <v>126</v>
      </c>
      <c r="H30" s="487" t="s">
        <v>64</v>
      </c>
      <c r="J30" s="476" t="s">
        <v>30</v>
      </c>
      <c r="K30" s="138">
        <v>3</v>
      </c>
      <c r="L30" s="138">
        <v>3</v>
      </c>
      <c r="M30" s="138">
        <v>3</v>
      </c>
      <c r="P30" s="280"/>
    </row>
    <row r="31" spans="1:22" ht="18.75" customHeight="1">
      <c r="A31" s="1740"/>
      <c r="B31" s="241"/>
      <c r="C31" s="16" t="s">
        <v>127</v>
      </c>
      <c r="E31" s="15">
        <v>31</v>
      </c>
      <c r="G31" s="15" t="s">
        <v>127</v>
      </c>
      <c r="H31" s="15" t="s">
        <v>3</v>
      </c>
      <c r="J31" s="476" t="s">
        <v>35</v>
      </c>
      <c r="K31" s="138">
        <v>3</v>
      </c>
      <c r="L31" s="138">
        <v>3</v>
      </c>
      <c r="M31" s="138">
        <v>3</v>
      </c>
      <c r="P31" s="280"/>
    </row>
    <row r="32" spans="1:22" ht="18.75" customHeight="1">
      <c r="A32" s="476" t="s">
        <v>128</v>
      </c>
      <c r="B32" s="241"/>
      <c r="C32" s="16" t="s">
        <v>129</v>
      </c>
      <c r="E32" s="15">
        <v>32</v>
      </c>
      <c r="G32" s="15" t="s">
        <v>129</v>
      </c>
      <c r="H32" s="15" t="s">
        <v>9</v>
      </c>
      <c r="J32" s="476" t="s">
        <v>40</v>
      </c>
      <c r="K32" s="138">
        <v>3</v>
      </c>
      <c r="L32" s="138">
        <v>3</v>
      </c>
      <c r="M32" s="138">
        <v>3</v>
      </c>
      <c r="P32" s="280"/>
    </row>
    <row r="33" spans="1:16" ht="18.75" customHeight="1">
      <c r="A33" s="476" t="s">
        <v>130</v>
      </c>
      <c r="B33" s="476" t="s">
        <v>131</v>
      </c>
      <c r="C33" s="16" t="s">
        <v>86</v>
      </c>
      <c r="E33" s="15">
        <v>33</v>
      </c>
      <c r="G33" s="487" t="s">
        <v>86</v>
      </c>
      <c r="H33" s="487" t="s">
        <v>64</v>
      </c>
      <c r="J33" s="476" t="s">
        <v>51</v>
      </c>
      <c r="K33" s="138">
        <v>3</v>
      </c>
      <c r="L33" s="138">
        <v>3</v>
      </c>
      <c r="M33" s="138">
        <v>3</v>
      </c>
      <c r="P33" s="280"/>
    </row>
    <row r="34" spans="1:16" ht="18.75" customHeight="1">
      <c r="A34" s="1740" t="s">
        <v>132</v>
      </c>
      <c r="B34" s="476" t="s">
        <v>133</v>
      </c>
      <c r="C34" s="16" t="s">
        <v>134</v>
      </c>
      <c r="E34" s="15">
        <v>34</v>
      </c>
      <c r="G34" s="15" t="s">
        <v>134</v>
      </c>
      <c r="H34" s="15" t="s">
        <v>3</v>
      </c>
      <c r="J34" s="476" t="s">
        <v>57</v>
      </c>
      <c r="K34" s="138">
        <v>3</v>
      </c>
      <c r="L34" s="138">
        <v>3</v>
      </c>
      <c r="M34" s="138">
        <v>3</v>
      </c>
      <c r="P34" s="280"/>
    </row>
    <row r="35" spans="1:16" ht="18.75" customHeight="1">
      <c r="A35" s="1740" t="s">
        <v>135</v>
      </c>
      <c r="B35" s="241" t="s">
        <v>136</v>
      </c>
      <c r="C35" s="16" t="s">
        <v>137</v>
      </c>
      <c r="E35" s="15">
        <v>35</v>
      </c>
      <c r="G35" s="15" t="s">
        <v>137</v>
      </c>
      <c r="H35" s="15" t="s">
        <v>3</v>
      </c>
      <c r="J35" s="476" t="s">
        <v>63</v>
      </c>
      <c r="K35" s="138">
        <v>3</v>
      </c>
      <c r="L35" s="138">
        <v>3</v>
      </c>
      <c r="M35" s="138">
        <v>3</v>
      </c>
      <c r="P35" s="280"/>
    </row>
    <row r="36" spans="1:16" ht="18.75" customHeight="1">
      <c r="A36" s="241" t="s">
        <v>117</v>
      </c>
      <c r="B36" s="241" t="s">
        <v>138</v>
      </c>
      <c r="C36" s="16" t="s">
        <v>139</v>
      </c>
      <c r="E36" s="15">
        <v>36</v>
      </c>
      <c r="G36" s="487" t="s">
        <v>139</v>
      </c>
      <c r="H36" s="487" t="s">
        <v>64</v>
      </c>
      <c r="J36" s="476" t="s">
        <v>69</v>
      </c>
      <c r="K36" s="138">
        <v>3</v>
      </c>
      <c r="L36" s="138">
        <v>3</v>
      </c>
      <c r="M36" s="138">
        <v>3</v>
      </c>
      <c r="P36" s="280"/>
    </row>
    <row r="37" spans="1:16" ht="18.75" customHeight="1">
      <c r="A37" s="241" t="s">
        <v>140</v>
      </c>
      <c r="B37" s="476" t="s">
        <v>141</v>
      </c>
      <c r="C37" s="16" t="s">
        <v>89</v>
      </c>
      <c r="E37" s="15">
        <v>37</v>
      </c>
      <c r="G37" s="487" t="s">
        <v>89</v>
      </c>
      <c r="H37" s="487" t="s">
        <v>64</v>
      </c>
      <c r="J37" s="476" t="s">
        <v>78</v>
      </c>
      <c r="K37" s="138">
        <v>3</v>
      </c>
      <c r="L37" s="138">
        <v>3</v>
      </c>
      <c r="M37" s="138">
        <v>3</v>
      </c>
      <c r="P37" s="280"/>
    </row>
    <row r="38" spans="1:16" ht="18.75" customHeight="1">
      <c r="B38" s="476" t="s">
        <v>142</v>
      </c>
      <c r="C38" s="16" t="s">
        <v>143</v>
      </c>
      <c r="E38" s="15">
        <v>38</v>
      </c>
      <c r="G38" s="15" t="s">
        <v>143</v>
      </c>
      <c r="H38" s="15" t="s">
        <v>3</v>
      </c>
      <c r="J38" s="476" t="s">
        <v>82</v>
      </c>
      <c r="K38" s="138">
        <v>3</v>
      </c>
      <c r="L38" s="138">
        <v>3</v>
      </c>
      <c r="M38" s="138">
        <v>3</v>
      </c>
      <c r="P38" s="280"/>
    </row>
    <row r="39" spans="1:16" ht="18.75" customHeight="1">
      <c r="B39" s="241" t="s">
        <v>144</v>
      </c>
      <c r="C39" s="16" t="s">
        <v>58</v>
      </c>
      <c r="E39" s="15">
        <v>39</v>
      </c>
      <c r="G39" s="15" t="s">
        <v>58</v>
      </c>
      <c r="H39" s="15" t="s">
        <v>3</v>
      </c>
      <c r="J39" s="476" t="s">
        <v>85</v>
      </c>
      <c r="K39" s="138">
        <v>3</v>
      </c>
      <c r="L39" s="138">
        <v>3</v>
      </c>
      <c r="M39" s="138">
        <v>3</v>
      </c>
      <c r="P39" s="280"/>
    </row>
    <row r="40" spans="1:16" ht="18.75" customHeight="1">
      <c r="B40" s="241"/>
      <c r="C40" s="16" t="s">
        <v>93</v>
      </c>
      <c r="E40" s="15">
        <v>40</v>
      </c>
      <c r="G40" s="487" t="s">
        <v>93</v>
      </c>
      <c r="H40" s="487" t="s">
        <v>64</v>
      </c>
      <c r="J40" s="476" t="s">
        <v>88</v>
      </c>
      <c r="K40" s="138">
        <v>3</v>
      </c>
      <c r="L40" s="138">
        <v>3</v>
      </c>
      <c r="M40" s="138">
        <v>3</v>
      </c>
    </row>
    <row r="41" spans="1:16" ht="18.75" customHeight="1">
      <c r="B41" s="241"/>
      <c r="C41" s="16" t="s">
        <v>145</v>
      </c>
      <c r="E41" s="15">
        <v>41</v>
      </c>
      <c r="G41" s="15" t="s">
        <v>145</v>
      </c>
      <c r="H41" s="15" t="s">
        <v>3</v>
      </c>
      <c r="J41" s="476" t="s">
        <v>97</v>
      </c>
      <c r="K41" s="138">
        <v>3</v>
      </c>
      <c r="L41" s="138">
        <v>3</v>
      </c>
      <c r="M41" s="138">
        <v>3</v>
      </c>
    </row>
    <row r="42" spans="1:16" ht="18.75" customHeight="1">
      <c r="A42" s="476" t="s">
        <v>146</v>
      </c>
      <c r="B42" s="17" t="s">
        <v>147</v>
      </c>
      <c r="C42" s="16" t="s">
        <v>65</v>
      </c>
      <c r="E42" s="15">
        <v>42</v>
      </c>
      <c r="G42" s="487" t="s">
        <v>65</v>
      </c>
      <c r="H42" s="487" t="s">
        <v>64</v>
      </c>
      <c r="J42" s="476" t="s">
        <v>103</v>
      </c>
      <c r="K42" s="138">
        <v>3</v>
      </c>
      <c r="L42" s="138">
        <v>3</v>
      </c>
      <c r="M42" s="138">
        <v>3</v>
      </c>
    </row>
    <row r="43" spans="1:16" ht="18.75" customHeight="1">
      <c r="A43" s="476" t="s">
        <v>148</v>
      </c>
      <c r="B43" s="17" t="s">
        <v>149</v>
      </c>
      <c r="C43" s="16" t="s">
        <v>150</v>
      </c>
      <c r="E43" s="15">
        <v>43</v>
      </c>
      <c r="G43" s="15" t="s">
        <v>150</v>
      </c>
      <c r="H43" s="15" t="s">
        <v>3</v>
      </c>
      <c r="J43" s="476" t="s">
        <v>109</v>
      </c>
      <c r="K43" s="138">
        <v>3</v>
      </c>
      <c r="L43" s="138">
        <v>3</v>
      </c>
      <c r="M43" s="138">
        <v>3</v>
      </c>
    </row>
    <row r="44" spans="1:16" ht="18.75" customHeight="1">
      <c r="A44" s="476" t="s">
        <v>53</v>
      </c>
      <c r="B44" s="17" t="s">
        <v>151</v>
      </c>
      <c r="C44" s="16" t="s">
        <v>98</v>
      </c>
      <c r="E44" s="15">
        <v>44</v>
      </c>
      <c r="G44" s="15" t="s">
        <v>98</v>
      </c>
      <c r="H44" s="15" t="s">
        <v>3</v>
      </c>
      <c r="J44" s="476" t="s">
        <v>115</v>
      </c>
      <c r="K44" s="138">
        <v>3</v>
      </c>
      <c r="L44" s="138">
        <v>3</v>
      </c>
      <c r="M44" s="138">
        <v>3</v>
      </c>
    </row>
    <row r="45" spans="1:16" ht="18.75" customHeight="1">
      <c r="A45" s="476" t="s">
        <v>152</v>
      </c>
      <c r="B45" s="17" t="s">
        <v>153</v>
      </c>
      <c r="C45" s="16" t="s">
        <v>154</v>
      </c>
      <c r="E45" s="15">
        <v>45</v>
      </c>
      <c r="G45" s="15" t="s">
        <v>154</v>
      </c>
      <c r="H45" s="15" t="s">
        <v>3</v>
      </c>
      <c r="J45" s="476" t="s">
        <v>118</v>
      </c>
      <c r="K45" s="138">
        <v>3</v>
      </c>
      <c r="L45" s="138">
        <v>3</v>
      </c>
      <c r="M45" s="138">
        <v>3</v>
      </c>
    </row>
    <row r="46" spans="1:16" ht="18.75" customHeight="1">
      <c r="A46" s="476" t="s">
        <v>59</v>
      </c>
      <c r="B46" s="17" t="s">
        <v>155</v>
      </c>
      <c r="C46" s="16" t="s">
        <v>156</v>
      </c>
      <c r="E46" s="15">
        <v>46</v>
      </c>
      <c r="G46" s="15" t="s">
        <v>156</v>
      </c>
      <c r="H46" s="15" t="s">
        <v>9</v>
      </c>
      <c r="J46" s="476" t="s">
        <v>122</v>
      </c>
      <c r="K46" s="138">
        <v>3</v>
      </c>
      <c r="L46" s="138">
        <v>3</v>
      </c>
      <c r="M46" s="138">
        <v>3</v>
      </c>
    </row>
    <row r="47" spans="1:16" ht="18.75" customHeight="1">
      <c r="A47" s="476" t="s">
        <v>157</v>
      </c>
      <c r="B47" s="241"/>
      <c r="C47" s="16" t="s">
        <v>158</v>
      </c>
      <c r="E47" s="15">
        <v>47</v>
      </c>
      <c r="G47" s="15" t="s">
        <v>158</v>
      </c>
      <c r="H47" s="15" t="s">
        <v>9</v>
      </c>
      <c r="J47" s="476" t="s">
        <v>124</v>
      </c>
      <c r="K47" s="138">
        <v>3</v>
      </c>
      <c r="L47" s="138">
        <v>3</v>
      </c>
      <c r="M47" s="138">
        <v>3</v>
      </c>
    </row>
    <row r="48" spans="1:16" ht="18.75" customHeight="1">
      <c r="A48" s="476" t="s">
        <v>159</v>
      </c>
      <c r="C48" s="16" t="s">
        <v>160</v>
      </c>
      <c r="E48" s="15">
        <v>48</v>
      </c>
      <c r="G48" s="15" t="s">
        <v>160</v>
      </c>
      <c r="H48" s="15" t="s">
        <v>3</v>
      </c>
      <c r="J48" s="476" t="s">
        <v>126</v>
      </c>
      <c r="K48" s="138">
        <v>3</v>
      </c>
      <c r="L48" s="138">
        <v>3</v>
      </c>
      <c r="M48" s="138">
        <v>3</v>
      </c>
    </row>
    <row r="49" spans="1:13" ht="18.75" customHeight="1">
      <c r="A49" s="476" t="s">
        <v>161</v>
      </c>
      <c r="B49" s="17" t="s">
        <v>162</v>
      </c>
      <c r="C49" s="16" t="s">
        <v>104</v>
      </c>
      <c r="E49" s="15">
        <v>49</v>
      </c>
      <c r="G49" s="15" t="s">
        <v>104</v>
      </c>
      <c r="H49" s="15" t="s">
        <v>3</v>
      </c>
      <c r="J49" s="476" t="s">
        <v>127</v>
      </c>
      <c r="K49" s="138">
        <v>3</v>
      </c>
      <c r="L49" s="138">
        <v>3</v>
      </c>
      <c r="M49" s="138">
        <v>3</v>
      </c>
    </row>
    <row r="50" spans="1:13" ht="18.75" customHeight="1">
      <c r="A50" s="476" t="s">
        <v>87</v>
      </c>
      <c r="B50" s="17" t="s">
        <v>163</v>
      </c>
      <c r="C50" s="16" t="s">
        <v>110</v>
      </c>
      <c r="E50" s="15">
        <v>50</v>
      </c>
      <c r="G50" s="15" t="s">
        <v>110</v>
      </c>
      <c r="H50" s="15" t="s">
        <v>3</v>
      </c>
      <c r="J50" s="476" t="s">
        <v>129</v>
      </c>
      <c r="K50" s="138">
        <v>3</v>
      </c>
      <c r="L50" s="138">
        <v>3</v>
      </c>
      <c r="M50" s="138">
        <v>3</v>
      </c>
    </row>
    <row r="51" spans="1:13" ht="18.75" customHeight="1">
      <c r="B51" s="17" t="s">
        <v>164</v>
      </c>
      <c r="C51" s="16" t="s">
        <v>165</v>
      </c>
      <c r="E51" s="15">
        <v>51</v>
      </c>
      <c r="G51" s="15" t="s">
        <v>165</v>
      </c>
      <c r="H51" s="15" t="s">
        <v>3</v>
      </c>
      <c r="J51" s="476" t="s">
        <v>134</v>
      </c>
      <c r="K51" s="138">
        <v>3</v>
      </c>
      <c r="L51" s="138">
        <v>3</v>
      </c>
      <c r="M51" s="138">
        <v>3</v>
      </c>
    </row>
    <row r="52" spans="1:13" ht="18.75" customHeight="1">
      <c r="B52" s="17" t="s">
        <v>166</v>
      </c>
      <c r="C52" s="16" t="s">
        <v>167</v>
      </c>
      <c r="E52" s="15">
        <v>52</v>
      </c>
      <c r="G52" s="15" t="s">
        <v>167</v>
      </c>
      <c r="H52" s="15" t="s">
        <v>9</v>
      </c>
      <c r="J52" s="476" t="s">
        <v>137</v>
      </c>
      <c r="K52" s="138">
        <v>3</v>
      </c>
      <c r="L52" s="138">
        <v>3</v>
      </c>
      <c r="M52" s="138">
        <v>3</v>
      </c>
    </row>
    <row r="53" spans="1:13" ht="18.75" customHeight="1">
      <c r="B53" s="17" t="s">
        <v>168</v>
      </c>
      <c r="C53" s="16" t="s">
        <v>169</v>
      </c>
      <c r="E53" s="15">
        <v>53</v>
      </c>
      <c r="G53" s="15" t="s">
        <v>169</v>
      </c>
      <c r="H53" s="15" t="s">
        <v>9</v>
      </c>
      <c r="J53" s="476" t="s">
        <v>139</v>
      </c>
      <c r="K53" s="138">
        <v>3</v>
      </c>
      <c r="L53" s="138">
        <v>3</v>
      </c>
      <c r="M53" s="138">
        <v>3</v>
      </c>
    </row>
    <row r="54" spans="1:13" ht="18.75" customHeight="1">
      <c r="B54" s="17" t="s">
        <v>170</v>
      </c>
      <c r="C54" s="16" t="s">
        <v>70</v>
      </c>
      <c r="E54" s="15">
        <v>54</v>
      </c>
      <c r="G54" s="15" t="s">
        <v>70</v>
      </c>
      <c r="H54" s="15" t="s">
        <v>3</v>
      </c>
      <c r="J54" s="476" t="s">
        <v>143</v>
      </c>
      <c r="K54" s="138">
        <v>3</v>
      </c>
      <c r="L54" s="138">
        <v>3</v>
      </c>
      <c r="M54" s="138">
        <v>3</v>
      </c>
    </row>
    <row r="55" spans="1:13" ht="18.75" customHeight="1">
      <c r="B55" s="17" t="s">
        <v>171</v>
      </c>
      <c r="C55" s="16" t="s">
        <v>172</v>
      </c>
      <c r="E55" s="15">
        <v>55</v>
      </c>
      <c r="G55" s="15" t="s">
        <v>172</v>
      </c>
      <c r="H55" s="15" t="s">
        <v>9</v>
      </c>
      <c r="J55" s="476" t="s">
        <v>145</v>
      </c>
      <c r="K55" s="138">
        <v>3</v>
      </c>
      <c r="L55" s="138">
        <v>3</v>
      </c>
      <c r="M55" s="138">
        <v>3</v>
      </c>
    </row>
    <row r="56" spans="1:13" ht="18.75" customHeight="1">
      <c r="A56" s="17" t="s">
        <v>55</v>
      </c>
      <c r="B56" s="241"/>
      <c r="C56" s="16" t="s">
        <v>74</v>
      </c>
      <c r="E56" s="15">
        <v>56</v>
      </c>
      <c r="G56" s="487" t="s">
        <v>74</v>
      </c>
      <c r="H56" s="487" t="s">
        <v>64</v>
      </c>
      <c r="J56" s="476" t="s">
        <v>150</v>
      </c>
      <c r="K56" s="138">
        <v>3</v>
      </c>
      <c r="L56" s="138">
        <v>3</v>
      </c>
      <c r="M56" s="138">
        <v>3</v>
      </c>
    </row>
    <row r="57" spans="1:13" ht="18.75" customHeight="1">
      <c r="A57" s="17" t="s">
        <v>173</v>
      </c>
      <c r="C57" s="16" t="s">
        <v>174</v>
      </c>
      <c r="E57" s="15">
        <v>57</v>
      </c>
      <c r="G57" s="15" t="s">
        <v>174</v>
      </c>
      <c r="H57" s="15" t="s">
        <v>3</v>
      </c>
      <c r="J57" s="476" t="s">
        <v>154</v>
      </c>
      <c r="K57" s="138">
        <v>3</v>
      </c>
      <c r="L57" s="138">
        <v>3</v>
      </c>
      <c r="M57" s="138">
        <v>3</v>
      </c>
    </row>
    <row r="58" spans="1:13" ht="18.75" customHeight="1">
      <c r="A58" s="17" t="s">
        <v>175</v>
      </c>
      <c r="B58" s="476">
        <f>vmSponsor2</f>
        <v>0</v>
      </c>
      <c r="C58" s="16" t="s">
        <v>176</v>
      </c>
      <c r="E58" s="15">
        <v>58</v>
      </c>
      <c r="G58" s="15" t="s">
        <v>176</v>
      </c>
      <c r="H58" s="15" t="s">
        <v>3</v>
      </c>
      <c r="J58" s="476" t="s">
        <v>156</v>
      </c>
      <c r="K58" s="138">
        <v>3</v>
      </c>
      <c r="L58" s="138">
        <v>3</v>
      </c>
      <c r="M58" s="138">
        <v>3</v>
      </c>
    </row>
    <row r="59" spans="1:13" ht="18.75" customHeight="1">
      <c r="A59" s="17" t="s">
        <v>177</v>
      </c>
      <c r="B59" s="476">
        <f>vmSponsor3</f>
        <v>0</v>
      </c>
      <c r="E59" s="15">
        <v>59</v>
      </c>
      <c r="J59" s="476" t="s">
        <v>158</v>
      </c>
      <c r="K59" s="138">
        <v>3</v>
      </c>
      <c r="L59" s="138">
        <v>3</v>
      </c>
      <c r="M59" s="138">
        <v>3</v>
      </c>
    </row>
    <row r="60" spans="1:13" ht="18.75" customHeight="1">
      <c r="A60" s="17" t="s">
        <v>178</v>
      </c>
      <c r="E60" s="15">
        <v>60</v>
      </c>
      <c r="J60" s="476" t="s">
        <v>160</v>
      </c>
      <c r="K60" s="138">
        <v>3</v>
      </c>
      <c r="L60" s="138">
        <v>3</v>
      </c>
      <c r="M60" s="138">
        <v>3</v>
      </c>
    </row>
    <row r="61" spans="1:13" ht="18.75" customHeight="1">
      <c r="A61" s="17" t="s">
        <v>179</v>
      </c>
      <c r="E61" s="15">
        <v>61</v>
      </c>
      <c r="J61" s="476" t="s">
        <v>165</v>
      </c>
      <c r="K61" s="138">
        <v>3</v>
      </c>
      <c r="L61" s="138">
        <v>3</v>
      </c>
      <c r="M61" s="138">
        <v>3</v>
      </c>
    </row>
    <row r="62" spans="1:13" ht="18.75" customHeight="1">
      <c r="E62" s="15">
        <v>62</v>
      </c>
      <c r="J62" s="476" t="s">
        <v>167</v>
      </c>
      <c r="K62" s="138">
        <v>3</v>
      </c>
      <c r="L62" s="138">
        <v>3</v>
      </c>
      <c r="M62" s="138">
        <v>3</v>
      </c>
    </row>
    <row r="63" spans="1:13" ht="18.75" customHeight="1">
      <c r="A63" s="241"/>
      <c r="B63" s="241"/>
      <c r="C63" s="241"/>
      <c r="E63" s="15">
        <v>63</v>
      </c>
      <c r="J63" s="476" t="s">
        <v>169</v>
      </c>
      <c r="K63" s="138">
        <v>3</v>
      </c>
      <c r="L63" s="138">
        <v>3</v>
      </c>
      <c r="M63" s="138">
        <v>3</v>
      </c>
    </row>
    <row r="64" spans="1:13" ht="18.75" customHeight="1">
      <c r="A64" s="281" t="s">
        <v>180</v>
      </c>
      <c r="B64" s="281"/>
      <c r="C64" s="282"/>
      <c r="E64" s="15">
        <v>64</v>
      </c>
      <c r="J64" s="476" t="s">
        <v>172</v>
      </c>
      <c r="K64" s="138">
        <v>3</v>
      </c>
      <c r="L64" s="138">
        <v>3</v>
      </c>
      <c r="M64" s="138">
        <v>3</v>
      </c>
    </row>
    <row r="65" spans="1:13" ht="18.75" customHeight="1">
      <c r="A65" s="281" t="s">
        <v>181</v>
      </c>
      <c r="B65" s="283"/>
      <c r="C65" s="282"/>
      <c r="E65" s="15">
        <v>65</v>
      </c>
      <c r="J65" s="476" t="s">
        <v>174</v>
      </c>
      <c r="K65" s="138">
        <v>3</v>
      </c>
      <c r="L65" s="138">
        <v>3</v>
      </c>
      <c r="M65" s="138">
        <v>3</v>
      </c>
    </row>
    <row r="66" spans="1:13" ht="18.75" customHeight="1">
      <c r="A66" s="281" t="s">
        <v>182</v>
      </c>
      <c r="B66" s="281"/>
      <c r="C66" s="282"/>
      <c r="E66" s="15">
        <v>66</v>
      </c>
      <c r="J66" s="476" t="s">
        <v>176</v>
      </c>
      <c r="K66" s="138">
        <v>3</v>
      </c>
      <c r="L66" s="138">
        <v>3</v>
      </c>
      <c r="M66" s="138">
        <v>3</v>
      </c>
    </row>
    <row r="67" spans="1:13" ht="18.75" customHeight="1">
      <c r="A67" s="281" t="s">
        <v>183</v>
      </c>
      <c r="B67" s="284"/>
      <c r="C67" s="285"/>
      <c r="E67" s="15">
        <v>67</v>
      </c>
    </row>
    <row r="68" spans="1:13" ht="18.75" customHeight="1">
      <c r="A68" s="1740"/>
      <c r="E68" s="15">
        <v>68</v>
      </c>
    </row>
    <row r="69" spans="1:13" ht="18.75" customHeight="1">
      <c r="A69" s="241"/>
      <c r="E69" s="15">
        <v>69</v>
      </c>
    </row>
    <row r="70" spans="1:13" ht="18.75" customHeight="1">
      <c r="A70" s="55" t="s">
        <v>184</v>
      </c>
      <c r="B70" s="241"/>
      <c r="E70" s="15">
        <v>70</v>
      </c>
    </row>
    <row r="71" spans="1:13" ht="18.75" customHeight="1">
      <c r="A71" s="476" t="s">
        <v>185</v>
      </c>
      <c r="E71" s="15">
        <v>71</v>
      </c>
    </row>
    <row r="72" spans="1:13" ht="18.75" customHeight="1">
      <c r="A72" s="476" t="s">
        <v>186</v>
      </c>
      <c r="E72" s="15">
        <v>72</v>
      </c>
    </row>
    <row r="73" spans="1:13" ht="18.75" customHeight="1">
      <c r="A73" s="476" t="s">
        <v>187</v>
      </c>
      <c r="B73" s="241"/>
      <c r="E73" s="15">
        <v>73</v>
      </c>
    </row>
    <row r="74" spans="1:13" ht="18.75" customHeight="1">
      <c r="A74" s="476" t="s">
        <v>188</v>
      </c>
      <c r="B74" s="241"/>
      <c r="E74" s="15">
        <v>74</v>
      </c>
    </row>
    <row r="75" spans="1:13" ht="18.75" customHeight="1">
      <c r="A75" s="476" t="s">
        <v>189</v>
      </c>
      <c r="B75" s="241"/>
      <c r="E75" s="15">
        <v>75</v>
      </c>
    </row>
    <row r="76" spans="1:13" ht="18.75" customHeight="1">
      <c r="A76" s="476" t="s">
        <v>190</v>
      </c>
      <c r="B76" s="241"/>
      <c r="E76" s="15">
        <v>76</v>
      </c>
    </row>
    <row r="77" spans="1:13" ht="18.75" customHeight="1">
      <c r="A77" s="476" t="s">
        <v>191</v>
      </c>
      <c r="B77" s="241"/>
      <c r="E77" s="15">
        <v>77</v>
      </c>
    </row>
    <row r="78" spans="1:13" ht="18.75" customHeight="1">
      <c r="A78" s="476" t="s">
        <v>55</v>
      </c>
      <c r="E78" s="15">
        <v>78</v>
      </c>
    </row>
    <row r="79" spans="1:13" ht="18.75" customHeight="1">
      <c r="A79" s="1740"/>
      <c r="B79" s="476" t="s">
        <v>192</v>
      </c>
      <c r="E79" s="15">
        <v>79</v>
      </c>
    </row>
    <row r="80" spans="1:13" ht="18.75" customHeight="1">
      <c r="A80" s="1740"/>
      <c r="B80" s="476" t="s">
        <v>193</v>
      </c>
      <c r="E80" s="15">
        <v>80</v>
      </c>
    </row>
    <row r="81" spans="1:2" ht="18.75" customHeight="1">
      <c r="A81" s="241"/>
      <c r="B81" s="476" t="s">
        <v>194</v>
      </c>
    </row>
    <row r="82" spans="1:2" ht="18.75" customHeight="1">
      <c r="A82" s="241"/>
      <c r="B82" s="241" t="s">
        <v>195</v>
      </c>
    </row>
    <row r="83" spans="1:2" ht="18.75" customHeight="1">
      <c r="B83" s="476" t="s">
        <v>196</v>
      </c>
    </row>
    <row r="84" spans="1:2" ht="18.75" customHeight="1">
      <c r="B84" s="476" t="s">
        <v>197</v>
      </c>
    </row>
    <row r="85" spans="1:2" ht="18.75" customHeight="1">
      <c r="A85" s="476" t="s">
        <v>198</v>
      </c>
      <c r="B85" s="241" t="s">
        <v>199</v>
      </c>
    </row>
    <row r="86" spans="1:2" ht="18.75" customHeight="1">
      <c r="B86" s="241" t="s">
        <v>200</v>
      </c>
    </row>
    <row r="87" spans="1:2" ht="18.75" customHeight="1">
      <c r="A87" s="476" t="s">
        <v>201</v>
      </c>
      <c r="B87" s="241" t="s">
        <v>202</v>
      </c>
    </row>
    <row r="88" spans="1:2" ht="18.75" customHeight="1">
      <c r="A88" s="476" t="s">
        <v>198</v>
      </c>
      <c r="B88" s="241" t="s">
        <v>203</v>
      </c>
    </row>
    <row r="89" spans="1:2" ht="18.75" customHeight="1">
      <c r="B89" s="241" t="s">
        <v>204</v>
      </c>
    </row>
    <row r="90" spans="1:2" ht="18.75" customHeight="1">
      <c r="B90" s="476" t="s">
        <v>205</v>
      </c>
    </row>
    <row r="91" spans="1:2" ht="18.75" customHeight="1">
      <c r="A91" s="1740"/>
      <c r="B91" s="476" t="s">
        <v>206</v>
      </c>
    </row>
    <row r="92" spans="1:2" ht="18.75" customHeight="1">
      <c r="A92" s="1740"/>
    </row>
    <row r="93" spans="1:2" ht="18.75" customHeight="1">
      <c r="A93" s="241"/>
    </row>
    <row r="94" spans="1:2" ht="18.75" customHeight="1">
      <c r="A94" s="241"/>
      <c r="B94" s="241"/>
    </row>
    <row r="97" spans="2:2" ht="18.75" customHeight="1">
      <c r="B97" s="241"/>
    </row>
    <row r="98" spans="2:2" ht="18.75" customHeight="1">
      <c r="B98" s="241"/>
    </row>
    <row r="99" spans="2:2" ht="18.75" customHeight="1">
      <c r="B99" s="241"/>
    </row>
    <row r="100" spans="2:2" ht="18.75" customHeight="1">
      <c r="B100" s="241"/>
    </row>
    <row r="101" spans="2:2" ht="18.75" customHeight="1">
      <c r="B101" s="241"/>
    </row>
    <row r="106" spans="2:2" ht="18.75" customHeight="1">
      <c r="B106" s="241"/>
    </row>
    <row r="109" spans="2:2" ht="18.75" customHeight="1">
      <c r="B109" s="241"/>
    </row>
    <row r="110" spans="2:2" ht="18.75" customHeight="1">
      <c r="B110" s="241"/>
    </row>
    <row r="111" spans="2:2" ht="18.75" customHeight="1">
      <c r="B111" s="241"/>
    </row>
    <row r="112" spans="2:2" ht="18.75" customHeight="1">
      <c r="B112" s="241"/>
    </row>
    <row r="113" spans="2:2" ht="18.75" customHeight="1">
      <c r="B113" s="241"/>
    </row>
    <row r="150" spans="1:1" ht="18.75" customHeight="1">
      <c r="A150" s="241"/>
    </row>
    <row r="168" spans="2:2" ht="18.75" customHeight="1">
      <c r="B168" s="241"/>
    </row>
  </sheetData>
  <sheetProtection algorithmName="SHA-512" hashValue="MZDJO71Cxmx3pYLtntSxscXEbZh5xP0tYYJefq87Vm2zcLlbV46j4Xmn8wZv9A5fbb4xeD3lai2r3EKMQ2D/5w==" saltValue="zn/DWjPSxR9cS8iJwNaabQ==" spinCount="100000" sheet="1" objects="1" scenarios="1"/>
  <conditionalFormatting sqref="H1:H58">
    <cfRule type="cellIs" dxfId="1913" priority="4" operator="equal">
      <formula>"Rural"</formula>
    </cfRule>
    <cfRule type="cellIs" dxfId="1912" priority="5" operator="equal">
      <formula>"Southern"</formula>
    </cfRule>
    <cfRule type="cellIs" dxfId="1911" priority="6" operator="equal">
      <formula>"Northern"</formula>
    </cfRule>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Lists"/>
  <dimension ref="A1:Q59"/>
  <sheetViews>
    <sheetView topLeftCell="A10" workbookViewId="0">
      <selection activeCell="B23" sqref="B23:B26"/>
    </sheetView>
  </sheetViews>
  <sheetFormatPr defaultColWidth="9.28515625" defaultRowHeight="18" customHeight="1"/>
  <cols>
    <col min="1" max="1" width="12.28515625" style="80" bestFit="1" customWidth="1"/>
    <col min="2" max="2" width="39.7109375" style="80" customWidth="1"/>
    <col min="3" max="3" width="14.7109375" style="141" customWidth="1"/>
    <col min="4" max="4" width="20" style="80" customWidth="1"/>
    <col min="5" max="5" width="26.28515625" style="80" customWidth="1"/>
    <col min="6" max="7" width="24.28515625" style="80" customWidth="1"/>
    <col min="8" max="8" width="6.28515625" style="80" customWidth="1"/>
    <col min="9" max="9" width="27.7109375" style="80" customWidth="1"/>
    <col min="10" max="10" width="14.7109375" style="80" customWidth="1"/>
    <col min="11" max="11" width="23.7109375" style="80" customWidth="1"/>
    <col min="12" max="12" width="21.42578125" style="80" customWidth="1"/>
    <col min="13" max="13" width="23.28515625" style="80" customWidth="1"/>
    <col min="14" max="14" width="22.7109375" style="80" bestFit="1" customWidth="1"/>
    <col min="15" max="15" width="21.28515625" style="80" customWidth="1"/>
    <col min="16" max="16" width="19.7109375" style="80" customWidth="1"/>
    <col min="17" max="17" width="27.42578125" style="80" customWidth="1"/>
    <col min="18" max="18" width="12.7109375" style="80" customWidth="1"/>
    <col min="19" max="26" width="10.7109375" style="80" customWidth="1"/>
    <col min="27" max="27" width="9.28515625" style="80" customWidth="1"/>
    <col min="28" max="16384" width="9.28515625" style="80"/>
  </cols>
  <sheetData>
    <row r="1" spans="1:17" ht="18" customHeight="1">
      <c r="A1" s="79" t="s">
        <v>207</v>
      </c>
      <c r="B1" s="79" t="s">
        <v>208</v>
      </c>
      <c r="C1" s="140" t="s">
        <v>209</v>
      </c>
      <c r="D1" s="79" t="s">
        <v>210</v>
      </c>
      <c r="E1" s="79" t="s">
        <v>211</v>
      </c>
      <c r="F1" s="79" t="s">
        <v>212</v>
      </c>
      <c r="G1" s="79" t="s">
        <v>213</v>
      </c>
      <c r="H1" s="79" t="s">
        <v>214</v>
      </c>
      <c r="I1" s="79" t="s">
        <v>215</v>
      </c>
      <c r="J1" s="79" t="s">
        <v>216</v>
      </c>
      <c r="K1" s="79" t="s">
        <v>217</v>
      </c>
      <c r="L1" s="79" t="s">
        <v>218</v>
      </c>
      <c r="M1" s="79" t="s">
        <v>219</v>
      </c>
      <c r="N1" s="79" t="s">
        <v>220</v>
      </c>
      <c r="O1" s="79" t="s">
        <v>221</v>
      </c>
      <c r="P1" s="79" t="s">
        <v>222</v>
      </c>
      <c r="Q1" s="79" t="s">
        <v>223</v>
      </c>
    </row>
    <row r="2" spans="1:17" ht="18" customHeight="1">
      <c r="A2" s="1544"/>
      <c r="B2" s="1544" t="s">
        <v>131</v>
      </c>
      <c r="C2" s="1545">
        <v>0.15</v>
      </c>
      <c r="D2" s="1544" t="s">
        <v>224</v>
      </c>
      <c r="E2" s="1544" t="s">
        <v>225</v>
      </c>
      <c r="F2" s="1544" t="s">
        <v>226</v>
      </c>
      <c r="G2" s="1544" t="s">
        <v>227</v>
      </c>
      <c r="H2" s="1544">
        <v>1</v>
      </c>
      <c r="I2" s="1544" t="s">
        <v>228</v>
      </c>
      <c r="J2" s="1546">
        <v>1</v>
      </c>
      <c r="K2" s="1544" t="s">
        <v>229</v>
      </c>
      <c r="L2" s="1544" t="s">
        <v>91</v>
      </c>
      <c r="M2" s="1544" t="s">
        <v>230</v>
      </c>
      <c r="N2" s="1544" t="s">
        <v>231</v>
      </c>
      <c r="O2" s="1544" t="s">
        <v>232</v>
      </c>
      <c r="P2" s="1544" t="s">
        <v>233</v>
      </c>
      <c r="Q2" s="55" t="s">
        <v>6</v>
      </c>
    </row>
    <row r="3" spans="1:17" ht="18" customHeight="1">
      <c r="A3" s="1544"/>
      <c r="B3" s="1544" t="s">
        <v>234</v>
      </c>
      <c r="C3" s="1545">
        <f t="shared" ref="C3:C18" si="0">C2+0.05</f>
        <v>0.2</v>
      </c>
      <c r="D3" s="1544" t="s">
        <v>164</v>
      </c>
      <c r="E3" s="1544" t="s">
        <v>235</v>
      </c>
      <c r="F3" s="1544" t="s">
        <v>236</v>
      </c>
      <c r="G3" s="1544" t="s">
        <v>237</v>
      </c>
      <c r="H3" s="1544">
        <v>2</v>
      </c>
      <c r="I3" s="1544" t="s">
        <v>238</v>
      </c>
      <c r="J3" s="1546">
        <v>1</v>
      </c>
      <c r="K3" s="1544" t="s">
        <v>239</v>
      </c>
      <c r="L3" s="1544" t="s">
        <v>95</v>
      </c>
      <c r="M3" s="1544" t="s">
        <v>240</v>
      </c>
      <c r="N3" s="1544" t="s">
        <v>241</v>
      </c>
      <c r="O3" s="1544" t="s">
        <v>242</v>
      </c>
      <c r="P3" s="1544" t="s">
        <v>243</v>
      </c>
      <c r="Q3" s="55" t="s">
        <v>244</v>
      </c>
    </row>
    <row r="4" spans="1:17" ht="18" customHeight="1">
      <c r="A4" s="1544"/>
      <c r="B4" s="1544" t="s">
        <v>245</v>
      </c>
      <c r="C4" s="1545">
        <f t="shared" si="0"/>
        <v>0.25</v>
      </c>
      <c r="D4" s="1544" t="s">
        <v>246</v>
      </c>
      <c r="E4" s="1544" t="s">
        <v>247</v>
      </c>
      <c r="F4" s="1544" t="s">
        <v>248</v>
      </c>
      <c r="G4" s="1544" t="s">
        <v>249</v>
      </c>
      <c r="H4" s="1544">
        <v>3</v>
      </c>
      <c r="I4" s="1544" t="s">
        <v>250</v>
      </c>
      <c r="J4" s="1546">
        <v>1</v>
      </c>
      <c r="K4" s="1544" t="s">
        <v>251</v>
      </c>
      <c r="L4" s="1544" t="s">
        <v>107</v>
      </c>
      <c r="M4" s="1544" t="s">
        <v>252</v>
      </c>
      <c r="N4" s="1544" t="s">
        <v>117</v>
      </c>
      <c r="O4" s="1544" t="s">
        <v>253</v>
      </c>
      <c r="P4" s="1544" t="s">
        <v>254</v>
      </c>
      <c r="Q4" s="55" t="s">
        <v>12</v>
      </c>
    </row>
    <row r="5" spans="1:17" ht="18" customHeight="1">
      <c r="A5" s="1544"/>
      <c r="B5" s="1544" t="s">
        <v>255</v>
      </c>
      <c r="C5" s="1545">
        <f t="shared" si="0"/>
        <v>0.3</v>
      </c>
      <c r="D5" s="1544" t="s">
        <v>256</v>
      </c>
      <c r="E5" s="1544" t="s">
        <v>257</v>
      </c>
      <c r="F5" s="1544" t="s">
        <v>258</v>
      </c>
      <c r="G5" s="1544" t="s">
        <v>259</v>
      </c>
      <c r="H5" s="1544">
        <v>4</v>
      </c>
      <c r="I5" s="1544" t="s">
        <v>260</v>
      </c>
      <c r="J5" s="1546">
        <v>1</v>
      </c>
      <c r="K5" s="1544" t="s">
        <v>261</v>
      </c>
      <c r="L5" s="1544" t="s">
        <v>111</v>
      </c>
      <c r="M5" s="1544" t="s">
        <v>262</v>
      </c>
      <c r="N5" s="1544" t="s">
        <v>263</v>
      </c>
      <c r="O5" s="1544" t="s">
        <v>264</v>
      </c>
      <c r="P5" s="1544" t="s">
        <v>265</v>
      </c>
      <c r="Q5" s="55" t="s">
        <v>38</v>
      </c>
    </row>
    <row r="6" spans="1:17" ht="18" customHeight="1">
      <c r="A6" s="1544"/>
      <c r="B6" s="1544" t="s">
        <v>266</v>
      </c>
      <c r="C6" s="1545">
        <f t="shared" si="0"/>
        <v>0.35</v>
      </c>
      <c r="D6" s="1544" t="s">
        <v>267</v>
      </c>
      <c r="E6" s="1544" t="s">
        <v>268</v>
      </c>
      <c r="F6" s="1544" t="s">
        <v>140</v>
      </c>
      <c r="G6" s="1544" t="s">
        <v>269</v>
      </c>
      <c r="H6" s="1544">
        <v>5</v>
      </c>
      <c r="I6" s="1544" t="s">
        <v>270</v>
      </c>
      <c r="J6" s="1546">
        <v>1</v>
      </c>
      <c r="K6" s="1544" t="s">
        <v>271</v>
      </c>
      <c r="L6" s="1544" t="s">
        <v>272</v>
      </c>
      <c r="M6" s="1544" t="s">
        <v>273</v>
      </c>
      <c r="N6" s="1544" t="s">
        <v>274</v>
      </c>
      <c r="O6" s="1544" t="s">
        <v>275</v>
      </c>
      <c r="P6" s="1544" t="s">
        <v>276</v>
      </c>
      <c r="Q6" s="55" t="s">
        <v>277</v>
      </c>
    </row>
    <row r="7" spans="1:17" ht="18" customHeight="1">
      <c r="A7" s="1544"/>
      <c r="B7" s="1544" t="s">
        <v>144</v>
      </c>
      <c r="C7" s="1545">
        <f t="shared" si="0"/>
        <v>0.39999999999999997</v>
      </c>
      <c r="D7" s="1544" t="s">
        <v>278</v>
      </c>
      <c r="E7" s="1544" t="s">
        <v>279</v>
      </c>
      <c r="F7" s="1544" t="s">
        <v>280</v>
      </c>
      <c r="G7" s="1544" t="s">
        <v>281</v>
      </c>
      <c r="H7" s="1544">
        <v>6</v>
      </c>
      <c r="I7" s="1544" t="s">
        <v>282</v>
      </c>
      <c r="J7" s="1546">
        <v>1</v>
      </c>
      <c r="K7" s="1544" t="s">
        <v>283</v>
      </c>
      <c r="L7" s="1544"/>
      <c r="M7" s="1544" t="s">
        <v>284</v>
      </c>
      <c r="N7" s="1544"/>
      <c r="O7" s="1544" t="s">
        <v>285</v>
      </c>
      <c r="P7" s="1544"/>
      <c r="Q7" s="55" t="s">
        <v>20</v>
      </c>
    </row>
    <row r="8" spans="1:17" ht="18" customHeight="1">
      <c r="A8" s="1544"/>
      <c r="B8" s="1544" t="s">
        <v>286</v>
      </c>
      <c r="C8" s="1545">
        <f t="shared" si="0"/>
        <v>0.44999999999999996</v>
      </c>
      <c r="D8" s="1544" t="s">
        <v>287</v>
      </c>
      <c r="E8" s="1544"/>
      <c r="F8" s="1544"/>
      <c r="G8" s="1544" t="s">
        <v>288</v>
      </c>
      <c r="H8" s="1544">
        <v>7</v>
      </c>
      <c r="I8" s="1544" t="s">
        <v>289</v>
      </c>
      <c r="J8" s="1546">
        <v>1</v>
      </c>
      <c r="K8" s="1544" t="s">
        <v>290</v>
      </c>
      <c r="L8" s="1544"/>
      <c r="M8" s="1544" t="s">
        <v>291</v>
      </c>
      <c r="N8" s="1544"/>
      <c r="O8" s="1544" t="s">
        <v>292</v>
      </c>
      <c r="P8" s="1544"/>
      <c r="Q8" s="55" t="s">
        <v>23</v>
      </c>
    </row>
    <row r="9" spans="1:17" ht="18" customHeight="1">
      <c r="A9" s="1544"/>
      <c r="B9" s="1544" t="s">
        <v>293</v>
      </c>
      <c r="C9" s="1545">
        <f t="shared" si="0"/>
        <v>0.49999999999999994</v>
      </c>
      <c r="D9" s="1544" t="s">
        <v>294</v>
      </c>
      <c r="E9" s="1544"/>
      <c r="F9" s="1544"/>
      <c r="G9" s="1544" t="s">
        <v>295</v>
      </c>
      <c r="H9" s="1544">
        <v>8</v>
      </c>
      <c r="I9" s="1544" t="s">
        <v>296</v>
      </c>
      <c r="J9" s="1546">
        <v>1</v>
      </c>
      <c r="K9" s="1544" t="s">
        <v>297</v>
      </c>
      <c r="L9" s="1544"/>
      <c r="M9" s="1544" t="s">
        <v>298</v>
      </c>
      <c r="N9" s="1544"/>
      <c r="O9" s="1544" t="s">
        <v>117</v>
      </c>
      <c r="P9" s="1544"/>
      <c r="Q9" s="55" t="s">
        <v>299</v>
      </c>
    </row>
    <row r="10" spans="1:17" ht="18" customHeight="1">
      <c r="A10" s="1544"/>
      <c r="B10" s="1544" t="s">
        <v>300</v>
      </c>
      <c r="C10" s="1545">
        <f t="shared" si="0"/>
        <v>0.54999999999999993</v>
      </c>
      <c r="D10" s="1544"/>
      <c r="E10" s="1544"/>
      <c r="F10" s="1544"/>
      <c r="G10" s="1544" t="s">
        <v>301</v>
      </c>
      <c r="H10" s="1544">
        <v>9</v>
      </c>
      <c r="I10" s="1544" t="s">
        <v>302</v>
      </c>
      <c r="J10" s="1546">
        <v>1</v>
      </c>
      <c r="K10" s="1544" t="s">
        <v>303</v>
      </c>
      <c r="L10" s="1544"/>
      <c r="M10" s="1544" t="s">
        <v>304</v>
      </c>
      <c r="N10" s="1544"/>
      <c r="O10" s="1544"/>
      <c r="P10" s="1544"/>
      <c r="Q10" s="55" t="s">
        <v>33</v>
      </c>
    </row>
    <row r="11" spans="1:17" ht="18" customHeight="1">
      <c r="A11" s="1544"/>
      <c r="B11" s="1544"/>
      <c r="C11" s="1545">
        <f t="shared" si="0"/>
        <v>0.6</v>
      </c>
      <c r="D11" s="1544"/>
      <c r="E11" s="1544"/>
      <c r="F11" s="1544"/>
      <c r="G11" s="1544" t="s">
        <v>305</v>
      </c>
      <c r="H11" s="1544">
        <v>10</v>
      </c>
      <c r="I11" s="1544" t="s">
        <v>306</v>
      </c>
      <c r="J11" s="1546">
        <v>-1</v>
      </c>
      <c r="K11" s="1544" t="s">
        <v>307</v>
      </c>
      <c r="L11" s="1544"/>
      <c r="M11" s="1544" t="s">
        <v>308</v>
      </c>
      <c r="N11" s="1544"/>
      <c r="O11" s="1544"/>
      <c r="P11" s="1544"/>
      <c r="Q11" s="55" t="s">
        <v>49</v>
      </c>
    </row>
    <row r="12" spans="1:17" ht="18" customHeight="1">
      <c r="A12" s="1544"/>
      <c r="B12" s="1544"/>
      <c r="C12" s="1545">
        <f t="shared" si="0"/>
        <v>0.65</v>
      </c>
      <c r="D12" s="1544"/>
      <c r="E12" s="1544"/>
      <c r="F12" s="1544"/>
      <c r="G12" s="1544" t="s">
        <v>309</v>
      </c>
      <c r="H12" s="1544">
        <v>11</v>
      </c>
      <c r="I12" s="1544" t="s">
        <v>310</v>
      </c>
      <c r="J12" s="1546">
        <v>-1</v>
      </c>
      <c r="K12" s="1544" t="s">
        <v>311</v>
      </c>
      <c r="L12" s="1544"/>
      <c r="M12" s="1544" t="s">
        <v>312</v>
      </c>
      <c r="N12" s="1544"/>
      <c r="O12" s="1544"/>
      <c r="P12" s="1544"/>
      <c r="Q12" s="1544"/>
    </row>
    <row r="13" spans="1:17" ht="18" customHeight="1">
      <c r="A13" s="1544"/>
      <c r="B13" s="1544"/>
      <c r="C13" s="1545">
        <f t="shared" si="0"/>
        <v>0.70000000000000007</v>
      </c>
      <c r="D13" s="1544"/>
      <c r="E13" s="1544"/>
      <c r="F13" s="1544"/>
      <c r="G13" s="1544" t="s">
        <v>313</v>
      </c>
      <c r="H13" s="1544">
        <v>12</v>
      </c>
      <c r="I13" s="1544" t="s">
        <v>314</v>
      </c>
      <c r="J13" s="1546">
        <v>-1</v>
      </c>
      <c r="K13" s="1544" t="s">
        <v>315</v>
      </c>
      <c r="L13" s="1544"/>
      <c r="M13" s="1544" t="s">
        <v>316</v>
      </c>
      <c r="N13" s="1544"/>
      <c r="O13" s="1544"/>
      <c r="P13" s="1544"/>
      <c r="Q13" s="1544"/>
    </row>
    <row r="14" spans="1:17" ht="18" customHeight="1">
      <c r="A14" s="1544"/>
      <c r="B14" s="1544"/>
      <c r="C14" s="1545">
        <f t="shared" si="0"/>
        <v>0.75000000000000011</v>
      </c>
      <c r="D14" s="1544"/>
      <c r="E14" s="1544"/>
      <c r="F14" s="1544"/>
      <c r="G14" s="1544" t="s">
        <v>317</v>
      </c>
      <c r="H14" s="1544">
        <v>13</v>
      </c>
      <c r="I14" s="1544" t="s">
        <v>318</v>
      </c>
      <c r="J14" s="1546">
        <v>-1</v>
      </c>
      <c r="K14" s="1544" t="s">
        <v>319</v>
      </c>
      <c r="L14" s="1544"/>
      <c r="M14" s="1544" t="s">
        <v>320</v>
      </c>
      <c r="N14" s="1544"/>
      <c r="O14" s="1544"/>
      <c r="P14" s="1544"/>
      <c r="Q14" s="1544"/>
    </row>
    <row r="15" spans="1:17" ht="18" customHeight="1">
      <c r="A15" s="1544"/>
      <c r="B15" s="1544"/>
      <c r="C15" s="1545">
        <f t="shared" si="0"/>
        <v>0.80000000000000016</v>
      </c>
      <c r="D15" s="1544"/>
      <c r="E15" s="1544"/>
      <c r="F15" s="1544"/>
      <c r="G15" s="1544" t="s">
        <v>321</v>
      </c>
      <c r="H15" s="1544">
        <v>14</v>
      </c>
      <c r="I15" s="1544" t="s">
        <v>322</v>
      </c>
      <c r="J15" s="1546">
        <v>-1</v>
      </c>
      <c r="K15" s="1544" t="s">
        <v>323</v>
      </c>
      <c r="L15" s="1544"/>
      <c r="M15" s="1544" t="s">
        <v>324</v>
      </c>
      <c r="N15" s="1544"/>
      <c r="O15" s="1544"/>
      <c r="P15" s="1544"/>
      <c r="Q15" s="1544"/>
    </row>
    <row r="16" spans="1:17" ht="18" customHeight="1">
      <c r="A16" s="1544"/>
      <c r="B16" s="1544"/>
      <c r="C16" s="1545">
        <f t="shared" si="0"/>
        <v>0.8500000000000002</v>
      </c>
      <c r="D16" s="1544"/>
      <c r="E16" s="1544"/>
      <c r="F16" s="1544"/>
      <c r="G16" s="1544" t="s">
        <v>325</v>
      </c>
      <c r="H16" s="1544">
        <v>15</v>
      </c>
      <c r="I16" s="1544" t="s">
        <v>326</v>
      </c>
      <c r="J16" s="1546">
        <v>-1</v>
      </c>
      <c r="K16" s="1544" t="s">
        <v>327</v>
      </c>
      <c r="L16" s="1544"/>
      <c r="M16" s="1544" t="s">
        <v>328</v>
      </c>
      <c r="N16" s="1544"/>
      <c r="O16" s="1544"/>
      <c r="P16" s="1544"/>
      <c r="Q16" s="1544"/>
    </row>
    <row r="17" spans="2:13" ht="18" customHeight="1">
      <c r="B17" s="1544"/>
      <c r="C17" s="1545">
        <f t="shared" si="0"/>
        <v>0.90000000000000024</v>
      </c>
      <c r="D17" s="1544"/>
      <c r="E17" s="1544"/>
      <c r="F17" s="1544"/>
      <c r="G17" s="1544" t="s">
        <v>329</v>
      </c>
      <c r="H17" s="1544">
        <v>16</v>
      </c>
      <c r="I17" s="1544" t="s">
        <v>330</v>
      </c>
      <c r="J17" s="1546">
        <v>-1</v>
      </c>
      <c r="K17" s="1544" t="s">
        <v>331</v>
      </c>
      <c r="L17" s="1544"/>
      <c r="M17" s="1544" t="s">
        <v>332</v>
      </c>
    </row>
    <row r="18" spans="2:13" ht="18" customHeight="1">
      <c r="B18" s="1544"/>
      <c r="C18" s="1545">
        <f t="shared" si="0"/>
        <v>0.95000000000000029</v>
      </c>
      <c r="D18" s="1544"/>
      <c r="E18" s="1544"/>
      <c r="F18" s="1544"/>
      <c r="G18" s="1544" t="s">
        <v>333</v>
      </c>
      <c r="H18" s="1544">
        <v>17</v>
      </c>
      <c r="I18" s="1544" t="s">
        <v>334</v>
      </c>
      <c r="J18" s="1546">
        <v>-1</v>
      </c>
      <c r="K18" s="1544" t="s">
        <v>335</v>
      </c>
      <c r="L18" s="1544"/>
      <c r="M18" s="1544" t="s">
        <v>336</v>
      </c>
    </row>
    <row r="19" spans="2:13" ht="18" customHeight="1">
      <c r="B19" s="163"/>
      <c r="C19" s="1545" t="s">
        <v>99</v>
      </c>
      <c r="D19" s="1544"/>
      <c r="E19" s="1544"/>
      <c r="F19" s="1544"/>
      <c r="G19" s="1544" t="s">
        <v>337</v>
      </c>
      <c r="H19" s="1544">
        <v>18</v>
      </c>
      <c r="I19" s="1544" t="s">
        <v>338</v>
      </c>
      <c r="J19" s="1546">
        <v>-1</v>
      </c>
      <c r="K19" s="1544" t="s">
        <v>339</v>
      </c>
      <c r="L19" s="1544"/>
      <c r="M19" s="1544" t="s">
        <v>340</v>
      </c>
    </row>
    <row r="20" spans="2:13" ht="18" customHeight="1">
      <c r="B20" s="1544" t="b">
        <v>1</v>
      </c>
      <c r="C20" s="1545" t="s">
        <v>105</v>
      </c>
      <c r="D20" s="1544"/>
      <c r="E20" s="1544"/>
      <c r="F20" s="1544"/>
      <c r="G20" s="1544" t="s">
        <v>341</v>
      </c>
      <c r="H20" s="1544">
        <v>19</v>
      </c>
      <c r="I20" s="1544" t="s">
        <v>342</v>
      </c>
      <c r="J20" s="1546">
        <v>-1</v>
      </c>
      <c r="K20" s="1544" t="s">
        <v>343</v>
      </c>
      <c r="L20" s="1544"/>
      <c r="M20" s="1544" t="s">
        <v>344</v>
      </c>
    </row>
    <row r="21" spans="2:13" ht="18" customHeight="1">
      <c r="B21" s="1544" t="b">
        <v>0</v>
      </c>
      <c r="C21" s="1545"/>
      <c r="D21" s="1544"/>
      <c r="E21" s="1544"/>
      <c r="F21" s="1544"/>
      <c r="G21" s="1544" t="s">
        <v>345</v>
      </c>
      <c r="H21" s="1544">
        <v>20</v>
      </c>
      <c r="I21" s="1544" t="s">
        <v>346</v>
      </c>
      <c r="J21" s="1546">
        <v>1</v>
      </c>
      <c r="K21" s="1544" t="s">
        <v>347</v>
      </c>
      <c r="L21" s="1544"/>
      <c r="M21" s="1544" t="s">
        <v>348</v>
      </c>
    </row>
    <row r="22" spans="2:13" ht="18" customHeight="1">
      <c r="B22" s="1544"/>
      <c r="C22" s="1545"/>
      <c r="D22" s="1544"/>
      <c r="E22" s="1544"/>
      <c r="F22" s="1544"/>
      <c r="G22" s="1544" t="s">
        <v>349</v>
      </c>
      <c r="H22" s="1544"/>
      <c r="I22" s="1544"/>
      <c r="J22" s="1544"/>
      <c r="K22" s="1544" t="s">
        <v>350</v>
      </c>
      <c r="L22" s="1544"/>
      <c r="M22" s="1544" t="s">
        <v>351</v>
      </c>
    </row>
    <row r="23" spans="2:13" ht="18" customHeight="1">
      <c r="B23" s="1544"/>
      <c r="C23" s="1545"/>
      <c r="D23" s="1544"/>
      <c r="E23" s="1544"/>
      <c r="F23" s="1544"/>
      <c r="G23" s="1544" t="s">
        <v>352</v>
      </c>
      <c r="H23" s="1544"/>
      <c r="I23" s="1544"/>
      <c r="J23" s="1544"/>
      <c r="K23" s="1544" t="s">
        <v>353</v>
      </c>
      <c r="L23" s="1544"/>
      <c r="M23" s="1544" t="s">
        <v>354</v>
      </c>
    </row>
    <row r="24" spans="2:13" ht="18" customHeight="1">
      <c r="B24" s="1547"/>
      <c r="C24" s="1548"/>
      <c r="D24" s="1544"/>
      <c r="E24" s="1544"/>
      <c r="F24" s="1544"/>
      <c r="G24" s="1544"/>
      <c r="H24" s="1544"/>
      <c r="I24" s="1544"/>
      <c r="J24" s="1544"/>
      <c r="K24" s="1544" t="s">
        <v>355</v>
      </c>
      <c r="L24" s="1544"/>
      <c r="M24" s="1544" t="s">
        <v>356</v>
      </c>
    </row>
    <row r="25" spans="2:13" ht="18" customHeight="1">
      <c r="B25" s="1544"/>
      <c r="C25" s="1548"/>
      <c r="D25" s="1544"/>
      <c r="E25" s="1544"/>
      <c r="F25" s="1544"/>
      <c r="G25" s="1544"/>
      <c r="H25" s="1544"/>
      <c r="I25" s="1544"/>
      <c r="J25" s="1544"/>
      <c r="K25" s="1544" t="s">
        <v>357</v>
      </c>
      <c r="L25" s="1544"/>
      <c r="M25" s="1544" t="s">
        <v>358</v>
      </c>
    </row>
    <row r="26" spans="2:13" ht="18" customHeight="1">
      <c r="B26" s="1544"/>
      <c r="C26" s="1549"/>
      <c r="D26" s="1544"/>
      <c r="E26" s="1544"/>
      <c r="F26" s="1544"/>
      <c r="G26" s="1544"/>
      <c r="H26" s="1544"/>
      <c r="I26" s="1544"/>
      <c r="J26" s="1544"/>
      <c r="K26" s="1544" t="s">
        <v>359</v>
      </c>
      <c r="L26" s="1544"/>
      <c r="M26" s="1544" t="s">
        <v>360</v>
      </c>
    </row>
    <row r="27" spans="2:13" ht="18" customHeight="1">
      <c r="B27" s="1544"/>
      <c r="C27" s="1549"/>
      <c r="D27" s="1544"/>
      <c r="E27" s="1544"/>
      <c r="F27" s="1544"/>
      <c r="G27" s="1544"/>
      <c r="H27" s="1544"/>
      <c r="I27" s="1544"/>
      <c r="J27" s="1544"/>
      <c r="K27" s="1544" t="s">
        <v>117</v>
      </c>
      <c r="L27" s="1544"/>
      <c r="M27" s="1544" t="s">
        <v>361</v>
      </c>
    </row>
    <row r="28" spans="2:13" ht="18" customHeight="1">
      <c r="B28" s="1544"/>
      <c r="C28" s="1549"/>
      <c r="D28" s="1544"/>
      <c r="E28" s="1544"/>
      <c r="F28" s="1544"/>
      <c r="G28" s="1544"/>
      <c r="H28" s="1544"/>
      <c r="I28" s="1544"/>
      <c r="J28" s="1544"/>
      <c r="K28" s="1544" t="s">
        <v>362</v>
      </c>
      <c r="L28" s="1544"/>
      <c r="M28" s="1544" t="s">
        <v>363</v>
      </c>
    </row>
    <row r="29" spans="2:13" ht="18" customHeight="1">
      <c r="B29" s="1544"/>
      <c r="C29" s="1549"/>
      <c r="D29" s="1544"/>
      <c r="E29" s="1544"/>
      <c r="F29" s="1544"/>
      <c r="G29" s="1544"/>
      <c r="H29" s="1544"/>
      <c r="I29" s="1544"/>
      <c r="J29" s="1544"/>
      <c r="K29" s="1544" t="s">
        <v>364</v>
      </c>
      <c r="L29" s="1544"/>
      <c r="M29" s="1544" t="s">
        <v>365</v>
      </c>
    </row>
    <row r="30" spans="2:13" ht="18" customHeight="1">
      <c r="B30" s="1544"/>
      <c r="C30" s="1549"/>
      <c r="D30" s="1544"/>
      <c r="E30" s="1544"/>
      <c r="F30" s="1544"/>
      <c r="G30" s="1544"/>
      <c r="H30" s="1544"/>
      <c r="I30" s="1544"/>
      <c r="J30" s="1544"/>
      <c r="K30" s="1544" t="s">
        <v>366</v>
      </c>
      <c r="L30" s="1544"/>
      <c r="M30" s="1544" t="s">
        <v>367</v>
      </c>
    </row>
    <row r="31" spans="2:13" ht="18" customHeight="1">
      <c r="B31" s="1544"/>
      <c r="C31" s="1549"/>
      <c r="D31" s="1544"/>
      <c r="E31" s="1544"/>
      <c r="F31" s="1544"/>
      <c r="G31" s="1544"/>
      <c r="H31" s="1544"/>
      <c r="I31" s="1544"/>
      <c r="J31" s="1544"/>
      <c r="K31" s="1544" t="s">
        <v>314</v>
      </c>
      <c r="L31" s="1544"/>
      <c r="M31" s="1544" t="s">
        <v>368</v>
      </c>
    </row>
    <row r="32" spans="2:13" ht="18" customHeight="1">
      <c r="B32" s="1544"/>
      <c r="C32" s="1549"/>
      <c r="D32" s="1544"/>
      <c r="E32" s="1544"/>
      <c r="F32" s="1544"/>
      <c r="G32" s="1544"/>
      <c r="H32" s="1544"/>
      <c r="I32" s="1544"/>
      <c r="J32" s="1544"/>
      <c r="K32" s="1544" t="s">
        <v>318</v>
      </c>
      <c r="L32" s="1544"/>
      <c r="M32" s="1544" t="s">
        <v>369</v>
      </c>
    </row>
    <row r="33" spans="11:13" ht="18" customHeight="1">
      <c r="K33" s="1544" t="s">
        <v>310</v>
      </c>
      <c r="L33" s="1544"/>
      <c r="M33" s="1544" t="s">
        <v>370</v>
      </c>
    </row>
    <row r="34" spans="11:13" ht="18" customHeight="1">
      <c r="K34" s="1544"/>
      <c r="L34" s="1544"/>
      <c r="M34" s="1544" t="s">
        <v>371</v>
      </c>
    </row>
    <row r="35" spans="11:13" ht="18" customHeight="1">
      <c r="K35" s="1544"/>
      <c r="L35" s="1544"/>
      <c r="M35" s="1544" t="s">
        <v>372</v>
      </c>
    </row>
    <row r="36" spans="11:13" ht="18" customHeight="1">
      <c r="K36" s="1544"/>
      <c r="L36" s="1544"/>
      <c r="M36" s="1544" t="s">
        <v>373</v>
      </c>
    </row>
    <row r="37" spans="11:13" ht="18" customHeight="1">
      <c r="K37" s="1544"/>
      <c r="L37" s="1544"/>
      <c r="M37" s="1544" t="s">
        <v>374</v>
      </c>
    </row>
    <row r="38" spans="11:13" ht="18" customHeight="1">
      <c r="K38" s="1544"/>
      <c r="L38" s="1544"/>
      <c r="M38" s="1544" t="s">
        <v>375</v>
      </c>
    </row>
    <row r="39" spans="11:13" ht="18" customHeight="1">
      <c r="K39" s="1544"/>
      <c r="L39" s="1544"/>
      <c r="M39" s="1544" t="s">
        <v>376</v>
      </c>
    </row>
    <row r="40" spans="11:13" ht="18" customHeight="1">
      <c r="K40" s="1544"/>
      <c r="L40" s="1544"/>
      <c r="M40" s="1544" t="s">
        <v>377</v>
      </c>
    </row>
    <row r="41" spans="11:13" ht="18" customHeight="1">
      <c r="K41" s="1544"/>
      <c r="L41" s="1544"/>
      <c r="M41" s="1544" t="s">
        <v>378</v>
      </c>
    </row>
    <row r="42" spans="11:13" ht="18" customHeight="1">
      <c r="K42" s="1544"/>
      <c r="L42" s="1544"/>
      <c r="M42" s="1544" t="s">
        <v>379</v>
      </c>
    </row>
    <row r="43" spans="11:13" ht="18" customHeight="1">
      <c r="K43" s="1544"/>
      <c r="L43" s="1544"/>
      <c r="M43" s="1544" t="s">
        <v>380</v>
      </c>
    </row>
    <row r="44" spans="11:13" ht="18" customHeight="1">
      <c r="K44" s="1544"/>
      <c r="L44" s="1544"/>
      <c r="M44" s="1544" t="s">
        <v>381</v>
      </c>
    </row>
    <row r="45" spans="11:13" ht="18" customHeight="1">
      <c r="K45" s="1544"/>
      <c r="L45" s="1544"/>
      <c r="M45" s="1544" t="s">
        <v>382</v>
      </c>
    </row>
    <row r="46" spans="11:13" ht="18" customHeight="1">
      <c r="K46" s="1544"/>
      <c r="L46" s="1544"/>
      <c r="M46" s="1544" t="s">
        <v>383</v>
      </c>
    </row>
    <row r="47" spans="11:13" ht="18" customHeight="1">
      <c r="K47" s="1544"/>
      <c r="L47" s="1544"/>
      <c r="M47" s="1544" t="s">
        <v>384</v>
      </c>
    </row>
    <row r="48" spans="11:13" ht="18" customHeight="1">
      <c r="K48" s="1544"/>
      <c r="L48" s="1544"/>
      <c r="M48" s="1544" t="s">
        <v>385</v>
      </c>
    </row>
    <row r="49" spans="13:13" ht="18" customHeight="1">
      <c r="M49" s="1544" t="s">
        <v>386</v>
      </c>
    </row>
    <row r="50" spans="13:13" ht="18" customHeight="1">
      <c r="M50" s="1544" t="s">
        <v>387</v>
      </c>
    </row>
    <row r="51" spans="13:13" ht="18" customHeight="1">
      <c r="M51" s="1544" t="s">
        <v>388</v>
      </c>
    </row>
    <row r="52" spans="13:13" ht="18" customHeight="1">
      <c r="M52" s="1544" t="s">
        <v>389</v>
      </c>
    </row>
    <row r="53" spans="13:13" ht="18" customHeight="1">
      <c r="M53" s="1544" t="s">
        <v>390</v>
      </c>
    </row>
    <row r="54" spans="13:13" ht="18" customHeight="1">
      <c r="M54" s="1544" t="s">
        <v>391</v>
      </c>
    </row>
    <row r="55" spans="13:13" ht="18" customHeight="1">
      <c r="M55" s="1544" t="s">
        <v>392</v>
      </c>
    </row>
    <row r="56" spans="13:13" ht="18" customHeight="1">
      <c r="M56" s="1544" t="s">
        <v>393</v>
      </c>
    </row>
    <row r="57" spans="13:13" ht="18" customHeight="1">
      <c r="M57" s="1544" t="s">
        <v>394</v>
      </c>
    </row>
    <row r="58" spans="13:13" ht="18" customHeight="1">
      <c r="M58" s="1544" t="s">
        <v>395</v>
      </c>
    </row>
    <row r="59" spans="13:13" ht="18" customHeight="1">
      <c r="M59" s="1544" t="s">
        <v>396</v>
      </c>
    </row>
  </sheetData>
  <sheetProtection algorithmName="SHA-512" hashValue="qWHWnLijljktykRSGmE8uIQEELl/IfOxBn/p8+sF6w97wP2DHQzwTQN2Gkwa5iHJ5co25mFCE/dIcFwPzjnFCw==" saltValue="cT3hf+X2rVMEoWanGufm6Q==" spinCount="100000" sheet="1" objects="1" scenarios="1"/>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Visibility">
    <tabColor rgb="FFFF0000"/>
  </sheetPr>
  <dimension ref="A1:AB191"/>
  <sheetViews>
    <sheetView showGridLines="0" zoomScaleNormal="100" workbookViewId="0">
      <selection activeCell="K1" sqref="K1"/>
    </sheetView>
  </sheetViews>
  <sheetFormatPr defaultColWidth="9.28515625" defaultRowHeight="18" customHeight="1"/>
  <cols>
    <col min="1" max="1" width="5.7109375" style="77" customWidth="1"/>
    <col min="2" max="2" width="35.28515625" style="173" customWidth="1"/>
    <col min="3" max="6" width="10.28515625" style="77" customWidth="1"/>
    <col min="7" max="7" width="11.42578125" style="77" customWidth="1"/>
    <col min="8" max="8" width="21.7109375" style="77" bestFit="1" customWidth="1"/>
    <col min="9" max="9" width="12.28515625" style="77" bestFit="1" customWidth="1"/>
    <col min="10" max="10" width="12.7109375" style="77" bestFit="1" customWidth="1"/>
    <col min="11" max="11" width="15.28515625" style="77" bestFit="1" customWidth="1"/>
    <col min="12" max="12" width="5.7109375" style="77" bestFit="1" customWidth="1"/>
    <col min="13" max="15" width="7" style="77" bestFit="1" customWidth="1"/>
    <col min="16" max="16" width="6.7109375" style="77" bestFit="1" customWidth="1"/>
    <col min="17" max="17" width="9.5703125" style="77" customWidth="1"/>
    <col min="18" max="18" width="4.28515625" style="77" customWidth="1"/>
    <col min="19" max="19" width="13.28515625" style="583" hidden="1" customWidth="1"/>
    <col min="20" max="20" width="18.28515625" style="587" hidden="1" customWidth="1"/>
    <col min="21" max="21" width="13.28515625" style="583" hidden="1" customWidth="1"/>
    <col min="22" max="22" width="13.28515625" style="583" customWidth="1"/>
    <col min="23" max="24" width="13.28515625" style="77" customWidth="1"/>
    <col min="25" max="27" width="9.28515625" style="77" customWidth="1"/>
    <col min="28" max="28" width="23.28515625" style="77" bestFit="1" customWidth="1"/>
    <col min="29" max="29" width="9.28515625" style="77" customWidth="1"/>
    <col min="30" max="16384" width="9.28515625" style="77"/>
  </cols>
  <sheetData>
    <row r="1" spans="1:28" ht="18" customHeight="1">
      <c r="B1" s="1774"/>
      <c r="C1" s="1775"/>
    </row>
    <row r="2" spans="1:28" ht="18" customHeight="1">
      <c r="I2" s="1769" t="s">
        <v>397</v>
      </c>
      <c r="J2" s="1770"/>
      <c r="L2" s="1776" t="s">
        <v>398</v>
      </c>
      <c r="M2" s="1777"/>
      <c r="N2" s="1777"/>
      <c r="O2" s="1777"/>
      <c r="P2" s="1777"/>
      <c r="Q2" s="1778"/>
      <c r="S2" s="584"/>
    </row>
    <row r="3" spans="1:28" s="78" customFormat="1" ht="18" customHeight="1">
      <c r="B3" s="174" t="s">
        <v>399</v>
      </c>
      <c r="C3" s="1773" t="s">
        <v>400</v>
      </c>
      <c r="D3" s="1770"/>
      <c r="E3" s="1773" t="s">
        <v>401</v>
      </c>
      <c r="F3" s="1770"/>
      <c r="I3" s="1771"/>
      <c r="J3" s="1772"/>
      <c r="K3" s="785" t="s">
        <v>402</v>
      </c>
      <c r="L3" s="962">
        <f>--IsIig</f>
        <v>0</v>
      </c>
      <c r="M3" s="962">
        <f>--IsSerna</f>
        <v>0</v>
      </c>
      <c r="N3" s="962">
        <f>--IsMhp</f>
        <v>1</v>
      </c>
      <c r="O3" s="962">
        <f>--IsTod</f>
        <v>0</v>
      </c>
      <c r="P3" s="962">
        <f>--IsVhhp</f>
        <v>0</v>
      </c>
      <c r="Q3" s="962">
        <f>--IsShmhp</f>
        <v>0</v>
      </c>
      <c r="S3" s="585"/>
      <c r="T3" s="587"/>
      <c r="U3" s="480"/>
      <c r="V3" s="480"/>
    </row>
    <row r="4" spans="1:28" s="78" customFormat="1" ht="29.25" customHeight="1">
      <c r="B4" s="963" t="s">
        <v>403</v>
      </c>
      <c r="C4" s="964" t="s">
        <v>404</v>
      </c>
      <c r="D4" s="964" t="s">
        <v>405</v>
      </c>
      <c r="E4" s="964" t="s">
        <v>406</v>
      </c>
      <c r="F4" s="964" t="s">
        <v>407</v>
      </c>
      <c r="G4" s="965" t="s">
        <v>408</v>
      </c>
      <c r="H4" s="965" t="s">
        <v>409</v>
      </c>
      <c r="I4" s="965" t="s">
        <v>410</v>
      </c>
      <c r="J4" s="965" t="s">
        <v>411</v>
      </c>
      <c r="K4" s="965" t="s">
        <v>412</v>
      </c>
      <c r="L4" s="965" t="s">
        <v>413</v>
      </c>
      <c r="M4" s="965" t="s">
        <v>414</v>
      </c>
      <c r="N4" s="965" t="s">
        <v>75</v>
      </c>
      <c r="O4" s="965" t="s">
        <v>100</v>
      </c>
      <c r="P4" s="965" t="s">
        <v>106</v>
      </c>
      <c r="Q4" s="965" t="s">
        <v>90</v>
      </c>
      <c r="R4" s="82"/>
      <c r="S4" s="586"/>
      <c r="T4" s="588"/>
      <c r="U4" s="586"/>
      <c r="V4" s="586"/>
      <c r="W4" s="82"/>
      <c r="X4" s="82"/>
      <c r="Y4" s="82"/>
      <c r="Z4" s="82"/>
      <c r="AA4" s="82"/>
      <c r="AB4" s="82"/>
    </row>
    <row r="5" spans="1:28" s="78" customFormat="1" ht="18" customHeight="1">
      <c r="A5" s="589"/>
      <c r="B5" s="966" t="s">
        <v>415</v>
      </c>
      <c r="C5" s="967"/>
      <c r="D5" s="967"/>
      <c r="E5" s="967"/>
      <c r="F5" s="967"/>
      <c r="G5" s="967" t="b">
        <f>OR(ComponentVisibility[[#This Row],[Force True]],AND(ComponentVisibility[[#This Row],[Program True]],NOT(ComponentVisibility[[#This Row],[Force False]])))</f>
        <v>0</v>
      </c>
      <c r="H5" s="966" t="s">
        <v>416</v>
      </c>
      <c r="I5" s="967" t="b">
        <f>vmAtHighRisk="Yes"</f>
        <v>0</v>
      </c>
      <c r="J5" s="967"/>
      <c r="K5" s="967" t="b">
        <f>SUMPRODUCT(ComponentVisibility[[#This Row],[IIG]:[SHMHP]],IsPrograms)&gt;0</f>
        <v>0</v>
      </c>
      <c r="L5" s="967"/>
      <c r="M5" s="967"/>
      <c r="N5" s="967"/>
      <c r="O5" s="967"/>
      <c r="P5" s="967"/>
      <c r="Q5" s="967"/>
      <c r="R5" s="82"/>
      <c r="S5" s="586"/>
      <c r="T5" s="588"/>
      <c r="U5" s="586"/>
      <c r="V5" s="586"/>
      <c r="W5" s="82"/>
      <c r="X5" s="82"/>
      <c r="Y5" s="82"/>
      <c r="Z5" s="82"/>
      <c r="AA5" s="82"/>
      <c r="AB5" s="82"/>
    </row>
    <row r="6" spans="1:28" s="78" customFormat="1" ht="18" customHeight="1">
      <c r="B6" s="968" t="s">
        <v>417</v>
      </c>
      <c r="C6" s="969">
        <f>ROW('Cash Flow'!A52)</f>
        <v>52</v>
      </c>
      <c r="D6" s="969">
        <f>ROW('Cash Flow'!A52)</f>
        <v>52</v>
      </c>
      <c r="E6" s="969"/>
      <c r="F6" s="969"/>
      <c r="G6" s="967" t="b">
        <f>OR(ComponentVisibility[[#This Row],[Force True]],AND(ComponentVisibility[[#This Row],[Program True]],NOT(ComponentVisibility[[#This Row],[Force False]])))</f>
        <v>0</v>
      </c>
      <c r="H6" s="966" t="s">
        <v>416</v>
      </c>
      <c r="I6" s="967"/>
      <c r="J6" s="962"/>
      <c r="K6" s="967" t="b">
        <f>SUMPRODUCT(ComponentVisibility[[#This Row],[IIG]:[SHMHP]],IsPrograms)&gt;0</f>
        <v>0</v>
      </c>
      <c r="L6" s="962">
        <v>0</v>
      </c>
      <c r="M6" s="962">
        <v>1</v>
      </c>
      <c r="N6" s="962">
        <v>0</v>
      </c>
      <c r="O6" s="962">
        <v>0</v>
      </c>
      <c r="P6" s="962">
        <v>0</v>
      </c>
      <c r="Q6" s="962">
        <v>0</v>
      </c>
      <c r="R6" s="82"/>
      <c r="S6" s="586"/>
      <c r="T6" s="548" t="s">
        <v>415</v>
      </c>
      <c r="U6" s="586"/>
      <c r="V6" s="586"/>
      <c r="W6" s="82"/>
      <c r="X6" s="82"/>
      <c r="Y6" s="82"/>
      <c r="Z6" s="82"/>
      <c r="AA6" s="82"/>
      <c r="AB6" s="82"/>
    </row>
    <row r="7" spans="1:28" s="78" customFormat="1" ht="18" customHeight="1">
      <c r="B7" s="968" t="s">
        <v>417</v>
      </c>
      <c r="C7" s="969">
        <f>ROW('Cash Flow'!A53)</f>
        <v>53</v>
      </c>
      <c r="D7" s="969">
        <f>ROW('Cash Flow'!A53)</f>
        <v>53</v>
      </c>
      <c r="E7" s="969"/>
      <c r="F7" s="969"/>
      <c r="G7" s="967" t="b">
        <f>OR(ComponentVisibility[[#This Row],[Force True]],AND(ComponentVisibility[[#This Row],[Program True]],NOT(ComponentVisibility[[#This Row],[Force False]])))</f>
        <v>0</v>
      </c>
      <c r="H7" s="966" t="s">
        <v>416</v>
      </c>
      <c r="I7" s="967"/>
      <c r="J7" s="962"/>
      <c r="K7" s="967" t="b">
        <f>SUMPRODUCT(ComponentVisibility[[#This Row],[IIG]:[SHMHP]],IsPrograms)&gt;0</f>
        <v>0</v>
      </c>
      <c r="L7" s="962">
        <v>0</v>
      </c>
      <c r="M7" s="962">
        <v>0</v>
      </c>
      <c r="N7" s="962">
        <v>0</v>
      </c>
      <c r="O7" s="962">
        <v>0</v>
      </c>
      <c r="P7" s="962">
        <v>0</v>
      </c>
      <c r="Q7" s="962">
        <v>1</v>
      </c>
      <c r="R7" s="82"/>
      <c r="S7" s="586"/>
      <c r="T7" s="548"/>
      <c r="U7" s="586"/>
      <c r="V7" s="586"/>
      <c r="W7" s="82"/>
      <c r="X7" s="82"/>
      <c r="Y7" s="82"/>
      <c r="Z7" s="82"/>
      <c r="AA7" s="82"/>
      <c r="AB7" s="82"/>
    </row>
    <row r="8" spans="1:28" s="78" customFormat="1" ht="18" customHeight="1">
      <c r="B8" s="968" t="s">
        <v>417</v>
      </c>
      <c r="C8" s="969">
        <f>ROW('Cash Flow'!A54)</f>
        <v>54</v>
      </c>
      <c r="D8" s="969">
        <f>ROW('Cash Flow'!A54)</f>
        <v>54</v>
      </c>
      <c r="E8" s="969"/>
      <c r="F8" s="969"/>
      <c r="G8" s="967" t="b">
        <f>OR(ComponentVisibility[[#This Row],[Force True]],AND(ComponentVisibility[[#This Row],[Program True]],NOT(ComponentVisibility[[#This Row],[Force False]])))</f>
        <v>1</v>
      </c>
      <c r="H8" s="966" t="s">
        <v>416</v>
      </c>
      <c r="I8" s="967"/>
      <c r="J8" s="962"/>
      <c r="K8" s="967" t="b">
        <f>SUMPRODUCT(ComponentVisibility[[#This Row],[IIG]:[SHMHP]],IsPrograms)&gt;0</f>
        <v>1</v>
      </c>
      <c r="L8" s="962">
        <v>0</v>
      </c>
      <c r="M8" s="962">
        <v>0</v>
      </c>
      <c r="N8" s="962">
        <v>1</v>
      </c>
      <c r="O8" s="962">
        <v>0</v>
      </c>
      <c r="P8" s="962">
        <v>0</v>
      </c>
      <c r="Q8" s="962">
        <v>0</v>
      </c>
      <c r="R8" s="82"/>
      <c r="S8" s="586"/>
      <c r="T8" s="548" t="s">
        <v>418</v>
      </c>
      <c r="U8" s="586"/>
      <c r="V8" s="586"/>
      <c r="W8" s="82"/>
      <c r="X8" s="82"/>
      <c r="Y8" s="82"/>
      <c r="Z8" s="82"/>
      <c r="AA8" s="82"/>
      <c r="AB8" s="82"/>
    </row>
    <row r="9" spans="1:28" s="78" customFormat="1" ht="18" customHeight="1">
      <c r="B9" s="968" t="s">
        <v>417</v>
      </c>
      <c r="C9" s="969">
        <f>ROW('Cash Flow'!A55)</f>
        <v>55</v>
      </c>
      <c r="D9" s="969">
        <f>ROW('Cash Flow'!A55)</f>
        <v>55</v>
      </c>
      <c r="E9" s="969"/>
      <c r="F9" s="969"/>
      <c r="G9" s="967" t="b">
        <f>OR(ComponentVisibility[[#This Row],[Force True]],AND(ComponentVisibility[[#This Row],[Program True]],NOT(ComponentVisibility[[#This Row],[Force False]])))</f>
        <v>0</v>
      </c>
      <c r="H9" s="966" t="s">
        <v>416</v>
      </c>
      <c r="I9" s="967"/>
      <c r="J9" s="962"/>
      <c r="K9" s="967" t="b">
        <f>SUMPRODUCT(ComponentVisibility[[#This Row],[IIG]:[SHMHP]],IsPrograms)&gt;0</f>
        <v>0</v>
      </c>
      <c r="L9" s="962">
        <v>0</v>
      </c>
      <c r="M9" s="962">
        <v>0</v>
      </c>
      <c r="N9" s="962">
        <v>0</v>
      </c>
      <c r="O9" s="962">
        <v>1</v>
      </c>
      <c r="P9" s="962">
        <v>0</v>
      </c>
      <c r="Q9" s="962">
        <v>0</v>
      </c>
      <c r="R9" s="82"/>
      <c r="S9" s="586"/>
      <c r="T9" s="548"/>
      <c r="U9" s="586"/>
      <c r="V9" s="586"/>
      <c r="W9" s="82"/>
      <c r="X9" s="82"/>
      <c r="Y9" s="82"/>
      <c r="Z9" s="82"/>
      <c r="AA9" s="82"/>
      <c r="AB9" s="82"/>
    </row>
    <row r="10" spans="1:28" s="78" customFormat="1" ht="18" customHeight="1">
      <c r="B10" s="968" t="s">
        <v>417</v>
      </c>
      <c r="C10" s="969">
        <f>ROW('Cash Flow'!A56)</f>
        <v>56</v>
      </c>
      <c r="D10" s="969">
        <f>ROW('Cash Flow'!A56)</f>
        <v>56</v>
      </c>
      <c r="E10" s="969"/>
      <c r="F10" s="969"/>
      <c r="G10" s="967" t="b">
        <f>OR(ComponentVisibility[[#This Row],[Force True]],AND(ComponentVisibility[[#This Row],[Program True]],NOT(ComponentVisibility[[#This Row],[Force False]])))</f>
        <v>0</v>
      </c>
      <c r="H10" s="966" t="s">
        <v>416</v>
      </c>
      <c r="I10" s="967"/>
      <c r="J10" s="962"/>
      <c r="K10" s="967" t="b">
        <f>SUMPRODUCT(ComponentVisibility[[#This Row],[IIG]:[SHMHP]],IsPrograms)&gt;0</f>
        <v>0</v>
      </c>
      <c r="L10" s="962">
        <v>0</v>
      </c>
      <c r="M10" s="962">
        <v>0</v>
      </c>
      <c r="N10" s="962">
        <v>0</v>
      </c>
      <c r="O10" s="962">
        <v>0</v>
      </c>
      <c r="P10" s="962">
        <v>1</v>
      </c>
      <c r="Q10" s="962">
        <v>0</v>
      </c>
      <c r="R10" s="82"/>
      <c r="S10" s="586"/>
      <c r="T10" s="548"/>
      <c r="U10" s="586"/>
      <c r="V10" s="586"/>
      <c r="W10" s="82"/>
      <c r="X10" s="82"/>
      <c r="Y10" s="82"/>
      <c r="Z10" s="82"/>
      <c r="AA10" s="82"/>
      <c r="AB10" s="82"/>
    </row>
    <row r="11" spans="1:28" s="78" customFormat="1" ht="18" customHeight="1">
      <c r="B11" s="968" t="s">
        <v>417</v>
      </c>
      <c r="C11" s="969">
        <f>ROW('Cash Flow'!A92)</f>
        <v>92</v>
      </c>
      <c r="D11" s="969">
        <f>ROW('Cash Flow'!A143)</f>
        <v>143</v>
      </c>
      <c r="E11" s="969"/>
      <c r="F11" s="969"/>
      <c r="G11" s="967" t="b">
        <f>OR(ComponentVisibility[[#This Row],[Force True]],AND(ComponentVisibility[[#This Row],[Program True]],NOT(ComponentVisibility[[#This Row],[Force False]])))</f>
        <v>0</v>
      </c>
      <c r="H11" s="966" t="s">
        <v>416</v>
      </c>
      <c r="I11" s="967" t="b">
        <f>AND(IsMhp,IsSpecialNeeds)</f>
        <v>0</v>
      </c>
      <c r="J11" s="962"/>
      <c r="K11" s="967" t="b">
        <f>SUMPRODUCT(ComponentVisibility[[#This Row],[IIG]:[SHMHP]],IsPrograms)&gt;0</f>
        <v>0</v>
      </c>
      <c r="L11" s="962"/>
      <c r="M11" s="962"/>
      <c r="N11" s="962"/>
      <c r="O11" s="962"/>
      <c r="P11" s="962"/>
      <c r="Q11" s="962"/>
      <c r="R11" s="82"/>
      <c r="S11" s="586"/>
      <c r="T11" s="548"/>
      <c r="U11" s="586"/>
      <c r="V11" s="586"/>
      <c r="W11" s="82"/>
      <c r="X11" s="82"/>
      <c r="Y11" s="82"/>
      <c r="Z11" s="82"/>
      <c r="AA11" s="82"/>
      <c r="AB11" s="82"/>
    </row>
    <row r="12" spans="1:28" s="78" customFormat="1" ht="18" customHeight="1">
      <c r="B12" s="968" t="s">
        <v>419</v>
      </c>
      <c r="C12" s="969">
        <f>ROW('Contact List'!A6)</f>
        <v>6</v>
      </c>
      <c r="D12" s="969">
        <f>ROW('Contact List'!A6)</f>
        <v>6</v>
      </c>
      <c r="E12" s="969"/>
      <c r="F12" s="969"/>
      <c r="G12" s="967" t="b">
        <f>OR(ComponentVisibility[[#This Row],[Force True]],AND(ComponentVisibility[[#This Row],[Program True]],NOT(ComponentVisibility[[#This Row],[Force False]])))</f>
        <v>0</v>
      </c>
      <c r="H12" s="966" t="s">
        <v>416</v>
      </c>
      <c r="I12" s="967" t="b">
        <f>IF(OR(vmSponsor2="",vmSponsor2="N/A"),FALSE,TRUE)</f>
        <v>0</v>
      </c>
      <c r="J12" s="962"/>
      <c r="K12" s="967" t="b">
        <f>SUMPRODUCT(ComponentVisibility[[#This Row],[IIG]:[SHMHP]],IsPrograms)&gt;0</f>
        <v>0</v>
      </c>
      <c r="L12" s="962"/>
      <c r="M12" s="962"/>
      <c r="N12" s="962"/>
      <c r="O12" s="962"/>
      <c r="P12" s="962"/>
      <c r="Q12" s="962"/>
      <c r="R12" s="82"/>
      <c r="S12" s="586"/>
      <c r="T12" s="548" t="s">
        <v>420</v>
      </c>
      <c r="U12" s="586"/>
      <c r="V12" s="586"/>
      <c r="W12" s="82"/>
      <c r="X12" s="82"/>
      <c r="Y12" s="82"/>
      <c r="Z12" s="82"/>
      <c r="AA12" s="82"/>
      <c r="AB12" s="82"/>
    </row>
    <row r="13" spans="1:28" s="78" customFormat="1" ht="18" customHeight="1">
      <c r="B13" s="968" t="s">
        <v>419</v>
      </c>
      <c r="C13" s="969">
        <f>ROW('Contact List'!A7)</f>
        <v>7</v>
      </c>
      <c r="D13" s="969">
        <f>ROW('Contact List'!A7)</f>
        <v>7</v>
      </c>
      <c r="E13" s="969"/>
      <c r="F13" s="969"/>
      <c r="G13" s="967" t="b">
        <f>OR(ComponentVisibility[[#This Row],[Force True]],AND(ComponentVisibility[[#This Row],[Program True]],NOT(ComponentVisibility[[#This Row],[Force False]])))</f>
        <v>0</v>
      </c>
      <c r="H13" s="966" t="s">
        <v>416</v>
      </c>
      <c r="I13" s="967" t="b">
        <f>IF(OR(vmSponsor3="",vmSponsor3="N/A"),FALSE,TRUE)</f>
        <v>0</v>
      </c>
      <c r="J13" s="962"/>
      <c r="K13" s="967" t="b">
        <f>SUMPRODUCT(ComponentVisibility[[#This Row],[IIG]:[SHMHP]],IsPrograms)&gt;0</f>
        <v>0</v>
      </c>
      <c r="L13" s="962"/>
      <c r="M13" s="962"/>
      <c r="N13" s="962"/>
      <c r="O13" s="962"/>
      <c r="P13" s="962"/>
      <c r="Q13" s="962"/>
      <c r="R13" s="82"/>
      <c r="S13" s="586"/>
      <c r="T13" s="548" t="s">
        <v>421</v>
      </c>
      <c r="U13" s="586"/>
      <c r="V13" s="586"/>
      <c r="W13" s="82"/>
      <c r="X13" s="82"/>
      <c r="Y13" s="82"/>
      <c r="Z13" s="82"/>
      <c r="AA13" s="82"/>
      <c r="AB13" s="82"/>
    </row>
    <row r="14" spans="1:28" s="78" customFormat="1" ht="18" customHeight="1">
      <c r="B14" s="968" t="s">
        <v>419</v>
      </c>
      <c r="C14" s="969">
        <f>ROW('Contact List'!A9)</f>
        <v>9</v>
      </c>
      <c r="D14" s="969">
        <f>ROW('Contact List'!A9)</f>
        <v>9</v>
      </c>
      <c r="E14" s="969"/>
      <c r="F14" s="969"/>
      <c r="G14" s="967" t="b">
        <f>OR(ComponentVisibility[[#This Row],[Force True]],AND(ComponentVisibility[[#This Row],[Program True]],NOT(ComponentVisibility[[#This Row],[Force False]])))</f>
        <v>0</v>
      </c>
      <c r="H14" s="966" t="s">
        <v>416</v>
      </c>
      <c r="I14" s="967" t="b">
        <f>IF(OR(vmMGP="",vmMGP="N/A"),FALSE,TRUE)</f>
        <v>0</v>
      </c>
      <c r="J14" s="962"/>
      <c r="K14" s="967" t="b">
        <f>SUMPRODUCT(ComponentVisibility[[#This Row],[IIG]:[SHMHP]],IsPrograms)&gt;0</f>
        <v>0</v>
      </c>
      <c r="L14" s="962"/>
      <c r="M14" s="962"/>
      <c r="N14" s="962"/>
      <c r="O14" s="962"/>
      <c r="P14" s="962"/>
      <c r="Q14" s="962"/>
      <c r="R14" s="82"/>
      <c r="S14" s="586"/>
      <c r="T14" s="548" t="s">
        <v>422</v>
      </c>
      <c r="U14" s="586"/>
      <c r="V14" s="586"/>
      <c r="W14" s="82"/>
      <c r="X14" s="82"/>
      <c r="Y14" s="82"/>
      <c r="Z14" s="82"/>
      <c r="AA14" s="82"/>
      <c r="AB14" s="82"/>
    </row>
    <row r="15" spans="1:28" s="78" customFormat="1" ht="18" customHeight="1">
      <c r="B15" s="968" t="s">
        <v>419</v>
      </c>
      <c r="C15" s="969">
        <f>ROW('Contact List'!A10)</f>
        <v>10</v>
      </c>
      <c r="D15" s="969">
        <f>ROW('Contact List'!A10)</f>
        <v>10</v>
      </c>
      <c r="E15" s="969"/>
      <c r="F15" s="969"/>
      <c r="G15" s="967" t="b">
        <f>OR(ComponentVisibility[[#This Row],[Force True]],AND(ComponentVisibility[[#This Row],[Program True]],NOT(ComponentVisibility[[#This Row],[Force False]])))</f>
        <v>0</v>
      </c>
      <c r="H15" s="966" t="s">
        <v>416</v>
      </c>
      <c r="I15" s="967" t="b">
        <f>IF(OR(vmAGP1="",vmAGP1="N/A"),FALSE,TRUE)</f>
        <v>0</v>
      </c>
      <c r="J15" s="962"/>
      <c r="K15" s="967" t="b">
        <f>SUMPRODUCT(ComponentVisibility[[#This Row],[IIG]:[SHMHP]],IsPrograms)&gt;0</f>
        <v>0</v>
      </c>
      <c r="L15" s="962"/>
      <c r="M15" s="962"/>
      <c r="N15" s="962"/>
      <c r="O15" s="962"/>
      <c r="P15" s="962"/>
      <c r="Q15" s="962"/>
      <c r="R15" s="82"/>
      <c r="S15" s="586"/>
      <c r="T15" s="548" t="s">
        <v>423</v>
      </c>
      <c r="U15" s="586"/>
      <c r="V15" s="586"/>
      <c r="W15" s="82"/>
      <c r="X15" s="82"/>
      <c r="Y15" s="82"/>
      <c r="Z15" s="82"/>
      <c r="AA15" s="82"/>
      <c r="AB15" s="82"/>
    </row>
    <row r="16" spans="1:28" s="78" customFormat="1" ht="18" customHeight="1">
      <c r="B16" s="968" t="s">
        <v>419</v>
      </c>
      <c r="C16" s="969">
        <f>ROW('Contact List'!A11)</f>
        <v>11</v>
      </c>
      <c r="D16" s="969">
        <f>ROW('Contact List'!A11)</f>
        <v>11</v>
      </c>
      <c r="E16" s="969"/>
      <c r="F16" s="969"/>
      <c r="G16" s="967" t="b">
        <f>OR(ComponentVisibility[[#This Row],[Force True]],AND(ComponentVisibility[[#This Row],[Program True]],NOT(ComponentVisibility[[#This Row],[Force False]])))</f>
        <v>0</v>
      </c>
      <c r="H16" s="966" t="s">
        <v>416</v>
      </c>
      <c r="I16" s="967" t="b">
        <f>IF(OR(vmAGP2="",vmAGP2="N/A"),FALSE,TRUE)</f>
        <v>0</v>
      </c>
      <c r="J16" s="962"/>
      <c r="K16" s="967" t="b">
        <f>SUMPRODUCT(ComponentVisibility[[#This Row],[IIG]:[SHMHP]],IsPrograms)&gt;0</f>
        <v>0</v>
      </c>
      <c r="L16" s="962"/>
      <c r="M16" s="962"/>
      <c r="N16" s="962"/>
      <c r="O16" s="962"/>
      <c r="P16" s="962"/>
      <c r="Q16" s="962"/>
      <c r="R16" s="82"/>
      <c r="S16" s="586"/>
      <c r="T16" s="548" t="s">
        <v>424</v>
      </c>
      <c r="U16" s="586"/>
      <c r="V16" s="586"/>
      <c r="W16" s="82"/>
      <c r="X16" s="82"/>
      <c r="Y16" s="82"/>
      <c r="Z16" s="82"/>
      <c r="AA16" s="82"/>
      <c r="AB16" s="82"/>
    </row>
    <row r="17" spans="2:28" s="78" customFormat="1" ht="18" customHeight="1">
      <c r="B17" s="968" t="s">
        <v>419</v>
      </c>
      <c r="C17" s="969">
        <f>ROW('Contact List'!A12)</f>
        <v>12</v>
      </c>
      <c r="D17" s="969">
        <f>ROW('Contact List'!A12)</f>
        <v>12</v>
      </c>
      <c r="E17" s="969"/>
      <c r="F17" s="969"/>
      <c r="G17" s="967" t="b">
        <f>OR(ComponentVisibility[[#This Row],[Force True]],AND(ComponentVisibility[[#This Row],[Program True]],NOT(ComponentVisibility[[#This Row],[Force False]])))</f>
        <v>0</v>
      </c>
      <c r="H17" s="966" t="s">
        <v>416</v>
      </c>
      <c r="I17" s="967" t="b">
        <f>IF(OR(vmManagerLLC="",vmManagerLLC="N/A"),FALSE,TRUE)</f>
        <v>0</v>
      </c>
      <c r="J17" s="962"/>
      <c r="K17" s="967" t="b">
        <f>SUMPRODUCT(ComponentVisibility[[#This Row],[IIG]:[SHMHP]],IsPrograms)&gt;0</f>
        <v>0</v>
      </c>
      <c r="L17" s="962"/>
      <c r="M17" s="962"/>
      <c r="N17" s="962"/>
      <c r="O17" s="962"/>
      <c r="P17" s="962"/>
      <c r="Q17" s="962"/>
      <c r="R17" s="82"/>
      <c r="S17" s="586"/>
      <c r="T17" s="548" t="s">
        <v>425</v>
      </c>
      <c r="U17" s="586"/>
      <c r="V17" s="586"/>
      <c r="W17" s="82"/>
      <c r="X17" s="82"/>
      <c r="Y17" s="82"/>
      <c r="Z17" s="82"/>
      <c r="AA17" s="82"/>
      <c r="AB17" s="82"/>
    </row>
    <row r="18" spans="2:28" s="78" customFormat="1" ht="18" customHeight="1">
      <c r="B18" s="968" t="s">
        <v>419</v>
      </c>
      <c r="C18" s="969">
        <f>ROW('Contact List'!A19)</f>
        <v>19</v>
      </c>
      <c r="D18" s="969">
        <f>ROW('Contact List'!A19)</f>
        <v>19</v>
      </c>
      <c r="E18" s="969"/>
      <c r="F18" s="969"/>
      <c r="G18" s="967" t="b">
        <f>OR(ComponentVisibility[[#This Row],[Force True]],AND(ComponentVisibility[[#This Row],[Program True]],NOT(ComponentVisibility[[#This Row],[Force False]])))</f>
        <v>0</v>
      </c>
      <c r="H18" s="966" t="s">
        <v>416</v>
      </c>
      <c r="I18" s="967" t="b">
        <f>IsIig</f>
        <v>0</v>
      </c>
      <c r="J18" s="962"/>
      <c r="K18" s="967" t="b">
        <f>SUMPRODUCT(ComponentVisibility[[#This Row],[IIG]:[SHMHP]],IsPrograms)&gt;0</f>
        <v>0</v>
      </c>
      <c r="L18" s="962"/>
      <c r="M18" s="962"/>
      <c r="N18" s="962"/>
      <c r="O18" s="962"/>
      <c r="P18" s="962"/>
      <c r="Q18" s="962"/>
      <c r="R18" s="82"/>
      <c r="S18" s="586"/>
      <c r="T18" s="548"/>
      <c r="U18" s="586"/>
      <c r="V18" s="586"/>
      <c r="W18" s="82"/>
      <c r="X18" s="82"/>
      <c r="Y18" s="82"/>
      <c r="Z18" s="82"/>
      <c r="AA18" s="82"/>
      <c r="AB18" s="82"/>
    </row>
    <row r="19" spans="2:28" s="78" customFormat="1" ht="18" customHeight="1">
      <c r="B19" s="968" t="s">
        <v>426</v>
      </c>
      <c r="C19" s="969">
        <f>ROW('Development Budget'!A118)</f>
        <v>118</v>
      </c>
      <c r="D19" s="969">
        <f>ROW('Development Budget'!A207)</f>
        <v>207</v>
      </c>
      <c r="E19" s="969"/>
      <c r="F19" s="969"/>
      <c r="G19" s="967" t="b">
        <f>OR(ComponentVisibility[[#This Row],[Force True]],AND(ComponentVisibility[[#This Row],[Program True]],NOT(ComponentVisibility[[#This Row],[Force False]])))</f>
        <v>0</v>
      </c>
      <c r="H19" s="966" t="s">
        <v>416</v>
      </c>
      <c r="I19" s="967"/>
      <c r="J19" s="962"/>
      <c r="K19" s="967" t="b">
        <f>SUMPRODUCT(ComponentVisibility[[#This Row],[IIG]:[SHMHP]],IsPrograms)&gt;0</f>
        <v>0</v>
      </c>
      <c r="L19" s="962">
        <v>1</v>
      </c>
      <c r="M19" s="962">
        <v>0</v>
      </c>
      <c r="N19" s="962">
        <v>0</v>
      </c>
      <c r="O19" s="962">
        <v>0</v>
      </c>
      <c r="P19" s="962">
        <v>0</v>
      </c>
      <c r="Q19" s="962">
        <v>0</v>
      </c>
      <c r="R19" s="82"/>
      <c r="S19" s="586"/>
      <c r="T19" s="548" t="s">
        <v>427</v>
      </c>
      <c r="U19" s="586"/>
      <c r="V19" s="586"/>
      <c r="W19" s="82"/>
      <c r="X19" s="82"/>
      <c r="Y19" s="82"/>
      <c r="Z19" s="82"/>
      <c r="AA19" s="82"/>
      <c r="AB19" s="82"/>
    </row>
    <row r="20" spans="2:28" s="78" customFormat="1" ht="18" customHeight="1">
      <c r="B20" s="968" t="s">
        <v>428</v>
      </c>
      <c r="C20" s="969">
        <f>ROW('Development Sources'!A8)</f>
        <v>8</v>
      </c>
      <c r="D20" s="969">
        <f>ROW('Development Sources'!A8)</f>
        <v>8</v>
      </c>
      <c r="E20" s="969"/>
      <c r="F20" s="969"/>
      <c r="G20" s="967" t="b">
        <f>OR(ComponentVisibility[[#This Row],[Force True]],AND(ComponentVisibility[[#This Row],[Program True]],NOT(ComponentVisibility[[#This Row],[Force False]])))</f>
        <v>0</v>
      </c>
      <c r="H20" s="966" t="s">
        <v>416</v>
      </c>
      <c r="I20" s="967"/>
      <c r="J20" s="962"/>
      <c r="K20" s="967" t="b">
        <f>SUMPRODUCT(ComponentVisibility[[#This Row],[IIG]:[SHMHP]],IsPrograms)&gt;0</f>
        <v>0</v>
      </c>
      <c r="L20" s="962">
        <v>1</v>
      </c>
      <c r="M20" s="962">
        <v>0</v>
      </c>
      <c r="N20" s="962">
        <v>0</v>
      </c>
      <c r="O20" s="962">
        <v>0</v>
      </c>
      <c r="P20" s="962">
        <v>0</v>
      </c>
      <c r="Q20" s="962">
        <v>0</v>
      </c>
      <c r="R20" s="82"/>
      <c r="S20" s="586"/>
      <c r="T20" s="588"/>
      <c r="U20" s="586"/>
      <c r="V20" s="586"/>
      <c r="W20" s="82"/>
      <c r="X20" s="82"/>
      <c r="Y20" s="82"/>
      <c r="Z20" s="82"/>
      <c r="AA20" s="82"/>
      <c r="AB20" s="82"/>
    </row>
    <row r="21" spans="2:28" s="78" customFormat="1" ht="18" customHeight="1">
      <c r="B21" s="968" t="s">
        <v>428</v>
      </c>
      <c r="C21" s="969">
        <f>ROW('Development Sources'!A9)</f>
        <v>9</v>
      </c>
      <c r="D21" s="969">
        <f>ROW('Development Sources'!A9)</f>
        <v>9</v>
      </c>
      <c r="E21" s="969"/>
      <c r="F21" s="969"/>
      <c r="G21" s="967" t="b">
        <f>OR(ComponentVisibility[[#This Row],[Force True]],AND(ComponentVisibility[[#This Row],[Program True]],NOT(ComponentVisibility[[#This Row],[Force False]])))</f>
        <v>0</v>
      </c>
      <c r="H21" s="966" t="s">
        <v>416</v>
      </c>
      <c r="I21" s="967"/>
      <c r="J21" s="962"/>
      <c r="K21" s="967" t="b">
        <f>SUMPRODUCT(ComponentVisibility[[#This Row],[IIG]:[SHMHP]],IsPrograms)&gt;0</f>
        <v>0</v>
      </c>
      <c r="L21" s="962">
        <v>0</v>
      </c>
      <c r="M21" s="962">
        <v>0</v>
      </c>
      <c r="N21" s="962">
        <v>0</v>
      </c>
      <c r="O21" s="962">
        <v>0</v>
      </c>
      <c r="P21" s="962">
        <v>0</v>
      </c>
      <c r="Q21" s="962">
        <v>1</v>
      </c>
      <c r="R21" s="82"/>
      <c r="S21" s="586"/>
      <c r="T21" s="588"/>
      <c r="U21" s="586"/>
      <c r="V21" s="586"/>
      <c r="W21" s="82"/>
      <c r="X21" s="82"/>
      <c r="Y21" s="82"/>
      <c r="Z21" s="82"/>
      <c r="AA21" s="82"/>
      <c r="AB21" s="82"/>
    </row>
    <row r="22" spans="2:28" s="78" customFormat="1" ht="18" customHeight="1">
      <c r="B22" s="968" t="s">
        <v>428</v>
      </c>
      <c r="C22" s="969">
        <f>ROW('Development Sources'!A12)</f>
        <v>12</v>
      </c>
      <c r="D22" s="969">
        <f>ROW('Development Sources'!A12)</f>
        <v>12</v>
      </c>
      <c r="E22" s="969"/>
      <c r="F22" s="969"/>
      <c r="G22" s="967" t="b">
        <f>OR(ComponentVisibility[[#This Row],[Force True]],AND(ComponentVisibility[[#This Row],[Program True]],NOT(ComponentVisibility[[#This Row],[Force False]])))</f>
        <v>0</v>
      </c>
      <c r="H22" s="966" t="s">
        <v>416</v>
      </c>
      <c r="I22" s="967"/>
      <c r="J22" s="962"/>
      <c r="K22" s="967" t="b">
        <f>SUMPRODUCT(ComponentVisibility[[#This Row],[IIG]:[SHMHP]],IsPrograms)&gt;0</f>
        <v>0</v>
      </c>
      <c r="L22" s="962">
        <v>0</v>
      </c>
      <c r="M22" s="962">
        <v>0</v>
      </c>
      <c r="N22" s="962">
        <v>0</v>
      </c>
      <c r="O22" s="962">
        <v>1</v>
      </c>
      <c r="P22" s="962">
        <v>0</v>
      </c>
      <c r="Q22" s="962">
        <v>0</v>
      </c>
      <c r="R22" s="82"/>
      <c r="S22" s="586"/>
      <c r="T22" s="588"/>
      <c r="U22" s="586"/>
      <c r="V22" s="586"/>
      <c r="W22" s="82"/>
      <c r="X22" s="82"/>
      <c r="Y22" s="82"/>
      <c r="Z22" s="82"/>
      <c r="AA22" s="82"/>
      <c r="AB22" s="82"/>
    </row>
    <row r="23" spans="2:28" s="78" customFormat="1" ht="18" customHeight="1">
      <c r="B23" s="968" t="s">
        <v>428</v>
      </c>
      <c r="C23" s="969">
        <f>ROW('Development Sources'!A37)</f>
        <v>37</v>
      </c>
      <c r="D23" s="969">
        <f>ROW('Development Sources'!A37)</f>
        <v>37</v>
      </c>
      <c r="E23" s="969"/>
      <c r="F23" s="969"/>
      <c r="G23" s="967" t="b">
        <f>OR(ComponentVisibility[[#This Row],[Force True]],AND(ComponentVisibility[[#This Row],[Program True]],NOT(ComponentVisibility[[#This Row],[Force False]])))</f>
        <v>0</v>
      </c>
      <c r="H23" s="966" t="s">
        <v>416</v>
      </c>
      <c r="I23" s="967"/>
      <c r="J23" s="962"/>
      <c r="K23" s="967" t="b">
        <f>SUMPRODUCT(ComponentVisibility[[#This Row],[IIG]:[SHMHP]],IsPrograms)&gt;0</f>
        <v>0</v>
      </c>
      <c r="L23" s="962">
        <v>1</v>
      </c>
      <c r="M23" s="962">
        <v>0</v>
      </c>
      <c r="N23" s="962">
        <v>0</v>
      </c>
      <c r="O23" s="962">
        <v>0</v>
      </c>
      <c r="P23" s="962">
        <v>0</v>
      </c>
      <c r="Q23" s="962">
        <v>0</v>
      </c>
      <c r="R23" s="82"/>
      <c r="S23" s="586"/>
      <c r="T23" s="588"/>
      <c r="U23" s="586"/>
      <c r="V23" s="586"/>
      <c r="W23" s="82"/>
      <c r="X23" s="82"/>
      <c r="Y23" s="82"/>
      <c r="Z23" s="82"/>
      <c r="AA23" s="82"/>
      <c r="AB23" s="82"/>
    </row>
    <row r="24" spans="2:28" s="78" customFormat="1" ht="18" customHeight="1">
      <c r="B24" s="968" t="s">
        <v>428</v>
      </c>
      <c r="C24" s="969">
        <f>ROW('Development Sources'!A38)</f>
        <v>38</v>
      </c>
      <c r="D24" s="969">
        <f>ROW('Development Sources'!A38)</f>
        <v>38</v>
      </c>
      <c r="E24" s="969"/>
      <c r="F24" s="969"/>
      <c r="G24" s="967" t="b">
        <f>OR(ComponentVisibility[[#This Row],[Force True]],AND(ComponentVisibility[[#This Row],[Program True]],NOT(ComponentVisibility[[#This Row],[Force False]])))</f>
        <v>0</v>
      </c>
      <c r="H24" s="966" t="s">
        <v>416</v>
      </c>
      <c r="I24" s="967"/>
      <c r="J24" s="962"/>
      <c r="K24" s="967" t="b">
        <f>SUMPRODUCT(ComponentVisibility[[#This Row],[IIG]:[SHMHP]],IsPrograms)&gt;0</f>
        <v>0</v>
      </c>
      <c r="L24" s="962">
        <v>0</v>
      </c>
      <c r="M24" s="962">
        <v>0</v>
      </c>
      <c r="N24" s="962">
        <v>0</v>
      </c>
      <c r="O24" s="962">
        <v>0</v>
      </c>
      <c r="P24" s="962">
        <v>0</v>
      </c>
      <c r="Q24" s="962">
        <v>1</v>
      </c>
      <c r="R24" s="82"/>
      <c r="S24" s="586"/>
      <c r="T24" s="588"/>
      <c r="U24" s="586"/>
      <c r="V24" s="586"/>
      <c r="W24" s="82"/>
      <c r="X24" s="82"/>
      <c r="Y24" s="82"/>
      <c r="Z24" s="82"/>
      <c r="AA24" s="82"/>
      <c r="AB24" s="82"/>
    </row>
    <row r="25" spans="2:28" s="78" customFormat="1" ht="18" customHeight="1">
      <c r="B25" s="968" t="s">
        <v>428</v>
      </c>
      <c r="C25" s="969">
        <f>ROW('Development Sources'!A39)</f>
        <v>39</v>
      </c>
      <c r="D25" s="969">
        <f>ROW('Development Sources'!A39)</f>
        <v>39</v>
      </c>
      <c r="E25" s="969"/>
      <c r="F25" s="969"/>
      <c r="G25" s="967" t="b">
        <f>OR(ComponentVisibility[[#This Row],[Force True]],AND(ComponentVisibility[[#This Row],[Program True]],NOT(ComponentVisibility[[#This Row],[Force False]])))</f>
        <v>0</v>
      </c>
      <c r="H25" s="966" t="s">
        <v>416</v>
      </c>
      <c r="I25" s="967"/>
      <c r="J25" s="962"/>
      <c r="K25" s="967" t="b">
        <f>SUMPRODUCT(ComponentVisibility[[#This Row],[IIG]:[SHMHP]],IsPrograms)&gt;0</f>
        <v>0</v>
      </c>
      <c r="L25" s="962">
        <v>0</v>
      </c>
      <c r="M25" s="962">
        <v>1</v>
      </c>
      <c r="N25" s="962">
        <v>0</v>
      </c>
      <c r="O25" s="962">
        <v>0</v>
      </c>
      <c r="P25" s="962">
        <v>0</v>
      </c>
      <c r="Q25" s="962">
        <v>0</v>
      </c>
      <c r="R25" s="82"/>
      <c r="S25" s="586"/>
      <c r="T25" s="588"/>
      <c r="U25" s="586"/>
      <c r="V25" s="586"/>
      <c r="W25" s="82"/>
      <c r="X25" s="82"/>
      <c r="Y25" s="82"/>
      <c r="Z25" s="82"/>
      <c r="AA25" s="82"/>
      <c r="AB25" s="82"/>
    </row>
    <row r="26" spans="2:28" s="78" customFormat="1" ht="18" customHeight="1">
      <c r="B26" s="968" t="s">
        <v>428</v>
      </c>
      <c r="C26" s="969">
        <f>ROW('Development Sources'!A41)</f>
        <v>41</v>
      </c>
      <c r="D26" s="969">
        <f>ROW('Development Sources'!A41)</f>
        <v>41</v>
      </c>
      <c r="E26" s="969"/>
      <c r="F26" s="969"/>
      <c r="G26" s="967" t="b">
        <f>OR(ComponentVisibility[[#This Row],[Force True]],AND(ComponentVisibility[[#This Row],[Program True]],NOT(ComponentVisibility[[#This Row],[Force False]])))</f>
        <v>0</v>
      </c>
      <c r="H26" s="966" t="s">
        <v>416</v>
      </c>
      <c r="I26" s="967"/>
      <c r="J26" s="962"/>
      <c r="K26" s="967" t="b">
        <f>SUMPRODUCT(ComponentVisibility[[#This Row],[IIG]:[SHMHP]],IsPrograms)&gt;0</f>
        <v>0</v>
      </c>
      <c r="L26" s="962">
        <v>0</v>
      </c>
      <c r="M26" s="962">
        <v>0</v>
      </c>
      <c r="N26" s="962">
        <v>0</v>
      </c>
      <c r="O26" s="962">
        <v>1</v>
      </c>
      <c r="P26" s="962">
        <v>0</v>
      </c>
      <c r="Q26" s="962">
        <v>0</v>
      </c>
      <c r="R26" s="82"/>
      <c r="S26" s="586"/>
      <c r="T26" s="588"/>
      <c r="U26" s="586"/>
      <c r="V26" s="586"/>
      <c r="W26" s="82"/>
      <c r="X26" s="82"/>
      <c r="Y26" s="82"/>
      <c r="Z26" s="82"/>
      <c r="AA26" s="82"/>
      <c r="AB26" s="82"/>
    </row>
    <row r="27" spans="2:28" s="78" customFormat="1" ht="18" customHeight="1">
      <c r="B27" s="968" t="s">
        <v>428</v>
      </c>
      <c r="C27" s="969">
        <f>ROW('Development Sources'!A42)</f>
        <v>42</v>
      </c>
      <c r="D27" s="969">
        <f>ROW('Development Sources'!A42)</f>
        <v>42</v>
      </c>
      <c r="E27" s="969"/>
      <c r="F27" s="969"/>
      <c r="G27" s="967" t="b">
        <f>OR(ComponentVisibility[[#This Row],[Force True]],AND(ComponentVisibility[[#This Row],[Program True]],NOT(ComponentVisibility[[#This Row],[Force False]])))</f>
        <v>0</v>
      </c>
      <c r="H27" s="966" t="s">
        <v>416</v>
      </c>
      <c r="I27" s="967"/>
      <c r="J27" s="962"/>
      <c r="K27" s="967" t="b">
        <f>SUMPRODUCT(ComponentVisibility[[#This Row],[IIG]:[SHMHP]],IsPrograms)&gt;0</f>
        <v>0</v>
      </c>
      <c r="L27" s="962">
        <v>0</v>
      </c>
      <c r="M27" s="962">
        <v>0</v>
      </c>
      <c r="N27" s="962">
        <v>0</v>
      </c>
      <c r="O27" s="962">
        <v>0</v>
      </c>
      <c r="P27" s="962">
        <v>1</v>
      </c>
      <c r="Q27" s="962">
        <v>0</v>
      </c>
      <c r="R27" s="82"/>
      <c r="S27" s="586"/>
      <c r="T27" s="588"/>
      <c r="U27" s="586"/>
      <c r="V27" s="586"/>
      <c r="W27" s="82"/>
      <c r="X27" s="82"/>
      <c r="Y27" s="82"/>
      <c r="Z27" s="82"/>
      <c r="AA27" s="82"/>
      <c r="AB27" s="82"/>
    </row>
    <row r="28" spans="2:28" s="78" customFormat="1" ht="18" customHeight="1">
      <c r="B28" s="968" t="s">
        <v>428</v>
      </c>
      <c r="C28" s="969">
        <f>ROW('Development Sources'!A43)</f>
        <v>43</v>
      </c>
      <c r="D28" s="969">
        <f>ROW('Development Sources'!A43)</f>
        <v>43</v>
      </c>
      <c r="E28" s="969"/>
      <c r="F28" s="969"/>
      <c r="G28" s="967" t="b">
        <f>OR(ComponentVisibility[[#This Row],[Force True]],AND(ComponentVisibility[[#This Row],[Program True]],NOT(ComponentVisibility[[#This Row],[Force False]])))</f>
        <v>0</v>
      </c>
      <c r="H28" s="966" t="s">
        <v>416</v>
      </c>
      <c r="I28" s="967" t="b">
        <f>vmMHPSSR="Yes"</f>
        <v>0</v>
      </c>
      <c r="J28" s="962"/>
      <c r="K28" s="967" t="b">
        <f>SUMPRODUCT(ComponentVisibility[[#This Row],[IIG]:[SHMHP]],IsPrograms)&gt;0</f>
        <v>0</v>
      </c>
      <c r="L28" s="962">
        <v>0</v>
      </c>
      <c r="M28" s="962">
        <v>0</v>
      </c>
      <c r="N28" s="962">
        <v>0</v>
      </c>
      <c r="O28" s="962">
        <v>0</v>
      </c>
      <c r="P28" s="962">
        <v>0</v>
      </c>
      <c r="Q28" s="962">
        <v>0</v>
      </c>
      <c r="R28" s="82"/>
      <c r="S28" s="586"/>
      <c r="T28" s="588"/>
      <c r="U28" s="586"/>
      <c r="V28" s="586"/>
      <c r="W28" s="82"/>
      <c r="X28" s="82"/>
      <c r="Y28" s="82"/>
      <c r="Z28" s="82"/>
      <c r="AA28" s="82"/>
      <c r="AB28" s="82"/>
    </row>
    <row r="29" spans="2:28" s="78" customFormat="1" ht="18" customHeight="1">
      <c r="B29" s="968" t="s">
        <v>429</v>
      </c>
      <c r="C29" s="969">
        <f>ROW('Developer Fee'!A9)</f>
        <v>9</v>
      </c>
      <c r="D29" s="969">
        <f>ROW('Developer Fee'!A9)</f>
        <v>9</v>
      </c>
      <c r="E29" s="969"/>
      <c r="F29" s="969"/>
      <c r="G29" s="967" t="b">
        <f>OR(ComponentVisibility[[#This Row],[Force True]],AND(ComponentVisibility[[#This Row],[Program True]],NOT(ComponentVisibility[[#This Row],[Force False]])))</f>
        <v>0</v>
      </c>
      <c r="H29" s="966" t="s">
        <v>416</v>
      </c>
      <c r="I29" s="967" t="b">
        <f>vmADM2403="Yes"</f>
        <v>0</v>
      </c>
      <c r="J29" s="962"/>
      <c r="K29" s="967" t="b">
        <f>SUMPRODUCT(ComponentVisibility[[#This Row],[IIG]:[SHMHP]],IsPrograms)&gt;0</f>
        <v>0</v>
      </c>
      <c r="L29" s="962"/>
      <c r="M29" s="962"/>
      <c r="N29" s="962"/>
      <c r="O29" s="962"/>
      <c r="P29" s="962"/>
      <c r="Q29" s="962"/>
      <c r="R29" s="82"/>
      <c r="S29" s="586"/>
      <c r="T29" s="588"/>
      <c r="U29" s="586"/>
      <c r="V29" s="586"/>
      <c r="W29" s="82"/>
      <c r="X29" s="82"/>
      <c r="Y29" s="82"/>
      <c r="Z29" s="82"/>
      <c r="AA29" s="82"/>
      <c r="AB29" s="82"/>
    </row>
    <row r="30" spans="2:28" s="78" customFormat="1" ht="18" customHeight="1">
      <c r="B30" s="968" t="s">
        <v>429</v>
      </c>
      <c r="C30" s="969">
        <f>ROW('Developer Fee'!A11)</f>
        <v>11</v>
      </c>
      <c r="D30" s="969">
        <f>ROW('Developer Fee'!A25)</f>
        <v>25</v>
      </c>
      <c r="E30" s="969"/>
      <c r="F30" s="969"/>
      <c r="G30" s="967" t="b">
        <f>OR(ComponentVisibility[[#This Row],[Force True]],AND(ComponentVisibility[[#This Row],[Program True]],NOT(ComponentVisibility[[#This Row],[Force False]])))</f>
        <v>0</v>
      </c>
      <c r="H30" s="966" t="s">
        <v>416</v>
      </c>
      <c r="I30" s="967" t="b">
        <f>vmADM2403="No"</f>
        <v>0</v>
      </c>
      <c r="J30" s="962"/>
      <c r="K30" s="967" t="b">
        <f>SUMPRODUCT(ComponentVisibility[[#This Row],[IIG]:[SHMHP]],IsPrograms)&gt;0</f>
        <v>0</v>
      </c>
      <c r="L30" s="962"/>
      <c r="M30" s="962"/>
      <c r="N30" s="962"/>
      <c r="O30" s="962"/>
      <c r="P30" s="962"/>
      <c r="Q30" s="962"/>
      <c r="R30" s="82"/>
      <c r="S30" s="586"/>
      <c r="T30" s="588"/>
      <c r="U30" s="586"/>
      <c r="V30" s="586"/>
      <c r="W30" s="82"/>
      <c r="X30" s="82"/>
      <c r="Y30" s="82"/>
      <c r="Z30" s="82"/>
      <c r="AA30" s="82"/>
      <c r="AB30" s="82"/>
    </row>
    <row r="31" spans="2:28" s="78" customFormat="1" ht="18" customHeight="1">
      <c r="B31" s="968" t="s">
        <v>429</v>
      </c>
      <c r="C31" s="969">
        <f>ROW('Developer Fee'!A26)</f>
        <v>26</v>
      </c>
      <c r="D31" s="969">
        <f>ROW('Developer Fee'!A28)</f>
        <v>28</v>
      </c>
      <c r="E31" s="969"/>
      <c r="F31" s="969"/>
      <c r="G31" s="967" t="b">
        <f>OR(ComponentVisibility[[#This Row],[Force True]],AND(ComponentVisibility[[#This Row],[Program True]],NOT(ComponentVisibility[[#This Row],[Force False]])))</f>
        <v>0</v>
      </c>
      <c r="H31" s="966" t="s">
        <v>416</v>
      </c>
      <c r="I31" s="967" t="b">
        <f>OR(LEFT(vmDF,1)="9",LEFT(vmDF,1)="4",AND(vmProjectDevType="New Construction",vmDF="No Tax Credits"))</f>
        <v>0</v>
      </c>
      <c r="J31" s="962"/>
      <c r="K31" s="967" t="b">
        <f>SUMPRODUCT(ComponentVisibility[[#This Row],[IIG]:[SHMHP]],IsPrograms)&gt;0</f>
        <v>0</v>
      </c>
      <c r="L31" s="962"/>
      <c r="M31" s="962"/>
      <c r="N31" s="962"/>
      <c r="O31" s="962"/>
      <c r="P31" s="962"/>
      <c r="Q31" s="962"/>
      <c r="R31" s="82"/>
      <c r="S31" s="586"/>
      <c r="T31" s="588"/>
      <c r="U31" s="586"/>
      <c r="V31" s="586"/>
      <c r="W31" s="82"/>
      <c r="X31" s="82"/>
      <c r="Y31" s="82"/>
      <c r="Z31" s="82"/>
      <c r="AA31" s="82"/>
      <c r="AB31" s="82"/>
    </row>
    <row r="32" spans="2:28" s="78" customFormat="1" ht="18" customHeight="1">
      <c r="B32" s="968" t="s">
        <v>429</v>
      </c>
      <c r="C32" s="969">
        <f>ROW('Developer Fee'!A29)</f>
        <v>29</v>
      </c>
      <c r="D32" s="969">
        <f>ROW('Developer Fee'!A37)</f>
        <v>37</v>
      </c>
      <c r="E32" s="969"/>
      <c r="F32" s="969"/>
      <c r="G32" s="967" t="b">
        <f>OR(ComponentVisibility[[#This Row],[Force True]],AND(ComponentVisibility[[#This Row],[Program True]],NOT(ComponentVisibility[[#This Row],[Force False]])))</f>
        <v>0</v>
      </c>
      <c r="H32" s="966" t="s">
        <v>416</v>
      </c>
      <c r="I32" s="967" t="b">
        <f>OR(LEFT(vmDF,1)="9",AND(vmProjectDevType="New Construction",vmDF="No Tax Credits"))</f>
        <v>0</v>
      </c>
      <c r="J32" s="962"/>
      <c r="K32" s="967" t="b">
        <f>SUMPRODUCT(ComponentVisibility[[#This Row],[IIG]:[SHMHP]],IsPrograms)&gt;0</f>
        <v>0</v>
      </c>
      <c r="L32" s="962"/>
      <c r="M32" s="962"/>
      <c r="N32" s="962"/>
      <c r="O32" s="962"/>
      <c r="P32" s="962"/>
      <c r="Q32" s="962"/>
      <c r="R32" s="82"/>
      <c r="S32" s="586"/>
      <c r="T32" s="588"/>
      <c r="U32" s="586"/>
      <c r="V32" s="586"/>
      <c r="W32" s="82"/>
      <c r="X32" s="82"/>
      <c r="Y32" s="82"/>
      <c r="Z32" s="82"/>
      <c r="AA32" s="82"/>
      <c r="AB32" s="82"/>
    </row>
    <row r="33" spans="2:28" s="78" customFormat="1" ht="18" customHeight="1">
      <c r="B33" s="968" t="s">
        <v>429</v>
      </c>
      <c r="C33" s="969">
        <f>ROW('Developer Fee'!A38)</f>
        <v>38</v>
      </c>
      <c r="D33" s="969">
        <f>ROW('Developer Fee'!A56)</f>
        <v>56</v>
      </c>
      <c r="E33" s="969"/>
      <c r="F33" s="969"/>
      <c r="G33" s="967" t="b">
        <f>OR(ComponentVisibility[[#This Row],[Force True]],AND(ComponentVisibility[[#This Row],[Program True]],NOT(ComponentVisibility[[#This Row],[Force False]])))</f>
        <v>0</v>
      </c>
      <c r="H33" s="966" t="s">
        <v>416</v>
      </c>
      <c r="I33" s="967" t="b">
        <f>LEFT(vmDF,1)="4"</f>
        <v>0</v>
      </c>
      <c r="J33" s="962"/>
      <c r="K33" s="967" t="b">
        <f>SUMPRODUCT(ComponentVisibility[[#This Row],[IIG]:[SHMHP]],IsPrograms)&gt;0</f>
        <v>0</v>
      </c>
      <c r="L33" s="962"/>
      <c r="M33" s="962"/>
      <c r="N33" s="962"/>
      <c r="O33" s="962"/>
      <c r="P33" s="962"/>
      <c r="Q33" s="962"/>
      <c r="R33" s="82"/>
      <c r="S33" s="586"/>
      <c r="T33" s="588"/>
      <c r="U33" s="586"/>
      <c r="V33" s="586"/>
      <c r="W33" s="82"/>
      <c r="X33" s="82"/>
      <c r="Y33" s="82"/>
      <c r="Z33" s="82"/>
      <c r="AA33" s="82"/>
      <c r="AB33" s="82"/>
    </row>
    <row r="34" spans="2:28" s="78" customFormat="1" ht="18" customHeight="1">
      <c r="B34" s="968" t="s">
        <v>429</v>
      </c>
      <c r="C34" s="969">
        <f>ROW('Developer Fee'!A57)</f>
        <v>57</v>
      </c>
      <c r="D34" s="969">
        <f>ROW('Developer Fee'!A78)</f>
        <v>78</v>
      </c>
      <c r="E34" s="969"/>
      <c r="F34" s="969"/>
      <c r="G34" s="967" t="b">
        <f>OR(ComponentVisibility[[#This Row],[Force True]],AND(ComponentVisibility[[#This Row],[Program True]],NOT(ComponentVisibility[[#This Row],[Force False]])))</f>
        <v>0</v>
      </c>
      <c r="H34" s="966" t="s">
        <v>416</v>
      </c>
      <c r="I34" s="970" t="b">
        <f>IF(AND(vmProjectDevType="New Construction",vmDF="No Tax Credits"),FALSE,vmDF="No Tax Credits")</f>
        <v>0</v>
      </c>
      <c r="J34" s="962"/>
      <c r="K34" s="967" t="b">
        <f>SUMPRODUCT(ComponentVisibility[[#This Row],[IIG]:[SHMHP]],IsPrograms)&gt;0</f>
        <v>0</v>
      </c>
      <c r="L34" s="962"/>
      <c r="M34" s="962"/>
      <c r="N34" s="962"/>
      <c r="O34" s="962"/>
      <c r="P34" s="962"/>
      <c r="Q34" s="962"/>
      <c r="R34" s="82"/>
      <c r="S34" s="586"/>
      <c r="T34" s="588"/>
      <c r="U34" s="586"/>
      <c r="V34" s="586"/>
      <c r="W34" s="82"/>
      <c r="X34" s="82"/>
      <c r="Y34" s="82"/>
      <c r="Z34" s="82"/>
      <c r="AA34" s="82"/>
      <c r="AB34" s="82"/>
    </row>
    <row r="35" spans="2:28" s="78" customFormat="1" ht="18" customHeight="1">
      <c r="B35" s="966" t="s">
        <v>418</v>
      </c>
      <c r="C35" s="967">
        <f>ROW('FWHG Threshold Requirements'!A14)</f>
        <v>14</v>
      </c>
      <c r="D35" s="967">
        <f>ROW('FWHG Threshold Requirements'!A14)</f>
        <v>14</v>
      </c>
      <c r="E35" s="967"/>
      <c r="F35" s="967"/>
      <c r="G35" s="962" t="b">
        <f>OR(ComponentVisibility[[#This Row],[Force True]],AND(ComponentVisibility[[#This Row],[Program True]],NOT(ComponentVisibility[[#This Row],[Force False]])))</f>
        <v>0</v>
      </c>
      <c r="H35" s="966" t="s">
        <v>416</v>
      </c>
      <c r="I35" s="967" t="b">
        <f>OR(vmProjectDevType="New Construction",vmProjectDevType="New Construction &amp; Acq/Rehab")</f>
        <v>0</v>
      </c>
      <c r="J35" s="962"/>
      <c r="K35" s="962" t="b">
        <f>SUMPRODUCT(ComponentVisibility[[#This Row],[IIG]:[SHMHP]],IsPrograms)&gt;0</f>
        <v>0</v>
      </c>
      <c r="L35" s="962"/>
      <c r="M35" s="962"/>
      <c r="N35" s="962"/>
      <c r="O35" s="962"/>
      <c r="P35" s="962"/>
      <c r="Q35" s="962"/>
      <c r="R35" s="82"/>
      <c r="S35" s="586"/>
      <c r="T35" s="588"/>
      <c r="U35" s="586"/>
      <c r="V35" s="586"/>
      <c r="W35" s="82"/>
      <c r="X35" s="82"/>
      <c r="Y35" s="82"/>
      <c r="Z35" s="82"/>
      <c r="AA35" s="82"/>
      <c r="AB35" s="82"/>
    </row>
    <row r="36" spans="2:28" s="78" customFormat="1" ht="18" customHeight="1">
      <c r="B36" s="966" t="s">
        <v>418</v>
      </c>
      <c r="C36" s="967">
        <f>ROW('FWHG Threshold Requirements'!A15)</f>
        <v>15</v>
      </c>
      <c r="D36" s="967">
        <f>ROW('FWHG Threshold Requirements'!A15)</f>
        <v>15</v>
      </c>
      <c r="E36" s="967"/>
      <c r="F36" s="967"/>
      <c r="G36" s="962" t="b">
        <f>OR(ComponentVisibility[[#This Row],[Force True]],AND(ComponentVisibility[[#This Row],[Program True]],NOT(ComponentVisibility[[#This Row],[Force False]])))</f>
        <v>0</v>
      </c>
      <c r="H36" s="966" t="s">
        <v>416</v>
      </c>
      <c r="I36" s="967" t="b">
        <f>OR(vmProjectDevType="Rehabilitation",vmProjectDevType="Acquisition &amp; Rehabilitation")</f>
        <v>0</v>
      </c>
      <c r="J36" s="962"/>
      <c r="K36" s="962" t="b">
        <f>SUMPRODUCT(ComponentVisibility[[#This Row],[IIG]:[SHMHP]],IsPrograms)&gt;0</f>
        <v>0</v>
      </c>
      <c r="L36" s="962"/>
      <c r="M36" s="962"/>
      <c r="N36" s="962"/>
      <c r="O36" s="962"/>
      <c r="P36" s="962"/>
      <c r="Q36" s="962"/>
      <c r="R36" s="82"/>
      <c r="S36" s="586"/>
      <c r="T36" s="588"/>
      <c r="U36" s="586"/>
      <c r="V36" s="586"/>
      <c r="W36" s="82"/>
      <c r="X36" s="82"/>
      <c r="Y36" s="82"/>
      <c r="Z36" s="82"/>
      <c r="AA36" s="82"/>
      <c r="AB36" s="82"/>
    </row>
    <row r="37" spans="2:28" s="78" customFormat="1" ht="18" customHeight="1">
      <c r="B37" s="966" t="s">
        <v>418</v>
      </c>
      <c r="C37" s="967">
        <f>ROW('FWHG Threshold Requirements'!A16)</f>
        <v>16</v>
      </c>
      <c r="D37" s="967">
        <f>ROW('FWHG Threshold Requirements'!A16)</f>
        <v>16</v>
      </c>
      <c r="E37" s="967"/>
      <c r="F37" s="967"/>
      <c r="G37" s="962" t="b">
        <f>OR(ComponentVisibility[[#This Row],[Force True]],AND(ComponentVisibility[[#This Row],[Program True]],NOT(ComponentVisibility[[#This Row],[Force False]])))</f>
        <v>0</v>
      </c>
      <c r="H37" s="966" t="s">
        <v>416</v>
      </c>
      <c r="I37" s="967" t="b">
        <f>AND(IsMhp,IsSenior,OR(vmProjectDevType="New Construction",vmProjectDevType="New Construction &amp; Acq/Rehab"))</f>
        <v>0</v>
      </c>
      <c r="J37" s="962"/>
      <c r="K37" s="962" t="b">
        <f>SUMPRODUCT(ComponentVisibility[[#This Row],[IIG]:[SHMHP]],IsPrograms)&gt;0</f>
        <v>0</v>
      </c>
      <c r="L37" s="962"/>
      <c r="M37" s="962"/>
      <c r="N37" s="962"/>
      <c r="O37" s="962"/>
      <c r="P37" s="962"/>
      <c r="Q37" s="962"/>
      <c r="R37" s="82"/>
      <c r="S37" s="586"/>
      <c r="T37" s="588"/>
      <c r="U37" s="586"/>
      <c r="V37" s="586"/>
      <c r="W37" s="82"/>
      <c r="X37" s="82"/>
      <c r="Y37" s="82"/>
      <c r="Z37" s="82"/>
      <c r="AA37" s="82"/>
      <c r="AB37" s="82"/>
    </row>
    <row r="38" spans="2:28" s="78" customFormat="1" ht="18" customHeight="1">
      <c r="B38" s="966" t="s">
        <v>418</v>
      </c>
      <c r="C38" s="967">
        <f>ROW('FWHG Threshold Requirements'!A17)</f>
        <v>17</v>
      </c>
      <c r="D38" s="967">
        <f>ROW('FWHG Threshold Requirements'!A17)</f>
        <v>17</v>
      </c>
      <c r="E38" s="967"/>
      <c r="F38" s="967"/>
      <c r="G38" s="962" t="b">
        <f>OR(ComponentVisibility[[#This Row],[Force True]],AND(ComponentVisibility[[#This Row],[Program True]],NOT(ComponentVisibility[[#This Row],[Force False]])))</f>
        <v>0</v>
      </c>
      <c r="H38" s="966" t="s">
        <v>416</v>
      </c>
      <c r="I38" s="967" t="b">
        <f>AND(IsMhp,IsSenior,OR(vmProjectDevType="Rehabilitation",vmProjectDevType="Acquisition &amp; Rehabilitation"))</f>
        <v>0</v>
      </c>
      <c r="J38" s="962"/>
      <c r="K38" s="962" t="b">
        <f>SUMPRODUCT(ComponentVisibility[[#This Row],[IIG]:[SHMHP]],IsPrograms)&gt;0</f>
        <v>0</v>
      </c>
      <c r="L38" s="962"/>
      <c r="M38" s="962"/>
      <c r="N38" s="962"/>
      <c r="O38" s="962"/>
      <c r="P38" s="962"/>
      <c r="Q38" s="962"/>
      <c r="R38" s="82"/>
      <c r="S38" s="586"/>
      <c r="T38" s="588"/>
      <c r="U38" s="586"/>
      <c r="V38" s="586"/>
      <c r="W38" s="82"/>
      <c r="X38" s="82"/>
      <c r="Y38" s="82"/>
      <c r="Z38" s="82"/>
      <c r="AA38" s="82"/>
      <c r="AB38" s="82"/>
    </row>
    <row r="39" spans="2:28" s="78" customFormat="1" ht="18" customHeight="1">
      <c r="B39" s="966" t="s">
        <v>418</v>
      </c>
      <c r="C39" s="967">
        <f>ROW('FWHG Threshold Requirements'!A37)</f>
        <v>37</v>
      </c>
      <c r="D39" s="967">
        <f>ROW('FWHG Threshold Requirements'!A39)</f>
        <v>39</v>
      </c>
      <c r="E39" s="967"/>
      <c r="F39" s="967"/>
      <c r="G39" s="962" t="b">
        <f>OR(ComponentVisibility[[#This Row],[Force True]],AND(ComponentVisibility[[#This Row],[Program True]],NOT(ComponentVisibility[[#This Row],[Force False]])))</f>
        <v>0</v>
      </c>
      <c r="H39" s="966" t="s">
        <v>416</v>
      </c>
      <c r="I39" s="962" t="b">
        <f>vmTribalEntity="Yes"</f>
        <v>0</v>
      </c>
      <c r="J39" s="962"/>
      <c r="K39" s="962" t="b">
        <f>SUMPRODUCT(ComponentVisibility[[#This Row],[IIG]:[SHMHP]],IsPrograms)&gt;0</f>
        <v>0</v>
      </c>
      <c r="L39" s="962"/>
      <c r="M39" s="962"/>
      <c r="N39" s="962"/>
      <c r="O39" s="962"/>
      <c r="P39" s="962"/>
      <c r="Q39" s="962"/>
      <c r="R39" s="82"/>
      <c r="S39" s="586"/>
      <c r="T39" s="588"/>
      <c r="U39" s="586"/>
      <c r="V39" s="586"/>
      <c r="W39" s="82"/>
      <c r="X39" s="82"/>
      <c r="Y39" s="82"/>
      <c r="Z39" s="82"/>
      <c r="AA39" s="82"/>
      <c r="AB39" s="82"/>
    </row>
    <row r="40" spans="2:28" s="78" customFormat="1" ht="18" customHeight="1">
      <c r="B40" s="966" t="s">
        <v>418</v>
      </c>
      <c r="C40" s="967">
        <f>ROW('FWHG Threshold Requirements'!A62)</f>
        <v>62</v>
      </c>
      <c r="D40" s="967">
        <f>ROW('FWHG Threshold Requirements'!A62)</f>
        <v>62</v>
      </c>
      <c r="E40" s="967"/>
      <c r="F40" s="967"/>
      <c r="G40" s="962" t="b">
        <f>OR(ComponentVisibility[[#This Row],[Force True]],AND(ComponentVisibility[[#This Row],[Program True]],NOT(ComponentVisibility[[#This Row],[Force False]])))</f>
        <v>0</v>
      </c>
      <c r="H40" s="966" t="s">
        <v>416</v>
      </c>
      <c r="I40" s="962" t="b">
        <f>OR(vmED="Yes",vmCBD="Yes")</f>
        <v>0</v>
      </c>
      <c r="J40" s="962"/>
      <c r="K40" s="962" t="b">
        <f>SUMPRODUCT(ComponentVisibility[[#This Row],[IIG]:[SHMHP]],IsPrograms)&gt;0</f>
        <v>0</v>
      </c>
      <c r="L40" s="962"/>
      <c r="M40" s="962"/>
      <c r="N40" s="962"/>
      <c r="O40" s="962"/>
      <c r="P40" s="962"/>
      <c r="Q40" s="962"/>
      <c r="R40" s="82"/>
      <c r="S40" s="586"/>
      <c r="T40" s="588"/>
      <c r="U40" s="586"/>
      <c r="V40" s="586"/>
      <c r="W40" s="82"/>
      <c r="X40" s="82"/>
      <c r="Y40" s="82"/>
      <c r="Z40" s="82"/>
      <c r="AA40" s="82"/>
      <c r="AB40" s="82"/>
    </row>
    <row r="41" spans="2:28" s="78" customFormat="1" ht="18" customHeight="1">
      <c r="B41" s="968" t="s">
        <v>418</v>
      </c>
      <c r="C41" s="969">
        <f>ROW('FWHG Threshold Requirements'!A103)</f>
        <v>103</v>
      </c>
      <c r="D41" s="969">
        <f>ROW('FWHG Threshold Requirements'!A103)</f>
        <v>103</v>
      </c>
      <c r="E41" s="969"/>
      <c r="F41" s="969"/>
      <c r="G41" s="967" t="b">
        <f>OR(ComponentVisibility[[#This Row],[Force True]],AND(ComponentVisibility[[#This Row],[Program True]],NOT(ComponentVisibility[[#This Row],[Force False]])))</f>
        <v>0</v>
      </c>
      <c r="H41" s="966" t="s">
        <v>416</v>
      </c>
      <c r="I41" s="967" t="b">
        <f>vmFWHGHybrid="Yes"</f>
        <v>0</v>
      </c>
      <c r="J41" s="962"/>
      <c r="K41" s="967" t="b">
        <f>SUMPRODUCT(ComponentVisibility[[#This Row],[IIG]:[SHMHP]],IsPrograms)&gt;0</f>
        <v>0</v>
      </c>
      <c r="L41" s="962"/>
      <c r="M41" s="962"/>
      <c r="N41" s="962"/>
      <c r="O41" s="962"/>
      <c r="P41" s="962"/>
      <c r="Q41" s="962"/>
      <c r="R41" s="82"/>
      <c r="S41" s="586"/>
      <c r="T41" s="588"/>
      <c r="U41" s="586"/>
      <c r="V41" s="586"/>
      <c r="W41" s="82"/>
      <c r="X41" s="82"/>
      <c r="Y41" s="82"/>
      <c r="Z41" s="82"/>
      <c r="AA41" s="82"/>
      <c r="AB41" s="82"/>
    </row>
    <row r="42" spans="2:28" s="78" customFormat="1" ht="18" customHeight="1">
      <c r="B42" s="968" t="s">
        <v>418</v>
      </c>
      <c r="C42" s="969">
        <f>ROW('FWHG Threshold Requirements'!A114)</f>
        <v>114</v>
      </c>
      <c r="D42" s="969">
        <f>ROW('FWHG Threshold Requirements'!A114)</f>
        <v>114</v>
      </c>
      <c r="E42" s="969"/>
      <c r="F42" s="969"/>
      <c r="G42" s="967" t="b">
        <f>OR(ComponentVisibility[[#This Row],[Force True]],AND(ComponentVisibility[[#This Row],[Program True]],NOT(ComponentVisibility[[#This Row],[Force False]])))</f>
        <v>0</v>
      </c>
      <c r="H42" s="966" t="s">
        <v>416</v>
      </c>
      <c r="I42" s="967" t="b">
        <f>vmFWHGProposedRents="Yes"</f>
        <v>0</v>
      </c>
      <c r="J42" s="962"/>
      <c r="K42" s="967" t="b">
        <f>SUMPRODUCT(ComponentVisibility[[#This Row],[IIG]:[SHMHP]],IsPrograms)&gt;0</f>
        <v>0</v>
      </c>
      <c r="L42" s="962"/>
      <c r="M42" s="962"/>
      <c r="N42" s="962"/>
      <c r="O42" s="962"/>
      <c r="P42" s="962"/>
      <c r="Q42" s="962"/>
      <c r="R42" s="82"/>
      <c r="S42" s="586"/>
      <c r="T42" s="588"/>
      <c r="U42" s="586"/>
      <c r="V42" s="586"/>
      <c r="W42" s="82"/>
      <c r="X42" s="82"/>
      <c r="Y42" s="82"/>
      <c r="Z42" s="82"/>
      <c r="AA42" s="82"/>
      <c r="AB42" s="82"/>
    </row>
    <row r="43" spans="2:28" s="78" customFormat="1" ht="18" customHeight="1">
      <c r="B43" s="968" t="s">
        <v>418</v>
      </c>
      <c r="C43" s="969">
        <f>ROW('FWHG Threshold Requirements'!A115)</f>
        <v>115</v>
      </c>
      <c r="D43" s="969">
        <f>ROW('FWHG Threshold Requirements'!A116)</f>
        <v>116</v>
      </c>
      <c r="E43" s="969"/>
      <c r="F43" s="969"/>
      <c r="G43" s="967" t="b">
        <f>OR(ComponentVisibility[[#This Row],[Force True]],AND(ComponentVisibility[[#This Row],[Program True]],NOT(ComponentVisibility[[#This Row],[Force False]])))</f>
        <v>1</v>
      </c>
      <c r="H43" s="966" t="s">
        <v>416</v>
      </c>
      <c r="I43" s="967" t="b">
        <f>IF(AND(vmTribalEntity="Yes",vmIndianCountry="Indian Country"),FALSE,TRUE)</f>
        <v>1</v>
      </c>
      <c r="J43" s="962"/>
      <c r="K43" s="967" t="b">
        <f>SUMPRODUCT(ComponentVisibility[[#This Row],[IIG]:[SHMHP]],IsPrograms)&gt;0</f>
        <v>0</v>
      </c>
      <c r="L43" s="962"/>
      <c r="M43" s="962"/>
      <c r="N43" s="962"/>
      <c r="O43" s="962"/>
      <c r="P43" s="962"/>
      <c r="Q43" s="962"/>
      <c r="R43" s="82"/>
      <c r="S43" s="586"/>
      <c r="T43" s="588"/>
      <c r="U43" s="586"/>
      <c r="V43" s="586"/>
      <c r="W43" s="82"/>
      <c r="X43" s="82"/>
      <c r="Y43" s="82"/>
      <c r="Z43" s="82"/>
      <c r="AA43" s="82"/>
      <c r="AB43" s="82"/>
    </row>
    <row r="44" spans="2:28" s="78" customFormat="1" ht="18" customHeight="1">
      <c r="B44" s="966" t="s">
        <v>418</v>
      </c>
      <c r="C44" s="967">
        <f>ROW('FWHG Threshold Requirements'!A128)</f>
        <v>128</v>
      </c>
      <c r="D44" s="967">
        <f>ROW('FWHG Threshold Requirements'!A130)</f>
        <v>130</v>
      </c>
      <c r="E44" s="967"/>
      <c r="F44" s="967"/>
      <c r="G44" s="962" t="b">
        <f>OR(ComponentVisibility[[#This Row],[Force True]],AND(ComponentVisibility[[#This Row],[Program True]],NOT(ComponentVisibility[[#This Row],[Force False]])))</f>
        <v>1</v>
      </c>
      <c r="H44" s="966" t="s">
        <v>416</v>
      </c>
      <c r="I44" s="967" t="b">
        <f>IF(AND(vmTribalEntity="Yes",vmIndianCountry="Indian Country"),FALSE,TRUE)</f>
        <v>1</v>
      </c>
      <c r="J44" s="962"/>
      <c r="K44" s="962" t="b">
        <f>SUMPRODUCT(ComponentVisibility[[#This Row],[IIG]:[SHMHP]],IsPrograms)&gt;0</f>
        <v>0</v>
      </c>
      <c r="L44" s="962"/>
      <c r="M44" s="962"/>
      <c r="N44" s="962"/>
      <c r="O44" s="962"/>
      <c r="P44" s="962"/>
      <c r="Q44" s="962"/>
      <c r="R44" s="82"/>
      <c r="S44" s="586"/>
      <c r="T44" s="588"/>
      <c r="U44" s="586"/>
      <c r="V44" s="586"/>
      <c r="W44" s="82"/>
      <c r="X44" s="82"/>
      <c r="Y44" s="82"/>
      <c r="Z44" s="82"/>
      <c r="AA44" s="82"/>
      <c r="AB44" s="82"/>
    </row>
    <row r="45" spans="2:28" s="78" customFormat="1" ht="18" customHeight="1">
      <c r="B45" s="966" t="s">
        <v>418</v>
      </c>
      <c r="C45" s="969"/>
      <c r="D45" s="969"/>
      <c r="E45" s="969"/>
      <c r="F45" s="969"/>
      <c r="G45" s="967" t="b">
        <f>OR(ComponentVisibility[[#This Row],[Force True]],AND(ComponentVisibility[[#This Row],[Program True]],NOT(ComponentVisibility[[#This Row],[Force False]])))</f>
        <v>0</v>
      </c>
      <c r="H45" s="966" t="s">
        <v>416</v>
      </c>
      <c r="I45" s="967"/>
      <c r="J45" s="962"/>
      <c r="K45" s="967" t="b">
        <f>SUMPRODUCT(ComponentVisibility[[#This Row],[IIG]:[SHMHP]],IsPrograms)&gt;0</f>
        <v>0</v>
      </c>
      <c r="L45" s="962">
        <v>0</v>
      </c>
      <c r="M45" s="962">
        <v>1</v>
      </c>
      <c r="N45" s="962">
        <v>0</v>
      </c>
      <c r="O45" s="962">
        <v>0</v>
      </c>
      <c r="P45" s="962">
        <v>0</v>
      </c>
      <c r="Q45" s="962">
        <v>0</v>
      </c>
      <c r="R45" s="82"/>
      <c r="S45" s="586"/>
      <c r="T45" s="588"/>
      <c r="U45" s="586"/>
      <c r="V45" s="586"/>
      <c r="W45" s="82"/>
      <c r="X45" s="82"/>
      <c r="Y45" s="82"/>
      <c r="Z45" s="82"/>
      <c r="AA45" s="82"/>
      <c r="AB45" s="82"/>
    </row>
    <row r="46" spans="2:28" s="78" customFormat="1" ht="18" customHeight="1">
      <c r="B46" s="968" t="s">
        <v>430</v>
      </c>
      <c r="C46" s="969">
        <f>ROW('HCD Reserves Calculator'!A22)</f>
        <v>22</v>
      </c>
      <c r="D46" s="969">
        <f>ROW('HCD Reserves Calculator'!A22)</f>
        <v>22</v>
      </c>
      <c r="E46" s="969"/>
      <c r="F46" s="969"/>
      <c r="G46" s="967" t="b">
        <f>OR(ComponentVisibility[[#This Row],[Force True]],AND(ComponentVisibility[[#This Row],[Program True]],NOT(ComponentVisibility[[#This Row],[Force False]])))</f>
        <v>0</v>
      </c>
      <c r="H46" s="966" t="s">
        <v>416</v>
      </c>
      <c r="I46" s="967"/>
      <c r="J46" s="962"/>
      <c r="K46" s="967" t="b">
        <f>SUMPRODUCT(ComponentVisibility[[#This Row],[IIG]:[SHMHP]],IsPrograms)&gt;0</f>
        <v>0</v>
      </c>
      <c r="L46" s="962">
        <v>0</v>
      </c>
      <c r="M46" s="962">
        <v>1</v>
      </c>
      <c r="N46" s="962">
        <v>0</v>
      </c>
      <c r="O46" s="962">
        <v>0</v>
      </c>
      <c r="P46" s="962">
        <v>0</v>
      </c>
      <c r="Q46" s="962">
        <v>0</v>
      </c>
      <c r="R46" s="82"/>
      <c r="S46" s="586"/>
      <c r="T46" s="588"/>
      <c r="U46" s="586"/>
      <c r="V46" s="586"/>
      <c r="W46" s="82"/>
      <c r="X46" s="82"/>
      <c r="Y46" s="82"/>
      <c r="Z46" s="82"/>
      <c r="AA46" s="82"/>
      <c r="AB46" s="82"/>
    </row>
    <row r="47" spans="2:28" s="78" customFormat="1" ht="18" customHeight="1">
      <c r="B47" s="968" t="s">
        <v>430</v>
      </c>
      <c r="C47" s="969">
        <f>ROW('HCD Reserves Calculator'!A23)</f>
        <v>23</v>
      </c>
      <c r="D47" s="969">
        <f>ROW('HCD Reserves Calculator'!A23)</f>
        <v>23</v>
      </c>
      <c r="E47" s="969"/>
      <c r="F47" s="969"/>
      <c r="G47" s="967" t="b">
        <f>OR(ComponentVisibility[[#This Row],[Force True]],AND(ComponentVisibility[[#This Row],[Program True]],NOT(ComponentVisibility[[#This Row],[Force False]])))</f>
        <v>0</v>
      </c>
      <c r="H47" s="966" t="s">
        <v>416</v>
      </c>
      <c r="I47" s="967"/>
      <c r="J47" s="962"/>
      <c r="K47" s="967" t="b">
        <f>SUMPRODUCT(ComponentVisibility[[#This Row],[IIG]:[SHMHP]],IsPrograms)&gt;0</f>
        <v>0</v>
      </c>
      <c r="L47" s="962">
        <v>0</v>
      </c>
      <c r="M47" s="962">
        <v>0</v>
      </c>
      <c r="N47" s="962">
        <v>0</v>
      </c>
      <c r="O47" s="962">
        <v>0</v>
      </c>
      <c r="P47" s="962">
        <v>0</v>
      </c>
      <c r="Q47" s="962">
        <v>1</v>
      </c>
      <c r="R47" s="82"/>
      <c r="S47" s="586"/>
      <c r="T47" s="588"/>
      <c r="U47" s="586"/>
      <c r="V47" s="586"/>
      <c r="W47" s="82"/>
      <c r="X47" s="82"/>
      <c r="Y47" s="82"/>
      <c r="Z47" s="82"/>
      <c r="AA47" s="82"/>
      <c r="AB47" s="82"/>
    </row>
    <row r="48" spans="2:28" ht="18" customHeight="1">
      <c r="B48" s="968" t="s">
        <v>430</v>
      </c>
      <c r="C48" s="969">
        <f>ROW('HCD Reserves Calculator'!A24)</f>
        <v>24</v>
      </c>
      <c r="D48" s="969">
        <f>ROW('HCD Reserves Calculator'!A24)</f>
        <v>24</v>
      </c>
      <c r="E48" s="969"/>
      <c r="F48" s="969"/>
      <c r="G48" s="967" t="b">
        <f>OR(ComponentVisibility[[#This Row],[Force True]],AND(ComponentVisibility[[#This Row],[Program True]],NOT(ComponentVisibility[[#This Row],[Force False]])))</f>
        <v>1</v>
      </c>
      <c r="H48" s="966" t="s">
        <v>416</v>
      </c>
      <c r="I48" s="967"/>
      <c r="J48" s="962"/>
      <c r="K48" s="967" t="b">
        <f>SUMPRODUCT(ComponentVisibility[[#This Row],[IIG]:[SHMHP]],IsPrograms)&gt;0</f>
        <v>1</v>
      </c>
      <c r="L48" s="962">
        <v>0</v>
      </c>
      <c r="M48" s="962">
        <v>0</v>
      </c>
      <c r="N48" s="962">
        <v>1</v>
      </c>
      <c r="O48" s="962">
        <v>0</v>
      </c>
      <c r="P48" s="962">
        <v>0</v>
      </c>
      <c r="Q48" s="962">
        <v>0</v>
      </c>
    </row>
    <row r="49" spans="2:17" ht="18" customHeight="1">
      <c r="B49" s="968" t="s">
        <v>430</v>
      </c>
      <c r="C49" s="969">
        <f>ROW('HCD Reserves Calculator'!A25)</f>
        <v>25</v>
      </c>
      <c r="D49" s="969">
        <f>ROW('HCD Reserves Calculator'!A25)</f>
        <v>25</v>
      </c>
      <c r="E49" s="969"/>
      <c r="F49" s="969"/>
      <c r="G49" s="967" t="b">
        <f>OR(ComponentVisibility[[#This Row],[Force True]],AND(ComponentVisibility[[#This Row],[Program True]],NOT(ComponentVisibility[[#This Row],[Force False]])))</f>
        <v>0</v>
      </c>
      <c r="H49" s="966" t="s">
        <v>416</v>
      </c>
      <c r="I49" s="967"/>
      <c r="J49" s="962"/>
      <c r="K49" s="967" t="b">
        <f>SUMPRODUCT(ComponentVisibility[[#This Row],[IIG]:[SHMHP]],IsPrograms)&gt;0</f>
        <v>0</v>
      </c>
      <c r="L49" s="962">
        <v>0</v>
      </c>
      <c r="M49" s="962">
        <v>0</v>
      </c>
      <c r="N49" s="962">
        <v>0</v>
      </c>
      <c r="O49" s="962">
        <v>1</v>
      </c>
      <c r="P49" s="962">
        <v>0</v>
      </c>
      <c r="Q49" s="962">
        <v>0</v>
      </c>
    </row>
    <row r="50" spans="2:17" ht="18" customHeight="1">
      <c r="B50" s="968" t="s">
        <v>430</v>
      </c>
      <c r="C50" s="969">
        <f>ROW('HCD Reserves Calculator'!A26)</f>
        <v>26</v>
      </c>
      <c r="D50" s="969">
        <f>ROW('HCD Reserves Calculator'!A26)</f>
        <v>26</v>
      </c>
      <c r="E50" s="969"/>
      <c r="F50" s="969"/>
      <c r="G50" s="967" t="b">
        <f>OR(ComponentVisibility[[#This Row],[Force True]],AND(ComponentVisibility[[#This Row],[Program True]],NOT(ComponentVisibility[[#This Row],[Force False]])))</f>
        <v>0</v>
      </c>
      <c r="H50" s="966" t="s">
        <v>416</v>
      </c>
      <c r="I50" s="967"/>
      <c r="J50" s="962"/>
      <c r="K50" s="967" t="b">
        <f>SUMPRODUCT(ComponentVisibility[[#This Row],[IIG]:[SHMHP]],IsPrograms)&gt;0</f>
        <v>0</v>
      </c>
      <c r="L50" s="962">
        <v>0</v>
      </c>
      <c r="M50" s="962">
        <v>0</v>
      </c>
      <c r="N50" s="962">
        <v>0</v>
      </c>
      <c r="O50" s="962">
        <v>0</v>
      </c>
      <c r="P50" s="962">
        <v>1</v>
      </c>
      <c r="Q50" s="962">
        <v>0</v>
      </c>
    </row>
    <row r="51" spans="2:17" ht="18" customHeight="1">
      <c r="B51" s="968" t="s">
        <v>430</v>
      </c>
      <c r="C51" s="969">
        <f>ROW('HCD Reserves Calculator'!A39)</f>
        <v>39</v>
      </c>
      <c r="D51" s="969">
        <f>ROW('HCD Reserves Calculator'!A62)</f>
        <v>62</v>
      </c>
      <c r="E51" s="969"/>
      <c r="F51" s="969"/>
      <c r="G51" s="962" t="b">
        <f>OR(ComponentVisibility[[#This Row],[Force True]],AND(ComponentVisibility[[#This Row],[Program True]],NOT(ComponentVisibility[[#This Row],[Force False]])))</f>
        <v>0</v>
      </c>
      <c r="H51" s="966" t="s">
        <v>416</v>
      </c>
      <c r="I51" s="962" t="b">
        <f>IF(vmTRPF="Yes",TRUE,FALSE)</f>
        <v>0</v>
      </c>
      <c r="J51" s="962"/>
      <c r="K51" s="962" t="b">
        <f>SUMPRODUCT(ComponentVisibility[[#This Row],[IIG]:[SHMHP]],IsPrograms)&gt;0</f>
        <v>0</v>
      </c>
      <c r="L51" s="962"/>
      <c r="M51" s="962"/>
      <c r="N51" s="962"/>
      <c r="O51" s="962"/>
      <c r="P51" s="962"/>
      <c r="Q51" s="962"/>
    </row>
    <row r="52" spans="2:17" ht="18" customHeight="1">
      <c r="B52" s="968" t="s">
        <v>431</v>
      </c>
      <c r="C52" s="969">
        <f>ROW('High-Cost Verification'!A23)</f>
        <v>23</v>
      </c>
      <c r="D52" s="969">
        <f>ROW('High-Cost Verification'!A44)</f>
        <v>44</v>
      </c>
      <c r="E52" s="969"/>
      <c r="F52" s="969"/>
      <c r="G52" s="967" t="b">
        <f>OR(ComponentVisibility[[#This Row],[Force True]],AND(ComponentVisibility[[#This Row],[Program True]],NOT(ComponentVisibility[[#This Row],[Force False]])))</f>
        <v>0</v>
      </c>
      <c r="H52" s="966" t="s">
        <v>416</v>
      </c>
      <c r="I52" s="967" t="b">
        <f>vmHighE="Yes"</f>
        <v>0</v>
      </c>
      <c r="J52" s="962"/>
      <c r="K52" s="967" t="b">
        <f>SUMPRODUCT(ComponentVisibility[[#This Row],[IIG]:[SHMHP]],IsPrograms)&gt;0</f>
        <v>0</v>
      </c>
      <c r="L52" s="962"/>
      <c r="M52" s="962"/>
      <c r="N52" s="962"/>
      <c r="O52" s="962"/>
      <c r="P52" s="962"/>
      <c r="Q52" s="962"/>
    </row>
    <row r="53" spans="2:17" ht="18" customHeight="1">
      <c r="B53" s="966" t="s">
        <v>420</v>
      </c>
      <c r="C53" s="969"/>
      <c r="D53" s="969"/>
      <c r="E53" s="969"/>
      <c r="F53" s="969"/>
      <c r="G53" s="967" t="b">
        <f>OR(ComponentVisibility[[#This Row],[Force True]],AND(ComponentVisibility[[#This Row],[Program True]],NOT(ComponentVisibility[[#This Row],[Force False]])))</f>
        <v>0</v>
      </c>
      <c r="H53" s="966" t="s">
        <v>416</v>
      </c>
      <c r="I53" s="967"/>
      <c r="J53" s="962"/>
      <c r="K53" s="967" t="b">
        <f>SUMPRODUCT(ComponentVisibility[[#This Row],[IIG]:[SHMHP]],IsPrograms)&gt;0</f>
        <v>0</v>
      </c>
      <c r="L53" s="962">
        <v>1</v>
      </c>
      <c r="M53" s="962">
        <v>0</v>
      </c>
      <c r="N53" s="962">
        <v>0</v>
      </c>
      <c r="O53" s="962">
        <v>0</v>
      </c>
      <c r="P53" s="962">
        <v>0</v>
      </c>
      <c r="Q53" s="962">
        <v>0</v>
      </c>
    </row>
    <row r="54" spans="2:17" ht="18" customHeight="1">
      <c r="B54" s="966" t="s">
        <v>420</v>
      </c>
      <c r="C54" s="967">
        <f>ROW('IIG Threshold Requirements'!A20)</f>
        <v>20</v>
      </c>
      <c r="D54" s="967">
        <f>ROW('IIG Threshold Requirements'!A20)</f>
        <v>20</v>
      </c>
      <c r="E54" s="967"/>
      <c r="F54" s="967"/>
      <c r="G54" s="962" t="b">
        <f>OR(ComponentVisibility[[#This Row],[Force True]],AND(ComponentVisibility[[#This Row],[Program True]],NOT(ComponentVisibility[[#This Row],[Force False]])))</f>
        <v>1</v>
      </c>
      <c r="H54" s="966" t="s">
        <v>416</v>
      </c>
      <c r="I54" s="962" t="b">
        <f>vmNDE="Yes"</f>
        <v>1</v>
      </c>
      <c r="J54" s="962"/>
      <c r="K54" s="962" t="b">
        <f>SUMPRODUCT(ComponentVisibility[[#This Row],[IIG]:[SHMHP]],IsPrograms)&gt;0</f>
        <v>0</v>
      </c>
      <c r="L54" s="962"/>
      <c r="M54" s="962"/>
      <c r="N54" s="962"/>
      <c r="O54" s="962"/>
      <c r="P54" s="962"/>
      <c r="Q54" s="962"/>
    </row>
    <row r="55" spans="2:17" ht="18" customHeight="1">
      <c r="B55" s="966" t="s">
        <v>420</v>
      </c>
      <c r="C55" s="967">
        <f>ROW('IIG Threshold Requirements'!A29)</f>
        <v>29</v>
      </c>
      <c r="D55" s="967">
        <f>ROW('IIG Threshold Requirements'!A31)</f>
        <v>31</v>
      </c>
      <c r="E55" s="967"/>
      <c r="F55" s="967"/>
      <c r="G55" s="962" t="b">
        <f>OR(ComponentVisibility[[#This Row],[Force True]],AND(ComponentVisibility[[#This Row],[Program True]],NOT(ComponentVisibility[[#This Row],[Force False]])))</f>
        <v>0</v>
      </c>
      <c r="H55" s="966" t="s">
        <v>416</v>
      </c>
      <c r="I55" s="962" t="b">
        <f>vmTribalEntity="Yes"</f>
        <v>0</v>
      </c>
      <c r="J55" s="962"/>
      <c r="K55" s="962" t="b">
        <f>SUMPRODUCT(ComponentVisibility[[#This Row],[IIG]:[SHMHP]],IsPrograms)&gt;0</f>
        <v>0</v>
      </c>
      <c r="L55" s="962"/>
      <c r="M55" s="962"/>
      <c r="N55" s="962"/>
      <c r="O55" s="962"/>
      <c r="P55" s="962"/>
      <c r="Q55" s="962"/>
    </row>
    <row r="56" spans="2:17" ht="18" customHeight="1">
      <c r="B56" s="966" t="s">
        <v>420</v>
      </c>
      <c r="C56" s="967">
        <f>ROW('IIG Threshold Requirements'!A115)</f>
        <v>115</v>
      </c>
      <c r="D56" s="967">
        <f>ROW('IIG Threshold Requirements'!A115)</f>
        <v>115</v>
      </c>
      <c r="E56" s="967"/>
      <c r="F56" s="967"/>
      <c r="G56" s="962" t="b">
        <f>OR(ComponentVisibility[[#This Row],[Force True]],AND(ComponentVisibility[[#This Row],[Program True]],NOT(ComponentVisibility[[#This Row],[Force False]])))</f>
        <v>0</v>
      </c>
      <c r="H56" s="966" t="s">
        <v>416</v>
      </c>
      <c r="I56" s="962" t="b">
        <f>EDFundingTarget="Yes"</f>
        <v>0</v>
      </c>
      <c r="J56" s="962"/>
      <c r="K56" s="962" t="b">
        <f>SUMPRODUCT(ComponentVisibility[[#This Row],[IIG]:[SHMHP]],IsPrograms)&gt;0</f>
        <v>0</v>
      </c>
      <c r="L56" s="962"/>
      <c r="M56" s="962"/>
      <c r="N56" s="962"/>
      <c r="O56" s="962"/>
      <c r="P56" s="962"/>
      <c r="Q56" s="962"/>
    </row>
    <row r="57" spans="2:17" ht="18" customHeight="1">
      <c r="B57" s="966" t="s">
        <v>420</v>
      </c>
      <c r="C57" s="967">
        <f>ROW('IIG Threshold Requirements'!A123)</f>
        <v>123</v>
      </c>
      <c r="D57" s="967">
        <f>ROW('IIG Threshold Requirements'!A123)</f>
        <v>123</v>
      </c>
      <c r="E57" s="967"/>
      <c r="F57" s="967"/>
      <c r="G57" s="962" t="b">
        <f>OR(ComponentVisibility[[#This Row],[Force True]],AND(ComponentVisibility[[#This Row],[Program True]],NOT(ComponentVisibility[[#This Row],[Force False]])))</f>
        <v>0</v>
      </c>
      <c r="H57" s="966" t="s">
        <v>416</v>
      </c>
      <c r="I57" s="962" t="b">
        <f>vmIIGProposedRents="Yes"</f>
        <v>0</v>
      </c>
      <c r="J57" s="962"/>
      <c r="K57" s="962" t="b">
        <f>SUMPRODUCT(ComponentVisibility[[#This Row],[IIG]:[SHMHP]],IsPrograms)&gt;0</f>
        <v>0</v>
      </c>
      <c r="L57" s="962"/>
      <c r="M57" s="962"/>
      <c r="N57" s="962"/>
      <c r="O57" s="962"/>
      <c r="P57" s="962"/>
      <c r="Q57" s="962"/>
    </row>
    <row r="58" spans="2:17" ht="18" customHeight="1">
      <c r="B58" s="966" t="s">
        <v>420</v>
      </c>
      <c r="C58" s="967">
        <f>ROW('IIG Threshold Requirements'!A133)</f>
        <v>133</v>
      </c>
      <c r="D58" s="967">
        <f>ROW('IIG Threshold Requirements'!A133)</f>
        <v>133</v>
      </c>
      <c r="E58" s="967"/>
      <c r="F58" s="967"/>
      <c r="G58" s="962" t="b">
        <f>OR(ComponentVisibility[[#This Row],[Force True]],AND(ComponentVisibility[[#This Row],[Program True]],NOT(ComponentVisibility[[#This Row],[Force False]])))</f>
        <v>0</v>
      </c>
      <c r="H58" s="966" t="s">
        <v>416</v>
      </c>
      <c r="I58" s="967" t="b">
        <f>IF(AND(vmTribalEntity="Yes",vmIndianCountry="Indian Country"),TRUE,FALSE)</f>
        <v>0</v>
      </c>
      <c r="J58" s="962"/>
      <c r="K58" s="962" t="b">
        <f>SUMPRODUCT(ComponentVisibility[[#This Row],[IIG]:[SHMHP]],IsPrograms)&gt;0</f>
        <v>0</v>
      </c>
      <c r="L58" s="962"/>
      <c r="M58" s="962"/>
      <c r="N58" s="962"/>
      <c r="O58" s="962"/>
      <c r="P58" s="962"/>
      <c r="Q58" s="962"/>
    </row>
    <row r="59" spans="2:17" ht="18" customHeight="1">
      <c r="B59" s="966" t="s">
        <v>420</v>
      </c>
      <c r="C59" s="967">
        <f>ROW('IIG Threshold Requirements'!A136)</f>
        <v>136</v>
      </c>
      <c r="D59" s="967">
        <f>ROW('IIG Threshold Requirements'!A137)</f>
        <v>137</v>
      </c>
      <c r="E59" s="967"/>
      <c r="F59" s="967"/>
      <c r="G59" s="962" t="b">
        <f>OR(ComponentVisibility[[#This Row],[Force True]],AND(ComponentVisibility[[#This Row],[Program True]],NOT(ComponentVisibility[[#This Row],[Force False]])))</f>
        <v>0</v>
      </c>
      <c r="H59" s="966" t="s">
        <v>416</v>
      </c>
      <c r="I59" s="967" t="b">
        <f>vmUMR8302Demolition="Yes"</f>
        <v>0</v>
      </c>
      <c r="J59" s="962"/>
      <c r="K59" s="962" t="b">
        <f>SUMPRODUCT(ComponentVisibility[[#This Row],[IIG]:[SHMHP]],IsPrograms)&gt;0</f>
        <v>0</v>
      </c>
      <c r="L59" s="962"/>
      <c r="M59" s="962"/>
      <c r="N59" s="962"/>
      <c r="O59" s="962"/>
      <c r="P59" s="962"/>
      <c r="Q59" s="962"/>
    </row>
    <row r="60" spans="2:17" ht="18" customHeight="1">
      <c r="B60" s="966" t="s">
        <v>420</v>
      </c>
      <c r="C60" s="967">
        <f>ROW('IIG Threshold Requirements'!A142)</f>
        <v>142</v>
      </c>
      <c r="D60" s="967">
        <f>ROW('IIG Threshold Requirements'!A144)</f>
        <v>144</v>
      </c>
      <c r="E60" s="967"/>
      <c r="F60" s="967"/>
      <c r="G60" s="962" t="b">
        <f>OR(ComponentVisibility[[#This Row],[Force True]],AND(ComponentVisibility[[#This Row],[Program True]],NOT(ComponentVisibility[[#This Row],[Force False]])))</f>
        <v>0</v>
      </c>
      <c r="H60" s="966" t="s">
        <v>416</v>
      </c>
      <c r="I60" s="962" t="b">
        <f>vmIndianCountry="Indian Country"</f>
        <v>0</v>
      </c>
      <c r="J60" s="962"/>
      <c r="K60" s="962" t="b">
        <f>SUMPRODUCT(ComponentVisibility[[#This Row],[IIG]:[SHMHP]],IsPrograms)&gt;0</f>
        <v>0</v>
      </c>
      <c r="L60" s="962"/>
      <c r="M60" s="962"/>
      <c r="N60" s="962"/>
      <c r="O60" s="962"/>
      <c r="P60" s="962"/>
      <c r="Q60" s="962"/>
    </row>
    <row r="61" spans="2:17" ht="18" customHeight="1">
      <c r="B61" s="968" t="s">
        <v>432</v>
      </c>
      <c r="C61" s="969">
        <f>ROW('Max Loan and Grant Amounts'!A29)</f>
        <v>29</v>
      </c>
      <c r="D61" s="969">
        <f>ROW('Max Loan and Grant Amounts'!A31)</f>
        <v>31</v>
      </c>
      <c r="E61" s="969"/>
      <c r="F61" s="969"/>
      <c r="G61" s="962" t="b">
        <f>OR(ComponentVisibility[[#This Row],[Force True]],AND(ComponentVisibility[[#This Row],[Program True]],NOT(ComponentVisibility[[#This Row],[Force False]])))</f>
        <v>0</v>
      </c>
      <c r="H61" s="966" t="s">
        <v>416</v>
      </c>
      <c r="I61" s="962" t="b">
        <f>IF(OtherHCDfunds="Yes",TRUE,FALSE)</f>
        <v>0</v>
      </c>
      <c r="J61" s="962"/>
      <c r="K61" s="962" t="b">
        <f>SUMPRODUCT(ComponentVisibility[[#This Row],[IIG]:[SHMHP]],IsPrograms)&gt;0</f>
        <v>0</v>
      </c>
      <c r="L61" s="962"/>
      <c r="M61" s="962"/>
      <c r="N61" s="962"/>
      <c r="O61" s="962"/>
      <c r="P61" s="962"/>
      <c r="Q61" s="962"/>
    </row>
    <row r="62" spans="2:17" ht="18" customHeight="1">
      <c r="B62" s="968" t="s">
        <v>432</v>
      </c>
      <c r="C62" s="969">
        <f>ROW('Max Loan and Grant Amounts'!A32)</f>
        <v>32</v>
      </c>
      <c r="D62" s="969">
        <f>ROW('Max Loan and Grant Amounts'!A32)</f>
        <v>32</v>
      </c>
      <c r="E62" s="969"/>
      <c r="F62" s="969"/>
      <c r="G62" s="967" t="b">
        <f>OR(ComponentVisibility[[#This Row],[Force True]],AND(ComponentVisibility[[#This Row],[Program True]],NOT(ComponentVisibility[[#This Row],[Force False]])))</f>
        <v>0</v>
      </c>
      <c r="H62" s="966" t="s">
        <v>416</v>
      </c>
      <c r="I62" s="967" t="b">
        <f>vmLoanDD="Yes"</f>
        <v>0</v>
      </c>
      <c r="J62" s="962"/>
      <c r="K62" s="967" t="b">
        <f>SUMPRODUCT(ComponentVisibility[[#This Row],[IIG]:[SHMHP]],IsPrograms)&gt;0</f>
        <v>0</v>
      </c>
      <c r="L62" s="962">
        <v>0</v>
      </c>
      <c r="M62" s="962">
        <v>0</v>
      </c>
      <c r="N62" s="962">
        <v>0</v>
      </c>
      <c r="O62" s="962">
        <v>0</v>
      </c>
      <c r="P62" s="962">
        <v>0</v>
      </c>
      <c r="Q62" s="962">
        <v>0</v>
      </c>
    </row>
    <row r="63" spans="2:17" ht="18" customHeight="1">
      <c r="B63" s="968" t="s">
        <v>432</v>
      </c>
      <c r="C63" s="969">
        <f>ROW('Max Loan and Grant Amounts'!A34)</f>
        <v>34</v>
      </c>
      <c r="D63" s="969">
        <f>ROW('Max Loan and Grant Amounts'!A35)</f>
        <v>35</v>
      </c>
      <c r="E63" s="969"/>
      <c r="F63" s="969"/>
      <c r="G63" s="967" t="b">
        <f>OR(ComponentVisibility[[#This Row],[Force True]],AND(ComponentVisibility[[#This Row],[Program True]],NOT(ComponentVisibility[[#This Row],[Force False]])))</f>
        <v>0</v>
      </c>
      <c r="H63" s="966" t="s">
        <v>416</v>
      </c>
      <c r="I63" s="967"/>
      <c r="J63" s="962"/>
      <c r="K63" s="967" t="b">
        <f>SUMPRODUCT(ComponentVisibility[[#This Row],[IIG]:[SHMHP]],IsPrograms)&gt;0</f>
        <v>0</v>
      </c>
      <c r="L63" s="962">
        <v>1</v>
      </c>
      <c r="M63" s="962">
        <v>0</v>
      </c>
      <c r="N63" s="962">
        <v>0</v>
      </c>
      <c r="O63" s="962">
        <v>0</v>
      </c>
      <c r="P63" s="962">
        <v>0</v>
      </c>
      <c r="Q63" s="962">
        <v>0</v>
      </c>
    </row>
    <row r="64" spans="2:17" ht="18" customHeight="1">
      <c r="B64" s="968" t="s">
        <v>432</v>
      </c>
      <c r="C64" s="969">
        <f>ROW('Max Loan and Grant Amounts'!A38)</f>
        <v>38</v>
      </c>
      <c r="D64" s="969">
        <f>ROW('Max Loan and Grant Amounts'!A38)</f>
        <v>38</v>
      </c>
      <c r="E64" s="969"/>
      <c r="F64" s="969"/>
      <c r="G64" s="967" t="b">
        <f>OR(ComponentVisibility[[#This Row],[Force True]],AND(ComponentVisibility[[#This Row],[Program True]],NOT(ComponentVisibility[[#This Row],[Force False]])))</f>
        <v>0</v>
      </c>
      <c r="H64" s="966" t="s">
        <v>416</v>
      </c>
      <c r="I64" s="967"/>
      <c r="J64" s="962"/>
      <c r="K64" s="967" t="b">
        <f>SUMPRODUCT(ComponentVisibility[[#This Row],[IIG]:[SHMHP]],IsPrograms)&gt;0</f>
        <v>0</v>
      </c>
      <c r="L64" s="962">
        <v>0</v>
      </c>
      <c r="M64" s="962">
        <v>1</v>
      </c>
      <c r="N64" s="962">
        <v>0</v>
      </c>
      <c r="O64" s="962">
        <v>0</v>
      </c>
      <c r="P64" s="962">
        <v>0</v>
      </c>
      <c r="Q64" s="962">
        <v>0</v>
      </c>
    </row>
    <row r="65" spans="2:17" ht="18" customHeight="1">
      <c r="B65" s="968" t="s">
        <v>432</v>
      </c>
      <c r="C65" s="969">
        <f>ROW('Max Loan and Grant Amounts'!A39)</f>
        <v>39</v>
      </c>
      <c r="D65" s="969">
        <f>ROW('Max Loan and Grant Amounts'!A39)</f>
        <v>39</v>
      </c>
      <c r="E65" s="969"/>
      <c r="F65" s="969"/>
      <c r="G65" s="967" t="b">
        <f>OR(ComponentVisibility[[#This Row],[Force True]],AND(ComponentVisibility[[#This Row],[Program True]],NOT(ComponentVisibility[[#This Row],[Force False]])))</f>
        <v>1</v>
      </c>
      <c r="H65" s="966" t="s">
        <v>416</v>
      </c>
      <c r="I65" s="967"/>
      <c r="J65" s="962"/>
      <c r="K65" s="967" t="b">
        <f>SUMPRODUCT(ComponentVisibility[[#This Row],[IIG]:[SHMHP]],IsPrograms)&gt;0</f>
        <v>1</v>
      </c>
      <c r="L65" s="962">
        <v>0</v>
      </c>
      <c r="M65" s="962">
        <v>0</v>
      </c>
      <c r="N65" s="962">
        <v>1</v>
      </c>
      <c r="O65" s="962">
        <v>0</v>
      </c>
      <c r="P65" s="962">
        <v>0</v>
      </c>
      <c r="Q65" s="962">
        <v>0</v>
      </c>
    </row>
    <row r="66" spans="2:17" ht="18" customHeight="1">
      <c r="B66" s="968" t="s">
        <v>432</v>
      </c>
      <c r="C66" s="969">
        <f>ROW('Max Loan and Grant Amounts'!A40)</f>
        <v>40</v>
      </c>
      <c r="D66" s="969">
        <f>ROW('Max Loan and Grant Amounts'!A40)</f>
        <v>40</v>
      </c>
      <c r="E66" s="969"/>
      <c r="F66" s="969"/>
      <c r="G66" s="967" t="b">
        <f>OR(ComponentVisibility[[#This Row],[Force True]],AND(ComponentVisibility[[#This Row],[Program True]],NOT(ComponentVisibility[[#This Row],[Force False]])))</f>
        <v>0</v>
      </c>
      <c r="H66" s="966" t="s">
        <v>416</v>
      </c>
      <c r="I66" s="967"/>
      <c r="J66" s="962"/>
      <c r="K66" s="967" t="b">
        <f>SUMPRODUCT(ComponentVisibility[[#This Row],[IIG]:[SHMHP]],IsPrograms)&gt;0</f>
        <v>0</v>
      </c>
      <c r="L66" s="962">
        <v>0</v>
      </c>
      <c r="M66" s="962">
        <v>0</v>
      </c>
      <c r="N66" s="962">
        <v>0</v>
      </c>
      <c r="O66" s="962">
        <v>0</v>
      </c>
      <c r="P66" s="962">
        <v>0</v>
      </c>
      <c r="Q66" s="962">
        <v>1</v>
      </c>
    </row>
    <row r="67" spans="2:17" ht="18" customHeight="1">
      <c r="B67" s="968" t="s">
        <v>432</v>
      </c>
      <c r="C67" s="969">
        <f>ROW('Max Loan and Grant Amounts'!A41)</f>
        <v>41</v>
      </c>
      <c r="D67" s="969">
        <f>ROW('Max Loan and Grant Amounts'!A41)</f>
        <v>41</v>
      </c>
      <c r="E67" s="969"/>
      <c r="F67" s="969"/>
      <c r="G67" s="967" t="b">
        <f>OR(ComponentVisibility[[#This Row],[Force True]],AND(ComponentVisibility[[#This Row],[Program True]],NOT(ComponentVisibility[[#This Row],[Force False]])))</f>
        <v>0</v>
      </c>
      <c r="H67" s="966" t="s">
        <v>416</v>
      </c>
      <c r="I67" s="967"/>
      <c r="J67" s="962"/>
      <c r="K67" s="967" t="b">
        <f>SUMPRODUCT(ComponentVisibility[[#This Row],[IIG]:[SHMHP]],IsPrograms)&gt;0</f>
        <v>0</v>
      </c>
      <c r="L67" s="962">
        <v>0</v>
      </c>
      <c r="M67" s="962">
        <v>0</v>
      </c>
      <c r="N67" s="962">
        <v>0</v>
      </c>
      <c r="O67" s="962">
        <v>1</v>
      </c>
      <c r="P67" s="962">
        <v>0</v>
      </c>
      <c r="Q67" s="962">
        <v>0</v>
      </c>
    </row>
    <row r="68" spans="2:17" ht="18" customHeight="1">
      <c r="B68" s="968" t="s">
        <v>432</v>
      </c>
      <c r="C68" s="969">
        <f>ROW('Max Loan and Grant Amounts'!A42)</f>
        <v>42</v>
      </c>
      <c r="D68" s="969">
        <f>ROW('Max Loan and Grant Amounts'!A42)</f>
        <v>42</v>
      </c>
      <c r="E68" s="969"/>
      <c r="F68" s="969"/>
      <c r="G68" s="967" t="b">
        <f>OR(ComponentVisibility[[#This Row],[Force True]],AND(ComponentVisibility[[#This Row],[Program True]],NOT(ComponentVisibility[[#This Row],[Force False]])))</f>
        <v>0</v>
      </c>
      <c r="H68" s="966" t="s">
        <v>416</v>
      </c>
      <c r="I68" s="967"/>
      <c r="J68" s="962"/>
      <c r="K68" s="967" t="b">
        <f>SUMPRODUCT(ComponentVisibility[[#This Row],[IIG]:[SHMHP]],IsPrograms)&gt;0</f>
        <v>0</v>
      </c>
      <c r="L68" s="962">
        <v>0</v>
      </c>
      <c r="M68" s="962">
        <v>0</v>
      </c>
      <c r="N68" s="962">
        <v>0</v>
      </c>
      <c r="O68" s="962">
        <v>0</v>
      </c>
      <c r="P68" s="962">
        <v>1</v>
      </c>
      <c r="Q68" s="962">
        <v>0</v>
      </c>
    </row>
    <row r="69" spans="2:17" ht="18" customHeight="1">
      <c r="B69" s="968" t="s">
        <v>432</v>
      </c>
      <c r="C69" s="969">
        <f>ROW('Max Loan and Grant Amounts'!A45)</f>
        <v>45</v>
      </c>
      <c r="D69" s="969">
        <f>ROW('Max Loan and Grant Amounts'!A51)</f>
        <v>51</v>
      </c>
      <c r="E69" s="969"/>
      <c r="F69" s="969"/>
      <c r="G69" s="967" t="b">
        <f>OR(ComponentVisibility[[#This Row],[Force True]],AND(ComponentVisibility[[#This Row],[Program True]],NOT(ComponentVisibility[[#This Row],[Force False]])))</f>
        <v>0</v>
      </c>
      <c r="H69" s="966" t="s">
        <v>416</v>
      </c>
      <c r="I69" s="967">
        <f>MHPCOSR</f>
        <v>0</v>
      </c>
      <c r="J69" s="962"/>
      <c r="K69" s="967" t="b">
        <f>SUMPRODUCT(ComponentVisibility[[#This Row],[IIG]:[SHMHP]],IsPrograms)&gt;0</f>
        <v>0</v>
      </c>
      <c r="L69" s="962"/>
      <c r="M69" s="962"/>
      <c r="N69" s="962"/>
      <c r="O69" s="962"/>
      <c r="P69" s="962"/>
      <c r="Q69" s="962"/>
    </row>
    <row r="70" spans="2:17" ht="18" customHeight="1">
      <c r="B70" s="968" t="s">
        <v>432</v>
      </c>
      <c r="C70" s="969">
        <f>ROW('Max Loan and Grant Amounts'!A52)</f>
        <v>52</v>
      </c>
      <c r="D70" s="969">
        <f>ROW('Max Loan and Grant Amounts'!A53)</f>
        <v>53</v>
      </c>
      <c r="E70" s="969"/>
      <c r="F70" s="969"/>
      <c r="G70" s="967" t="b">
        <f>OR(ComponentVisibility[[#This Row],[Force True]],AND(ComponentVisibility[[#This Row],[Program True]],NOT(ComponentVisibility[[#This Row],[Force False]])))</f>
        <v>0</v>
      </c>
      <c r="H70" s="966" t="s">
        <v>416</v>
      </c>
      <c r="I70" s="967"/>
      <c r="J70" s="962"/>
      <c r="K70" s="967" t="b">
        <f>SUMPRODUCT(ComponentVisibility[[#This Row],[IIG]:[SHMHP]],IsPrograms)&gt;0</f>
        <v>0</v>
      </c>
      <c r="L70" s="962">
        <v>1</v>
      </c>
      <c r="M70" s="962">
        <v>0</v>
      </c>
      <c r="N70" s="962">
        <v>0</v>
      </c>
      <c r="O70" s="962">
        <v>0</v>
      </c>
      <c r="P70" s="962">
        <v>0</v>
      </c>
      <c r="Q70" s="962">
        <v>0</v>
      </c>
    </row>
    <row r="71" spans="2:17" ht="18" customHeight="1">
      <c r="B71" s="968" t="s">
        <v>432</v>
      </c>
      <c r="C71" s="969">
        <f>ROW('Max Loan and Grant Amounts'!A54)</f>
        <v>54</v>
      </c>
      <c r="D71" s="969">
        <f>ROW('Max Loan and Grant Amounts'!A54)</f>
        <v>54</v>
      </c>
      <c r="E71" s="969"/>
      <c r="F71" s="969"/>
      <c r="G71" s="967" t="b">
        <f>OR(ComponentVisibility[[#This Row],[Force True]],AND(ComponentVisibility[[#This Row],[Program True]],NOT(ComponentVisibility[[#This Row],[Force False]])))</f>
        <v>0</v>
      </c>
      <c r="H71" s="966" t="s">
        <v>416</v>
      </c>
      <c r="I71" s="967"/>
      <c r="J71" s="962"/>
      <c r="K71" s="967" t="b">
        <f>SUMPRODUCT(ComponentVisibility[[#This Row],[IIG]:[SHMHP]],IsPrograms)&gt;0</f>
        <v>0</v>
      </c>
      <c r="L71" s="962">
        <v>0</v>
      </c>
      <c r="M71" s="962">
        <v>1</v>
      </c>
      <c r="N71" s="962">
        <v>0</v>
      </c>
      <c r="O71" s="962">
        <v>0</v>
      </c>
      <c r="P71" s="962">
        <v>0</v>
      </c>
      <c r="Q71" s="962">
        <v>0</v>
      </c>
    </row>
    <row r="72" spans="2:17" ht="18" customHeight="1">
      <c r="B72" s="968" t="s">
        <v>432</v>
      </c>
      <c r="C72" s="969">
        <f>ROW('Max Loan and Grant Amounts'!A55)</f>
        <v>55</v>
      </c>
      <c r="D72" s="969">
        <f>ROW('Max Loan and Grant Amounts'!A55)</f>
        <v>55</v>
      </c>
      <c r="E72" s="969"/>
      <c r="F72" s="969"/>
      <c r="G72" s="967" t="b">
        <f>OR(ComponentVisibility[[#This Row],[Force True]],AND(ComponentVisibility[[#This Row],[Program True]],NOT(ComponentVisibility[[#This Row],[Force False]])))</f>
        <v>1</v>
      </c>
      <c r="H72" s="966" t="s">
        <v>416</v>
      </c>
      <c r="I72" s="967"/>
      <c r="J72" s="962"/>
      <c r="K72" s="967" t="b">
        <f>SUMPRODUCT(ComponentVisibility[[#This Row],[IIG]:[SHMHP]],IsPrograms)&gt;0</f>
        <v>1</v>
      </c>
      <c r="L72" s="962">
        <v>0</v>
      </c>
      <c r="M72" s="962">
        <v>0</v>
      </c>
      <c r="N72" s="962">
        <v>1</v>
      </c>
      <c r="O72" s="962">
        <v>0</v>
      </c>
      <c r="P72" s="962">
        <v>0</v>
      </c>
      <c r="Q72" s="962">
        <v>0</v>
      </c>
    </row>
    <row r="73" spans="2:17" ht="18" customHeight="1">
      <c r="B73" s="968" t="s">
        <v>432</v>
      </c>
      <c r="C73" s="969">
        <f>ROW('Max Loan and Grant Amounts'!A56)</f>
        <v>56</v>
      </c>
      <c r="D73" s="969">
        <f>ROW('Max Loan and Grant Amounts'!A56)</f>
        <v>56</v>
      </c>
      <c r="E73" s="969"/>
      <c r="F73" s="969"/>
      <c r="G73" s="967" t="b">
        <f>OR(ComponentVisibility[[#This Row],[Force True]],AND(ComponentVisibility[[#This Row],[Program True]],NOT(ComponentVisibility[[#This Row],[Force False]])))</f>
        <v>0</v>
      </c>
      <c r="H73" s="966" t="s">
        <v>416</v>
      </c>
      <c r="I73" s="967"/>
      <c r="J73" s="962"/>
      <c r="K73" s="967" t="b">
        <f>SUMPRODUCT(ComponentVisibility[[#This Row],[IIG]:[SHMHP]],IsPrograms)&gt;0</f>
        <v>0</v>
      </c>
      <c r="L73" s="962">
        <v>0</v>
      </c>
      <c r="M73" s="962">
        <v>0</v>
      </c>
      <c r="N73" s="962">
        <v>0</v>
      </c>
      <c r="O73" s="962">
        <v>0</v>
      </c>
      <c r="P73" s="962">
        <v>0</v>
      </c>
      <c r="Q73" s="962">
        <v>1</v>
      </c>
    </row>
    <row r="74" spans="2:17" ht="18" customHeight="1">
      <c r="B74" s="968" t="s">
        <v>432</v>
      </c>
      <c r="C74" s="969">
        <f>ROW('Max Loan and Grant Amounts'!A57)</f>
        <v>57</v>
      </c>
      <c r="D74" s="969">
        <f>ROW('Max Loan and Grant Amounts'!A57)</f>
        <v>57</v>
      </c>
      <c r="E74" s="969"/>
      <c r="F74" s="969"/>
      <c r="G74" s="967" t="b">
        <f>OR(ComponentVisibility[[#This Row],[Force True]],AND(ComponentVisibility[[#This Row],[Program True]],NOT(ComponentVisibility[[#This Row],[Force False]])))</f>
        <v>0</v>
      </c>
      <c r="H74" s="966" t="s">
        <v>416</v>
      </c>
      <c r="I74" s="967"/>
      <c r="J74" s="962"/>
      <c r="K74" s="967" t="b">
        <f>SUMPRODUCT(ComponentVisibility[[#This Row],[IIG]:[SHMHP]],IsPrograms)&gt;0</f>
        <v>0</v>
      </c>
      <c r="L74" s="962">
        <v>0</v>
      </c>
      <c r="M74" s="962">
        <v>0</v>
      </c>
      <c r="N74" s="962">
        <v>0</v>
      </c>
      <c r="O74" s="962">
        <v>1</v>
      </c>
      <c r="P74" s="962">
        <v>0</v>
      </c>
      <c r="Q74" s="962">
        <v>0</v>
      </c>
    </row>
    <row r="75" spans="2:17" ht="18" customHeight="1">
      <c r="B75" s="968" t="s">
        <v>432</v>
      </c>
      <c r="C75" s="969">
        <f>ROW('Max Loan and Grant Amounts'!A58)</f>
        <v>58</v>
      </c>
      <c r="D75" s="969">
        <f>ROW('Max Loan and Grant Amounts'!A58)</f>
        <v>58</v>
      </c>
      <c r="E75" s="969"/>
      <c r="F75" s="969"/>
      <c r="G75" s="967" t="b">
        <f>OR(ComponentVisibility[[#This Row],[Force True]],AND(ComponentVisibility[[#This Row],[Program True]],NOT(ComponentVisibility[[#This Row],[Force False]])))</f>
        <v>0</v>
      </c>
      <c r="H75" s="966" t="s">
        <v>416</v>
      </c>
      <c r="I75" s="967"/>
      <c r="J75" s="962"/>
      <c r="K75" s="967" t="b">
        <f>SUMPRODUCT(ComponentVisibility[[#This Row],[IIG]:[SHMHP]],IsPrograms)&gt;0</f>
        <v>0</v>
      </c>
      <c r="L75" s="962">
        <v>0</v>
      </c>
      <c r="M75" s="962"/>
      <c r="N75" s="962">
        <v>0</v>
      </c>
      <c r="O75" s="962">
        <v>0</v>
      </c>
      <c r="P75" s="962">
        <v>1</v>
      </c>
      <c r="Q75" s="962">
        <v>0</v>
      </c>
    </row>
    <row r="76" spans="2:17" ht="18" customHeight="1">
      <c r="B76" s="966" t="s">
        <v>421</v>
      </c>
      <c r="C76" s="967"/>
      <c r="D76" s="967"/>
      <c r="E76" s="967"/>
      <c r="F76" s="967"/>
      <c r="G76" s="967" t="b">
        <f>OR(ComponentVisibility[[#This Row],[Force True]],AND(ComponentVisibility[[#This Row],[Program True]],NOT(ComponentVisibility[[#This Row],[Force False]])))</f>
        <v>0</v>
      </c>
      <c r="H76" s="966" t="s">
        <v>416</v>
      </c>
      <c r="I76" s="967" t="b">
        <f t="array" ref="I76">IF(OR(vmSN="Yes",AND(IsMhp,IsSpecialNeeds)),TRUE,FALSE)</f>
        <v>0</v>
      </c>
      <c r="J76" s="962"/>
      <c r="K76" s="967" t="b">
        <f>SUMPRODUCT(ComponentVisibility[[#This Row],[IIG]:[SHMHP]],IsPrograms)&gt;0</f>
        <v>0</v>
      </c>
      <c r="L76" s="962"/>
      <c r="M76" s="962"/>
      <c r="N76" s="962"/>
      <c r="O76" s="962"/>
      <c r="P76" s="962"/>
      <c r="Q76" s="962"/>
    </row>
    <row r="77" spans="2:17" ht="18" customHeight="1">
      <c r="B77" s="966" t="s">
        <v>421</v>
      </c>
      <c r="C77" s="967">
        <f>ROW('MHP - Supportive Services Plan'!A4)</f>
        <v>4</v>
      </c>
      <c r="D77" s="967">
        <f>ROW('MHP - Supportive Services Plan'!A9)</f>
        <v>9</v>
      </c>
      <c r="E77" s="967"/>
      <c r="F77" s="967"/>
      <c r="G77" s="967" t="b">
        <f>OR(ComponentVisibility[[#This Row],[Force True]],AND(ComponentVisibility[[#This Row],[Program True]],NOT(ComponentVisibility[[#This Row],[Force False]])))</f>
        <v>0</v>
      </c>
      <c r="H77" s="966" t="s">
        <v>416</v>
      </c>
      <c r="I77" s="967" t="b">
        <f>OR(vmPACE="Yes",vmHCBA="Yes",vmALW="Yes")</f>
        <v>0</v>
      </c>
      <c r="J77" s="962"/>
      <c r="K77" s="967" t="b">
        <f>SUMPRODUCT(ComponentVisibility[[#This Row],[IIG]:[SHMHP]],IsPrograms)&gt;0</f>
        <v>0</v>
      </c>
      <c r="L77" s="962"/>
      <c r="M77" s="962"/>
      <c r="N77" s="962"/>
      <c r="O77" s="962"/>
      <c r="P77" s="962"/>
      <c r="Q77" s="962"/>
    </row>
    <row r="78" spans="2:17" ht="18" customHeight="1">
      <c r="B78" s="966" t="s">
        <v>433</v>
      </c>
      <c r="C78" s="967"/>
      <c r="D78" s="967"/>
      <c r="E78" s="967"/>
      <c r="F78" s="967"/>
      <c r="G78" s="967" t="b">
        <f>OR(ComponentVisibility[[#This Row],[Force True]],AND(ComponentVisibility[[#This Row],[Program True]],NOT(ComponentVisibility[[#This Row],[Force False]])))</f>
        <v>0</v>
      </c>
      <c r="H78" s="966" t="s">
        <v>416</v>
      </c>
      <c r="I78" s="967" t="b">
        <f t="array" ref="I78">OR(IsSpecialNeeds,vmSN="Yes")</f>
        <v>0</v>
      </c>
      <c r="J78" s="962"/>
      <c r="K78" s="967" t="b">
        <f>SUMPRODUCT(ComponentVisibility[[#This Row],[IIG]:[SHMHP]],IsPrograms)&gt;0</f>
        <v>0</v>
      </c>
      <c r="L78" s="962"/>
      <c r="M78" s="962"/>
      <c r="N78" s="962"/>
      <c r="O78" s="962"/>
      <c r="P78" s="962"/>
      <c r="Q78" s="962"/>
    </row>
    <row r="79" spans="2:17" ht="18" customHeight="1">
      <c r="B79" s="966" t="s">
        <v>433</v>
      </c>
      <c r="C79" s="967">
        <f>ROW('Supportive Services Costs'!A6)</f>
        <v>6</v>
      </c>
      <c r="D79" s="967">
        <f>ROW('Supportive Services Costs'!A7)</f>
        <v>7</v>
      </c>
      <c r="E79" s="967"/>
      <c r="F79" s="967"/>
      <c r="G79" s="967" t="b">
        <f>OR(ComponentVisibility[[#This Row],[Force True]],AND(ComponentVisibility[[#This Row],[Program True]],NOT(ComponentVisibility[[#This Row],[Force False]])))</f>
        <v>0</v>
      </c>
      <c r="H79" s="966" t="s">
        <v>416</v>
      </c>
      <c r="I79" s="967" t="b">
        <f>OR(vmSSCLNotice2405="Yes",vmSSCLNotice2405="No")</f>
        <v>0</v>
      </c>
      <c r="J79" s="962"/>
      <c r="K79" s="967" t="b">
        <f>SUMPRODUCT(ComponentVisibility[[#This Row],[IIG]:[SHMHP]],IsPrograms)&gt;0</f>
        <v>0</v>
      </c>
      <c r="L79" s="962"/>
      <c r="M79" s="962"/>
      <c r="N79" s="962"/>
      <c r="O79" s="962"/>
      <c r="P79" s="962"/>
      <c r="Q79" s="962"/>
    </row>
    <row r="80" spans="2:17" ht="18" customHeight="1">
      <c r="B80" s="966" t="s">
        <v>433</v>
      </c>
      <c r="C80" s="967">
        <f>ROW('Supportive Services Costs'!A9)</f>
        <v>9</v>
      </c>
      <c r="D80" s="967">
        <f>ROW('Supportive Services Costs'!A22)</f>
        <v>22</v>
      </c>
      <c r="E80" s="967"/>
      <c r="F80" s="967"/>
      <c r="G80" s="967" t="b">
        <f>OR(ComponentVisibility[[#This Row],[Force True]],AND(ComponentVisibility[[#This Row],[Program True]],NOT(ComponentVisibility[[#This Row],[Force False]])))</f>
        <v>0</v>
      </c>
      <c r="H80" s="966" t="s">
        <v>416</v>
      </c>
      <c r="I80" s="967" t="b">
        <f>vmSSCLNotice2405="No"</f>
        <v>0</v>
      </c>
      <c r="J80" s="962"/>
      <c r="K80" s="967" t="b">
        <f>SUMPRODUCT(ComponentVisibility[[#This Row],[IIG]:[SHMHP]],IsPrograms)&gt;0</f>
        <v>0</v>
      </c>
      <c r="L80" s="962"/>
      <c r="M80" s="962"/>
      <c r="N80" s="962"/>
      <c r="O80" s="962"/>
      <c r="P80" s="962"/>
      <c r="Q80" s="962"/>
    </row>
    <row r="81" spans="1:17" ht="18" customHeight="1">
      <c r="B81" s="966" t="s">
        <v>433</v>
      </c>
      <c r="C81" s="967">
        <f>ROW('Supportive Services Costs'!A24)</f>
        <v>24</v>
      </c>
      <c r="D81" s="967">
        <f>ROW('Supportive Services Costs'!A38)</f>
        <v>38</v>
      </c>
      <c r="E81" s="967"/>
      <c r="F81" s="967"/>
      <c r="G81" s="967" t="b">
        <f>OR(ComponentVisibility[[#This Row],[Force True]],AND(ComponentVisibility[[#This Row],[Program True]],NOT(ComponentVisibility[[#This Row],[Force False]])))</f>
        <v>0</v>
      </c>
      <c r="H81" s="966" t="s">
        <v>416</v>
      </c>
      <c r="I81" s="967" t="b">
        <f>vmSSCLNotice2405="Yes"</f>
        <v>0</v>
      </c>
      <c r="J81" s="962"/>
      <c r="K81" s="967" t="b">
        <f>SUMPRODUCT(ComponentVisibility[[#This Row],[IIG]:[SHMHP]],IsPrograms)&gt;0</f>
        <v>0</v>
      </c>
      <c r="L81" s="962"/>
      <c r="M81" s="962"/>
      <c r="N81" s="962"/>
      <c r="O81" s="962"/>
      <c r="P81" s="962"/>
      <c r="Q81" s="962"/>
    </row>
    <row r="82" spans="1:17" ht="18" customHeight="1">
      <c r="A82" s="172"/>
      <c r="B82" s="966" t="s">
        <v>423</v>
      </c>
      <c r="C82" s="967">
        <f>ROW('MHP Threshold Requirements'!A15)</f>
        <v>15</v>
      </c>
      <c r="D82" s="967">
        <f>ROW('MHP Threshold Requirements'!A15)</f>
        <v>15</v>
      </c>
      <c r="E82" s="967"/>
      <c r="F82" s="967"/>
      <c r="G82" s="967" t="b">
        <f>OR(ComponentVisibility[[#This Row],[Force True]],AND(ComponentVisibility[[#This Row],[Program True]],NOT(ComponentVisibility[[#This Row],[Force False]])))</f>
        <v>0</v>
      </c>
      <c r="H82" s="966" t="s">
        <v>416</v>
      </c>
      <c r="I82" s="967" t="b">
        <f>OR(vmProjectDevType="New Construction",vmProjectDevType="New Construction &amp; Acq/Rehab")</f>
        <v>0</v>
      </c>
      <c r="J82" s="962"/>
      <c r="K82" s="967" t="b">
        <f>SUMPRODUCT(ComponentVisibility[[#This Row],[IIG]:[SHMHP]],IsPrograms)&gt;0</f>
        <v>0</v>
      </c>
      <c r="L82" s="962"/>
      <c r="M82" s="962"/>
      <c r="N82" s="962"/>
      <c r="O82" s="962"/>
      <c r="P82" s="962"/>
      <c r="Q82" s="962"/>
    </row>
    <row r="83" spans="1:17" ht="18" customHeight="1">
      <c r="A83" s="172"/>
      <c r="B83" s="966" t="s">
        <v>423</v>
      </c>
      <c r="C83" s="967">
        <f>ROW('MHP Threshold Requirements'!A16)</f>
        <v>16</v>
      </c>
      <c r="D83" s="967">
        <f>ROW('MHP Threshold Requirements'!A16)</f>
        <v>16</v>
      </c>
      <c r="E83" s="967"/>
      <c r="F83" s="967"/>
      <c r="G83" s="967" t="b">
        <f>OR(ComponentVisibility[[#This Row],[Force True]],AND(ComponentVisibility[[#This Row],[Program True]],NOT(ComponentVisibility[[#This Row],[Force False]])))</f>
        <v>0</v>
      </c>
      <c r="H83" s="966" t="s">
        <v>416</v>
      </c>
      <c r="I83" s="967" t="b">
        <f>OR(vmProjectDevType="Rehabilitation",vmProjectDevType="Acquisition &amp; Rehabilitation")</f>
        <v>0</v>
      </c>
      <c r="J83" s="962"/>
      <c r="K83" s="967" t="b">
        <f>SUMPRODUCT(ComponentVisibility[[#This Row],[IIG]:[SHMHP]],IsPrograms)&gt;0</f>
        <v>0</v>
      </c>
      <c r="L83" s="962"/>
      <c r="M83" s="962"/>
      <c r="N83" s="962"/>
      <c r="O83" s="962"/>
      <c r="P83" s="962"/>
      <c r="Q83" s="962"/>
    </row>
    <row r="84" spans="1:17" ht="18" customHeight="1">
      <c r="A84" s="172"/>
      <c r="B84" s="966" t="s">
        <v>423</v>
      </c>
      <c r="C84" s="967">
        <f>ROW('MHP Threshold Requirements'!A17)</f>
        <v>17</v>
      </c>
      <c r="D84" s="967">
        <f>ROW('MHP Threshold Requirements'!A17)</f>
        <v>17</v>
      </c>
      <c r="E84" s="967"/>
      <c r="F84" s="967"/>
      <c r="G84" s="967" t="b">
        <f>OR(ComponentVisibility[[#This Row],[Force True]],AND(ComponentVisibility[[#This Row],[Program True]],NOT(ComponentVisibility[[#This Row],[Force False]])))</f>
        <v>0</v>
      </c>
      <c r="H84" s="966" t="s">
        <v>416</v>
      </c>
      <c r="I84" s="967" t="b">
        <f>AND(IsMhp,IsSenior,OR(vmProjectDevType="New Construction",vmProjectDevType="New Construction &amp; Acq/Rehab"))</f>
        <v>0</v>
      </c>
      <c r="J84" s="962"/>
      <c r="K84" s="967" t="b">
        <f>SUMPRODUCT(ComponentVisibility[[#This Row],[IIG]:[SHMHP]],IsPrograms)&gt;0</f>
        <v>0</v>
      </c>
      <c r="L84" s="962"/>
      <c r="M84" s="962"/>
      <c r="N84" s="962"/>
      <c r="O84" s="962"/>
      <c r="P84" s="962"/>
      <c r="Q84" s="962"/>
    </row>
    <row r="85" spans="1:17" ht="18" customHeight="1">
      <c r="A85" s="172"/>
      <c r="B85" s="966" t="s">
        <v>423</v>
      </c>
      <c r="C85" s="967">
        <f>ROW('MHP Threshold Requirements'!A18)</f>
        <v>18</v>
      </c>
      <c r="D85" s="967">
        <f>ROW('MHP Threshold Requirements'!A18)</f>
        <v>18</v>
      </c>
      <c r="E85" s="967"/>
      <c r="F85" s="967"/>
      <c r="G85" s="967" t="b">
        <f>OR(ComponentVisibility[[#This Row],[Force True]],AND(ComponentVisibility[[#This Row],[Program True]],NOT(ComponentVisibility[[#This Row],[Force False]])))</f>
        <v>0</v>
      </c>
      <c r="H85" s="966" t="s">
        <v>416</v>
      </c>
      <c r="I85" s="967" t="b">
        <f>AND(IsMhp,IsSenior,OR(vmProjectDevType="Rehabilitation",vmProjectDevType="Acquisition &amp; Rehabilitation"))</f>
        <v>0</v>
      </c>
      <c r="J85" s="962"/>
      <c r="K85" s="967" t="b">
        <f>SUMPRODUCT(ComponentVisibility[[#This Row],[IIG]:[SHMHP]],IsPrograms)&gt;0</f>
        <v>0</v>
      </c>
      <c r="L85" s="962"/>
      <c r="M85" s="962"/>
      <c r="N85" s="962"/>
      <c r="O85" s="962"/>
      <c r="P85" s="962"/>
      <c r="Q85" s="962"/>
    </row>
    <row r="86" spans="1:17" ht="18" customHeight="1">
      <c r="B86" s="966" t="s">
        <v>423</v>
      </c>
      <c r="C86" s="967">
        <f>ROW('MHP Threshold Requirements'!A20)</f>
        <v>20</v>
      </c>
      <c r="D86" s="967">
        <f>ROW('MHP Threshold Requirements'!A20)</f>
        <v>20</v>
      </c>
      <c r="E86" s="967"/>
      <c r="F86" s="967"/>
      <c r="G86" s="967" t="b">
        <f>OR(ComponentVisibility[[#This Row],[Force True]],AND(ComponentVisibility[[#This Row],[Program True]],NOT(ComponentVisibility[[#This Row],[Force False]])))</f>
        <v>0</v>
      </c>
      <c r="H86" s="966" t="s">
        <v>416</v>
      </c>
      <c r="I86" s="967" t="b">
        <f>IsLargeFamily</f>
        <v>0</v>
      </c>
      <c r="J86" s="962"/>
      <c r="K86" s="967" t="b">
        <f>SUMPRODUCT(ComponentVisibility[[#This Row],[IIG]:[SHMHP]],IsPrograms)&gt;0</f>
        <v>0</v>
      </c>
      <c r="L86" s="962"/>
      <c r="M86" s="962"/>
      <c r="N86" s="962"/>
      <c r="O86" s="962"/>
      <c r="P86" s="962"/>
      <c r="Q86" s="962"/>
    </row>
    <row r="87" spans="1:17" ht="18" customHeight="1">
      <c r="B87" s="966" t="s">
        <v>423</v>
      </c>
      <c r="C87" s="967">
        <f>ROW('MHP Threshold Requirements'!A21)</f>
        <v>21</v>
      </c>
      <c r="D87" s="967">
        <f>ROW('MHP Threshold Requirements'!A22)</f>
        <v>22</v>
      </c>
      <c r="E87" s="967"/>
      <c r="F87" s="967"/>
      <c r="G87" s="967" t="b">
        <f>OR(ComponentVisibility[[#This Row],[Force True]],AND(ComponentVisibility[[#This Row],[Program True]],NOT(ComponentVisibility[[#This Row],[Force False]])))</f>
        <v>0</v>
      </c>
      <c r="H87" s="966" t="s">
        <v>416</v>
      </c>
      <c r="I87" s="967" t="b">
        <f>IsSenior</f>
        <v>0</v>
      </c>
      <c r="J87" s="962"/>
      <c r="K87" s="967" t="b">
        <f>SUMPRODUCT(ComponentVisibility[[#This Row],[IIG]:[SHMHP]],IsPrograms)&gt;0</f>
        <v>0</v>
      </c>
      <c r="L87" s="962"/>
      <c r="M87" s="962"/>
      <c r="N87" s="962"/>
      <c r="O87" s="962"/>
      <c r="P87" s="962"/>
      <c r="Q87" s="962"/>
    </row>
    <row r="88" spans="1:17" ht="18" customHeight="1">
      <c r="B88" s="966" t="s">
        <v>423</v>
      </c>
      <c r="C88" s="967">
        <f>ROW('MHP Threshold Requirements'!A23)</f>
        <v>23</v>
      </c>
      <c r="D88" s="967">
        <f>ROW('MHP Threshold Requirements'!A27)</f>
        <v>27</v>
      </c>
      <c r="E88" s="967"/>
      <c r="F88" s="967"/>
      <c r="G88" s="967" t="b">
        <f>OR(ComponentVisibility[[#This Row],[Force True]],AND(ComponentVisibility[[#This Row],[Program True]],NOT(ComponentVisibility[[#This Row],[Force False]])))</f>
        <v>0</v>
      </c>
      <c r="H88" s="966" t="s">
        <v>416</v>
      </c>
      <c r="I88" s="967" t="b">
        <f>IsFarmworker</f>
        <v>0</v>
      </c>
      <c r="J88" s="962"/>
      <c r="K88" s="967" t="b">
        <f>SUMPRODUCT(ComponentVisibility[[#This Row],[IIG]:[SHMHP]],IsPrograms)&gt;0</f>
        <v>0</v>
      </c>
      <c r="L88" s="962"/>
      <c r="M88" s="962"/>
      <c r="N88" s="962"/>
      <c r="O88" s="962"/>
      <c r="P88" s="962"/>
      <c r="Q88" s="962"/>
    </row>
    <row r="89" spans="1:17" ht="18" customHeight="1">
      <c r="B89" s="966" t="s">
        <v>423</v>
      </c>
      <c r="C89" s="967">
        <f>ROW('MHP Threshold Requirements'!A28)</f>
        <v>28</v>
      </c>
      <c r="D89" s="967">
        <f>ROW('MHP Threshold Requirements'!A29)</f>
        <v>29</v>
      </c>
      <c r="E89" s="967"/>
      <c r="F89" s="967"/>
      <c r="G89" s="967" t="b">
        <f>OR(ComponentVisibility[[#This Row],[Force True]],AND(ComponentVisibility[[#This Row],[Program True]],NOT(ComponentVisibility[[#This Row],[Force False]])))</f>
        <v>0</v>
      </c>
      <c r="H89" s="966" t="s">
        <v>416</v>
      </c>
      <c r="I89" s="967" t="b">
        <f>IsNcNonTargetP</f>
        <v>0</v>
      </c>
      <c r="J89" s="962"/>
      <c r="K89" s="967" t="b">
        <f>SUMPRODUCT(ComponentVisibility[[#This Row],[IIG]:[SHMHP]],IsPrograms)&gt;0</f>
        <v>0</v>
      </c>
      <c r="L89" s="962"/>
      <c r="M89" s="962"/>
      <c r="N89" s="962"/>
      <c r="O89" s="962"/>
      <c r="P89" s="962"/>
      <c r="Q89" s="962"/>
    </row>
    <row r="90" spans="1:17" ht="18" customHeight="1">
      <c r="B90" s="966" t="s">
        <v>423</v>
      </c>
      <c r="C90" s="967">
        <f>ROW('MHP Threshold Requirements'!A30)</f>
        <v>30</v>
      </c>
      <c r="D90" s="967">
        <f>ROW('MHP Threshold Requirements'!A31)</f>
        <v>31</v>
      </c>
      <c r="E90" s="967"/>
      <c r="F90" s="967"/>
      <c r="G90" s="967" t="b">
        <f>OR(ComponentVisibility[[#This Row],[Force True]],AND(ComponentVisibility[[#This Row],[Program True]],NOT(ComponentVisibility[[#This Row],[Force False]])))</f>
        <v>0</v>
      </c>
      <c r="H90" s="966" t="s">
        <v>416</v>
      </c>
      <c r="I90" s="967" t="b">
        <f>IsAtHighRisk</f>
        <v>0</v>
      </c>
      <c r="J90" s="962"/>
      <c r="K90" s="967" t="b">
        <f>SUMPRODUCT(ComponentVisibility[[#This Row],[IIG]:[SHMHP]],IsPrograms)&gt;0</f>
        <v>0</v>
      </c>
      <c r="L90" s="962"/>
      <c r="M90" s="962"/>
      <c r="N90" s="962"/>
      <c r="O90" s="962"/>
      <c r="P90" s="962"/>
      <c r="Q90" s="962"/>
    </row>
    <row r="91" spans="1:17" ht="18" customHeight="1">
      <c r="B91" s="966" t="s">
        <v>423</v>
      </c>
      <c r="C91" s="967">
        <f>ROW('MHP Threshold Requirements'!A32)</f>
        <v>32</v>
      </c>
      <c r="D91" s="967">
        <f>ROW('MHP Threshold Requirements'!A37)</f>
        <v>37</v>
      </c>
      <c r="E91" s="967"/>
      <c r="F91" s="967"/>
      <c r="G91" s="967" t="b">
        <f>OR(ComponentVisibility[[#This Row],[Force True]],AND(ComponentVisibility[[#This Row],[Program True]],NOT(ComponentVisibility[[#This Row],[Force False]])))</f>
        <v>0</v>
      </c>
      <c r="H91" s="966" t="s">
        <v>416</v>
      </c>
      <c r="I91" s="967" t="b">
        <f>IsSpecialNeeds</f>
        <v>0</v>
      </c>
      <c r="J91" s="962"/>
      <c r="K91" s="967" t="b">
        <f>SUMPRODUCT(ComponentVisibility[[#This Row],[IIG]:[SHMHP]],IsPrograms)&gt;0</f>
        <v>0</v>
      </c>
      <c r="L91" s="962"/>
      <c r="M91" s="962"/>
      <c r="N91" s="962"/>
      <c r="O91" s="962"/>
      <c r="P91" s="962"/>
      <c r="Q91" s="962"/>
    </row>
    <row r="92" spans="1:17" ht="18" customHeight="1">
      <c r="B92" s="966" t="s">
        <v>423</v>
      </c>
      <c r="C92" s="967">
        <f>ROW('MHP Threshold Requirements'!A38)</f>
        <v>38</v>
      </c>
      <c r="D92" s="967">
        <f>ROW('MHP Threshold Requirements'!A54)</f>
        <v>54</v>
      </c>
      <c r="E92" s="967"/>
      <c r="F92" s="967"/>
      <c r="G92" s="967" t="b">
        <f>OR(ComponentVisibility[[#This Row],[Force True]],AND(ComponentVisibility[[#This Row],[Program True]],NOT(ComponentVisibility[[#This Row],[Force False]])))</f>
        <v>0</v>
      </c>
      <c r="H92" s="966" t="s">
        <v>416</v>
      </c>
      <c r="I92" s="967" t="b">
        <f>IF(AND(IsSpecialNeeds,'Unit Mix'!$M$8&gt;0),TRUE,FALSE)</f>
        <v>0</v>
      </c>
      <c r="J92" s="962"/>
      <c r="K92" s="967" t="b">
        <f>SUMPRODUCT(ComponentVisibility[[#This Row],[IIG]:[SHMHP]],IsPrograms)&gt;0</f>
        <v>0</v>
      </c>
      <c r="L92" s="962"/>
      <c r="M92" s="962"/>
      <c r="N92" s="962"/>
      <c r="O92" s="962"/>
      <c r="P92" s="962"/>
      <c r="Q92" s="962"/>
    </row>
    <row r="93" spans="1:17" ht="18" customHeight="1">
      <c r="B93" s="966" t="s">
        <v>423</v>
      </c>
      <c r="C93" s="967">
        <f>ROW('MHP Threshold Requirements'!A60)</f>
        <v>60</v>
      </c>
      <c r="D93" s="967">
        <f>ROW('MHP Threshold Requirements'!A62)</f>
        <v>62</v>
      </c>
      <c r="E93" s="967"/>
      <c r="F93" s="967"/>
      <c r="G93" s="967" t="b">
        <f>OR(ComponentVisibility[[#This Row],[Force True]],AND(ComponentVisibility[[#This Row],[Program True]],NOT(ComponentVisibility[[#This Row],[Force False]])))</f>
        <v>0</v>
      </c>
      <c r="H93" s="966" t="s">
        <v>416</v>
      </c>
      <c r="I93" s="967" t="b">
        <f>vmTribalEntity="Yes"</f>
        <v>0</v>
      </c>
      <c r="J93" s="962"/>
      <c r="K93" s="967" t="b">
        <f>SUMPRODUCT(ComponentVisibility[[#This Row],[IIG]:[SHMHP]],IsPrograms)&gt;0</f>
        <v>0</v>
      </c>
      <c r="L93" s="962"/>
      <c r="M93" s="962"/>
      <c r="N93" s="962"/>
      <c r="O93" s="962"/>
      <c r="P93" s="962"/>
      <c r="Q93" s="962"/>
    </row>
    <row r="94" spans="1:17" ht="18" customHeight="1">
      <c r="B94" s="966" t="s">
        <v>423</v>
      </c>
      <c r="C94" s="967">
        <f>ROW('MHP Threshold Requirements'!A82)</f>
        <v>82</v>
      </c>
      <c r="D94" s="967">
        <f>ROW('MHP Threshold Requirements'!A83)</f>
        <v>83</v>
      </c>
      <c r="E94" s="967"/>
      <c r="F94" s="967"/>
      <c r="G94" s="962" t="b">
        <f>OR(ComponentVisibility[[#This Row],[Force True]],AND(ComponentVisibility[[#This Row],[Program True]],NOT(ComponentVisibility[[#This Row],[Force False]])))</f>
        <v>0</v>
      </c>
      <c r="H94" s="966" t="s">
        <v>416</v>
      </c>
      <c r="I94" s="962" t="b">
        <f>IsFarmworker</f>
        <v>0</v>
      </c>
      <c r="J94" s="962"/>
      <c r="K94" s="962" t="b">
        <f>SUMPRODUCT(ComponentVisibility[[#This Row],[IIG]:[SHMHP]],IsPrograms)&gt;0</f>
        <v>0</v>
      </c>
      <c r="L94" s="962"/>
      <c r="M94" s="962"/>
      <c r="N94" s="962"/>
      <c r="O94" s="962"/>
      <c r="P94" s="962"/>
      <c r="Q94" s="962"/>
    </row>
    <row r="95" spans="1:17" ht="18" customHeight="1">
      <c r="B95" s="966" t="s">
        <v>423</v>
      </c>
      <c r="C95" s="967">
        <f>ROW('MHP Threshold Requirements'!A84)</f>
        <v>84</v>
      </c>
      <c r="D95" s="967">
        <f>ROW('MHP Threshold Requirements'!A84)</f>
        <v>84</v>
      </c>
      <c r="E95" s="967"/>
      <c r="F95" s="967"/>
      <c r="G95" s="967" t="b">
        <f>OR(ComponentVisibility[[#This Row],[Force True]],AND(ComponentVisibility[[#This Row],[Program True]],NOT(ComponentVisibility[[#This Row],[Force False]])))</f>
        <v>0</v>
      </c>
      <c r="H95" s="966" t="s">
        <v>416</v>
      </c>
      <c r="I95" s="967" t="b">
        <f>OR(vmED="Yes",vmCBD="Yes")</f>
        <v>0</v>
      </c>
      <c r="J95" s="962"/>
      <c r="K95" s="967" t="b">
        <f>SUMPRODUCT(ComponentVisibility[[#This Row],[IIG]:[SHMHP]],IsPrograms)&gt;0</f>
        <v>0</v>
      </c>
      <c r="L95" s="962"/>
      <c r="M95" s="962"/>
      <c r="N95" s="962"/>
      <c r="O95" s="962"/>
      <c r="P95" s="962"/>
      <c r="Q95" s="962"/>
    </row>
    <row r="96" spans="1:17" ht="18" customHeight="1">
      <c r="B96" s="968" t="s">
        <v>423</v>
      </c>
      <c r="C96" s="969">
        <f>ROW('MHP Threshold Requirements'!A126)</f>
        <v>126</v>
      </c>
      <c r="D96" s="969">
        <f>ROW('MHP Threshold Requirements'!A126)</f>
        <v>126</v>
      </c>
      <c r="E96" s="969"/>
      <c r="F96" s="969"/>
      <c r="G96" s="967" t="b">
        <f>OR(ComponentVisibility[[#This Row],[Force True]],AND(ComponentVisibility[[#This Row],[Program True]],NOT(ComponentVisibility[[#This Row],[Force False]])))</f>
        <v>0</v>
      </c>
      <c r="H96" s="966" t="s">
        <v>416</v>
      </c>
      <c r="I96" s="967" t="b">
        <f>vmMhpHybrid="Yes"</f>
        <v>0</v>
      </c>
      <c r="J96" s="962"/>
      <c r="K96" s="967" t="b">
        <f>SUMPRODUCT(ComponentVisibility[[#This Row],[IIG]:[SHMHP]],IsPrograms)&gt;0</f>
        <v>0</v>
      </c>
      <c r="L96" s="962"/>
      <c r="M96" s="962"/>
      <c r="N96" s="962"/>
      <c r="O96" s="962"/>
      <c r="P96" s="962"/>
      <c r="Q96" s="962"/>
    </row>
    <row r="97" spans="1:17" ht="18" customHeight="1">
      <c r="B97" s="968" t="s">
        <v>423</v>
      </c>
      <c r="C97" s="969">
        <f>ROW('MHP Threshold Requirements'!A137)</f>
        <v>137</v>
      </c>
      <c r="D97" s="969">
        <f>ROW('MHP Threshold Requirements'!A137)</f>
        <v>137</v>
      </c>
      <c r="E97" s="969"/>
      <c r="F97" s="969"/>
      <c r="G97" s="967" t="b">
        <f>OR(ComponentVisibility[[#This Row],[Force True]],AND(ComponentVisibility[[#This Row],[Program True]],NOT(ComponentVisibility[[#This Row],[Force False]])))</f>
        <v>0</v>
      </c>
      <c r="H97" s="966" t="s">
        <v>416</v>
      </c>
      <c r="I97" s="967" t="b">
        <f>vmMHPProposedRents="Yes"</f>
        <v>0</v>
      </c>
      <c r="J97" s="962"/>
      <c r="K97" s="967" t="b">
        <f>SUMPRODUCT(ComponentVisibility[[#This Row],[IIG]:[SHMHP]],IsPrograms)&gt;0</f>
        <v>0</v>
      </c>
      <c r="L97" s="962"/>
      <c r="M97" s="962"/>
      <c r="N97" s="962"/>
      <c r="O97" s="962"/>
      <c r="P97" s="962"/>
      <c r="Q97" s="962"/>
    </row>
    <row r="98" spans="1:17" ht="18" customHeight="1">
      <c r="B98" s="968" t="s">
        <v>423</v>
      </c>
      <c r="C98" s="969">
        <f>ROW('MHP Threshold Requirements'!A138)</f>
        <v>138</v>
      </c>
      <c r="D98" s="969">
        <f>ROW('MHP Threshold Requirements'!A139)</f>
        <v>139</v>
      </c>
      <c r="E98" s="969"/>
      <c r="F98" s="969"/>
      <c r="G98" s="967" t="b">
        <f>OR(ComponentVisibility[[#This Row],[Force True]],AND(ComponentVisibility[[#This Row],[Program True]],NOT(ComponentVisibility[[#This Row],[Force False]])))</f>
        <v>1</v>
      </c>
      <c r="H98" s="966" t="s">
        <v>416</v>
      </c>
      <c r="I98" s="967" t="b">
        <f>IF(AND(vmTribalEntity="Yes",vmIndianCountry="Indian Country"),FALSE,TRUE)</f>
        <v>1</v>
      </c>
      <c r="J98" s="962"/>
      <c r="K98" s="967" t="b">
        <f>SUMPRODUCT(ComponentVisibility[[#This Row],[IIG]:[SHMHP]],IsPrograms)&gt;0</f>
        <v>0</v>
      </c>
      <c r="L98" s="962"/>
      <c r="M98" s="962"/>
      <c r="N98" s="962"/>
      <c r="O98" s="962"/>
      <c r="P98" s="962"/>
      <c r="Q98" s="962"/>
    </row>
    <row r="99" spans="1:17" ht="18" customHeight="1">
      <c r="B99" s="966" t="s">
        <v>423</v>
      </c>
      <c r="C99" s="967">
        <f>ROW('MHP Threshold Requirements'!A149)</f>
        <v>149</v>
      </c>
      <c r="D99" s="967">
        <f>ROW('MHP Threshold Requirements'!A151)</f>
        <v>151</v>
      </c>
      <c r="E99" s="967"/>
      <c r="F99" s="967"/>
      <c r="G99" s="962" t="b">
        <f>OR(ComponentVisibility[[#This Row],[Force True]],AND(ComponentVisibility[[#This Row],[Program True]],NOT(ComponentVisibility[[#This Row],[Force False]])))</f>
        <v>0</v>
      </c>
      <c r="H99" s="966" t="s">
        <v>416</v>
      </c>
      <c r="I99" s="962" t="b">
        <f>vmIndianCountry="Indian Country"</f>
        <v>0</v>
      </c>
      <c r="J99" s="962"/>
      <c r="K99" s="962" t="b">
        <f>SUMPRODUCT(ComponentVisibility[[#This Row],[IIG]:[SHMHP]],IsPrograms)&gt;0</f>
        <v>0</v>
      </c>
      <c r="L99" s="962"/>
      <c r="M99" s="962"/>
      <c r="N99" s="962"/>
      <c r="O99" s="962"/>
      <c r="P99" s="962"/>
      <c r="Q99" s="962"/>
    </row>
    <row r="100" spans="1:17" ht="18" customHeight="1">
      <c r="B100" s="968" t="s">
        <v>434</v>
      </c>
      <c r="C100" s="969">
        <f>ROW('Operating Budget'!A131)</f>
        <v>131</v>
      </c>
      <c r="D100" s="969">
        <f>ROW('Operating Budget'!A131)</f>
        <v>131</v>
      </c>
      <c r="E100" s="969"/>
      <c r="F100" s="969"/>
      <c r="G100" s="967" t="b">
        <f>OR(ComponentVisibility[[#This Row],[Force True]],AND(ComponentVisibility[[#This Row],[Program True]],NOT(ComponentVisibility[[#This Row],[Force False]])))</f>
        <v>0</v>
      </c>
      <c r="H100" s="966" t="s">
        <v>416</v>
      </c>
      <c r="I100" s="967"/>
      <c r="J100" s="962"/>
      <c r="K100" s="967" t="b">
        <f>SUMPRODUCT(ComponentVisibility[[#This Row],[IIG]:[SHMHP]],IsPrograms)&gt;0</f>
        <v>0</v>
      </c>
      <c r="L100" s="962">
        <v>0</v>
      </c>
      <c r="M100" s="962">
        <v>1</v>
      </c>
      <c r="N100" s="962">
        <v>0</v>
      </c>
      <c r="O100" s="962">
        <v>0</v>
      </c>
      <c r="P100" s="962">
        <v>0</v>
      </c>
      <c r="Q100" s="962">
        <v>0</v>
      </c>
    </row>
    <row r="101" spans="1:17" ht="18" customHeight="1">
      <c r="B101" s="968" t="s">
        <v>434</v>
      </c>
      <c r="C101" s="969">
        <f>ROW('Operating Budget'!A132)</f>
        <v>132</v>
      </c>
      <c r="D101" s="969">
        <f>ROW('Operating Budget'!A132)</f>
        <v>132</v>
      </c>
      <c r="E101" s="969"/>
      <c r="F101" s="969"/>
      <c r="G101" s="967" t="b">
        <f>OR(ComponentVisibility[[#This Row],[Force True]],AND(ComponentVisibility[[#This Row],[Program True]],NOT(ComponentVisibility[[#This Row],[Force False]])))</f>
        <v>0</v>
      </c>
      <c r="H101" s="966" t="s">
        <v>416</v>
      </c>
      <c r="I101" s="967"/>
      <c r="J101" s="962"/>
      <c r="K101" s="967" t="b">
        <f>SUMPRODUCT(ComponentVisibility[[#This Row],[IIG]:[SHMHP]],IsPrograms)&gt;0</f>
        <v>0</v>
      </c>
      <c r="L101" s="962">
        <v>0</v>
      </c>
      <c r="M101" s="962">
        <v>0</v>
      </c>
      <c r="N101" s="962">
        <v>0</v>
      </c>
      <c r="O101" s="962">
        <v>0</v>
      </c>
      <c r="P101" s="962">
        <v>0</v>
      </c>
      <c r="Q101" s="962">
        <v>1</v>
      </c>
    </row>
    <row r="102" spans="1:17" ht="18" customHeight="1">
      <c r="B102" s="968" t="s">
        <v>434</v>
      </c>
      <c r="C102" s="969">
        <f>ROW('Operating Budget'!A133)</f>
        <v>133</v>
      </c>
      <c r="D102" s="969">
        <f>ROW('Operating Budget'!A133)</f>
        <v>133</v>
      </c>
      <c r="E102" s="969"/>
      <c r="F102" s="969"/>
      <c r="G102" s="967" t="b">
        <f>OR(ComponentVisibility[[#This Row],[Force True]],AND(ComponentVisibility[[#This Row],[Program True]],NOT(ComponentVisibility[[#This Row],[Force False]])))</f>
        <v>1</v>
      </c>
      <c r="H102" s="966" t="s">
        <v>416</v>
      </c>
      <c r="I102" s="967"/>
      <c r="J102" s="962"/>
      <c r="K102" s="967" t="b">
        <f>SUMPRODUCT(ComponentVisibility[[#This Row],[IIG]:[SHMHP]],IsPrograms)&gt;0</f>
        <v>1</v>
      </c>
      <c r="L102" s="962">
        <v>0</v>
      </c>
      <c r="M102" s="962">
        <v>0</v>
      </c>
      <c r="N102" s="962">
        <v>1</v>
      </c>
      <c r="O102" s="962">
        <v>0</v>
      </c>
      <c r="P102" s="962">
        <v>0</v>
      </c>
      <c r="Q102" s="962">
        <v>0</v>
      </c>
    </row>
    <row r="103" spans="1:17" ht="18" customHeight="1">
      <c r="B103" s="968" t="s">
        <v>434</v>
      </c>
      <c r="C103" s="969">
        <f>ROW('Operating Budget'!A134)</f>
        <v>134</v>
      </c>
      <c r="D103" s="969">
        <f>ROW('Operating Budget'!A134)</f>
        <v>134</v>
      </c>
      <c r="E103" s="969"/>
      <c r="F103" s="969"/>
      <c r="G103" s="967" t="b">
        <f>OR(ComponentVisibility[[#This Row],[Force True]],AND(ComponentVisibility[[#This Row],[Program True]],NOT(ComponentVisibility[[#This Row],[Force False]])))</f>
        <v>0</v>
      </c>
      <c r="H103" s="966" t="s">
        <v>416</v>
      </c>
      <c r="I103" s="967"/>
      <c r="J103" s="962"/>
      <c r="K103" s="967" t="b">
        <f>SUMPRODUCT(ComponentVisibility[[#This Row],[IIG]:[SHMHP]],IsPrograms)&gt;0</f>
        <v>0</v>
      </c>
      <c r="L103" s="962">
        <v>0</v>
      </c>
      <c r="M103" s="962">
        <v>0</v>
      </c>
      <c r="N103" s="962">
        <v>0</v>
      </c>
      <c r="O103" s="962">
        <v>1</v>
      </c>
      <c r="P103" s="962">
        <v>0</v>
      </c>
      <c r="Q103" s="962">
        <v>0</v>
      </c>
    </row>
    <row r="104" spans="1:17" ht="18" customHeight="1">
      <c r="B104" s="968" t="s">
        <v>434</v>
      </c>
      <c r="C104" s="969">
        <f>ROW('Operating Budget'!A135)</f>
        <v>135</v>
      </c>
      <c r="D104" s="969">
        <f>ROW('Operating Budget'!A135)</f>
        <v>135</v>
      </c>
      <c r="E104" s="969"/>
      <c r="F104" s="969"/>
      <c r="G104" s="967" t="b">
        <f>OR(ComponentVisibility[[#This Row],[Force True]],AND(ComponentVisibility[[#This Row],[Program True]],NOT(ComponentVisibility[[#This Row],[Force False]])))</f>
        <v>0</v>
      </c>
      <c r="H104" s="966" t="s">
        <v>416</v>
      </c>
      <c r="I104" s="967"/>
      <c r="J104" s="962"/>
      <c r="K104" s="967" t="b">
        <f>SUMPRODUCT(ComponentVisibility[[#This Row],[IIG]:[SHMHP]],IsPrograms)&gt;0</f>
        <v>0</v>
      </c>
      <c r="L104" s="962">
        <v>0</v>
      </c>
      <c r="M104" s="962">
        <v>0</v>
      </c>
      <c r="N104" s="962">
        <v>0</v>
      </c>
      <c r="O104" s="962">
        <v>0</v>
      </c>
      <c r="P104" s="962">
        <v>1</v>
      </c>
      <c r="Q104" s="962">
        <v>0</v>
      </c>
    </row>
    <row r="105" spans="1:17" ht="18" customHeight="1">
      <c r="B105" s="968" t="s">
        <v>435</v>
      </c>
      <c r="C105" s="969">
        <f>ROW('Project Overview'!A179)</f>
        <v>179</v>
      </c>
      <c r="D105" s="969">
        <f>ROW('Project Overview'!A179)</f>
        <v>179</v>
      </c>
      <c r="E105" s="969"/>
      <c r="F105" s="969"/>
      <c r="G105" s="967" t="b">
        <f>OR(ComponentVisibility[[#This Row],[Force True]],AND(ComponentVisibility[[#This Row],[Program True]],NOT(ComponentVisibility[[#This Row],[Force False]])))</f>
        <v>0</v>
      </c>
      <c r="H105" s="966" t="s">
        <v>416</v>
      </c>
      <c r="I105" s="967"/>
      <c r="J105" s="962"/>
      <c r="K105" s="967" t="b">
        <f>SUMPRODUCT(ComponentVisibility[[#This Row],[IIG]:[SHMHP]],IsPrograms)&gt;0</f>
        <v>0</v>
      </c>
      <c r="L105" s="962">
        <v>1</v>
      </c>
      <c r="M105" s="962">
        <v>0</v>
      </c>
      <c r="N105" s="962">
        <v>0</v>
      </c>
      <c r="O105" s="962">
        <v>0</v>
      </c>
      <c r="P105" s="962">
        <v>0</v>
      </c>
      <c r="Q105" s="962">
        <v>0</v>
      </c>
    </row>
    <row r="106" spans="1:17" ht="18" customHeight="1">
      <c r="B106" s="968" t="s">
        <v>435</v>
      </c>
      <c r="C106" s="969">
        <f>ROW('Project Overview'!A182)</f>
        <v>182</v>
      </c>
      <c r="D106" s="969">
        <f>ROW('Project Overview'!A185)</f>
        <v>185</v>
      </c>
      <c r="E106" s="969"/>
      <c r="F106" s="969"/>
      <c r="G106" s="967" t="b">
        <f>OR(ComponentVisibility[[#This Row],[Force True]],AND(ComponentVisibility[[#This Row],[Program True]],NOT(ComponentVisibility[[#This Row],[Force False]])))</f>
        <v>0</v>
      </c>
      <c r="H106" s="966" t="s">
        <v>416</v>
      </c>
      <c r="I106" s="967" t="b">
        <f>IF(OR(vmProjectDevType="Acquisition &amp; Rehabilitation",vmProjectDevType="Rehabilitation",vmProjectDevType="New Construction &amp; Acq/Rehab"),TRUE,FALSE)</f>
        <v>0</v>
      </c>
      <c r="J106" s="962"/>
      <c r="K106" s="967" t="b">
        <f>SUMPRODUCT(ComponentVisibility[[#This Row],[IIG]:[SHMHP]],IsPrograms)&gt;0</f>
        <v>0</v>
      </c>
      <c r="L106" s="962"/>
      <c r="M106" s="962"/>
      <c r="N106" s="962"/>
      <c r="O106" s="962"/>
      <c r="P106" s="962"/>
      <c r="Q106" s="962"/>
    </row>
    <row r="107" spans="1:17" ht="18" customHeight="1">
      <c r="B107" s="968" t="s">
        <v>435</v>
      </c>
      <c r="C107" s="969">
        <f>ROW('Project Overview'!A186)</f>
        <v>186</v>
      </c>
      <c r="D107" s="969">
        <f>ROW('Project Overview'!A186)</f>
        <v>186</v>
      </c>
      <c r="E107" s="969"/>
      <c r="F107" s="969"/>
      <c r="G107" s="967" t="b">
        <f>OR(ComponentVisibility[[#This Row],[Force True]],AND(ComponentVisibility[[#This Row],[Program True]],NOT(ComponentVisibility[[#This Row],[Force False]])))</f>
        <v>0</v>
      </c>
      <c r="H107" s="966" t="s">
        <v>416</v>
      </c>
      <c r="I107" s="967" t="b">
        <f>vmProjectDevType="Conversion"</f>
        <v>0</v>
      </c>
      <c r="J107" s="962"/>
      <c r="K107" s="967" t="b">
        <f>SUMPRODUCT(ComponentVisibility[[#This Row],[IIG]:[SHMHP]],IsPrograms)&gt;0</f>
        <v>0</v>
      </c>
      <c r="L107" s="962"/>
      <c r="M107" s="962"/>
      <c r="N107" s="962"/>
      <c r="O107" s="962"/>
      <c r="P107" s="962"/>
      <c r="Q107" s="962"/>
    </row>
    <row r="108" spans="1:17" ht="18" customHeight="1">
      <c r="B108" s="968" t="s">
        <v>435</v>
      </c>
      <c r="C108" s="969">
        <f>ROW('Project Overview'!A192)</f>
        <v>192</v>
      </c>
      <c r="D108" s="969">
        <f>ROW('Project Overview'!A203)</f>
        <v>203</v>
      </c>
      <c r="E108" s="969"/>
      <c r="F108" s="969"/>
      <c r="G108" s="967" t="b">
        <f>OR(ComponentVisibility[[#This Row],[Force True]],AND(ComponentVisibility[[#This Row],[Program True]],NOT(ComponentVisibility[[#This Row],[Force False]])))</f>
        <v>0</v>
      </c>
      <c r="H108" s="966" t="s">
        <v>416</v>
      </c>
      <c r="I108" s="967" t="b">
        <f>OtherHCDfunds="Yes"</f>
        <v>0</v>
      </c>
      <c r="J108" s="962"/>
      <c r="K108" s="967" t="b">
        <f>SUMPRODUCT(ComponentVisibility[[#This Row],[IIG]:[SHMHP]],IsPrograms)&gt;0</f>
        <v>0</v>
      </c>
      <c r="L108" s="962"/>
      <c r="M108" s="962"/>
      <c r="N108" s="962"/>
      <c r="O108" s="962"/>
      <c r="P108" s="962"/>
      <c r="Q108" s="962"/>
    </row>
    <row r="109" spans="1:17" ht="18" customHeight="1">
      <c r="B109" s="968" t="s">
        <v>435</v>
      </c>
      <c r="C109" s="969">
        <f>ROW('Project Overview'!A215)</f>
        <v>215</v>
      </c>
      <c r="D109" s="969">
        <f>ROW('Project Overview'!A218)</f>
        <v>218</v>
      </c>
      <c r="E109" s="969"/>
      <c r="F109" s="969"/>
      <c r="G109" s="967" t="b">
        <f>OR(ComponentVisibility[[#This Row],[Force True]],AND(ComponentVisibility[[#This Row],[Program True]],NOT(ComponentVisibility[[#This Row],[Force False]])))</f>
        <v>0</v>
      </c>
      <c r="H109" s="966" t="s">
        <v>416</v>
      </c>
      <c r="I109" s="967" t="b">
        <f>vmScatteredSite="Yes"</f>
        <v>0</v>
      </c>
      <c r="J109" s="962"/>
      <c r="K109" s="967" t="b">
        <f>SUMPRODUCT(ComponentVisibility[[#This Row],[IIG]:[SHMHP]],IsPrograms)&gt;0</f>
        <v>0</v>
      </c>
      <c r="L109" s="962"/>
      <c r="M109" s="962"/>
      <c r="N109" s="962"/>
      <c r="O109" s="962"/>
      <c r="P109" s="962"/>
      <c r="Q109" s="962"/>
    </row>
    <row r="110" spans="1:17" ht="18" customHeight="1">
      <c r="A110" s="583"/>
      <c r="B110" s="968" t="s">
        <v>435</v>
      </c>
      <c r="C110" s="969">
        <f>ROW('Project Overview'!A219)</f>
        <v>219</v>
      </c>
      <c r="D110" s="969">
        <f>ROW('Project Overview'!A219)</f>
        <v>219</v>
      </c>
      <c r="E110" s="969"/>
      <c r="F110" s="969"/>
      <c r="G110" s="967" t="b">
        <f>OR(ComponentVisibility[[#This Row],[Force True]],AND(ComponentVisibility[[#This Row],[Program True]],NOT(ComponentVisibility[[#This Row],[Force False]])))</f>
        <v>0</v>
      </c>
      <c r="H110" s="966" t="s">
        <v>416</v>
      </c>
      <c r="I110" s="967"/>
      <c r="J110" s="962"/>
      <c r="K110" s="967" t="b">
        <f>SUMPRODUCT(ComponentVisibility[[#This Row],[IIG]:[SHMHP]],IsPrograms)&gt;0</f>
        <v>0</v>
      </c>
      <c r="L110" s="962">
        <v>1</v>
      </c>
      <c r="M110" s="962">
        <v>0</v>
      </c>
      <c r="N110" s="962">
        <v>0</v>
      </c>
      <c r="O110" s="962">
        <v>0</v>
      </c>
      <c r="P110" s="962">
        <v>0</v>
      </c>
      <c r="Q110" s="962">
        <v>0</v>
      </c>
    </row>
    <row r="111" spans="1:17" ht="18" customHeight="1">
      <c r="A111" s="583"/>
      <c r="B111" s="968" t="s">
        <v>435</v>
      </c>
      <c r="C111" s="969">
        <f>ROW('Project Overview'!A226)</f>
        <v>226</v>
      </c>
      <c r="D111" s="969">
        <f>ROW('Project Overview'!A227)</f>
        <v>227</v>
      </c>
      <c r="E111" s="969"/>
      <c r="F111" s="969"/>
      <c r="G111" s="967" t="b">
        <f>OR(ComponentVisibility[[#This Row],[Force True]],AND(ComponentVisibility[[#This Row],[Program True]],NOT(ComponentVisibility[[#This Row],[Force False]])))</f>
        <v>0</v>
      </c>
      <c r="H111" s="966" t="s">
        <v>416</v>
      </c>
      <c r="I111" s="967" t="b">
        <f>vmRural="Yes"</f>
        <v>0</v>
      </c>
      <c r="J111" s="962"/>
      <c r="K111" s="967" t="b">
        <f>SUMPRODUCT(ComponentVisibility[[#This Row],[IIG]:[SHMHP]],IsPrograms)&gt;0</f>
        <v>0</v>
      </c>
      <c r="L111" s="962"/>
      <c r="M111" s="962"/>
      <c r="N111" s="962"/>
      <c r="O111" s="962"/>
      <c r="P111" s="962"/>
      <c r="Q111" s="962"/>
    </row>
    <row r="112" spans="1:17" ht="18" customHeight="1">
      <c r="B112" s="968" t="s">
        <v>435</v>
      </c>
      <c r="C112" s="969">
        <f>ROW('Project Overview'!A235)</f>
        <v>235</v>
      </c>
      <c r="D112" s="969">
        <f>ROW('Project Overview'!A236)</f>
        <v>236</v>
      </c>
      <c r="E112" s="969"/>
      <c r="F112" s="969"/>
      <c r="G112" s="962" t="b">
        <f>OR(ComponentVisibility[[#This Row],[Force True]],AND(ComponentVisibility[[#This Row],[Program True]],NOT(ComponentVisibility[[#This Row],[Force False]])))</f>
        <v>0</v>
      </c>
      <c r="H112" s="966" t="s">
        <v>416</v>
      </c>
      <c r="I112" s="962" t="b">
        <f>IsIig</f>
        <v>0</v>
      </c>
      <c r="J112" s="962"/>
      <c r="K112" s="962" t="b">
        <f>SUMPRODUCT(ComponentVisibility[[#This Row],[IIG]:[SHMHP]],IsPrograms)&gt;0</f>
        <v>0</v>
      </c>
      <c r="L112" s="962"/>
      <c r="M112" s="962"/>
      <c r="N112" s="962"/>
      <c r="O112" s="962"/>
      <c r="P112" s="962"/>
      <c r="Q112" s="962"/>
    </row>
    <row r="113" spans="2:17" ht="18" customHeight="1">
      <c r="B113" s="968" t="s">
        <v>435</v>
      </c>
      <c r="C113" s="969">
        <f>ROW('Project Overview'!A237)</f>
        <v>237</v>
      </c>
      <c r="D113" s="969">
        <f>ROW('Project Overview'!A237)</f>
        <v>237</v>
      </c>
      <c r="E113" s="969"/>
      <c r="F113" s="969"/>
      <c r="G113" s="967" t="b">
        <f>OR(ComponentVisibility[[#This Row],[Force True]],AND(ComponentVisibility[[#This Row],[Program True]],NOT(ComponentVisibility[[#This Row],[Force False]])))</f>
        <v>0</v>
      </c>
      <c r="H113" s="966" t="s">
        <v>416</v>
      </c>
      <c r="I113" s="967"/>
      <c r="J113" s="962"/>
      <c r="K113" s="967" t="b">
        <f>SUMPRODUCT(ComponentVisibility[[#This Row],[IIG]:[SHMHP]],IsPrograms)&gt;0</f>
        <v>0</v>
      </c>
      <c r="L113" s="962">
        <v>0</v>
      </c>
      <c r="M113" s="962">
        <v>1</v>
      </c>
      <c r="N113" s="962">
        <v>0</v>
      </c>
      <c r="O113" s="962">
        <v>0</v>
      </c>
      <c r="P113" s="962">
        <v>0</v>
      </c>
      <c r="Q113" s="962">
        <v>0</v>
      </c>
    </row>
    <row r="114" spans="2:17" ht="18" customHeight="1">
      <c r="B114" s="968" t="s">
        <v>435</v>
      </c>
      <c r="C114" s="969">
        <f>ROW('Project Overview'!A260)</f>
        <v>260</v>
      </c>
      <c r="D114" s="969">
        <f>ROW('Project Overview'!A260)</f>
        <v>260</v>
      </c>
      <c r="E114" s="969"/>
      <c r="F114" s="969"/>
      <c r="G114" s="962" t="b">
        <f>OR(ComponentVisibility[[#This Row],[Force True]],AND(ComponentVisibility[[#This Row],[Program True]],NOT(ComponentVisibility[[#This Row],[Force False]])))</f>
        <v>0</v>
      </c>
      <c r="H114" s="966" t="s">
        <v>416</v>
      </c>
      <c r="I114" s="962" t="b">
        <f>vmExperienceRely="Yes"</f>
        <v>0</v>
      </c>
      <c r="J114" s="962"/>
      <c r="K114" s="962" t="b">
        <f>SUMPRODUCT(ComponentVisibility[[#This Row],[IIG]:[SHMHP]],IsPrograms)&gt;0</f>
        <v>0</v>
      </c>
      <c r="L114" s="962"/>
      <c r="M114" s="962"/>
      <c r="N114" s="962"/>
      <c r="O114" s="962"/>
      <c r="P114" s="962"/>
      <c r="Q114" s="962"/>
    </row>
    <row r="115" spans="2:17" ht="18" customHeight="1">
      <c r="B115" s="968" t="s">
        <v>435</v>
      </c>
      <c r="C115" s="969">
        <f>ROW('Project Overview'!A262)</f>
        <v>262</v>
      </c>
      <c r="D115" s="969">
        <f>ROW('Project Overview'!A265)</f>
        <v>265</v>
      </c>
      <c r="E115" s="969"/>
      <c r="F115" s="969"/>
      <c r="G115" s="962" t="b">
        <f>OR(ComponentVisibility[[#This Row],[Force True]],AND(ComponentVisibility[[#This Row],[Program True]],NOT(ComponentVisibility[[#This Row],[Force False]])))</f>
        <v>0</v>
      </c>
      <c r="H115" s="966" t="s">
        <v>416</v>
      </c>
      <c r="I115" s="962" t="b">
        <f>vmPExperienceRely="Yes"</f>
        <v>0</v>
      </c>
      <c r="J115" s="962"/>
      <c r="K115" s="962" t="b">
        <f>SUMPRODUCT(ComponentVisibility[[#This Row],[IIG]:[SHMHP]],IsPrograms)&gt;0</f>
        <v>0</v>
      </c>
      <c r="L115" s="962"/>
      <c r="M115" s="962"/>
      <c r="N115" s="962"/>
      <c r="O115" s="962"/>
      <c r="P115" s="962"/>
      <c r="Q115" s="962"/>
    </row>
    <row r="116" spans="2:17" ht="18" customHeight="1">
      <c r="B116" s="968" t="s">
        <v>435</v>
      </c>
      <c r="C116" s="969">
        <f>ROW('Project Overview'!A311)</f>
        <v>311</v>
      </c>
      <c r="D116" s="969">
        <f>ROW('Project Overview'!A316)</f>
        <v>316</v>
      </c>
      <c r="E116" s="969"/>
      <c r="F116" s="969"/>
      <c r="G116" s="967" t="b">
        <f>OR(ComponentVisibility[[#This Row],[Force True]],AND(ComponentVisibility[[#This Row],[Program True]],NOT(ComponentVisibility[[#This Row],[Force False]])))</f>
        <v>0</v>
      </c>
      <c r="H116" s="966" t="s">
        <v>416</v>
      </c>
      <c r="I116" s="967" t="b">
        <f>IF(OR(vmMGP="",vmMGP="N/A"),FALSE,TRUE)</f>
        <v>0</v>
      </c>
      <c r="J116" s="962"/>
      <c r="K116" s="967" t="b">
        <f>SUMPRODUCT(ComponentVisibility[[#This Row],[IIG]:[SHMHP]],IsPrograms)&gt;0</f>
        <v>0</v>
      </c>
      <c r="L116" s="962"/>
      <c r="M116" s="962"/>
      <c r="N116" s="962"/>
      <c r="O116" s="962"/>
      <c r="P116" s="962"/>
      <c r="Q116" s="962"/>
    </row>
    <row r="117" spans="2:17" ht="18" customHeight="1">
      <c r="B117" s="968" t="s">
        <v>435</v>
      </c>
      <c r="C117" s="969">
        <f>ROW('Project Overview'!A319)</f>
        <v>319</v>
      </c>
      <c r="D117" s="969">
        <f>ROW('Project Overview'!A324)</f>
        <v>324</v>
      </c>
      <c r="E117" s="969"/>
      <c r="F117" s="969"/>
      <c r="G117" s="967" t="b">
        <f>OR(ComponentVisibility[[#This Row],[Force True]],AND(ComponentVisibility[[#This Row],[Program True]],NOT(ComponentVisibility[[#This Row],[Force False]])))</f>
        <v>0</v>
      </c>
      <c r="H117" s="966" t="s">
        <v>416</v>
      </c>
      <c r="I117" s="967" t="b">
        <f>IF(OR(vmAGP1="",vmAGP1="N/A"),FALSE,TRUE)</f>
        <v>0</v>
      </c>
      <c r="J117" s="962"/>
      <c r="K117" s="967" t="b">
        <f>SUMPRODUCT(ComponentVisibility[[#This Row],[IIG]:[SHMHP]],IsPrograms)&gt;0</f>
        <v>0</v>
      </c>
      <c r="L117" s="962"/>
      <c r="M117" s="962"/>
      <c r="N117" s="962"/>
      <c r="O117" s="962"/>
      <c r="P117" s="962"/>
      <c r="Q117" s="962"/>
    </row>
    <row r="118" spans="2:17" ht="18" customHeight="1">
      <c r="B118" s="968" t="s">
        <v>435</v>
      </c>
      <c r="C118" s="969">
        <f>ROW('Project Overview'!A327)</f>
        <v>327</v>
      </c>
      <c r="D118" s="969">
        <f>ROW('Project Overview'!A332)</f>
        <v>332</v>
      </c>
      <c r="E118" s="969"/>
      <c r="F118" s="969"/>
      <c r="G118" s="967" t="b">
        <f>OR(ComponentVisibility[[#This Row],[Force True]],AND(ComponentVisibility[[#This Row],[Program True]],NOT(ComponentVisibility[[#This Row],[Force False]])))</f>
        <v>0</v>
      </c>
      <c r="H118" s="966" t="s">
        <v>416</v>
      </c>
      <c r="I118" s="967" t="b">
        <f>IF(OR(vmAGP2="",vmAGP2="N/A"),FALSE,TRUE)</f>
        <v>0</v>
      </c>
      <c r="J118" s="962"/>
      <c r="K118" s="967" t="b">
        <f>SUMPRODUCT(ComponentVisibility[[#This Row],[IIG]:[SHMHP]],IsPrograms)&gt;0</f>
        <v>0</v>
      </c>
      <c r="L118" s="962"/>
      <c r="M118" s="962"/>
      <c r="N118" s="962"/>
      <c r="O118" s="962"/>
      <c r="P118" s="962"/>
      <c r="Q118" s="962"/>
    </row>
    <row r="119" spans="2:17" ht="18" customHeight="1">
      <c r="B119" s="968" t="s">
        <v>435</v>
      </c>
      <c r="C119" s="969">
        <f>ROW('Project Overview'!A335)</f>
        <v>335</v>
      </c>
      <c r="D119" s="969">
        <f>ROW('Project Overview'!A340)</f>
        <v>340</v>
      </c>
      <c r="E119" s="969"/>
      <c r="F119" s="969"/>
      <c r="G119" s="967" t="b">
        <f>OR(ComponentVisibility[[#This Row],[Force True]],AND(ComponentVisibility[[#This Row],[Program True]],NOT(ComponentVisibility[[#This Row],[Force False]])))</f>
        <v>0</v>
      </c>
      <c r="H119" s="966" t="s">
        <v>416</v>
      </c>
      <c r="I119" s="967" t="b">
        <f>IF(OR(vmManagerLLC="",vmManagerLLC="N/A"),FALSE,TRUE)</f>
        <v>0</v>
      </c>
      <c r="J119" s="962"/>
      <c r="K119" s="967" t="b">
        <f>SUMPRODUCT(ComponentVisibility[[#This Row],[IIG]:[SHMHP]],IsPrograms)&gt;0</f>
        <v>0</v>
      </c>
      <c r="L119" s="962"/>
      <c r="M119" s="962"/>
      <c r="N119" s="962"/>
      <c r="O119" s="962"/>
      <c r="P119" s="962"/>
      <c r="Q119" s="962"/>
    </row>
    <row r="120" spans="2:17" ht="18" customHeight="1">
      <c r="B120" s="968" t="s">
        <v>435</v>
      </c>
      <c r="C120" s="969">
        <f>ROW('Project Overview'!A343)</f>
        <v>343</v>
      </c>
      <c r="D120" s="969">
        <f>ROW('Project Overview'!A344)</f>
        <v>344</v>
      </c>
      <c r="E120" s="969"/>
      <c r="F120" s="969"/>
      <c r="G120" s="967" t="b">
        <f>OR(ComponentVisibility[[#This Row],[Force True]],AND(ComponentVisibility[[#This Row],[Program True]],NOT(ComponentVisibility[[#This Row],[Force False]])))</f>
        <v>0</v>
      </c>
      <c r="H120" s="966" t="s">
        <v>416</v>
      </c>
      <c r="I120" s="967" t="b">
        <f>vmIndianCountry="Indian Country"</f>
        <v>0</v>
      </c>
      <c r="J120" s="962"/>
      <c r="K120" s="967" t="b">
        <f>SUMPRODUCT(ComponentVisibility[[#This Row],[IIG]:[SHMHP]],IsPrograms)&gt;0</f>
        <v>0</v>
      </c>
      <c r="L120" s="962"/>
      <c r="M120" s="962"/>
      <c r="N120" s="962"/>
      <c r="O120" s="962"/>
      <c r="P120" s="962"/>
      <c r="Q120" s="962"/>
    </row>
    <row r="121" spans="2:17" ht="18" customHeight="1">
      <c r="B121" s="968" t="s">
        <v>435</v>
      </c>
      <c r="C121" s="969">
        <f>ROW('Project Overview'!A357)</f>
        <v>357</v>
      </c>
      <c r="D121" s="969">
        <f>ROW('Project Overview'!A359)</f>
        <v>359</v>
      </c>
      <c r="E121" s="969"/>
      <c r="F121" s="969"/>
      <c r="G121" s="967" t="b">
        <f>OR(ComponentVisibility[[#This Row],[Force True]],AND(ComponentVisibility[[#This Row],[Program True]],NOT(ComponentVisibility[[#This Row],[Force False]])))</f>
        <v>0</v>
      </c>
      <c r="H121" s="966" t="s">
        <v>416</v>
      </c>
      <c r="I121" s="967" t="b">
        <f>vmGroundLease="Yes"</f>
        <v>0</v>
      </c>
      <c r="J121" s="962"/>
      <c r="K121" s="967" t="b">
        <f>SUMPRODUCT(ComponentVisibility[[#This Row],[IIG]:[SHMHP]],IsPrograms)&gt;0</f>
        <v>0</v>
      </c>
      <c r="L121" s="962"/>
      <c r="M121" s="962"/>
      <c r="N121" s="962"/>
      <c r="O121" s="962"/>
      <c r="P121" s="962"/>
      <c r="Q121" s="962"/>
    </row>
    <row r="122" spans="2:17" ht="18" customHeight="1">
      <c r="B122" s="968" t="s">
        <v>435</v>
      </c>
      <c r="C122" s="969">
        <f>ROW('Project Overview'!A503)</f>
        <v>503</v>
      </c>
      <c r="D122" s="969">
        <f>ROW('Project Overview'!A503)</f>
        <v>503</v>
      </c>
      <c r="E122" s="969"/>
      <c r="F122" s="969"/>
      <c r="G122" s="962" t="b">
        <f>OR(ComponentVisibility[[#This Row],[Force True]],AND(ComponentVisibility[[#This Row],[Program True]],NOT(ComponentVisibility[[#This Row],[Force False]])))</f>
        <v>0</v>
      </c>
      <c r="H122" s="966" t="s">
        <v>416</v>
      </c>
      <c r="I122" s="967" t="b">
        <f>IF(AND(vmTribalEntity="Yes",vmIndianCountry="Indian Country"),TRUE,FALSE)</f>
        <v>0</v>
      </c>
      <c r="J122" s="962"/>
      <c r="K122" s="962" t="b">
        <f>SUMPRODUCT(ComponentVisibility[[#This Row],[IIG]:[SHMHP]],IsPrograms)&gt;0</f>
        <v>0</v>
      </c>
      <c r="L122" s="962"/>
      <c r="M122" s="962"/>
      <c r="N122" s="962"/>
      <c r="O122" s="962"/>
      <c r="P122" s="962"/>
      <c r="Q122" s="962"/>
    </row>
    <row r="123" spans="2:17" ht="18" customHeight="1">
      <c r="B123" s="968" t="s">
        <v>435</v>
      </c>
      <c r="C123" s="969">
        <f>ROW('Project Overview'!A506)</f>
        <v>506</v>
      </c>
      <c r="D123" s="969">
        <f>ROW('Project Overview'!A506)</f>
        <v>506</v>
      </c>
      <c r="E123" s="969"/>
      <c r="F123" s="969"/>
      <c r="G123" s="962" t="b">
        <f>OR(ComponentVisibility[[#This Row],[Force True]],AND(ComponentVisibility[[#This Row],[Program True]],NOT(ComponentVisibility[[#This Row],[Force False]])))</f>
        <v>0</v>
      </c>
      <c r="H123" s="966" t="s">
        <v>416</v>
      </c>
      <c r="I123" s="967" t="b">
        <f>IF(AND(vmTribalEntity="Yes",vmIndianCountry="Indian Country"),TRUE,FALSE)</f>
        <v>0</v>
      </c>
      <c r="J123" s="962"/>
      <c r="K123" s="962" t="b">
        <f>SUMPRODUCT(ComponentVisibility[[#This Row],[IIG]:[SHMHP]],IsPrograms)&gt;0</f>
        <v>0</v>
      </c>
      <c r="L123" s="962"/>
      <c r="M123" s="962"/>
      <c r="N123" s="962"/>
      <c r="O123" s="962"/>
      <c r="P123" s="962"/>
      <c r="Q123" s="962"/>
    </row>
    <row r="124" spans="2:17" ht="18" customHeight="1">
      <c r="B124" s="968" t="s">
        <v>435</v>
      </c>
      <c r="C124" s="969">
        <f>ROW('Project Overview'!A520)</f>
        <v>520</v>
      </c>
      <c r="D124" s="969">
        <f>ROW('Project Overview'!A520)</f>
        <v>520</v>
      </c>
      <c r="E124" s="969"/>
      <c r="F124" s="969"/>
      <c r="G124" s="962" t="b">
        <f>OR(ComponentVisibility[[#This Row],[Force True]],AND(ComponentVisibility[[#This Row],[Program True]],NOT(ComponentVisibility[[#This Row],[Force False]])))</f>
        <v>0</v>
      </c>
      <c r="H124" s="966" t="s">
        <v>416</v>
      </c>
      <c r="I124" s="967" t="b">
        <f>IsSenior</f>
        <v>0</v>
      </c>
      <c r="J124" s="962"/>
      <c r="K124" s="962" t="b">
        <f>SUMPRODUCT(ComponentVisibility[[#This Row],[IIG]:[SHMHP]],IsPrograms)&gt;0</f>
        <v>0</v>
      </c>
      <c r="L124" s="962"/>
      <c r="M124" s="962"/>
      <c r="N124" s="962"/>
      <c r="O124" s="962"/>
      <c r="P124" s="962"/>
      <c r="Q124" s="962"/>
    </row>
    <row r="125" spans="2:17" ht="18" customHeight="1">
      <c r="B125" s="968" t="s">
        <v>435</v>
      </c>
      <c r="C125" s="969">
        <f>ROW('Project Overview'!A525)</f>
        <v>525</v>
      </c>
      <c r="D125" s="969">
        <f>ROW('Project Overview'!A525)</f>
        <v>525</v>
      </c>
      <c r="E125" s="969"/>
      <c r="F125" s="969"/>
      <c r="G125" s="962" t="b">
        <f>OR(ComponentVisibility[[#This Row],[Force True]],AND(ComponentVisibility[[#This Row],[Program True]],NOT(ComponentVisibility[[#This Row],[Force False]])))</f>
        <v>0</v>
      </c>
      <c r="H125" s="966" t="s">
        <v>416</v>
      </c>
      <c r="I125" s="967" t="b">
        <f>IsIig</f>
        <v>0</v>
      </c>
      <c r="J125" s="962"/>
      <c r="K125" s="962" t="b">
        <f>SUMPRODUCT(ComponentVisibility[[#This Row],[IIG]:[SHMHP]],IsPrograms)&gt;0</f>
        <v>0</v>
      </c>
      <c r="L125" s="962"/>
      <c r="M125" s="962"/>
      <c r="N125" s="962"/>
      <c r="O125" s="962"/>
      <c r="P125" s="962"/>
      <c r="Q125" s="962"/>
    </row>
    <row r="126" spans="2:17" ht="18" customHeight="1">
      <c r="B126" s="968" t="s">
        <v>435</v>
      </c>
      <c r="C126" s="969">
        <f>ROW('Project Overview'!A536)</f>
        <v>536</v>
      </c>
      <c r="D126" s="969">
        <f>ROW('Project Overview'!A537)</f>
        <v>537</v>
      </c>
      <c r="E126" s="969"/>
      <c r="F126" s="969"/>
      <c r="G126" s="962" t="b">
        <f>OR(ComponentVisibility[[#This Row],[Force True]],AND(ComponentVisibility[[#This Row],[Program True]],NOT(ComponentVisibility[[#This Row],[Force False]])))</f>
        <v>0</v>
      </c>
      <c r="H126" s="966" t="s">
        <v>416</v>
      </c>
      <c r="I126" s="967" t="b">
        <f>vmSharedParking="Yes"</f>
        <v>0</v>
      </c>
      <c r="J126" s="962"/>
      <c r="K126" s="962" t="b">
        <f>SUMPRODUCT(ComponentVisibility[[#This Row],[IIG]:[SHMHP]],IsPrograms)&gt;0</f>
        <v>0</v>
      </c>
      <c r="L126" s="962"/>
      <c r="M126" s="962"/>
      <c r="N126" s="962"/>
      <c r="O126" s="962"/>
      <c r="P126" s="962"/>
      <c r="Q126" s="962"/>
    </row>
    <row r="127" spans="2:17" ht="18" customHeight="1">
      <c r="B127" s="968" t="s">
        <v>435</v>
      </c>
      <c r="C127" s="969">
        <f>ROW('Project Overview'!A541)</f>
        <v>541</v>
      </c>
      <c r="D127" s="969">
        <f>ROW('Project Overview'!A541)</f>
        <v>541</v>
      </c>
      <c r="E127" s="969"/>
      <c r="F127" s="969"/>
      <c r="G127" s="962" t="b">
        <f>OR(ComponentVisibility[[#This Row],[Force True]],AND(ComponentVisibility[[#This Row],[Program True]],NOT(ComponentVisibility[[#This Row],[Force False]])))</f>
        <v>0</v>
      </c>
      <c r="H127" s="966" t="s">
        <v>416</v>
      </c>
      <c r="I127" s="967" t="b">
        <f>vmIndianCountry="Indian Country"</f>
        <v>0</v>
      </c>
      <c r="J127" s="962"/>
      <c r="K127" s="962" t="b">
        <f>SUMPRODUCT(ComponentVisibility[[#This Row],[IIG]:[SHMHP]],IsPrograms)&gt;0</f>
        <v>0</v>
      </c>
      <c r="L127" s="962"/>
      <c r="M127" s="962"/>
      <c r="N127" s="962"/>
      <c r="O127" s="962"/>
      <c r="P127" s="962"/>
      <c r="Q127" s="962"/>
    </row>
    <row r="128" spans="2:17" ht="18" customHeight="1">
      <c r="B128" s="968" t="s">
        <v>435</v>
      </c>
      <c r="C128" s="969">
        <f>ROW('Project Overview'!A543)</f>
        <v>543</v>
      </c>
      <c r="D128" s="969">
        <f>ROW('Project Overview'!A544)</f>
        <v>544</v>
      </c>
      <c r="E128" s="969"/>
      <c r="F128" s="969"/>
      <c r="G128" s="967" t="b">
        <f>OR(ComponentVisibility[[#This Row],[Force True]],AND(ComponentVisibility[[#This Row],[Program True]],NOT(ComponentVisibility[[#This Row],[Force False]])))</f>
        <v>0</v>
      </c>
      <c r="H128" s="966" t="s">
        <v>416</v>
      </c>
      <c r="I128" s="967" t="b">
        <f>vmRelocation="Yes"</f>
        <v>0</v>
      </c>
      <c r="J128" s="962"/>
      <c r="K128" s="967" t="b">
        <f>SUMPRODUCT(ComponentVisibility[[#This Row],[IIG]:[SHMHP]],IsPrograms)&gt;0</f>
        <v>0</v>
      </c>
      <c r="L128" s="962"/>
      <c r="M128" s="962"/>
      <c r="N128" s="962"/>
      <c r="O128" s="962"/>
      <c r="P128" s="962"/>
      <c r="Q128" s="962"/>
    </row>
    <row r="129" spans="2:24" ht="18" customHeight="1">
      <c r="B129" s="968" t="s">
        <v>435</v>
      </c>
      <c r="C129" s="969">
        <f>ROW('Project Overview'!A545)</f>
        <v>545</v>
      </c>
      <c r="D129" s="969">
        <f>ROW('Project Overview'!A546)</f>
        <v>546</v>
      </c>
      <c r="E129" s="969"/>
      <c r="F129" s="969"/>
      <c r="G129" s="967" t="b">
        <f>OR(ComponentVisibility[[#This Row],[Force True]],AND(ComponentVisibility[[#This Row],[Program True]],NOT(ComponentVisibility[[#This Row],[Force False]])))</f>
        <v>0</v>
      </c>
      <c r="H129" s="966" t="s">
        <v>416</v>
      </c>
      <c r="I129" s="967" t="b">
        <f>vmRelocation="No"</f>
        <v>0</v>
      </c>
      <c r="J129" s="962"/>
      <c r="K129" s="967" t="b">
        <f>SUMPRODUCT(ComponentVisibility[[#This Row],[IIG]:[SHMHP]],IsPrograms)&gt;0</f>
        <v>0</v>
      </c>
      <c r="L129" s="962"/>
      <c r="M129" s="962"/>
      <c r="N129" s="962"/>
      <c r="O129" s="962"/>
      <c r="P129" s="962"/>
      <c r="Q129" s="962"/>
    </row>
    <row r="130" spans="2:24" ht="18" customHeight="1">
      <c r="B130" s="968" t="s">
        <v>436</v>
      </c>
      <c r="C130" s="969">
        <f>ROW(Scoring!A89)</f>
        <v>89</v>
      </c>
      <c r="D130" s="969">
        <f>ROW(Scoring!A89)</f>
        <v>89</v>
      </c>
      <c r="E130" s="969"/>
      <c r="F130" s="969"/>
      <c r="G130" s="962" t="b">
        <f>OR(ComponentVisibility[[#This Row],[Force True]],AND(ComponentVisibility[[#This Row],[Program True]],NOT(ComponentVisibility[[#This Row],[Force False]])))</f>
        <v>0</v>
      </c>
      <c r="H130" s="966" t="s">
        <v>416</v>
      </c>
      <c r="I130" s="967" t="b">
        <f>vmOOA="Yes"</f>
        <v>0</v>
      </c>
      <c r="J130" s="962"/>
      <c r="K130" s="967" t="b">
        <f>SUMPRODUCT(ComponentVisibility[[#This Row],[IIG]:[SHMHP]],IsPrograms)&gt;0</f>
        <v>0</v>
      </c>
      <c r="L130" s="962"/>
      <c r="M130" s="962"/>
      <c r="N130" s="962"/>
      <c r="O130" s="962"/>
      <c r="P130" s="962"/>
      <c r="Q130" s="962"/>
    </row>
    <row r="131" spans="2:24" ht="18" customHeight="1">
      <c r="B131" s="968" t="s">
        <v>436</v>
      </c>
      <c r="C131" s="969">
        <f>ROW(Scoring!A123)</f>
        <v>123</v>
      </c>
      <c r="D131" s="969">
        <f>ROW(Scoring!A125)</f>
        <v>125</v>
      </c>
      <c r="E131" s="969"/>
      <c r="F131" s="969"/>
      <c r="G131" s="967" t="b">
        <f>OR(ComponentVisibility[[#This Row],[Force True]],AND(ComponentVisibility[[#This Row],[Program True]],NOT(ComponentVisibility[[#This Row],[Force False]])))</f>
        <v>0</v>
      </c>
      <c r="H131" s="966" t="s">
        <v>416</v>
      </c>
      <c r="I131" s="967" t="b">
        <f>vmQualifyingExp="Sponsor principal"</f>
        <v>0</v>
      </c>
      <c r="J131" s="962"/>
      <c r="K131" s="967" t="b">
        <f>SUMPRODUCT(ComponentVisibility[[#This Row],[IIG]:[SHMHP]],IsPrograms)&gt;0</f>
        <v>0</v>
      </c>
      <c r="L131" s="962"/>
      <c r="M131" s="962"/>
      <c r="N131" s="962"/>
      <c r="O131" s="962"/>
      <c r="P131" s="962"/>
      <c r="Q131" s="962"/>
      <c r="R131" s="81"/>
      <c r="S131" s="587"/>
      <c r="U131" s="587"/>
      <c r="V131" s="587"/>
      <c r="W131" s="81"/>
      <c r="X131" s="81"/>
    </row>
    <row r="132" spans="2:24" ht="18" customHeight="1">
      <c r="B132" s="968" t="s">
        <v>436</v>
      </c>
      <c r="C132" s="969">
        <f>ROW(Scoring!A142)</f>
        <v>142</v>
      </c>
      <c r="D132" s="969">
        <f>ROW(Scoring!A145)</f>
        <v>145</v>
      </c>
      <c r="E132" s="969"/>
      <c r="F132" s="969"/>
      <c r="G132" s="962" t="b">
        <f>OR(ComponentVisibility[[#This Row],[Force True]],AND(ComponentVisibility[[#This Row],[Program True]],NOT(ComponentVisibility[[#This Row],[Force False]])))</f>
        <v>0</v>
      </c>
      <c r="H132" s="966" t="s">
        <v>416</v>
      </c>
      <c r="I132" s="962" t="b">
        <f>vmScoringPrincipal="Yes"</f>
        <v>0</v>
      </c>
      <c r="J132" s="962"/>
      <c r="K132" s="962" t="b">
        <f>SUMPRODUCT(ComponentVisibility[[#This Row],[IIG]:[SHMHP]],IsPrograms)&gt;0</f>
        <v>0</v>
      </c>
      <c r="L132" s="962"/>
      <c r="M132" s="962"/>
      <c r="N132" s="962"/>
      <c r="O132" s="962"/>
      <c r="P132" s="962"/>
      <c r="Q132" s="962"/>
      <c r="R132" s="81"/>
      <c r="S132" s="587"/>
      <c r="U132" s="587"/>
      <c r="V132" s="587"/>
      <c r="W132" s="81"/>
      <c r="X132" s="81"/>
    </row>
    <row r="133" spans="2:24" ht="18" customHeight="1">
      <c r="B133" s="968" t="s">
        <v>436</v>
      </c>
      <c r="C133" s="969">
        <f>ROW(Scoring!A189)</f>
        <v>189</v>
      </c>
      <c r="D133" s="969">
        <f>ROW(Scoring!A189)</f>
        <v>189</v>
      </c>
      <c r="E133" s="969"/>
      <c r="F133" s="969"/>
      <c r="G133" s="962" t="b">
        <f>OR(ComponentVisibility[[#This Row],[Force True]],AND(ComponentVisibility[[#This Row],[Program True]],NOT(ComponentVisibility[[#This Row],[Force False]])))</f>
        <v>0</v>
      </c>
      <c r="H133" s="966" t="s">
        <v>416</v>
      </c>
      <c r="I133" s="962" t="b">
        <f>vmMApproval="Yes"</f>
        <v>0</v>
      </c>
      <c r="J133" s="962"/>
      <c r="K133" s="962" t="b">
        <f>SUMPRODUCT(ComponentVisibility[[#This Row],[IIG]:[SHMHP]],IsPrograms)&gt;0</f>
        <v>0</v>
      </c>
      <c r="L133" s="962"/>
      <c r="M133" s="962"/>
      <c r="N133" s="962"/>
      <c r="O133" s="962"/>
      <c r="P133" s="962"/>
      <c r="Q133" s="962"/>
      <c r="R133" s="81"/>
      <c r="S133" s="587"/>
      <c r="U133" s="587"/>
      <c r="V133" s="587"/>
      <c r="W133" s="81"/>
      <c r="X133" s="81"/>
    </row>
    <row r="134" spans="2:24" ht="18" customHeight="1">
      <c r="B134" s="968" t="s">
        <v>436</v>
      </c>
      <c r="C134" s="969">
        <f>ROW(Scoring!A190)</f>
        <v>190</v>
      </c>
      <c r="D134" s="969">
        <f>ROW(Scoring!A191)</f>
        <v>191</v>
      </c>
      <c r="E134" s="969"/>
      <c r="F134" s="969"/>
      <c r="G134" s="967" t="b">
        <f>OR(ComponentVisibility[[#This Row],[Force True]],AND(ComponentVisibility[[#This Row],[Program True]],NOT(ComponentVisibility[[#This Row],[Force False]])))</f>
        <v>0</v>
      </c>
      <c r="H134" s="966" t="s">
        <v>416</v>
      </c>
      <c r="I134" s="967" t="b">
        <f>vmLUA="N/A"</f>
        <v>0</v>
      </c>
      <c r="J134" s="962"/>
      <c r="K134" s="967" t="b">
        <f>SUMPRODUCT(ComponentVisibility[[#This Row],[IIG]:[SHMHP]],IsPrograms)&gt;0</f>
        <v>0</v>
      </c>
      <c r="L134" s="962"/>
      <c r="M134" s="962"/>
      <c r="N134" s="962"/>
      <c r="O134" s="962"/>
      <c r="P134" s="962"/>
      <c r="Q134" s="962"/>
      <c r="R134" s="81"/>
      <c r="S134" s="587"/>
      <c r="U134" s="587"/>
      <c r="V134" s="587"/>
      <c r="W134" s="81"/>
      <c r="X134" s="81"/>
    </row>
    <row r="135" spans="2:24" ht="18" customHeight="1">
      <c r="B135" s="968" t="s">
        <v>436</v>
      </c>
      <c r="C135" s="969">
        <f>ROW(Scoring!A192)</f>
        <v>192</v>
      </c>
      <c r="D135" s="969">
        <f>ROW(Scoring!A194)</f>
        <v>194</v>
      </c>
      <c r="E135" s="969"/>
      <c r="F135" s="969"/>
      <c r="G135" s="967" t="b">
        <f>OR(ComponentVisibility[[#This Row],[Force True]],AND(ComponentVisibility[[#This Row],[Program True]],NOT(ComponentVisibility[[#This Row],[Force False]])))</f>
        <v>0</v>
      </c>
      <c r="H135" s="966" t="s">
        <v>416</v>
      </c>
      <c r="I135" s="967" t="b">
        <f>vmLUA="No"</f>
        <v>0</v>
      </c>
      <c r="J135" s="962"/>
      <c r="K135" s="967" t="b">
        <f>SUMPRODUCT(ComponentVisibility[[#This Row],[IIG]:[SHMHP]],IsPrograms)&gt;0</f>
        <v>0</v>
      </c>
      <c r="L135" s="962"/>
      <c r="M135" s="962"/>
      <c r="N135" s="962"/>
      <c r="O135" s="962"/>
      <c r="P135" s="962"/>
      <c r="Q135" s="962"/>
      <c r="R135" s="81"/>
      <c r="S135" s="587"/>
      <c r="U135" s="587"/>
      <c r="V135" s="587"/>
      <c r="W135" s="81"/>
      <c r="X135" s="81"/>
    </row>
    <row r="136" spans="2:24" ht="18" customHeight="1">
      <c r="B136" s="968" t="s">
        <v>436</v>
      </c>
      <c r="C136" s="969">
        <f>ROW(Scoring!A195)</f>
        <v>195</v>
      </c>
      <c r="D136" s="969">
        <f>ROW(Scoring!A195)</f>
        <v>195</v>
      </c>
      <c r="E136" s="969"/>
      <c r="F136" s="969"/>
      <c r="G136" s="962" t="b">
        <f>OR(ComponentVisibility[[#This Row],[Force True]],AND(ComponentVisibility[[#This Row],[Program True]],NOT(ComponentVisibility[[#This Row],[Force False]])))</f>
        <v>0</v>
      </c>
      <c r="H136" s="966" t="s">
        <v>416</v>
      </c>
      <c r="I136" s="962" t="b">
        <f>vmWCL2="Yes"</f>
        <v>0</v>
      </c>
      <c r="J136" s="962"/>
      <c r="K136" s="962" t="b">
        <f>SUMPRODUCT(ComponentVisibility[[#This Row],[IIG]:[SHMHP]],IsPrograms)&gt;0</f>
        <v>0</v>
      </c>
      <c r="L136" s="962"/>
      <c r="M136" s="962"/>
      <c r="N136" s="962"/>
      <c r="O136" s="962"/>
      <c r="P136" s="962"/>
      <c r="Q136" s="962"/>
      <c r="R136" s="81"/>
      <c r="S136" s="587"/>
      <c r="U136" s="587"/>
      <c r="V136" s="587"/>
      <c r="W136" s="81"/>
      <c r="X136" s="81"/>
    </row>
    <row r="137" spans="2:24" ht="18" customHeight="1">
      <c r="B137" s="968" t="s">
        <v>436</v>
      </c>
      <c r="C137" s="969">
        <f>ROW(Scoring!A196)</f>
        <v>196</v>
      </c>
      <c r="D137" s="969">
        <f>ROW(Scoring!A197)</f>
        <v>197</v>
      </c>
      <c r="E137" s="969"/>
      <c r="F137" s="969"/>
      <c r="G137" s="962" t="b">
        <f>OR(ComponentVisibility[[#This Row],[Force True]],AND(ComponentVisibility[[#This Row],[Program True]],NOT(ComponentVisibility[[#This Row],[Force False]])))</f>
        <v>0</v>
      </c>
      <c r="H137" s="966" t="s">
        <v>416</v>
      </c>
      <c r="I137" s="967" t="b">
        <f>vmWCL2="No"</f>
        <v>0</v>
      </c>
      <c r="J137" s="962"/>
      <c r="K137" s="967" t="b">
        <f>SUMPRODUCT(ComponentVisibility[[#This Row],[IIG]:[SHMHP]],IsPrograms)&gt;0</f>
        <v>0</v>
      </c>
      <c r="L137" s="962"/>
      <c r="M137" s="962"/>
      <c r="N137" s="962"/>
      <c r="O137" s="962"/>
      <c r="P137" s="962"/>
      <c r="Q137" s="962"/>
      <c r="R137" s="81"/>
      <c r="S137" s="587"/>
      <c r="U137" s="587"/>
      <c r="V137" s="587"/>
      <c r="W137" s="81"/>
      <c r="X137" s="81"/>
    </row>
    <row r="138" spans="2:24" ht="18" customHeight="1">
      <c r="B138" s="968" t="s">
        <v>436</v>
      </c>
      <c r="C138" s="969">
        <f>ROW(Scoring!A198)</f>
        <v>198</v>
      </c>
      <c r="D138" s="969">
        <f>ROW(Scoring!A198)</f>
        <v>198</v>
      </c>
      <c r="E138" s="969"/>
      <c r="F138" s="969"/>
      <c r="G138" s="962" t="b">
        <f>OR(ComponentVisibility[[#This Row],[Force True]],AND(ComponentVisibility[[#This Row],[Program True]],NOT(ComponentVisibility[[#This Row],[Force False]])))</f>
        <v>0</v>
      </c>
      <c r="H138" s="966" t="s">
        <v>416</v>
      </c>
      <c r="I138" s="967" t="b">
        <f>vmOCL2="Yes"</f>
        <v>0</v>
      </c>
      <c r="J138" s="962"/>
      <c r="K138" s="967" t="b">
        <f>SUMPRODUCT(ComponentVisibility[[#This Row],[IIG]:[SHMHP]],IsPrograms)&gt;0</f>
        <v>0</v>
      </c>
      <c r="L138" s="962"/>
      <c r="M138" s="962"/>
      <c r="N138" s="962"/>
      <c r="O138" s="962"/>
      <c r="P138" s="962"/>
      <c r="Q138" s="962"/>
      <c r="R138" s="81"/>
      <c r="S138" s="587"/>
      <c r="U138" s="587"/>
      <c r="V138" s="587"/>
      <c r="W138" s="81"/>
      <c r="X138" s="81"/>
    </row>
    <row r="139" spans="2:24" ht="18" customHeight="1">
      <c r="B139" s="968" t="s">
        <v>436</v>
      </c>
      <c r="C139" s="969">
        <f>ROW(Scoring!A199)</f>
        <v>199</v>
      </c>
      <c r="D139" s="969">
        <f>ROW(Scoring!A199)</f>
        <v>199</v>
      </c>
      <c r="E139" s="969"/>
      <c r="F139" s="969"/>
      <c r="G139" s="962" t="b">
        <f>OR(ComponentVisibility[[#This Row],[Force True]],AND(ComponentVisibility[[#This Row],[Program True]],NOT(ComponentVisibility[[#This Row],[Force False]])))</f>
        <v>0</v>
      </c>
      <c r="H139" s="966" t="s">
        <v>416</v>
      </c>
      <c r="I139" s="967" t="b">
        <f>OR(vmWCL2="Yes",vmOCL2="Yes")</f>
        <v>0</v>
      </c>
      <c r="J139" s="962"/>
      <c r="K139" s="967" t="b">
        <f>SUMPRODUCT(ComponentVisibility[[#This Row],[IIG]:[SHMHP]],IsPrograms)&gt;0</f>
        <v>0</v>
      </c>
      <c r="L139" s="962"/>
      <c r="M139" s="962"/>
      <c r="N139" s="962"/>
      <c r="O139" s="962"/>
      <c r="P139" s="962"/>
      <c r="Q139" s="962"/>
      <c r="R139" s="81"/>
      <c r="S139" s="587"/>
      <c r="U139" s="587"/>
      <c r="V139" s="587"/>
      <c r="W139" s="81"/>
      <c r="X139" s="81"/>
    </row>
    <row r="140" spans="2:24" ht="18" customHeight="1">
      <c r="B140" s="968" t="s">
        <v>436</v>
      </c>
      <c r="C140" s="969">
        <f>ROW(Scoring!A200)</f>
        <v>200</v>
      </c>
      <c r="D140" s="969">
        <f>ROW(Scoring!A202)</f>
        <v>202</v>
      </c>
      <c r="E140" s="969"/>
      <c r="F140" s="969"/>
      <c r="G140" s="962" t="b">
        <f>OR(ComponentVisibility[[#This Row],[Force True]],AND(ComponentVisibility[[#This Row],[Program True]],NOT(ComponentVisibility[[#This Row],[Force False]])))</f>
        <v>0</v>
      </c>
      <c r="H140" s="966" t="s">
        <v>416</v>
      </c>
      <c r="I140" s="962" t="b">
        <f>vmIndianCountry="Indian Country"</f>
        <v>0</v>
      </c>
      <c r="J140" s="962"/>
      <c r="K140" s="962" t="b">
        <f>SUMPRODUCT(ComponentVisibility[[#This Row],[IIG]:[SHMHP]],IsPrograms)&gt;0</f>
        <v>0</v>
      </c>
      <c r="L140" s="962"/>
      <c r="M140" s="962"/>
      <c r="N140" s="962"/>
      <c r="O140" s="962"/>
      <c r="P140" s="962"/>
      <c r="Q140" s="962"/>
      <c r="R140" s="81"/>
      <c r="S140" s="587"/>
      <c r="U140" s="587"/>
      <c r="V140" s="587"/>
      <c r="W140" s="81"/>
      <c r="X140" s="81"/>
    </row>
    <row r="141" spans="2:24" ht="18" customHeight="1">
      <c r="B141" s="968" t="s">
        <v>436</v>
      </c>
      <c r="C141" s="969">
        <f>ROW(Scoring!A203)</f>
        <v>203</v>
      </c>
      <c r="D141" s="969">
        <f>ROW(Scoring!A203)</f>
        <v>203</v>
      </c>
      <c r="E141" s="969"/>
      <c r="F141" s="969"/>
      <c r="G141" s="967" t="b">
        <f>OR(ComponentVisibility[[#This Row],[Force True]],AND(ComponentVisibility[[#This Row],[Program True]],NOT(ComponentVisibility[[#This Row],[Force False]])))</f>
        <v>0</v>
      </c>
      <c r="H141" s="966" t="s">
        <v>416</v>
      </c>
      <c r="I141" s="967" t="b">
        <f>OR(vmWCL2="Yes",vmOCL2="Yes")</f>
        <v>0</v>
      </c>
      <c r="J141" s="962"/>
      <c r="K141" s="967" t="b">
        <f>SUMPRODUCT(ComponentVisibility[[#This Row],[IIG]:[SHMHP]],IsPrograms)&gt;0</f>
        <v>0</v>
      </c>
      <c r="L141" s="962"/>
      <c r="M141" s="962"/>
      <c r="N141" s="962"/>
      <c r="O141" s="962"/>
      <c r="P141" s="962"/>
      <c r="Q141" s="962"/>
      <c r="R141" s="81"/>
      <c r="S141" s="587"/>
      <c r="U141" s="587"/>
      <c r="V141" s="587"/>
      <c r="W141" s="81"/>
      <c r="X141" s="81"/>
    </row>
    <row r="142" spans="2:24" ht="18" customHeight="1">
      <c r="B142" s="968" t="s">
        <v>436</v>
      </c>
      <c r="C142" s="969">
        <f>ROW(Scoring!A204)</f>
        <v>204</v>
      </c>
      <c r="D142" s="969">
        <f>ROW(Scoring!A204)</f>
        <v>204</v>
      </c>
      <c r="E142" s="969"/>
      <c r="F142" s="969"/>
      <c r="G142" s="967" t="b">
        <f>OR(ComponentVisibility[[#This Row],[Force True]],AND(ComponentVisibility[[#This Row],[Program True]],NOT(ComponentVisibility[[#This Row],[Force False]])))</f>
        <v>0</v>
      </c>
      <c r="H142" s="966" t="s">
        <v>416</v>
      </c>
      <c r="I142" s="967" t="b">
        <f>vmOCL2="Yes"</f>
        <v>0</v>
      </c>
      <c r="J142" s="962"/>
      <c r="K142" s="967" t="b">
        <f>SUMPRODUCT(ComponentVisibility[[#This Row],[IIG]:[SHMHP]],IsPrograms)&gt;0</f>
        <v>0</v>
      </c>
      <c r="L142" s="962"/>
      <c r="M142" s="962"/>
      <c r="N142" s="962"/>
      <c r="O142" s="962"/>
      <c r="P142" s="962"/>
      <c r="Q142" s="962"/>
      <c r="R142" s="81"/>
      <c r="S142" s="587"/>
      <c r="U142" s="587"/>
      <c r="V142" s="587"/>
      <c r="W142" s="81"/>
      <c r="X142" s="81"/>
    </row>
    <row r="143" spans="2:24" ht="18" customHeight="1">
      <c r="B143" s="968" t="s">
        <v>436</v>
      </c>
      <c r="C143" s="969">
        <f>ROW(Scoring!A206)</f>
        <v>206</v>
      </c>
      <c r="D143" s="969">
        <f>ROW(Scoring!A207)</f>
        <v>207</v>
      </c>
      <c r="E143" s="969"/>
      <c r="F143" s="969"/>
      <c r="G143" s="962" t="b">
        <f>OR(ComponentVisibility[[#This Row],[Force True]],AND(ComponentVisibility[[#This Row],[Program True]],NOT(ComponentVisibility[[#This Row],[Force False]])))</f>
        <v>0</v>
      </c>
      <c r="H143" s="966" t="s">
        <v>416</v>
      </c>
      <c r="I143" s="962" t="b">
        <f>vmIndianCountry="Yes"</f>
        <v>0</v>
      </c>
      <c r="J143" s="962"/>
      <c r="K143" s="962" t="b">
        <f>SUMPRODUCT(ComponentVisibility[[#This Row],[IIG]:[SHMHP]],IsPrograms)&gt;0</f>
        <v>0</v>
      </c>
      <c r="L143" s="962"/>
      <c r="M143" s="962"/>
      <c r="N143" s="962"/>
      <c r="O143" s="962"/>
      <c r="P143" s="962"/>
      <c r="Q143" s="962"/>
      <c r="R143" s="81"/>
      <c r="S143" s="587"/>
      <c r="U143" s="587"/>
      <c r="V143" s="587"/>
      <c r="W143" s="81"/>
      <c r="X143" s="81"/>
    </row>
    <row r="144" spans="2:24" ht="18" customHeight="1">
      <c r="B144" s="968" t="s">
        <v>436</v>
      </c>
      <c r="C144" s="969">
        <f>ROW(Scoring!A210)</f>
        <v>210</v>
      </c>
      <c r="D144" s="969">
        <f>ROW(Scoring!A210)</f>
        <v>210</v>
      </c>
      <c r="E144" s="969"/>
      <c r="F144" s="969"/>
      <c r="G144" s="967" t="b">
        <f>OR(ComponentVisibility[[#This Row],[Force True]],AND(ComponentVisibility[[#This Row],[Program True]],NOT(ComponentVisibility[[#This Row],[Force False]])))</f>
        <v>0</v>
      </c>
      <c r="H144" s="966" t="s">
        <v>416</v>
      </c>
      <c r="I144" s="967" t="b">
        <f>vmCApplication="Yes"</f>
        <v>0</v>
      </c>
      <c r="J144" s="962"/>
      <c r="K144" s="967" t="b">
        <f>SUMPRODUCT(ComponentVisibility[[#This Row],[IIG]:[SHMHP]],IsPrograms)&gt;0</f>
        <v>0</v>
      </c>
      <c r="L144" s="962"/>
      <c r="M144" s="962"/>
      <c r="N144" s="962"/>
      <c r="O144" s="962"/>
      <c r="P144" s="962"/>
      <c r="Q144" s="962"/>
      <c r="R144" s="81"/>
      <c r="S144" s="587"/>
      <c r="U144" s="587"/>
      <c r="V144" s="587"/>
      <c r="W144" s="81"/>
      <c r="X144" s="81"/>
    </row>
    <row r="145" spans="2:24" ht="18" customHeight="1">
      <c r="B145" s="968" t="s">
        <v>436</v>
      </c>
      <c r="C145" s="969">
        <f>ROW(Scoring!A212)</f>
        <v>212</v>
      </c>
      <c r="D145" s="969">
        <f>ROW(Scoring!A213)</f>
        <v>213</v>
      </c>
      <c r="E145" s="969"/>
      <c r="F145" s="969"/>
      <c r="G145" s="962" t="b">
        <f>OR(ComponentVisibility[[#This Row],[Force True]],AND(ComponentVisibility[[#This Row],[Program True]],NOT(ComponentVisibility[[#This Row],[Force False]])))</f>
        <v>0</v>
      </c>
      <c r="H145" s="966" t="s">
        <v>416</v>
      </c>
      <c r="I145" s="962" t="b">
        <f>vmIndianCountry="Yes"</f>
        <v>0</v>
      </c>
      <c r="J145" s="962"/>
      <c r="K145" s="962" t="b">
        <f>SUMPRODUCT(ComponentVisibility[[#This Row],[IIG]:[SHMHP]],IsPrograms)&gt;0</f>
        <v>0</v>
      </c>
      <c r="L145" s="962"/>
      <c r="M145" s="962"/>
      <c r="N145" s="962"/>
      <c r="O145" s="962"/>
      <c r="P145" s="962"/>
      <c r="Q145" s="962"/>
      <c r="R145" s="81"/>
      <c r="S145" s="587"/>
      <c r="U145" s="587"/>
      <c r="V145" s="587"/>
      <c r="W145" s="81"/>
      <c r="X145" s="81"/>
    </row>
    <row r="146" spans="2:24" ht="18" customHeight="1">
      <c r="B146" s="968" t="s">
        <v>436</v>
      </c>
      <c r="C146" s="969">
        <f>ROW(Scoring!A215)</f>
        <v>215</v>
      </c>
      <c r="D146" s="969">
        <f>ROW(Scoring!A215)</f>
        <v>215</v>
      </c>
      <c r="E146" s="969"/>
      <c r="F146" s="969"/>
      <c r="G146" s="967" t="b">
        <f>OR(ComponentVisibility[[#This Row],[Force True]],AND(ComponentVisibility[[#This Row],[Program True]],NOT(ComponentVisibility[[#This Row],[Force False]])))</f>
        <v>0</v>
      </c>
      <c r="H146" s="966" t="s">
        <v>416</v>
      </c>
      <c r="I146" s="967" t="b">
        <f>vmAICP="Yes"</f>
        <v>0</v>
      </c>
      <c r="J146" s="962"/>
      <c r="K146" s="967" t="b">
        <f>SUMPRODUCT(ComponentVisibility[[#This Row],[IIG]:[SHMHP]],IsPrograms)&gt;0</f>
        <v>0</v>
      </c>
      <c r="L146" s="962"/>
      <c r="M146" s="962"/>
      <c r="N146" s="962"/>
      <c r="O146" s="962"/>
      <c r="P146" s="962"/>
      <c r="Q146" s="962"/>
      <c r="R146" s="81"/>
      <c r="S146" s="587"/>
      <c r="U146" s="587"/>
      <c r="V146" s="587"/>
      <c r="W146" s="81"/>
      <c r="X146" s="81"/>
    </row>
    <row r="147" spans="2:24" ht="18" customHeight="1">
      <c r="B147" s="968" t="s">
        <v>436</v>
      </c>
      <c r="C147" s="969">
        <f>ROW(Scoring!A219)</f>
        <v>219</v>
      </c>
      <c r="D147" s="969">
        <f>ROW(Scoring!A219)</f>
        <v>219</v>
      </c>
      <c r="E147" s="969"/>
      <c r="F147" s="969"/>
      <c r="G147" s="967" t="b">
        <f>OR(ComponentVisibility[[#This Row],[Force True]],AND(ComponentVisibility[[#This Row],[Program True]],NOT(ComponentVisibility[[#This Row],[Force False]])))</f>
        <v>0</v>
      </c>
      <c r="H147" s="966" t="s">
        <v>416</v>
      </c>
      <c r="I147" s="967" t="b">
        <f>vmNER="Yes"</f>
        <v>0</v>
      </c>
      <c r="J147" s="962"/>
      <c r="K147" s="967" t="b">
        <f>SUMPRODUCT(ComponentVisibility[[#This Row],[IIG]:[SHMHP]],IsPrograms)&gt;0</f>
        <v>0</v>
      </c>
      <c r="L147" s="962"/>
      <c r="M147" s="962"/>
      <c r="N147" s="962"/>
      <c r="O147" s="962"/>
      <c r="P147" s="962"/>
      <c r="Q147" s="962"/>
      <c r="R147" s="81"/>
      <c r="S147" s="587"/>
      <c r="U147" s="587"/>
      <c r="V147" s="587"/>
      <c r="W147" s="81"/>
      <c r="X147" s="81"/>
    </row>
    <row r="148" spans="2:24" ht="18" customHeight="1">
      <c r="B148" s="968" t="s">
        <v>436</v>
      </c>
      <c r="C148" s="969">
        <f>ROW(Scoring!A220)</f>
        <v>220</v>
      </c>
      <c r="D148" s="969">
        <f>ROW(Scoring!A221)</f>
        <v>221</v>
      </c>
      <c r="E148" s="969"/>
      <c r="F148" s="969"/>
      <c r="G148" s="967" t="b">
        <f>OR(ComponentVisibility[[#This Row],[Force True]],AND(ComponentVisibility[[#This Row],[Program True]],NOT(ComponentVisibility[[#This Row],[Force False]])))</f>
        <v>0</v>
      </c>
      <c r="H148" s="966" t="s">
        <v>416</v>
      </c>
      <c r="I148" s="967" t="b">
        <f>vmNER="N/A"</f>
        <v>0</v>
      </c>
      <c r="J148" s="962"/>
      <c r="K148" s="967" t="b">
        <f>SUMPRODUCT(ComponentVisibility[[#This Row],[IIG]:[SHMHP]],IsPrograms)&gt;0</f>
        <v>0</v>
      </c>
      <c r="L148" s="962"/>
      <c r="M148" s="962"/>
      <c r="N148" s="962"/>
      <c r="O148" s="962"/>
      <c r="P148" s="962"/>
      <c r="Q148" s="962"/>
      <c r="R148" s="81"/>
      <c r="S148" s="587"/>
      <c r="U148" s="587"/>
      <c r="V148" s="587"/>
      <c r="W148" s="81"/>
      <c r="X148" s="81"/>
    </row>
    <row r="149" spans="2:24" ht="18" customHeight="1">
      <c r="B149" s="968" t="s">
        <v>436</v>
      </c>
      <c r="C149" s="969">
        <f>ROW(Scoring!A222)</f>
        <v>222</v>
      </c>
      <c r="D149" s="969">
        <f>ROW(Scoring!A229)</f>
        <v>229</v>
      </c>
      <c r="E149" s="969"/>
      <c r="F149" s="969"/>
      <c r="G149" s="967" t="b">
        <f>OR(ComponentVisibility[[#This Row],[Force True]],AND(ComponentVisibility[[#This Row],[Program True]],NOT(ComponentVisibility[[#This Row],[Force False]])))</f>
        <v>0</v>
      </c>
      <c r="H149" s="966" t="s">
        <v>416</v>
      </c>
      <c r="I149" s="967" t="b">
        <f>vmNER="No"</f>
        <v>0</v>
      </c>
      <c r="J149" s="962"/>
      <c r="K149" s="967" t="b">
        <f>SUMPRODUCT(ComponentVisibility[[#This Row],[IIG]:[SHMHP]],IsPrograms)&gt;0</f>
        <v>0</v>
      </c>
      <c r="L149" s="962"/>
      <c r="M149" s="962"/>
      <c r="N149" s="962"/>
      <c r="O149" s="962"/>
      <c r="P149" s="962"/>
      <c r="Q149" s="962"/>
      <c r="R149" s="81"/>
      <c r="S149" s="587"/>
      <c r="U149" s="587"/>
      <c r="V149" s="587"/>
      <c r="W149" s="81"/>
      <c r="X149" s="81"/>
    </row>
    <row r="150" spans="2:24" ht="18" customHeight="1">
      <c r="B150" s="968" t="s">
        <v>436</v>
      </c>
      <c r="C150" s="969">
        <f>ROW(Scoring!A230)</f>
        <v>230</v>
      </c>
      <c r="D150" s="969">
        <f>ROW(Scoring!A230)</f>
        <v>230</v>
      </c>
      <c r="E150" s="969"/>
      <c r="F150" s="969"/>
      <c r="G150" s="967" t="b">
        <f>OR(ComponentVisibility[[#This Row],[Force True]],AND(ComponentVisibility[[#This Row],[Program True]],NOT(ComponentVisibility[[#This Row],[Force False]])))</f>
        <v>0</v>
      </c>
      <c r="H150" s="966" t="s">
        <v>416</v>
      </c>
      <c r="I150" s="967" t="b">
        <f>OR(vmWCL="Yes",vmOCL="Yes")</f>
        <v>0</v>
      </c>
      <c r="J150" s="962"/>
      <c r="K150" s="967" t="b">
        <f>SUMPRODUCT(ComponentVisibility[[#This Row],[IIG]:[SHMHP]],IsPrograms)&gt;0</f>
        <v>0</v>
      </c>
      <c r="L150" s="962"/>
      <c r="M150" s="962"/>
      <c r="N150" s="962"/>
      <c r="O150" s="962"/>
      <c r="P150" s="962"/>
      <c r="Q150" s="962"/>
      <c r="R150" s="81"/>
      <c r="S150" s="587"/>
      <c r="U150" s="587"/>
      <c r="V150" s="587"/>
      <c r="W150" s="81"/>
      <c r="X150" s="81"/>
    </row>
    <row r="151" spans="2:24" ht="18" customHeight="1">
      <c r="B151" s="968" t="s">
        <v>436</v>
      </c>
      <c r="C151" s="969">
        <f>ROW(Scoring!A231)</f>
        <v>231</v>
      </c>
      <c r="D151" s="969">
        <f>ROW(Scoring!A231)</f>
        <v>231</v>
      </c>
      <c r="E151" s="969"/>
      <c r="F151" s="969"/>
      <c r="G151" s="967" t="b">
        <f>OR(ComponentVisibility[[#This Row],[Force True]],AND(ComponentVisibility[[#This Row],[Program True]],NOT(ComponentVisibility[[#This Row],[Force False]])))</f>
        <v>0</v>
      </c>
      <c r="H151" s="966" t="s">
        <v>416</v>
      </c>
      <c r="I151" s="967" t="b">
        <f>vmOCL="Yes"</f>
        <v>0</v>
      </c>
      <c r="J151" s="962"/>
      <c r="K151" s="967" t="b">
        <f>SUMPRODUCT(ComponentVisibility[[#This Row],[IIG]:[SHMHP]],IsPrograms)&gt;0</f>
        <v>0</v>
      </c>
      <c r="L151" s="962"/>
      <c r="M151" s="962"/>
      <c r="N151" s="962"/>
      <c r="O151" s="962"/>
      <c r="P151" s="962"/>
      <c r="Q151" s="962"/>
      <c r="R151" s="81"/>
      <c r="S151" s="587"/>
      <c r="U151" s="587"/>
      <c r="V151" s="587"/>
      <c r="W151" s="81"/>
      <c r="X151" s="81"/>
    </row>
    <row r="152" spans="2:24" ht="18" customHeight="1">
      <c r="B152" s="968" t="s">
        <v>436</v>
      </c>
      <c r="C152" s="969">
        <f>ROW(Scoring!A232)</f>
        <v>232</v>
      </c>
      <c r="D152" s="969">
        <f>ROW(Scoring!A234)</f>
        <v>234</v>
      </c>
      <c r="E152" s="969"/>
      <c r="F152" s="969"/>
      <c r="G152" s="962" t="b">
        <f>OR(ComponentVisibility[[#This Row],[Force True]],AND(ComponentVisibility[[#This Row],[Program True]],NOT(ComponentVisibility[[#This Row],[Force False]])))</f>
        <v>0</v>
      </c>
      <c r="H152" s="966" t="s">
        <v>416</v>
      </c>
      <c r="I152" s="962" t="b">
        <f>vmIndianCountry="Indian Country"</f>
        <v>0</v>
      </c>
      <c r="J152" s="962"/>
      <c r="K152" s="962" t="b">
        <f>SUMPRODUCT(ComponentVisibility[[#This Row],[IIG]:[SHMHP]],IsPrograms)&gt;0</f>
        <v>0</v>
      </c>
      <c r="L152" s="962"/>
      <c r="M152" s="962"/>
      <c r="N152" s="962"/>
      <c r="O152" s="962"/>
      <c r="P152" s="962"/>
      <c r="Q152" s="962"/>
      <c r="R152" s="81"/>
      <c r="S152" s="587"/>
      <c r="U152" s="587"/>
      <c r="V152" s="587"/>
      <c r="W152" s="81"/>
      <c r="X152" s="81"/>
    </row>
    <row r="153" spans="2:24" ht="18" customHeight="1">
      <c r="B153" s="968" t="s">
        <v>436</v>
      </c>
      <c r="C153" s="969">
        <f>ROW(Scoring!A260)</f>
        <v>260</v>
      </c>
      <c r="D153" s="969">
        <f>ROW(Scoring!A260)</f>
        <v>260</v>
      </c>
      <c r="E153" s="969"/>
      <c r="F153" s="969"/>
      <c r="G153" s="967" t="b">
        <f>OR(ComponentVisibility[[#This Row],[Force True]],AND(ComponentVisibility[[#This Row],[Program True]],NOT(ComponentVisibility[[#This Row],[Force False]])))</f>
        <v>0</v>
      </c>
      <c r="H153" s="966" t="s">
        <v>416</v>
      </c>
      <c r="I153" s="967" t="b">
        <f>vmTAL="No"</f>
        <v>0</v>
      </c>
      <c r="J153" s="962"/>
      <c r="K153" s="967" t="b">
        <f>SUMPRODUCT(ComponentVisibility[[#This Row],[IIG]:[SHMHP]],IsPrograms)&gt;0</f>
        <v>0</v>
      </c>
      <c r="L153" s="962"/>
      <c r="M153" s="962"/>
      <c r="N153" s="962"/>
      <c r="O153" s="962"/>
      <c r="P153" s="962"/>
      <c r="Q153" s="962"/>
      <c r="R153" s="81"/>
      <c r="S153" s="587"/>
      <c r="U153" s="587"/>
      <c r="V153" s="587"/>
      <c r="W153" s="81"/>
      <c r="X153" s="81"/>
    </row>
    <row r="154" spans="2:24" ht="18" customHeight="1">
      <c r="B154" s="968" t="s">
        <v>436</v>
      </c>
      <c r="C154" s="969">
        <f>ROW(Scoring!A263)</f>
        <v>263</v>
      </c>
      <c r="D154" s="969">
        <f>ROW(Scoring!A263)</f>
        <v>263</v>
      </c>
      <c r="E154" s="969"/>
      <c r="F154" s="969"/>
      <c r="G154" s="967" t="b">
        <f>OR(ComponentVisibility[[#This Row],[Force True]],AND(ComponentVisibility[[#This Row],[Program True]],NOT(ComponentVisibility[[#This Row],[Force False]])))</f>
        <v>0</v>
      </c>
      <c r="H154" s="966" t="s">
        <v>416</v>
      </c>
      <c r="I154" s="967" t="b">
        <f>IF(OR(vmTAL="Yes",vmTAL="No"),TRUE,FALSE)</f>
        <v>0</v>
      </c>
      <c r="J154" s="962"/>
      <c r="K154" s="967" t="b">
        <f>SUMPRODUCT(ComponentVisibility[[#This Row],[IIG]:[SHMHP]],IsPrograms)&gt;0</f>
        <v>0</v>
      </c>
      <c r="L154" s="962"/>
      <c r="M154" s="962"/>
      <c r="N154" s="962"/>
      <c r="O154" s="962"/>
      <c r="P154" s="962"/>
      <c r="Q154" s="962"/>
      <c r="R154" s="81"/>
      <c r="S154" s="587"/>
      <c r="U154" s="587"/>
      <c r="V154" s="587"/>
      <c r="W154" s="81"/>
      <c r="X154" s="81"/>
    </row>
    <row r="155" spans="2:24" ht="18" customHeight="1">
      <c r="B155" s="968" t="s">
        <v>437</v>
      </c>
      <c r="C155" s="971"/>
      <c r="D155" s="969"/>
      <c r="E155" s="969"/>
      <c r="F155" s="969"/>
      <c r="G155" s="962" t="b">
        <f>OR(ComponentVisibility[[#This Row],[Force True]],AND(ComponentVisibility[[#This Row],[Program True]],NOT(ComponentVisibility[[#This Row],[Force False]])))</f>
        <v>0</v>
      </c>
      <c r="H155" s="966"/>
      <c r="I155" s="962" t="b">
        <f>vmSHMHP.TOD="Yes"</f>
        <v>0</v>
      </c>
      <c r="J155" s="962"/>
      <c r="K155" s="962" t="b">
        <f>SUMPRODUCT(ComponentVisibility[[#This Row],[IIG]:[SHMHP]],IsPrograms)&gt;0</f>
        <v>0</v>
      </c>
      <c r="L155" s="962"/>
      <c r="M155" s="962"/>
      <c r="N155" s="962"/>
      <c r="O155" s="962"/>
      <c r="P155" s="962"/>
      <c r="Q155" s="962"/>
      <c r="R155" s="81"/>
      <c r="S155" s="587"/>
      <c r="U155" s="587"/>
      <c r="V155" s="587"/>
      <c r="W155" s="81"/>
      <c r="X155" s="81"/>
    </row>
    <row r="156" spans="2:24" ht="18" customHeight="1">
      <c r="B156" s="968" t="s">
        <v>437</v>
      </c>
      <c r="C156" s="971">
        <f>ROW('SHMHP or TOD Requirements'!A7)</f>
        <v>7</v>
      </c>
      <c r="D156" s="971">
        <f>ROW('SHMHP or TOD Requirements'!A13)</f>
        <v>13</v>
      </c>
      <c r="E156" s="969"/>
      <c r="F156" s="969"/>
      <c r="G156" s="962" t="b">
        <f>OR(ComponentVisibility[[#This Row],[Force True]],AND(ComponentVisibility[[#This Row],[Program True]],NOT(ComponentVisibility[[#This Row],[Force False]])))</f>
        <v>0</v>
      </c>
      <c r="H156" s="966"/>
      <c r="I156" s="962" t="b">
        <f>OR(vmReplaceMHPfunds="SHMHP",vmReplaceMHPfunds="Both")</f>
        <v>0</v>
      </c>
      <c r="J156" s="962"/>
      <c r="K156" s="962" t="b">
        <f>SUMPRODUCT(ComponentVisibility[[#This Row],[IIG]:[SHMHP]],IsPrograms)&gt;0</f>
        <v>0</v>
      </c>
      <c r="L156" s="962"/>
      <c r="M156" s="962"/>
      <c r="N156" s="962"/>
      <c r="O156" s="962"/>
      <c r="P156" s="962"/>
      <c r="Q156" s="962"/>
      <c r="R156" s="81"/>
      <c r="S156" s="587"/>
      <c r="U156" s="587"/>
      <c r="V156" s="587"/>
      <c r="W156" s="81"/>
      <c r="X156" s="81"/>
    </row>
    <row r="157" spans="2:24" ht="18" customHeight="1">
      <c r="B157" s="968" t="s">
        <v>437</v>
      </c>
      <c r="C157" s="971">
        <f>ROW('SHMHP or TOD Requirements'!A17)</f>
        <v>17</v>
      </c>
      <c r="D157" s="971">
        <f>ROW('SHMHP or TOD Requirements'!A17)</f>
        <v>17</v>
      </c>
      <c r="E157" s="969"/>
      <c r="F157" s="969"/>
      <c r="G157" s="962" t="b">
        <f>OR(ComponentVisibility[[#This Row],[Force True]],AND(ComponentVisibility[[#This Row],[Program True]],NOT(ComponentVisibility[[#This Row],[Force False]])))</f>
        <v>0</v>
      </c>
      <c r="H157" s="966"/>
      <c r="I157" s="962" t="b">
        <f>vmTodTransit="Yes"</f>
        <v>0</v>
      </c>
      <c r="J157" s="962"/>
      <c r="K157" s="962" t="b">
        <f>SUMPRODUCT(ComponentVisibility[[#This Row],[IIG]:[SHMHP]],IsPrograms)&gt;0</f>
        <v>0</v>
      </c>
      <c r="L157" s="962"/>
      <c r="M157" s="962"/>
      <c r="N157" s="962"/>
      <c r="O157" s="962"/>
      <c r="P157" s="962"/>
      <c r="Q157" s="962"/>
      <c r="R157" s="81"/>
      <c r="S157" s="587"/>
      <c r="U157" s="587"/>
      <c r="V157" s="587"/>
      <c r="W157" s="81"/>
      <c r="X157" s="81"/>
    </row>
    <row r="158" spans="2:24" ht="18" customHeight="1">
      <c r="B158" s="968" t="s">
        <v>437</v>
      </c>
      <c r="C158" s="971">
        <f>ROW('SHMHP or TOD Requirements'!A14)</f>
        <v>14</v>
      </c>
      <c r="D158" s="971">
        <f>ROW('SHMHP or TOD Requirements'!A23)</f>
        <v>23</v>
      </c>
      <c r="E158" s="969"/>
      <c r="F158" s="969"/>
      <c r="G158" s="962" t="b">
        <f>OR(ComponentVisibility[[#This Row],[Force True]],AND(ComponentVisibility[[#This Row],[Program True]],NOT(ComponentVisibility[[#This Row],[Force False]])))</f>
        <v>0</v>
      </c>
      <c r="H158" s="966"/>
      <c r="I158" s="962" t="b">
        <f>OR(vmReplaceMHPfunds="TOD",vmReplaceMHPfunds="Both")</f>
        <v>0</v>
      </c>
      <c r="J158" s="962"/>
      <c r="K158" s="962" t="b">
        <f>SUMPRODUCT(ComponentVisibility[[#This Row],[IIG]:[SHMHP]],IsPrograms)&gt;0</f>
        <v>0</v>
      </c>
      <c r="L158" s="962"/>
      <c r="M158" s="962"/>
      <c r="N158" s="962"/>
      <c r="O158" s="962"/>
      <c r="P158" s="962"/>
      <c r="Q158" s="962"/>
      <c r="R158" s="81"/>
      <c r="S158" s="587"/>
      <c r="U158" s="587"/>
      <c r="V158" s="587"/>
      <c r="W158" s="81"/>
      <c r="X158" s="81"/>
    </row>
    <row r="159" spans="2:24" ht="18" customHeight="1">
      <c r="B159" s="968" t="s">
        <v>438</v>
      </c>
      <c r="C159" s="969">
        <f>ROW('Sponsor Certification'!A38)</f>
        <v>38</v>
      </c>
      <c r="D159" s="969">
        <f>ROW('Sponsor Certification'!A39)</f>
        <v>39</v>
      </c>
      <c r="E159" s="969"/>
      <c r="F159" s="969"/>
      <c r="G159" s="967" t="b">
        <f>OR(ComponentVisibility[[#This Row],[Force True]],AND(ComponentVisibility[[#This Row],[Program True]],NOT(ComponentVisibility[[#This Row],[Force False]])))</f>
        <v>0</v>
      </c>
      <c r="H159" s="966" t="s">
        <v>416</v>
      </c>
      <c r="I159" s="967" t="b">
        <f>IF(OR('Sponsor Certification'!AL25="Yes",'Sponsor Certification'!AL26="Yes",'Sponsor Certification'!AL27="Yes",'Sponsor Certification'!AL28="Yes",'Sponsor Certification'!AL29="Yes",'Sponsor Certification'!AL31="Yes",'Sponsor Certification'!AL32="Yes",'Sponsor Certification'!AL33="Yes",'Sponsor Certification'!AL34="Yes",'Sponsor Certification'!AL35="Yes",'Sponsor Certification'!AL36="Yes",'Sponsor Certification'!AL37="Yes"),TRUE,FALSE)</f>
        <v>0</v>
      </c>
      <c r="J159" s="962"/>
      <c r="K159" s="967" t="b">
        <f>SUMPRODUCT(ComponentVisibility[[#This Row],[IIG]:[SHMHP]],IsPrograms)&gt;0</f>
        <v>0</v>
      </c>
      <c r="L159" s="962"/>
      <c r="M159" s="962"/>
      <c r="N159" s="962"/>
      <c r="O159" s="962"/>
      <c r="P159" s="962"/>
      <c r="Q159" s="962"/>
      <c r="R159" s="81"/>
      <c r="S159" s="587"/>
      <c r="U159" s="587"/>
      <c r="V159" s="587"/>
      <c r="W159" s="81"/>
      <c r="X159" s="81"/>
    </row>
    <row r="160" spans="2:24" ht="18" customHeight="1">
      <c r="B160" s="966" t="s">
        <v>439</v>
      </c>
      <c r="C160" s="967"/>
      <c r="D160" s="967"/>
      <c r="E160" s="967"/>
      <c r="F160" s="967"/>
      <c r="G160" s="967" t="b">
        <f>OR(ComponentVisibility[[#This Row],[Force True]],AND(ComponentVisibility[[#This Row],[Program True]],NOT(ComponentVisibility[[#This Row],[Force False]])))</f>
        <v>0</v>
      </c>
      <c r="H160" s="966" t="s">
        <v>416</v>
      </c>
      <c r="I160" s="967" t="b">
        <f t="array" ref="I160">OR(IsSH,IsTH,IsSpecialNeeds,vmSN="Yes")</f>
        <v>0</v>
      </c>
      <c r="J160" s="962"/>
      <c r="K160" s="967" t="b">
        <f>SUMPRODUCT(ComponentVisibility[[#This Row],[IIG]:[SHMHP]],IsPrograms)&gt;0</f>
        <v>0</v>
      </c>
      <c r="L160" s="962"/>
      <c r="M160" s="962"/>
      <c r="N160" s="962"/>
      <c r="O160" s="962"/>
      <c r="P160" s="962"/>
      <c r="Q160" s="962"/>
      <c r="R160" s="81"/>
      <c r="S160" s="587"/>
      <c r="U160" s="587"/>
      <c r="V160" s="587"/>
      <c r="W160" s="81"/>
      <c r="X160" s="81"/>
    </row>
    <row r="161" spans="1:24" ht="18" customHeight="1">
      <c r="B161" s="966" t="s">
        <v>440</v>
      </c>
      <c r="C161" s="967"/>
      <c r="D161" s="967"/>
      <c r="E161" s="967"/>
      <c r="F161" s="967"/>
      <c r="G161" s="967" t="b">
        <f>OR(ComponentVisibility[[#This Row],[Force True]],AND(ComponentVisibility[[#This Row],[Program True]],NOT(ComponentVisibility[[#This Row],[Force False]])))</f>
        <v>0</v>
      </c>
      <c r="H161" s="966" t="s">
        <v>416</v>
      </c>
      <c r="I161" s="967" t="b">
        <f t="array" ref="I161">OR(IsSpecialNeeds,vmSN="Yes",IsSH,IsTH)</f>
        <v>0</v>
      </c>
      <c r="J161" s="962"/>
      <c r="K161" s="967" t="b">
        <f>SUMPRODUCT(ComponentVisibility[[#This Row],[IIG]:[SHMHP]],IsPrograms)&gt;0</f>
        <v>0</v>
      </c>
      <c r="L161" s="962"/>
      <c r="M161" s="962"/>
      <c r="N161" s="962"/>
      <c r="O161" s="962"/>
      <c r="P161" s="962"/>
      <c r="Q161" s="962"/>
      <c r="R161" s="81"/>
      <c r="S161" s="587"/>
      <c r="U161" s="587"/>
      <c r="V161" s="587"/>
      <c r="W161" s="81"/>
      <c r="X161" s="81"/>
    </row>
    <row r="162" spans="1:24" ht="18" customHeight="1">
      <c r="B162" s="968" t="s">
        <v>441</v>
      </c>
      <c r="C162" s="969"/>
      <c r="D162" s="969"/>
      <c r="E162" s="969">
        <f>COLUMN('Unit Mix'!J1)</f>
        <v>10</v>
      </c>
      <c r="F162" s="969">
        <f>COLUMN('Unit Mix'!J1)</f>
        <v>10</v>
      </c>
      <c r="G162" s="967" t="b">
        <f>OR(ComponentVisibility[[#This Row],[Force True]],AND(ComponentVisibility[[#This Row],[Program True]],NOT(ComponentVisibility[[#This Row],[Force False]])))</f>
        <v>0</v>
      </c>
      <c r="H162" s="966" t="s">
        <v>416</v>
      </c>
      <c r="I162" s="967" t="b">
        <f>AND(MHPCOSR,MHPCOSRYes="Yes")</f>
        <v>0</v>
      </c>
      <c r="J162" s="962"/>
      <c r="K162" s="967" t="b">
        <f>SUMPRODUCT(ComponentVisibility[[#This Row],[IIG]:[SHMHP]],IsPrograms)&gt;0</f>
        <v>0</v>
      </c>
      <c r="L162" s="962">
        <v>0</v>
      </c>
      <c r="M162" s="962">
        <v>0</v>
      </c>
      <c r="N162" s="962">
        <v>0</v>
      </c>
      <c r="O162" s="962">
        <v>0</v>
      </c>
      <c r="P162" s="962">
        <v>0</v>
      </c>
      <c r="Q162" s="962">
        <v>0</v>
      </c>
    </row>
    <row r="163" spans="1:24" ht="18" customHeight="1">
      <c r="B163" s="968" t="s">
        <v>441</v>
      </c>
      <c r="C163" s="969"/>
      <c r="D163" s="969"/>
      <c r="E163" s="969">
        <f>COLUMN('Unit Mix'!K1)</f>
        <v>11</v>
      </c>
      <c r="F163" s="969">
        <f>COLUMN('Unit Mix'!K1)</f>
        <v>11</v>
      </c>
      <c r="G163" s="967" t="b">
        <f>OR(ComponentVisibility[[#This Row],[Force True]],AND(ComponentVisibility[[#This Row],[Program True]],NOT(ComponentVisibility[[#This Row],[Force False]])))</f>
        <v>0</v>
      </c>
      <c r="H163" s="966" t="s">
        <v>416</v>
      </c>
      <c r="I163" s="967"/>
      <c r="J163" s="962"/>
      <c r="K163" s="967" t="b">
        <f>SUMPRODUCT(ComponentVisibility[[#This Row],[IIG]:[SHMHP]],IsPrograms)&gt;0</f>
        <v>0</v>
      </c>
      <c r="L163" s="962">
        <v>0</v>
      </c>
      <c r="M163" s="962">
        <v>0</v>
      </c>
      <c r="N163" s="962">
        <v>0</v>
      </c>
      <c r="O163" s="962">
        <v>0</v>
      </c>
      <c r="P163" s="962">
        <v>1</v>
      </c>
      <c r="Q163" s="962">
        <v>0</v>
      </c>
    </row>
    <row r="164" spans="1:24" ht="18" customHeight="1">
      <c r="B164" s="968" t="s">
        <v>441</v>
      </c>
      <c r="C164" s="1614"/>
      <c r="D164" s="1614"/>
      <c r="E164" s="1614">
        <f>COLUMN('Unit Mix'!P1)</f>
        <v>16</v>
      </c>
      <c r="F164" s="1614">
        <f>COLUMN('Unit Mix'!Q1)</f>
        <v>17</v>
      </c>
      <c r="G164" s="967" t="b">
        <f>OR(ComponentVisibility[[#This Row],[Force True]],AND(ComponentVisibility[[#This Row],[Program True]],NOT(ComponentVisibility[[#This Row],[Force False]])))</f>
        <v>0</v>
      </c>
      <c r="H164" s="966" t="s">
        <v>416</v>
      </c>
      <c r="I164" s="967" t="b">
        <f>OR(vmReplaceMHPfunds="SHMHP",vmReplaceMHPfunds="Both")</f>
        <v>0</v>
      </c>
      <c r="J164" s="972"/>
      <c r="K164" s="967" t="b">
        <f>SUMPRODUCT(ComponentVisibility[[#This Row],[IIG]:[SHMHP]],IsPrograms)&gt;0</f>
        <v>0</v>
      </c>
      <c r="L164" s="972"/>
      <c r="M164" s="972"/>
      <c r="N164" s="972"/>
      <c r="O164" s="972"/>
      <c r="P164" s="972"/>
      <c r="Q164" s="972"/>
    </row>
    <row r="165" spans="1:24" ht="18" customHeight="1">
      <c r="B165" s="968" t="s">
        <v>441</v>
      </c>
      <c r="C165" s="1614"/>
      <c r="D165" s="1614"/>
      <c r="E165" s="1614">
        <f>COLUMN('Unit Mix'!R2)</f>
        <v>18</v>
      </c>
      <c r="F165" s="1614">
        <f>COLUMN('Unit Mix'!R2)</f>
        <v>18</v>
      </c>
      <c r="G165" s="967" t="b">
        <f>OR(ComponentVisibility[[#This Row],[Force True]],AND(ComponentVisibility[[#This Row],[Program True]],NOT(ComponentVisibility[[#This Row],[Force False]])))</f>
        <v>0</v>
      </c>
      <c r="H165" s="966" t="s">
        <v>416</v>
      </c>
      <c r="I165" s="967" t="b">
        <v>0</v>
      </c>
      <c r="J165" s="972"/>
      <c r="K165" s="967" t="b">
        <f>SUMPRODUCT(ComponentVisibility[[#This Row],[IIG]:[SHMHP]],IsPrograms)&gt;0</f>
        <v>0</v>
      </c>
      <c r="L165" s="972"/>
      <c r="M165" s="972"/>
      <c r="N165" s="972"/>
      <c r="O165" s="972"/>
      <c r="P165" s="972"/>
      <c r="Q165" s="972"/>
    </row>
    <row r="166" spans="1:24" ht="18" customHeight="1">
      <c r="B166" s="968" t="s">
        <v>441</v>
      </c>
      <c r="C166" s="1614"/>
      <c r="D166" s="1614"/>
      <c r="E166" s="1614">
        <f>COLUMN('Unit Mix'!S1)</f>
        <v>19</v>
      </c>
      <c r="F166" s="1614">
        <f>COLUMN('Unit Mix'!X1)</f>
        <v>24</v>
      </c>
      <c r="G166" s="967" t="b">
        <f>OR(ComponentVisibility[[#This Row],[Force True]],AND(ComponentVisibility[[#This Row],[Program True]],NOT(ComponentVisibility[[#This Row],[Force False]])))</f>
        <v>0</v>
      </c>
      <c r="H166" s="966" t="s">
        <v>416</v>
      </c>
      <c r="I166" s="967"/>
      <c r="J166" s="972"/>
      <c r="K166" s="967" t="b">
        <f>SUMPRODUCT(ComponentVisibility[[#This Row],[IIG]:[SHMHP]],IsPrograms)&gt;0</f>
        <v>0</v>
      </c>
      <c r="L166" s="972">
        <v>0</v>
      </c>
      <c r="M166" s="972">
        <v>0</v>
      </c>
      <c r="N166" s="972">
        <v>0</v>
      </c>
      <c r="O166" s="972">
        <v>0</v>
      </c>
      <c r="P166" s="972">
        <v>1</v>
      </c>
      <c r="Q166" s="972">
        <v>0</v>
      </c>
    </row>
    <row r="167" spans="1:24" ht="18" customHeight="1">
      <c r="B167" s="968" t="s">
        <v>441</v>
      </c>
      <c r="C167" s="1614"/>
      <c r="D167" s="1614"/>
      <c r="E167" s="1614">
        <f>COLUMN('Unit Mix'!AE1)</f>
        <v>31</v>
      </c>
      <c r="F167" s="1614">
        <f>COLUMN('Unit Mix'!AG1)</f>
        <v>33</v>
      </c>
      <c r="G167" s="967" t="b">
        <f>OR(ComponentVisibility[[#This Row],[Force True]],AND(ComponentVisibility[[#This Row],[Program True]],NOT(ComponentVisibility[[#This Row],[Force False]])))</f>
        <v>0</v>
      </c>
      <c r="H167" s="966" t="s">
        <v>416</v>
      </c>
      <c r="I167" s="967" t="b">
        <f>vmConditionApproval="Yes"</f>
        <v>0</v>
      </c>
      <c r="J167" s="972"/>
      <c r="K167" s="967" t="b">
        <f>SUMPRODUCT(ComponentVisibility[[#This Row],[IIG]:[SHMHP]],IsPrograms)&gt;0</f>
        <v>0</v>
      </c>
      <c r="L167" s="972">
        <v>0</v>
      </c>
      <c r="M167" s="972">
        <v>0</v>
      </c>
      <c r="N167" s="972">
        <v>0</v>
      </c>
      <c r="O167" s="972">
        <v>0</v>
      </c>
      <c r="P167" s="972">
        <v>0</v>
      </c>
      <c r="Q167" s="972">
        <v>0</v>
      </c>
    </row>
    <row r="168" spans="1:24" ht="18" customHeight="1">
      <c r="B168" s="968" t="s">
        <v>441</v>
      </c>
      <c r="C168" s="1614"/>
      <c r="D168" s="1614"/>
      <c r="E168" s="1614">
        <f>COLUMN('Unit Mix'!AH1)</f>
        <v>34</v>
      </c>
      <c r="F168" s="1614">
        <f>COLUMN('Unit Mix'!AH1)</f>
        <v>34</v>
      </c>
      <c r="G168" s="967" t="b">
        <f>OR(ComponentVisibility[[#This Row],[Force True]],AND(ComponentVisibility[[#This Row],[Program True]],NOT(ComponentVisibility[[#This Row],[Force False]])))</f>
        <v>0</v>
      </c>
      <c r="H168" s="966" t="s">
        <v>416</v>
      </c>
      <c r="I168" s="967" t="b">
        <f>OR(vmPACE="Yes",vmHCBA="Yes",vmALW="Yes")</f>
        <v>0</v>
      </c>
      <c r="J168" s="972"/>
      <c r="K168" s="967" t="b">
        <f>SUMPRODUCT(ComponentVisibility[[#This Row],[IIG]:[SHMHP]],IsPrograms)&gt;0</f>
        <v>0</v>
      </c>
      <c r="L168" s="972">
        <v>0</v>
      </c>
      <c r="M168" s="972">
        <v>0</v>
      </c>
      <c r="N168" s="972">
        <v>0</v>
      </c>
      <c r="O168" s="972">
        <v>0</v>
      </c>
      <c r="P168" s="972">
        <v>0</v>
      </c>
      <c r="Q168" s="972">
        <v>0</v>
      </c>
    </row>
    <row r="169" spans="1:24" ht="18" customHeight="1">
      <c r="B169" s="968" t="s">
        <v>441</v>
      </c>
      <c r="C169" s="1614"/>
      <c r="D169" s="1614"/>
      <c r="E169" s="1614">
        <f>COLUMN('Unit Mix'!AI1)</f>
        <v>35</v>
      </c>
      <c r="F169" s="1614">
        <f>COLUMN('Unit Mix'!AI1)</f>
        <v>35</v>
      </c>
      <c r="G169" s="967" t="b">
        <f>OR(ComponentVisibility[[#This Row],[Force True]],AND(ComponentVisibility[[#This Row],[Program True]],NOT(ComponentVisibility[[#This Row],[Force False]])))</f>
        <v>0</v>
      </c>
      <c r="H169" s="966" t="s">
        <v>416</v>
      </c>
      <c r="I169" s="967"/>
      <c r="J169" s="972"/>
      <c r="K169" s="967" t="b">
        <f>SUMPRODUCT(ComponentVisibility[[#This Row],[IIG]:[SHMHP]],IsPrograms)&gt;0</f>
        <v>0</v>
      </c>
      <c r="L169" s="972">
        <v>1</v>
      </c>
      <c r="M169" s="972">
        <v>0</v>
      </c>
      <c r="N169" s="972">
        <v>0</v>
      </c>
      <c r="O169" s="972">
        <v>0</v>
      </c>
      <c r="P169" s="972">
        <v>0</v>
      </c>
      <c r="Q169" s="972">
        <v>0</v>
      </c>
    </row>
    <row r="170" spans="1:24" ht="18" customHeight="1">
      <c r="B170" s="968" t="s">
        <v>441</v>
      </c>
      <c r="C170" s="1614"/>
      <c r="D170" s="1614"/>
      <c r="E170" s="1614">
        <f>COLUMN('Unit Mix'!AJ1)</f>
        <v>36</v>
      </c>
      <c r="F170" s="1614">
        <f>COLUMN('Unit Mix'!AJ1)</f>
        <v>36</v>
      </c>
      <c r="G170" s="967" t="b">
        <f>OR(ComponentVisibility[[#This Row],[Force True]],AND(ComponentVisibility[[#This Row],[Program True]],NOT(ComponentVisibility[[#This Row],[Force False]])))</f>
        <v>0</v>
      </c>
      <c r="H170" s="966" t="s">
        <v>416</v>
      </c>
      <c r="I170" s="967"/>
      <c r="J170" s="972"/>
      <c r="K170" s="967" t="b">
        <f>SUMPRODUCT(ComponentVisibility[[#This Row],[IIG]:[SHMHP]],IsPrograms)&gt;0</f>
        <v>0</v>
      </c>
      <c r="L170" s="972">
        <v>0</v>
      </c>
      <c r="M170" s="972">
        <v>1</v>
      </c>
      <c r="N170" s="972">
        <v>0</v>
      </c>
      <c r="O170" s="972">
        <v>0</v>
      </c>
      <c r="P170" s="972">
        <v>0</v>
      </c>
      <c r="Q170" s="972">
        <v>0</v>
      </c>
    </row>
    <row r="171" spans="1:24" ht="18" customHeight="1">
      <c r="A171" s="172"/>
      <c r="B171" s="968" t="s">
        <v>441</v>
      </c>
      <c r="C171" s="1614"/>
      <c r="D171" s="1614"/>
      <c r="E171" s="1614">
        <f>COLUMN('Unit Mix'!AK1)</f>
        <v>37</v>
      </c>
      <c r="F171" s="1614">
        <f>COLUMN('Unit Mix'!AK1)</f>
        <v>37</v>
      </c>
      <c r="G171" s="967" t="b">
        <f>OR(ComponentVisibility[[#This Row],[Force True]],AND(ComponentVisibility[[#This Row],[Program True]],NOT(ComponentVisibility[[#This Row],[Force False]])))</f>
        <v>0</v>
      </c>
      <c r="H171" s="966" t="s">
        <v>416</v>
      </c>
      <c r="I171" s="967"/>
      <c r="J171" s="972"/>
      <c r="K171" s="967" t="b">
        <f>SUMPRODUCT(ComponentVisibility[[#This Row],[IIG]:[SHMHP]],IsPrograms)&gt;0</f>
        <v>0</v>
      </c>
      <c r="L171" s="972">
        <v>0</v>
      </c>
      <c r="M171" s="972">
        <v>0</v>
      </c>
      <c r="N171" s="972">
        <v>0</v>
      </c>
      <c r="O171" s="972">
        <v>1</v>
      </c>
      <c r="P171" s="972">
        <v>0</v>
      </c>
      <c r="Q171" s="972">
        <v>0</v>
      </c>
    </row>
    <row r="172" spans="1:24" ht="18" customHeight="1">
      <c r="A172" s="172"/>
      <c r="B172" s="968" t="s">
        <v>441</v>
      </c>
      <c r="C172" s="1614"/>
      <c r="D172" s="1614"/>
      <c r="E172" s="1614">
        <f>COLUMN('Unit Mix'!AL1)</f>
        <v>38</v>
      </c>
      <c r="F172" s="1614">
        <f>COLUMN('Unit Mix'!AL1)</f>
        <v>38</v>
      </c>
      <c r="G172" s="967" t="b">
        <f>OR(ComponentVisibility[[#This Row],[Force True]],AND(ComponentVisibility[[#This Row],[Program True]],NOT(ComponentVisibility[[#This Row],[Force False]])))</f>
        <v>0</v>
      </c>
      <c r="H172" s="966" t="s">
        <v>416</v>
      </c>
      <c r="I172" s="967"/>
      <c r="J172" s="972"/>
      <c r="K172" s="967" t="b">
        <f>SUMPRODUCT(ComponentVisibility[[#This Row],[IIG]:[SHMHP]],IsPrograms)&gt;0</f>
        <v>0</v>
      </c>
      <c r="L172" s="972">
        <v>0</v>
      </c>
      <c r="M172" s="972">
        <v>0</v>
      </c>
      <c r="N172" s="972">
        <v>0</v>
      </c>
      <c r="O172" s="972">
        <v>0</v>
      </c>
      <c r="P172" s="972">
        <v>0</v>
      </c>
      <c r="Q172" s="972">
        <v>1</v>
      </c>
    </row>
    <row r="173" spans="1:24" ht="18" customHeight="1">
      <c r="B173" s="968" t="s">
        <v>441</v>
      </c>
      <c r="C173" s="971"/>
      <c r="D173" s="969"/>
      <c r="E173" s="971">
        <f>COLUMN('Unit Mix'!AM1)</f>
        <v>39</v>
      </c>
      <c r="F173" s="971">
        <f>COLUMN('Unit Mix'!AM1)</f>
        <v>39</v>
      </c>
      <c r="G173" s="967" t="b">
        <f>OR(ComponentVisibility[[#This Row],[Force True]],AND(ComponentVisibility[[#This Row],[Program True]],NOT(ComponentVisibility[[#This Row],[Force False]])))</f>
        <v>0</v>
      </c>
      <c r="H173" s="966" t="s">
        <v>416</v>
      </c>
      <c r="I173" s="967"/>
      <c r="J173" s="962"/>
      <c r="K173" s="967" t="b">
        <f>SUMPRODUCT(ComponentVisibility[[#This Row],[IIG]:[SHMHP]],IsPrograms)&gt;0</f>
        <v>0</v>
      </c>
      <c r="L173" s="962">
        <v>0</v>
      </c>
      <c r="M173" s="962">
        <v>0</v>
      </c>
      <c r="N173" s="962">
        <v>0</v>
      </c>
      <c r="O173" s="962">
        <v>0</v>
      </c>
      <c r="P173" s="962">
        <v>1</v>
      </c>
      <c r="Q173" s="962">
        <v>0</v>
      </c>
    </row>
    <row r="174" spans="1:24" ht="18" customHeight="1">
      <c r="B174" s="968" t="s">
        <v>442</v>
      </c>
      <c r="C174" s="971"/>
      <c r="D174" s="969"/>
      <c r="E174" s="971"/>
      <c r="F174" s="971"/>
      <c r="G174" s="967" t="b">
        <f>OR(ComponentVisibility[[#This Row],[Force True]],AND(ComponentVisibility[[#This Row],[Program True]],NOT(ComponentVisibility[[#This Row],[Force False]])))</f>
        <v>0</v>
      </c>
      <c r="H174" s="966" t="s">
        <v>416</v>
      </c>
      <c r="I174" s="967" t="b">
        <f>IsSH</f>
        <v>0</v>
      </c>
      <c r="J174" s="962"/>
      <c r="K174" s="967" t="b">
        <f>SUMPRODUCT(ComponentVisibility[[#This Row],[IIG]:[SHMHP]],IsPrograms)&gt;0</f>
        <v>0</v>
      </c>
      <c r="L174" s="962"/>
      <c r="M174" s="962"/>
      <c r="N174" s="962"/>
      <c r="O174" s="962"/>
      <c r="P174" s="962"/>
      <c r="Q174" s="962"/>
    </row>
    <row r="175" spans="1:24" ht="18" customHeight="1">
      <c r="B175" s="966" t="s">
        <v>427</v>
      </c>
      <c r="C175" s="973"/>
      <c r="D175" s="973"/>
      <c r="E175" s="967"/>
      <c r="F175" s="967"/>
      <c r="G175" s="967" t="b">
        <f>OR(ComponentVisibility[[#This Row],[Force True]],AND(ComponentVisibility[[#This Row],[Program True]],NOT(ComponentVisibility[[#This Row],[Force False]])))</f>
        <v>0</v>
      </c>
      <c r="H175" s="966" t="s">
        <v>416</v>
      </c>
      <c r="I175" s="967" t="b">
        <f>OR(IsSH,IsTH)</f>
        <v>0</v>
      </c>
      <c r="J175" s="962"/>
      <c r="K175" s="967" t="b">
        <f>SUMPRODUCT(ComponentVisibility[[#This Row],[IIG]:[SHMHP]],IsPrograms)&gt;0</f>
        <v>0</v>
      </c>
      <c r="L175" s="962"/>
      <c r="M175" s="962"/>
      <c r="N175" s="962"/>
      <c r="O175" s="962"/>
      <c r="P175" s="962"/>
      <c r="Q175" s="962"/>
    </row>
    <row r="176" spans="1:24" ht="18" customHeight="1">
      <c r="B176" s="966" t="s">
        <v>443</v>
      </c>
      <c r="C176" s="973"/>
      <c r="D176" s="973"/>
      <c r="E176" s="967"/>
      <c r="F176" s="967"/>
      <c r="G176" s="967" t="b">
        <f>OR(ComponentVisibility[[#This Row],[Force True]],AND(ComponentVisibility[[#This Row],[Program True]],NOT(ComponentVisibility[[#This Row],[Force False]])))</f>
        <v>0</v>
      </c>
      <c r="H176" s="966" t="s">
        <v>416</v>
      </c>
      <c r="I176" s="967" t="b">
        <f>IsVhhp</f>
        <v>0</v>
      </c>
      <c r="J176" s="962"/>
      <c r="K176" s="967" t="b">
        <f>SUMPRODUCT(ComponentVisibility[[#This Row],[IIG]:[SHMHP]],IsPrograms)&gt;0</f>
        <v>0</v>
      </c>
      <c r="L176" s="962"/>
      <c r="M176" s="962"/>
      <c r="N176" s="962"/>
      <c r="O176" s="962"/>
      <c r="P176" s="962"/>
      <c r="Q176" s="962"/>
    </row>
    <row r="177" spans="1:21" ht="18" customHeight="1">
      <c r="B177" s="966" t="s">
        <v>444</v>
      </c>
      <c r="C177" s="973">
        <f>ROW('MHP Threshold Requirements'!A14)</f>
        <v>14</v>
      </c>
      <c r="D177" s="973">
        <f>ROW('MHP Threshold Requirements'!A14)</f>
        <v>14</v>
      </c>
      <c r="E177" s="967"/>
      <c r="F177" s="967"/>
      <c r="G177" s="967" t="b">
        <f>OR(ComponentVisibility[[#This Row],[Force True]],AND(ComponentVisibility[[#This Row],[Program True]],NOT(ComponentVisibility[[#This Row],[Force False]])))</f>
        <v>0</v>
      </c>
      <c r="H177" s="966" t="s">
        <v>416</v>
      </c>
      <c r="I177" s="967" t="b">
        <f>OR(vmProjectDevType="Rehabilitation",vmProjectDevType="Acquisition &amp; Rehabilitation")</f>
        <v>0</v>
      </c>
      <c r="J177" s="962"/>
      <c r="K177" s="967" t="b">
        <f>SUMPRODUCT(ComponentVisibility[[#This Row],[IIG]:[SHMHP]],IsPrograms)&gt;0</f>
        <v>0</v>
      </c>
      <c r="L177" s="962"/>
      <c r="M177" s="962"/>
      <c r="N177" s="962"/>
      <c r="O177" s="962"/>
      <c r="P177" s="962"/>
      <c r="Q177" s="962"/>
    </row>
    <row r="178" spans="1:21" ht="18" customHeight="1">
      <c r="B178" s="966" t="s">
        <v>444</v>
      </c>
      <c r="C178" s="973">
        <f>ROW('MHP Threshold Requirements'!A15)</f>
        <v>15</v>
      </c>
      <c r="D178" s="973">
        <f>ROW('MHP Threshold Requirements'!A15)</f>
        <v>15</v>
      </c>
      <c r="E178" s="967"/>
      <c r="F178" s="967"/>
      <c r="G178" s="967" t="b">
        <f>OR(ComponentVisibility[[#This Row],[Force True]],AND(ComponentVisibility[[#This Row],[Program True]],NOT(ComponentVisibility[[#This Row],[Force False]])))</f>
        <v>0</v>
      </c>
      <c r="H178" s="966" t="s">
        <v>416</v>
      </c>
      <c r="I178" s="967" t="b">
        <f>AND(IsVhhp,IsSenior,OR(vmProjectDevType="New Construction",vmProjectDevType="New Construction &amp; Acq/Rehab"))</f>
        <v>0</v>
      </c>
      <c r="J178" s="962"/>
      <c r="K178" s="967" t="b">
        <f>SUMPRODUCT(ComponentVisibility[[#This Row],[IIG]:[SHMHP]],IsPrograms)&gt;0</f>
        <v>0</v>
      </c>
      <c r="L178" s="962"/>
      <c r="M178" s="962"/>
      <c r="N178" s="962"/>
      <c r="O178" s="962"/>
      <c r="P178" s="962"/>
      <c r="Q178" s="962"/>
    </row>
    <row r="179" spans="1:21" ht="18" customHeight="1">
      <c r="B179" s="966" t="s">
        <v>444</v>
      </c>
      <c r="C179" s="973">
        <f>ROW('MHP Threshold Requirements'!A16)</f>
        <v>16</v>
      </c>
      <c r="D179" s="973">
        <f>ROW('MHP Threshold Requirements'!A16)</f>
        <v>16</v>
      </c>
      <c r="E179" s="967"/>
      <c r="F179" s="967"/>
      <c r="G179" s="967" t="b">
        <f>OR(ComponentVisibility[[#This Row],[Force True]],AND(ComponentVisibility[[#This Row],[Program True]],NOT(ComponentVisibility[[#This Row],[Force False]])))</f>
        <v>0</v>
      </c>
      <c r="H179" s="966" t="s">
        <v>416</v>
      </c>
      <c r="I179" s="967" t="b">
        <f>AND(IsVhhp,IsSenior,OR(vmProjectDevType="Rehabilitation",vmProjectDevType="Acquisition &amp; Rehabilitation"))</f>
        <v>0</v>
      </c>
      <c r="J179" s="962"/>
      <c r="K179" s="967" t="b">
        <f>SUMPRODUCT(ComponentVisibility[[#This Row],[IIG]:[SHMHP]],IsPrograms)&gt;0</f>
        <v>0</v>
      </c>
      <c r="L179" s="962"/>
      <c r="M179" s="962"/>
      <c r="N179" s="962"/>
      <c r="O179" s="962"/>
      <c r="P179" s="962"/>
      <c r="Q179" s="962"/>
    </row>
    <row r="180" spans="1:21" ht="18" customHeight="1">
      <c r="B180" s="966" t="s">
        <v>444</v>
      </c>
      <c r="C180" s="973">
        <f>ROW('FWHG Threshold Requirements'!A24)</f>
        <v>24</v>
      </c>
      <c r="D180" s="973">
        <f>ROW('FWHG Threshold Requirements'!A25)</f>
        <v>25</v>
      </c>
      <c r="E180" s="967"/>
      <c r="F180" s="967"/>
      <c r="G180" s="967" t="b">
        <f>OR(ComponentVisibility[[#This Row],[Force True]],AND(ComponentVisibility[[#This Row],[Program True]],NOT(ComponentVisibility[[#This Row],[Force False]])))</f>
        <v>0</v>
      </c>
      <c r="H180" s="966" t="s">
        <v>416</v>
      </c>
      <c r="I180" s="967" t="b">
        <f>vmOtherThanSHandTC="Yes"</f>
        <v>0</v>
      </c>
      <c r="J180" s="962"/>
      <c r="K180" s="967" t="b">
        <f>SUMPRODUCT(ComponentVisibility[[#This Row],[IIG]:[SHMHP]],IsPrograms)&gt;0</f>
        <v>0</v>
      </c>
      <c r="L180" s="962"/>
      <c r="M180" s="962"/>
      <c r="N180" s="962"/>
      <c r="O180" s="962"/>
      <c r="P180" s="962"/>
      <c r="Q180" s="962"/>
    </row>
    <row r="181" spans="1:21" ht="18" customHeight="1">
      <c r="B181" s="966" t="s">
        <v>444</v>
      </c>
      <c r="C181" s="973">
        <f>ROW('FWHG Threshold Requirements'!A25)</f>
        <v>25</v>
      </c>
      <c r="D181" s="973">
        <f>ROW('FWHG Threshold Requirements'!A26)</f>
        <v>26</v>
      </c>
      <c r="E181" s="967"/>
      <c r="F181" s="967"/>
      <c r="G181" s="967" t="b">
        <f>OR(ComponentVisibility[[#This Row],[Force True]],AND(ComponentVisibility[[#This Row],[Program True]],NOT(ComponentVisibility[[#This Row],[Force False]])))</f>
        <v>0</v>
      </c>
      <c r="H181" s="966" t="s">
        <v>416</v>
      </c>
      <c r="I181" s="967" t="b">
        <f>IF(AND(IsVhhp,vmProjectDevType="New Construction",vmTH),TRUE,FALSE)</f>
        <v>0</v>
      </c>
      <c r="J181" s="962"/>
      <c r="K181" s="967" t="b">
        <f>SUMPRODUCT(ComponentVisibility[[#This Row],[IIG]:[SHMHP]],IsPrograms)&gt;0</f>
        <v>0</v>
      </c>
      <c r="L181" s="962"/>
      <c r="M181" s="962"/>
      <c r="N181" s="962"/>
      <c r="O181" s="962"/>
      <c r="P181" s="962"/>
      <c r="Q181" s="962"/>
    </row>
    <row r="182" spans="1:21" ht="18" customHeight="1">
      <c r="B182" s="974" t="s">
        <v>444</v>
      </c>
      <c r="C182" s="1614">
        <f>ROW('VHHP Threshold Requirements'!A27)</f>
        <v>27</v>
      </c>
      <c r="D182" s="1614">
        <f>ROW('VHHP Threshold Requirements'!A27)</f>
        <v>27</v>
      </c>
      <c r="E182" s="1614"/>
      <c r="F182" s="1614"/>
      <c r="G182" s="967" t="b">
        <f>OR(ComponentVisibility[[#This Row],[Force True]],AND(ComponentVisibility[[#This Row],[Program True]],NOT(ComponentVisibility[[#This Row],[Force False]])))</f>
        <v>0</v>
      </c>
      <c r="H182" s="966" t="s">
        <v>416</v>
      </c>
      <c r="I182" s="967" t="b">
        <f>vmHousingFirst="Yes"</f>
        <v>0</v>
      </c>
      <c r="J182" s="972"/>
      <c r="K182" s="967" t="b">
        <f>SUMPRODUCT(ComponentVisibility[[#This Row],[IIG]:[SHMHP]],IsPrograms)&gt;0</f>
        <v>0</v>
      </c>
      <c r="L182" s="972"/>
      <c r="M182" s="972"/>
      <c r="N182" s="972"/>
      <c r="O182" s="972"/>
      <c r="P182" s="972"/>
      <c r="Q182" s="972"/>
      <c r="S182" s="548"/>
      <c r="U182" s="548"/>
    </row>
    <row r="183" spans="1:21" ht="18" customHeight="1">
      <c r="A183" s="172"/>
      <c r="B183" s="974" t="s">
        <v>444</v>
      </c>
      <c r="C183" s="1614">
        <f>ROW('VHHP Threshold Requirements'!A40)</f>
        <v>40</v>
      </c>
      <c r="D183" s="1614">
        <f>ROW('VHHP Threshold Requirements'!A40)</f>
        <v>40</v>
      </c>
      <c r="E183" s="969"/>
      <c r="F183" s="969"/>
      <c r="G183" s="967" t="b">
        <f>OR(ComponentVisibility[[#This Row],[Force True]],AND(ComponentVisibility[[#This Row],[Program True]],NOT(ComponentVisibility[[#This Row],[Force False]])))</f>
        <v>0</v>
      </c>
      <c r="H183" s="966" t="s">
        <v>416</v>
      </c>
      <c r="I183" s="967" t="b">
        <f>vmLSPPAgreement="No"</f>
        <v>0</v>
      </c>
      <c r="J183" s="962"/>
      <c r="K183" s="967" t="b">
        <f>SUMPRODUCT(ComponentVisibility[[#This Row],[IIG]:[SHMHP]],IsPrograms)&gt;0</f>
        <v>0</v>
      </c>
      <c r="L183" s="962"/>
      <c r="M183" s="962"/>
      <c r="N183" s="962"/>
      <c r="O183" s="962"/>
      <c r="P183" s="962"/>
      <c r="Q183" s="962"/>
      <c r="R183" s="172"/>
      <c r="S183" s="1632"/>
      <c r="T183" s="591"/>
      <c r="U183" s="1632"/>
    </row>
    <row r="184" spans="1:21" ht="18" customHeight="1">
      <c r="A184" s="172"/>
      <c r="B184" s="974" t="s">
        <v>444</v>
      </c>
      <c r="C184" s="1614">
        <f>ROW('VHHP Threshold Requirements'!A43)</f>
        <v>43</v>
      </c>
      <c r="D184" s="1614">
        <f>ROW('VHHP Threshold Requirements'!A43)</f>
        <v>43</v>
      </c>
      <c r="E184" s="969"/>
      <c r="F184" s="969"/>
      <c r="G184" s="967" t="b">
        <f>OR(ComponentVisibility[[#This Row],[Force True]],AND(ComponentVisibility[[#This Row],[Program True]],NOT(ComponentVisibility[[#This Row],[Force False]])))</f>
        <v>0</v>
      </c>
      <c r="H184" s="966" t="s">
        <v>416</v>
      </c>
      <c r="I184" s="967" t="b">
        <f>vmSSPAgreement="No"</f>
        <v>0</v>
      </c>
      <c r="J184" s="962"/>
      <c r="K184" s="967" t="b">
        <f>SUMPRODUCT(ComponentVisibility[[#This Row],[IIG]:[SHMHP]],IsPrograms)&gt;0</f>
        <v>0</v>
      </c>
      <c r="L184" s="962"/>
      <c r="M184" s="962"/>
      <c r="N184" s="962"/>
      <c r="O184" s="962"/>
      <c r="P184" s="962"/>
      <c r="Q184" s="962"/>
      <c r="R184" s="172"/>
      <c r="S184" s="1632"/>
      <c r="T184" s="591"/>
      <c r="U184" s="1632"/>
    </row>
    <row r="185" spans="1:21" ht="18" customHeight="1">
      <c r="A185" s="172"/>
      <c r="B185" s="974" t="s">
        <v>444</v>
      </c>
      <c r="C185" s="1614">
        <f>ROW('VHHP Threshold Requirements'!A57)</f>
        <v>57</v>
      </c>
      <c r="D185" s="1614">
        <f>ROW('VHHP Threshold Requirements'!A57)</f>
        <v>57</v>
      </c>
      <c r="E185" s="969"/>
      <c r="F185" s="969"/>
      <c r="G185" s="967" t="b">
        <f>OR(ComponentVisibility[[#This Row],[Force True]],AND(ComponentVisibility[[#This Row],[Program True]],NOT(ComponentVisibility[[#This Row],[Force False]])))</f>
        <v>0</v>
      </c>
      <c r="H185" s="966" t="s">
        <v>416</v>
      </c>
      <c r="I185" s="967" t="b">
        <f>IsTH</f>
        <v>0</v>
      </c>
      <c r="J185" s="962"/>
      <c r="K185" s="967" t="b">
        <f>SUMPRODUCT(ComponentVisibility[[#This Row],[IIG]:[SHMHP]],IsPrograms)&gt;0</f>
        <v>0</v>
      </c>
      <c r="L185" s="962"/>
      <c r="M185" s="962"/>
      <c r="N185" s="962"/>
      <c r="O185" s="962"/>
      <c r="P185" s="962"/>
      <c r="Q185" s="962"/>
      <c r="R185" s="172"/>
      <c r="S185" s="1632"/>
      <c r="T185" s="591"/>
      <c r="U185" s="1632"/>
    </row>
    <row r="186" spans="1:21" ht="18" customHeight="1">
      <c r="A186" s="172"/>
      <c r="B186" s="974" t="s">
        <v>444</v>
      </c>
      <c r="C186" s="1614">
        <f>ROW('VHHP Threshold Requirements'!A62)</f>
        <v>62</v>
      </c>
      <c r="D186" s="1614">
        <f>ROW('VHHP Threshold Requirements'!A65)</f>
        <v>65</v>
      </c>
      <c r="E186" s="969"/>
      <c r="F186" s="969"/>
      <c r="G186" s="967" t="b">
        <f>OR(ComponentVisibility[[#This Row],[Force True]],AND(ComponentVisibility[[#This Row],[Program True]],NOT(ComponentVisibility[[#This Row],[Force False]])))</f>
        <v>0</v>
      </c>
      <c r="H186" s="966" t="s">
        <v>416</v>
      </c>
      <c r="I186" s="967" t="b">
        <f>AND(IsVhhp,vmTribalEntity)</f>
        <v>0</v>
      </c>
      <c r="J186" s="962"/>
      <c r="K186" s="967" t="b">
        <f>SUMPRODUCT(ComponentVisibility[[#This Row],[IIG]:[SHMHP]],IsPrograms)&gt;0</f>
        <v>0</v>
      </c>
      <c r="L186" s="962"/>
      <c r="M186" s="962"/>
      <c r="N186" s="962"/>
      <c r="O186" s="962"/>
      <c r="P186" s="962"/>
      <c r="Q186" s="962"/>
      <c r="R186" s="172"/>
      <c r="S186" s="1632"/>
      <c r="T186" s="591"/>
      <c r="U186" s="1632"/>
    </row>
    <row r="187" spans="1:21" ht="18" customHeight="1">
      <c r="A187" s="172"/>
      <c r="B187" s="974" t="s">
        <v>444</v>
      </c>
      <c r="C187" s="1614">
        <f>ROW('VHHP Threshold Requirements'!A149)</f>
        <v>149</v>
      </c>
      <c r="D187" s="1614">
        <f>ROW('VHHP Threshold Requirements'!A149)</f>
        <v>149</v>
      </c>
      <c r="E187" s="969"/>
      <c r="F187" s="969"/>
      <c r="G187" s="967" t="b">
        <f>OR(ComponentVisibility[[#This Row],[Force True]],AND(ComponentVisibility[[#This Row],[Program True]],NOT(ComponentVisibility[[#This Row],[Force False]])))</f>
        <v>0</v>
      </c>
      <c r="H187" s="966" t="s">
        <v>416</v>
      </c>
      <c r="I187" s="967" t="b">
        <f>Taxcredit="Hybrid"</f>
        <v>0</v>
      </c>
      <c r="J187" s="962"/>
      <c r="K187" s="967" t="b">
        <f>SUMPRODUCT(ComponentVisibility[[#This Row],[IIG]:[SHMHP]],IsPrograms)&gt;0</f>
        <v>0</v>
      </c>
      <c r="L187" s="962"/>
      <c r="M187" s="962"/>
      <c r="N187" s="962"/>
      <c r="O187" s="962"/>
      <c r="P187" s="962"/>
      <c r="Q187" s="962"/>
      <c r="R187" s="172"/>
      <c r="S187" s="1632"/>
      <c r="T187" s="591"/>
      <c r="U187" s="1632"/>
    </row>
    <row r="188" spans="1:21" ht="18" customHeight="1">
      <c r="A188" s="172"/>
      <c r="B188" s="975" t="s">
        <v>444</v>
      </c>
      <c r="C188" s="976">
        <f>ROW('FWHG Threshold Requirements'!A166)</f>
        <v>166</v>
      </c>
      <c r="D188" s="976">
        <f>ROW('FWHG Threshold Requirements'!A168)</f>
        <v>168</v>
      </c>
      <c r="E188" s="967"/>
      <c r="F188" s="967"/>
      <c r="G188" s="967" t="b">
        <f>OR(ComponentVisibility[[#This Row],[Force True]],AND(ComponentVisibility[[#This Row],[Program True]],NOT(ComponentVisibility[[#This Row],[Force False]])))</f>
        <v>0</v>
      </c>
      <c r="H188" s="966" t="s">
        <v>416</v>
      </c>
      <c r="I188" s="967" t="b">
        <f>vmIndianCountry="Indian Country"</f>
        <v>0</v>
      </c>
      <c r="J188" s="962"/>
      <c r="K188" s="967" t="b">
        <f>SUMPRODUCT(ComponentVisibility[[#This Row],[IIG]:[SHMHP]],IsPrograms)&gt;0</f>
        <v>0</v>
      </c>
      <c r="L188" s="962"/>
      <c r="M188" s="962"/>
      <c r="N188" s="962"/>
      <c r="O188" s="962"/>
      <c r="P188" s="962"/>
      <c r="Q188" s="962"/>
      <c r="R188" s="172"/>
      <c r="S188" s="1632"/>
      <c r="T188" s="591"/>
      <c r="U188" s="1632"/>
    </row>
    <row r="189" spans="1:21" ht="18" customHeight="1">
      <c r="A189" s="172"/>
      <c r="B189" s="975" t="s">
        <v>444</v>
      </c>
      <c r="C189" s="976">
        <f>ROW('FWHG Threshold Requirements'!A169)</f>
        <v>169</v>
      </c>
      <c r="D189" s="976">
        <f>ROW('FWHG Threshold Requirements'!A171)</f>
        <v>171</v>
      </c>
      <c r="E189" s="967"/>
      <c r="F189" s="967"/>
      <c r="G189" s="967" t="b">
        <f>OR(ComponentVisibility[[#This Row],[Force True]],AND(ComponentVisibility[[#This Row],[Program True]],NOT(ComponentVisibility[[#This Row],[Force False]])))</f>
        <v>0</v>
      </c>
      <c r="H189" s="966" t="s">
        <v>416</v>
      </c>
      <c r="I189" s="967" t="b">
        <f>vmIndianCountry="Indian Country"</f>
        <v>0</v>
      </c>
      <c r="J189" s="962"/>
      <c r="K189" s="967" t="b">
        <f>SUMPRODUCT(ComponentVisibility[[#This Row],[IIG]:[SHMHP]],IsPrograms)&gt;0</f>
        <v>0</v>
      </c>
      <c r="L189" s="962"/>
      <c r="M189" s="962"/>
      <c r="N189" s="962"/>
      <c r="O189" s="962"/>
      <c r="P189" s="962"/>
      <c r="Q189" s="962"/>
      <c r="R189" s="172"/>
      <c r="S189" s="1632"/>
      <c r="T189" s="591"/>
      <c r="U189" s="1632"/>
    </row>
    <row r="190" spans="1:21" ht="18" customHeight="1">
      <c r="B190" s="975" t="s">
        <v>444</v>
      </c>
      <c r="C190" s="976"/>
      <c r="D190" s="976"/>
      <c r="E190" s="976"/>
      <c r="F190" s="976"/>
      <c r="G190" s="967" t="b">
        <f>OR(ComponentVisibility[[#This Row],[Force True]],AND(ComponentVisibility[[#This Row],[Program True]],NOT(ComponentVisibility[[#This Row],[Force False]])))</f>
        <v>0</v>
      </c>
      <c r="H190" s="966" t="s">
        <v>416</v>
      </c>
      <c r="I190" s="967" t="b">
        <v>0</v>
      </c>
      <c r="J190" s="972"/>
      <c r="K190" s="967" t="b">
        <f>SUMPRODUCT(ComponentVisibility[[#This Row],[IIG]:[SHMHP]],IsPrograms)&gt;0</f>
        <v>0</v>
      </c>
      <c r="L190" s="972"/>
      <c r="M190" s="972"/>
      <c r="N190" s="972"/>
      <c r="O190" s="972"/>
      <c r="P190" s="972"/>
      <c r="Q190" s="972"/>
      <c r="R190" s="674"/>
    </row>
    <row r="191" spans="1:21" ht="18" customHeight="1">
      <c r="B191" s="975" t="s">
        <v>445</v>
      </c>
      <c r="C191" s="977"/>
      <c r="D191" s="1614"/>
      <c r="E191" s="1614"/>
      <c r="F191" s="1614"/>
      <c r="G191" s="972" t="b">
        <f>OR(ComponentVisibility[[#This Row],[Force True]],AND(ComponentVisibility[[#This Row],[Program True]],NOT(ComponentVisibility[[#This Row],[Force False]])))</f>
        <v>0</v>
      </c>
      <c r="H191" s="966" t="s">
        <v>446</v>
      </c>
      <c r="I191" s="972" t="b">
        <f>vmSRP="Yes"</f>
        <v>0</v>
      </c>
      <c r="J191" s="972"/>
      <c r="K191" s="972" t="b">
        <f>SUMPRODUCT(ComponentVisibility[[#This Row],[IIG]:[SHMHP]],IsPrograms)&gt;0</f>
        <v>0</v>
      </c>
      <c r="L191" s="972"/>
      <c r="M191" s="972"/>
      <c r="N191" s="972"/>
      <c r="O191" s="972"/>
      <c r="P191" s="972"/>
      <c r="Q191" s="972"/>
    </row>
  </sheetData>
  <sheetProtection algorithmName="SHA-512" hashValue="JfNqN0hyFdJ5hPjXQTnRsgA5dqzgkvlMGHI/jl8S4VMYLpp37RNh7N/6e0clUiBwKblJbgpVt69cIvHDuAnp1Q==" saltValue="19bzZnrV0VnhF4hBsRS7uw==" spinCount="100000" sheet="1" objects="1" scenarios="1"/>
  <mergeCells count="5">
    <mergeCell ref="I2:J3"/>
    <mergeCell ref="E3:F3"/>
    <mergeCell ref="B1:C1"/>
    <mergeCell ref="C3:D3"/>
    <mergeCell ref="L2:Q2"/>
  </mergeCells>
  <conditionalFormatting sqref="L3:P3 R4:AB11 R12:S19 U12:AB19 L48:Q160 R20:AB47">
    <cfRule type="cellIs" dxfId="1910" priority="74" operator="equal">
      <formula>1</formula>
    </cfRule>
  </conditionalFormatting>
  <conditionalFormatting sqref="J70:J75 G23:G89 G92:G190 I23:I190 K23:K190 G5:G21 I5:I21 K5:K21">
    <cfRule type="cellIs" dxfId="1909" priority="73" operator="equal">
      <formula>TRUE</formula>
    </cfRule>
  </conditionalFormatting>
  <conditionalFormatting sqref="Q3">
    <cfRule type="cellIs" dxfId="1908" priority="25" operator="equal">
      <formula>1</formula>
    </cfRule>
  </conditionalFormatting>
  <conditionalFormatting sqref="G22 I22 K22">
    <cfRule type="cellIs" dxfId="1907" priority="3" operator="equal">
      <formula>TRUE</formula>
    </cfRule>
  </conditionalFormatting>
  <conditionalFormatting sqref="G90:G91">
    <cfRule type="cellIs" dxfId="1906" priority="2" operator="equal">
      <formula>TRUE</formula>
    </cfRule>
  </conditionalFormatting>
  <pageMargins left="0.7" right="0.7" top="0.75" bottom="0.75" header="0.3" footer="0.3"/>
  <pageSetup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CoverPage">
    <pageSetUpPr fitToPage="1"/>
  </sheetPr>
  <dimension ref="A1:AO39"/>
  <sheetViews>
    <sheetView showGridLines="0" tabSelected="1" zoomScaleNormal="100" workbookViewId="0">
      <selection activeCell="B39" sqref="B39:N39"/>
    </sheetView>
  </sheetViews>
  <sheetFormatPr defaultColWidth="10.28515625" defaultRowHeight="15" customHeight="1"/>
  <cols>
    <col min="1" max="1" width="8.7109375" style="9" customWidth="1"/>
    <col min="2" max="39" width="4.28515625" style="9" customWidth="1"/>
    <col min="40" max="44" width="10.28515625" style="9" customWidth="1"/>
    <col min="45" max="16384" width="10.28515625" style="9"/>
  </cols>
  <sheetData>
    <row r="1" spans="2:39" ht="15" customHeight="1">
      <c r="B1" s="1779"/>
      <c r="C1" s="1780"/>
      <c r="D1" s="1780"/>
      <c r="E1" s="1780"/>
      <c r="F1" s="1780"/>
      <c r="G1" s="1780"/>
      <c r="H1" s="1780"/>
      <c r="I1" s="1780"/>
      <c r="J1" s="1780"/>
      <c r="K1" s="1780"/>
      <c r="L1" s="1780"/>
      <c r="M1" s="1780"/>
      <c r="N1" s="1780"/>
      <c r="O1" s="1780"/>
      <c r="P1" s="1780"/>
      <c r="Q1" s="1780"/>
      <c r="R1" s="1780"/>
      <c r="S1" s="1780"/>
      <c r="T1" s="1780"/>
      <c r="U1" s="1780"/>
      <c r="V1" s="1780"/>
      <c r="W1" s="1780"/>
      <c r="X1" s="1780"/>
      <c r="Y1" s="1780"/>
      <c r="Z1" s="1780"/>
      <c r="AA1" s="1780"/>
      <c r="AB1" s="1780"/>
      <c r="AC1" s="1780"/>
      <c r="AD1" s="1780"/>
      <c r="AE1" s="1780"/>
      <c r="AF1" s="1780"/>
      <c r="AG1" s="1780"/>
      <c r="AH1" s="1780"/>
      <c r="AI1" s="1780"/>
      <c r="AJ1" s="1780"/>
      <c r="AK1" s="1780"/>
      <c r="AL1" s="1780"/>
      <c r="AM1" s="1780"/>
    </row>
    <row r="2" spans="2:39" ht="120.75" customHeight="1">
      <c r="B2" s="1782" t="s">
        <v>447</v>
      </c>
      <c r="C2" s="1783"/>
      <c r="D2" s="1783"/>
      <c r="E2" s="1783"/>
      <c r="F2" s="1783"/>
      <c r="G2" s="1783"/>
      <c r="H2" s="1783"/>
      <c r="I2" s="1783"/>
      <c r="J2" s="1783"/>
      <c r="K2" s="1783"/>
      <c r="L2" s="1783"/>
      <c r="M2" s="1783"/>
      <c r="N2" s="1783"/>
      <c r="O2" s="1783"/>
      <c r="P2" s="1783"/>
      <c r="Q2" s="1783"/>
      <c r="R2" s="1783"/>
      <c r="S2" s="1783"/>
      <c r="T2" s="1783"/>
      <c r="U2" s="1783"/>
      <c r="V2" s="1783"/>
      <c r="W2" s="1783"/>
      <c r="X2" s="1783"/>
      <c r="Y2" s="1783"/>
      <c r="Z2" s="1783"/>
      <c r="AA2" s="1783"/>
      <c r="AB2" s="1783"/>
      <c r="AC2" s="1783"/>
      <c r="AD2" s="1783"/>
      <c r="AE2" s="1783"/>
      <c r="AF2" s="1783"/>
      <c r="AG2" s="1783"/>
      <c r="AH2" s="1783"/>
      <c r="AI2" s="1783"/>
      <c r="AJ2" s="1783"/>
      <c r="AK2" s="1783"/>
      <c r="AL2" s="1783"/>
      <c r="AM2" s="1783"/>
    </row>
    <row r="3" spans="2:39" ht="52.5" customHeight="1">
      <c r="B3" s="1784" t="s">
        <v>448</v>
      </c>
      <c r="C3" s="1780"/>
      <c r="D3" s="1780"/>
      <c r="E3" s="1780"/>
      <c r="F3" s="1780"/>
      <c r="G3" s="1780"/>
      <c r="H3" s="1780"/>
      <c r="I3" s="1780"/>
      <c r="J3" s="1780"/>
      <c r="K3" s="1780"/>
      <c r="L3" s="1780"/>
      <c r="M3" s="1780"/>
      <c r="N3" s="1780"/>
      <c r="O3" s="1780"/>
      <c r="P3" s="1780"/>
      <c r="Q3" s="1780"/>
      <c r="R3" s="1780"/>
      <c r="S3" s="1780"/>
      <c r="T3" s="1780"/>
      <c r="U3" s="1780"/>
      <c r="V3" s="1780"/>
      <c r="W3" s="1780"/>
      <c r="X3" s="1780"/>
      <c r="Y3" s="1780"/>
      <c r="Z3" s="1780"/>
      <c r="AA3" s="1780"/>
      <c r="AB3" s="1780"/>
      <c r="AC3" s="1780"/>
      <c r="AD3" s="1780"/>
      <c r="AE3" s="1780"/>
      <c r="AF3" s="1780"/>
      <c r="AG3" s="1780"/>
      <c r="AH3" s="1780"/>
      <c r="AI3" s="1780"/>
      <c r="AJ3" s="1780"/>
      <c r="AK3" s="1780"/>
      <c r="AL3" s="1780"/>
      <c r="AM3" s="1780"/>
    </row>
    <row r="4" spans="2:39" ht="15" customHeight="1">
      <c r="B4" s="10"/>
      <c r="C4" s="10"/>
      <c r="D4" s="10"/>
      <c r="E4" s="10"/>
      <c r="F4" s="10"/>
      <c r="G4" s="10"/>
      <c r="H4" s="10"/>
      <c r="I4" s="10"/>
      <c r="J4" s="10"/>
      <c r="K4" s="10"/>
      <c r="L4" s="10"/>
      <c r="M4" s="10"/>
      <c r="N4" s="10"/>
      <c r="O4" s="10"/>
      <c r="P4" s="10"/>
      <c r="Q4" s="10"/>
      <c r="R4" s="10"/>
      <c r="S4" s="10"/>
      <c r="T4" s="10"/>
      <c r="U4" s="10"/>
      <c r="V4" s="10"/>
      <c r="W4" s="10"/>
      <c r="X4" s="10"/>
    </row>
    <row r="20" spans="2:41" ht="30" customHeight="1">
      <c r="B20" s="10"/>
      <c r="C20" s="10"/>
      <c r="D20" s="10"/>
      <c r="E20" s="10"/>
      <c r="F20" s="10"/>
      <c r="G20" s="10"/>
      <c r="H20" s="10"/>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row>
    <row r="21" spans="2:41" ht="30" customHeight="1">
      <c r="B21" s="1781" t="s">
        <v>449</v>
      </c>
      <c r="C21" s="1780"/>
      <c r="D21" s="1780"/>
      <c r="E21" s="1780"/>
      <c r="F21" s="1780"/>
      <c r="G21" s="1780"/>
      <c r="H21" s="1780"/>
      <c r="I21" s="1780"/>
      <c r="J21" s="1780"/>
      <c r="K21" s="1780"/>
      <c r="L21" s="1780"/>
      <c r="M21" s="1780"/>
      <c r="N21" s="1780"/>
      <c r="O21" s="1780"/>
      <c r="P21" s="1780"/>
      <c r="Q21" s="1780"/>
      <c r="R21" s="1780"/>
      <c r="S21" s="1780"/>
      <c r="T21" s="1780"/>
      <c r="U21" s="1780"/>
      <c r="V21" s="1780"/>
      <c r="W21" s="1780"/>
      <c r="X21" s="1780"/>
      <c r="Y21" s="1780"/>
      <c r="Z21" s="1780"/>
      <c r="AA21" s="1780"/>
      <c r="AB21" s="1780"/>
      <c r="AC21" s="1780"/>
      <c r="AD21" s="1780"/>
      <c r="AE21" s="1780"/>
      <c r="AF21" s="1780"/>
      <c r="AG21" s="1780"/>
      <c r="AH21" s="1780"/>
      <c r="AI21" s="1780"/>
      <c r="AJ21" s="1780"/>
      <c r="AK21" s="1780"/>
      <c r="AL21" s="1780"/>
      <c r="AM21" s="1780"/>
    </row>
    <row r="22" spans="2:41" ht="15" customHeight="1">
      <c r="B22" s="1785" t="s">
        <v>450</v>
      </c>
      <c r="C22" s="1780"/>
      <c r="D22" s="1780"/>
      <c r="E22" s="1780"/>
      <c r="F22" s="1780"/>
      <c r="G22" s="1780"/>
      <c r="H22" s="1780"/>
      <c r="I22" s="1780"/>
      <c r="J22" s="1780"/>
      <c r="K22" s="1780"/>
      <c r="L22" s="1780"/>
      <c r="M22" s="1780"/>
      <c r="N22" s="1780"/>
      <c r="O22" s="1780"/>
      <c r="P22" s="1780"/>
      <c r="Q22" s="1780"/>
      <c r="R22" s="1780"/>
      <c r="S22" s="1780"/>
      <c r="T22" s="1780"/>
      <c r="U22" s="1780"/>
      <c r="V22" s="1780"/>
      <c r="W22" s="1780"/>
      <c r="X22" s="1780"/>
      <c r="Y22" s="1780"/>
      <c r="Z22" s="1780"/>
      <c r="AA22" s="1780"/>
      <c r="AB22" s="1780"/>
      <c r="AC22" s="1780"/>
      <c r="AD22" s="1780"/>
      <c r="AE22" s="1780"/>
      <c r="AF22" s="1780"/>
      <c r="AG22" s="1780"/>
      <c r="AH22" s="1780"/>
      <c r="AI22" s="1780"/>
      <c r="AJ22" s="1780"/>
      <c r="AK22" s="1780"/>
      <c r="AL22" s="1780"/>
      <c r="AM22" s="1780"/>
    </row>
    <row r="23" spans="2:41" ht="30" customHeight="1">
      <c r="B23" s="614"/>
      <c r="C23" s="614"/>
      <c r="D23" s="614"/>
      <c r="E23" s="614"/>
      <c r="F23" s="614"/>
      <c r="G23" s="614"/>
      <c r="H23" s="614"/>
      <c r="I23" s="614"/>
      <c r="J23" s="611"/>
      <c r="K23" s="611"/>
      <c r="L23" s="611"/>
      <c r="M23" s="611"/>
      <c r="N23" s="611"/>
      <c r="O23" s="611"/>
      <c r="P23" s="611"/>
      <c r="Q23" s="611"/>
      <c r="R23" s="611"/>
      <c r="S23" s="611"/>
      <c r="T23" s="611"/>
      <c r="U23" s="611"/>
      <c r="V23" s="611"/>
      <c r="W23" s="611"/>
      <c r="X23" s="611"/>
      <c r="Y23" s="611"/>
      <c r="Z23" s="611"/>
      <c r="AA23" s="611"/>
      <c r="AB23" s="611"/>
      <c r="AC23" s="611"/>
      <c r="AD23" s="611"/>
      <c r="AE23" s="611"/>
      <c r="AF23" s="611"/>
      <c r="AG23" s="611"/>
      <c r="AH23" s="611"/>
      <c r="AI23" s="611"/>
      <c r="AJ23" s="611"/>
      <c r="AK23" s="611"/>
      <c r="AL23" s="611"/>
      <c r="AM23" s="611"/>
    </row>
    <row r="24" spans="2:41" ht="30" customHeight="1">
      <c r="B24" s="1787" t="s">
        <v>451</v>
      </c>
      <c r="C24" s="1780"/>
      <c r="D24" s="1780"/>
      <c r="E24" s="1780"/>
      <c r="F24" s="1780"/>
      <c r="G24" s="1780"/>
      <c r="H24" s="1780"/>
      <c r="I24" s="1780"/>
      <c r="J24" s="1780"/>
      <c r="K24" s="1780"/>
      <c r="L24" s="1780"/>
      <c r="M24" s="1780"/>
      <c r="N24" s="1780"/>
      <c r="O24" s="1780"/>
      <c r="P24" s="1780"/>
      <c r="Q24" s="1780"/>
      <c r="R24" s="1780"/>
      <c r="S24" s="1780"/>
      <c r="T24" s="1780"/>
      <c r="U24" s="1780"/>
      <c r="V24" s="1780"/>
      <c r="W24" s="1780"/>
      <c r="X24" s="1780"/>
      <c r="Y24" s="1780"/>
      <c r="Z24" s="1780"/>
      <c r="AA24" s="1780"/>
      <c r="AB24" s="1780"/>
      <c r="AC24" s="1780"/>
      <c r="AD24" s="1780"/>
      <c r="AE24" s="1780"/>
      <c r="AF24" s="1780"/>
      <c r="AG24" s="1780"/>
      <c r="AH24" s="1780"/>
      <c r="AI24" s="1780"/>
      <c r="AJ24" s="1780"/>
      <c r="AK24" s="1780"/>
      <c r="AL24" s="1780"/>
      <c r="AM24" s="1780"/>
    </row>
    <row r="25" spans="2:41" ht="15" customHeight="1">
      <c r="B25" s="1785" t="s">
        <v>452</v>
      </c>
      <c r="C25" s="1780"/>
      <c r="D25" s="1780"/>
      <c r="E25" s="1780"/>
      <c r="F25" s="1780"/>
      <c r="G25" s="1780"/>
      <c r="H25" s="1780"/>
      <c r="I25" s="1780"/>
      <c r="J25" s="1780"/>
      <c r="K25" s="1780"/>
      <c r="L25" s="1780"/>
      <c r="M25" s="1780"/>
      <c r="N25" s="1780"/>
      <c r="O25" s="1780"/>
      <c r="P25" s="1780"/>
      <c r="Q25" s="1780"/>
      <c r="R25" s="1780"/>
      <c r="S25" s="1780"/>
      <c r="T25" s="1780"/>
      <c r="U25" s="1780"/>
      <c r="V25" s="1780"/>
      <c r="W25" s="1780"/>
      <c r="X25" s="1780"/>
      <c r="Y25" s="1780"/>
      <c r="Z25" s="1780"/>
      <c r="AA25" s="1780"/>
      <c r="AB25" s="1780"/>
      <c r="AC25" s="1780"/>
      <c r="AD25" s="1780"/>
      <c r="AE25" s="1780"/>
      <c r="AF25" s="1780"/>
      <c r="AG25" s="1780"/>
      <c r="AH25" s="1780"/>
      <c r="AI25" s="1780"/>
      <c r="AJ25" s="1780"/>
      <c r="AK25" s="1780"/>
      <c r="AL25" s="1780"/>
      <c r="AM25" s="1780"/>
    </row>
    <row r="26" spans="2:41" ht="30" customHeight="1">
      <c r="B26" s="1792" t="s">
        <v>453</v>
      </c>
      <c r="C26" s="1780"/>
      <c r="D26" s="1780"/>
      <c r="E26" s="1780"/>
      <c r="F26" s="1780"/>
      <c r="G26" s="1780"/>
      <c r="H26" s="1780"/>
      <c r="I26" s="1780"/>
      <c r="J26" s="1780"/>
      <c r="K26" s="1780"/>
      <c r="L26" s="1780"/>
      <c r="M26" s="1780"/>
      <c r="N26" s="1780"/>
      <c r="O26" s="1780"/>
      <c r="P26" s="1780"/>
      <c r="Q26" s="1780"/>
      <c r="R26" s="1780"/>
      <c r="S26" s="1780"/>
      <c r="T26" s="1780"/>
      <c r="U26" s="1780"/>
      <c r="V26" s="1780"/>
      <c r="W26" s="1780"/>
      <c r="X26" s="1780"/>
      <c r="Y26" s="1780"/>
      <c r="Z26" s="1780"/>
      <c r="AA26" s="1780"/>
      <c r="AB26" s="1780"/>
      <c r="AC26" s="1780"/>
      <c r="AD26" s="1780"/>
      <c r="AE26" s="1780"/>
      <c r="AF26" s="1780"/>
      <c r="AG26" s="1780"/>
      <c r="AH26" s="1780"/>
      <c r="AI26" s="1780"/>
      <c r="AJ26" s="1780"/>
      <c r="AK26" s="1780"/>
      <c r="AL26" s="1780"/>
      <c r="AM26" s="1780"/>
    </row>
    <row r="27" spans="2:41" ht="30" customHeight="1">
      <c r="B27" s="615"/>
      <c r="C27" s="615"/>
      <c r="D27" s="615"/>
      <c r="E27" s="615"/>
      <c r="F27" s="615"/>
      <c r="G27" s="615"/>
      <c r="H27" s="615"/>
      <c r="I27" s="615"/>
      <c r="J27" s="612"/>
      <c r="K27" s="612"/>
      <c r="L27" s="612"/>
      <c r="M27" s="612"/>
      <c r="N27" s="612"/>
      <c r="O27" s="612"/>
      <c r="P27" s="612"/>
      <c r="Q27" s="612"/>
      <c r="R27" s="612"/>
      <c r="S27" s="612"/>
      <c r="T27" s="612"/>
      <c r="U27" s="612"/>
      <c r="V27" s="612"/>
      <c r="W27" s="612"/>
      <c r="X27" s="612"/>
      <c r="Y27" s="612"/>
      <c r="Z27" s="612"/>
      <c r="AA27" s="612"/>
      <c r="AB27" s="612"/>
      <c r="AC27" s="612"/>
      <c r="AD27" s="612"/>
      <c r="AE27" s="612"/>
      <c r="AF27" s="612"/>
      <c r="AG27" s="612"/>
      <c r="AH27" s="612"/>
      <c r="AI27" s="612"/>
      <c r="AJ27" s="612"/>
      <c r="AK27" s="612"/>
      <c r="AL27" s="612"/>
      <c r="AM27" s="612"/>
    </row>
    <row r="28" spans="2:41" ht="30" customHeight="1">
      <c r="B28" s="1787" t="s">
        <v>454</v>
      </c>
      <c r="C28" s="1780"/>
      <c r="D28" s="1780"/>
      <c r="E28" s="1780"/>
      <c r="F28" s="1780"/>
      <c r="G28" s="1780"/>
      <c r="H28" s="1780"/>
      <c r="I28" s="1780"/>
      <c r="J28" s="1780"/>
      <c r="K28" s="1780"/>
      <c r="L28" s="1780"/>
      <c r="M28" s="1780"/>
      <c r="N28" s="1780"/>
      <c r="O28" s="1780"/>
      <c r="P28" s="1780"/>
      <c r="Q28" s="1780"/>
      <c r="R28" s="1780"/>
      <c r="S28" s="1780"/>
      <c r="T28" s="1780"/>
      <c r="U28" s="1780"/>
      <c r="V28" s="1780"/>
      <c r="W28" s="1780"/>
      <c r="X28" s="1780"/>
      <c r="Y28" s="1780"/>
      <c r="Z28" s="1780"/>
      <c r="AA28" s="1780"/>
      <c r="AB28" s="1780"/>
      <c r="AC28" s="1780"/>
      <c r="AD28" s="1780"/>
      <c r="AE28" s="1780"/>
      <c r="AF28" s="1780"/>
      <c r="AG28" s="1780"/>
      <c r="AH28" s="1780"/>
      <c r="AI28" s="1780"/>
      <c r="AJ28" s="1780"/>
      <c r="AK28" s="1780"/>
      <c r="AL28" s="1780"/>
      <c r="AM28" s="1780"/>
    </row>
    <row r="29" spans="2:41" ht="15" customHeight="1">
      <c r="B29" s="1785" t="s">
        <v>455</v>
      </c>
      <c r="C29" s="1780"/>
      <c r="D29" s="1780"/>
      <c r="E29" s="1780"/>
      <c r="F29" s="1780"/>
      <c r="G29" s="1780"/>
      <c r="H29" s="1780"/>
      <c r="I29" s="1780"/>
      <c r="J29" s="1780"/>
      <c r="K29" s="1780"/>
      <c r="L29" s="1780"/>
      <c r="M29" s="1780"/>
      <c r="N29" s="1780"/>
      <c r="O29" s="1780"/>
      <c r="P29" s="1780"/>
      <c r="Q29" s="1780"/>
      <c r="R29" s="1780"/>
      <c r="S29" s="1780"/>
      <c r="T29" s="1780"/>
      <c r="U29" s="1780"/>
      <c r="V29" s="1780"/>
      <c r="W29" s="1780"/>
      <c r="X29" s="1780"/>
      <c r="Y29" s="1780"/>
      <c r="Z29" s="1780"/>
      <c r="AA29" s="1780"/>
      <c r="AB29" s="1780"/>
      <c r="AC29" s="1780"/>
      <c r="AD29" s="1780"/>
      <c r="AE29" s="1780"/>
      <c r="AF29" s="1780"/>
      <c r="AG29" s="1780"/>
      <c r="AH29" s="1780"/>
      <c r="AI29" s="1780"/>
      <c r="AJ29" s="1780"/>
      <c r="AK29" s="1780"/>
      <c r="AL29" s="1780"/>
      <c r="AM29" s="1780"/>
    </row>
    <row r="30" spans="2:41" ht="18" customHeight="1">
      <c r="B30" s="1788" t="s">
        <v>456</v>
      </c>
      <c r="C30" s="1780"/>
      <c r="D30" s="1780"/>
      <c r="E30" s="1780"/>
      <c r="F30" s="1780"/>
      <c r="G30" s="1780"/>
      <c r="H30" s="1780"/>
      <c r="I30" s="1780"/>
      <c r="J30" s="1780"/>
      <c r="K30" s="1780"/>
      <c r="L30" s="1780"/>
      <c r="M30" s="1780"/>
      <c r="N30" s="1780"/>
      <c r="O30" s="1780"/>
      <c r="P30" s="1780"/>
      <c r="Q30" s="1780"/>
      <c r="R30" s="1780"/>
      <c r="S30" s="1780"/>
      <c r="T30" s="1780"/>
      <c r="U30" s="1780"/>
      <c r="V30" s="1780"/>
      <c r="W30" s="1780"/>
      <c r="X30" s="1780"/>
      <c r="Y30" s="1780"/>
      <c r="Z30" s="1780"/>
      <c r="AA30" s="1780"/>
      <c r="AB30" s="1780"/>
      <c r="AC30" s="1780"/>
      <c r="AD30" s="1780"/>
      <c r="AE30" s="1780"/>
      <c r="AF30" s="1780"/>
      <c r="AG30" s="1780"/>
      <c r="AH30" s="1780"/>
      <c r="AI30" s="1780"/>
      <c r="AJ30" s="1780"/>
      <c r="AK30" s="1780"/>
      <c r="AL30" s="1780"/>
      <c r="AM30" s="1780"/>
    </row>
    <row r="31" spans="2:41" ht="26.85" customHeight="1">
      <c r="B31" s="613"/>
      <c r="C31" s="613"/>
      <c r="D31" s="613"/>
      <c r="E31" s="613"/>
      <c r="F31" s="613"/>
      <c r="G31" s="613"/>
      <c r="H31" s="613"/>
      <c r="I31" s="613"/>
      <c r="J31" s="613"/>
      <c r="K31" s="613"/>
      <c r="L31" s="613"/>
      <c r="M31" s="613"/>
      <c r="N31" s="613"/>
      <c r="O31" s="613"/>
      <c r="P31" s="613"/>
      <c r="Q31" s="613"/>
      <c r="R31" s="613"/>
      <c r="S31" s="613"/>
      <c r="T31" s="613"/>
      <c r="U31" s="613"/>
      <c r="V31" s="613"/>
      <c r="W31" s="613"/>
      <c r="X31" s="613"/>
      <c r="Y31" s="613"/>
      <c r="Z31" s="613"/>
      <c r="AA31" s="613"/>
      <c r="AB31" s="613"/>
      <c r="AC31" s="613"/>
      <c r="AD31" s="613"/>
      <c r="AE31" s="613"/>
      <c r="AF31" s="613"/>
      <c r="AG31" s="613"/>
      <c r="AH31" s="613"/>
      <c r="AI31" s="613"/>
      <c r="AJ31" s="613"/>
      <c r="AK31" s="613"/>
      <c r="AL31" s="613"/>
      <c r="AM31" s="613"/>
    </row>
    <row r="32" spans="2:41" ht="18" customHeight="1">
      <c r="B32" s="1793" t="s">
        <v>457</v>
      </c>
      <c r="C32" s="1793"/>
      <c r="D32" s="1793"/>
      <c r="E32" s="1793"/>
      <c r="F32" s="1793"/>
      <c r="G32" s="1793"/>
      <c r="H32" s="1793"/>
      <c r="I32" s="1793"/>
      <c r="J32" s="1793"/>
      <c r="K32" s="1793"/>
      <c r="L32" s="1793"/>
      <c r="M32" s="1793"/>
      <c r="N32" s="1793"/>
      <c r="O32" s="1793"/>
      <c r="P32" s="1793"/>
      <c r="Q32" s="1793"/>
      <c r="R32" s="1793"/>
      <c r="S32" s="1794" t="s">
        <v>458</v>
      </c>
      <c r="T32" s="1794"/>
      <c r="U32" s="1794"/>
      <c r="V32" s="1794"/>
      <c r="W32" s="1794"/>
      <c r="X32" s="1794"/>
      <c r="Y32" s="1794"/>
      <c r="Z32" s="1794"/>
      <c r="AA32" s="1794"/>
      <c r="AB32" s="1492"/>
      <c r="AC32" s="1492"/>
      <c r="AD32" s="1492"/>
      <c r="AE32" s="1492"/>
      <c r="AF32" s="1492"/>
      <c r="AG32" s="1492"/>
      <c r="AH32" s="1492"/>
      <c r="AJ32" s="1491"/>
      <c r="AK32" s="1491"/>
      <c r="AL32" s="1491"/>
      <c r="AM32" s="1491"/>
      <c r="AO32" s="378"/>
    </row>
    <row r="33" spans="1:39" ht="18" customHeight="1">
      <c r="B33" s="1790" t="s">
        <v>459</v>
      </c>
      <c r="C33" s="1790"/>
      <c r="D33" s="1790"/>
      <c r="E33" s="1790"/>
      <c r="F33" s="1790"/>
      <c r="G33" s="1790"/>
      <c r="H33" s="1790"/>
      <c r="I33" s="1790"/>
      <c r="J33" s="1790"/>
      <c r="K33" s="1790"/>
      <c r="L33" s="1790"/>
      <c r="M33" s="1790"/>
      <c r="N33" s="1790"/>
      <c r="O33" s="1790"/>
      <c r="P33" s="1790"/>
      <c r="Q33" s="1790"/>
      <c r="R33" s="1790"/>
      <c r="S33" s="1790"/>
      <c r="T33" s="1790"/>
      <c r="U33" s="1790"/>
      <c r="V33" s="1790"/>
      <c r="W33" s="1790"/>
      <c r="X33" s="1790"/>
      <c r="Y33" s="1790"/>
      <c r="Z33" s="1790"/>
      <c r="AA33" s="1790"/>
      <c r="AB33" s="1790"/>
      <c r="AC33" s="1790"/>
      <c r="AD33" s="1790"/>
      <c r="AE33" s="1790"/>
      <c r="AF33" s="1790"/>
      <c r="AG33" s="1790"/>
      <c r="AH33" s="1790"/>
      <c r="AI33" s="1790"/>
      <c r="AJ33" s="1790"/>
      <c r="AK33" s="1790"/>
      <c r="AL33" s="1790"/>
      <c r="AM33" s="1790"/>
    </row>
    <row r="34" spans="1:39" ht="22.5" customHeight="1">
      <c r="B34" s="1789" t="s">
        <v>460</v>
      </c>
      <c r="C34" s="1780"/>
      <c r="D34" s="1780"/>
      <c r="E34" s="1780"/>
      <c r="F34" s="1780"/>
      <c r="G34" s="1780"/>
      <c r="H34" s="1780"/>
      <c r="I34" s="1780"/>
      <c r="J34" s="1780"/>
      <c r="K34" s="1780"/>
      <c r="L34" s="1780"/>
      <c r="M34" s="1780"/>
      <c r="N34" s="1780"/>
      <c r="O34" s="1780"/>
      <c r="P34" s="1780"/>
      <c r="Q34" s="1780"/>
      <c r="R34" s="1780"/>
      <c r="S34" s="1780"/>
      <c r="T34" s="1780"/>
      <c r="U34" s="1780"/>
      <c r="V34" s="1780"/>
      <c r="W34" s="1780"/>
      <c r="X34" s="1780"/>
      <c r="Y34" s="1780"/>
      <c r="Z34" s="1780"/>
      <c r="AA34" s="1780"/>
      <c r="AB34" s="1780"/>
      <c r="AC34" s="1780"/>
      <c r="AD34" s="1780"/>
      <c r="AE34" s="1780"/>
      <c r="AF34" s="1780"/>
      <c r="AG34" s="1780"/>
      <c r="AH34" s="1780"/>
      <c r="AI34" s="1780"/>
      <c r="AJ34" s="1780"/>
      <c r="AK34" s="1780"/>
      <c r="AL34" s="1780"/>
      <c r="AM34" s="1780"/>
    </row>
    <row r="36" spans="1:39" ht="15" customHeight="1">
      <c r="B36" s="526"/>
      <c r="C36" s="526"/>
      <c r="D36" s="527"/>
      <c r="E36" s="527"/>
    </row>
    <row r="37" spans="1:39" ht="15.75" customHeight="1">
      <c r="B37" s="1791" t="s">
        <v>461</v>
      </c>
      <c r="C37" s="1780"/>
      <c r="D37" s="1780"/>
      <c r="E37" s="1780"/>
      <c r="F37" s="1780"/>
      <c r="G37" s="1780"/>
      <c r="H37" s="1780"/>
      <c r="I37" s="1780"/>
      <c r="J37" s="1780"/>
      <c r="K37" s="1780"/>
      <c r="L37" s="1780"/>
      <c r="M37" s="1780"/>
      <c r="N37" s="1780"/>
      <c r="O37" s="1780"/>
      <c r="P37" s="1780"/>
      <c r="Q37" s="1780"/>
      <c r="R37" s="1780"/>
      <c r="S37" s="1780"/>
      <c r="T37" s="1780"/>
      <c r="U37" s="1780"/>
      <c r="V37" s="1780"/>
      <c r="W37" s="1780"/>
      <c r="X37" s="1780"/>
      <c r="Y37" s="1780"/>
      <c r="Z37" s="1780"/>
      <c r="AA37" s="1780"/>
      <c r="AB37" s="1780"/>
      <c r="AC37" s="1780"/>
      <c r="AD37" s="1780"/>
      <c r="AE37" s="1780"/>
      <c r="AF37" s="1780"/>
      <c r="AG37" s="1780"/>
      <c r="AH37" s="1780"/>
      <c r="AI37" s="1780"/>
      <c r="AJ37" s="1780"/>
      <c r="AK37" s="1780"/>
      <c r="AL37" s="1780"/>
      <c r="AM37" s="1780"/>
    </row>
    <row r="39" spans="1:39" ht="15" customHeight="1">
      <c r="A39" s="551"/>
      <c r="B39" s="1786" t="s">
        <v>462</v>
      </c>
      <c r="C39" s="1780"/>
      <c r="D39" s="1780"/>
      <c r="E39" s="1780"/>
      <c r="F39" s="1780"/>
      <c r="G39" s="1780"/>
      <c r="H39" s="1780"/>
      <c r="I39" s="1780"/>
      <c r="J39" s="1780"/>
      <c r="K39" s="1780"/>
      <c r="L39" s="1780"/>
      <c r="M39" s="1780"/>
      <c r="N39" s="1780"/>
      <c r="O39" s="528"/>
      <c r="P39" s="528"/>
      <c r="Q39" s="528"/>
      <c r="R39" s="528"/>
      <c r="S39" s="528"/>
      <c r="T39" s="528"/>
      <c r="U39" s="528"/>
      <c r="V39" s="528"/>
      <c r="W39" s="528"/>
      <c r="X39" s="528"/>
      <c r="Y39" s="528"/>
      <c r="Z39" s="528"/>
      <c r="AA39" s="528"/>
      <c r="AB39" s="528"/>
      <c r="AC39" s="528"/>
      <c r="AD39" s="528"/>
      <c r="AE39" s="528"/>
      <c r="AF39" s="528"/>
      <c r="AG39" s="528"/>
      <c r="AH39" s="528"/>
      <c r="AI39" s="528"/>
      <c r="AJ39" s="528"/>
      <c r="AK39" s="528"/>
      <c r="AL39" s="528"/>
      <c r="AM39" s="528"/>
    </row>
  </sheetData>
  <sheetProtection algorithmName="SHA-512" hashValue="9Lq1yH7eiBrSVE0mbFVOeaPr4HeDLmp60s2XO65TqxONbDW9E30iXOBg9QpKhWsz6KQnKNH8zZ3vVpLhWvm4wg==" saltValue="w0BRMHCwqlFRsLPGjg5J2Q==" spinCount="100000" sheet="1" objects="1" scenarios="1"/>
  <mergeCells count="17">
    <mergeCell ref="B39:N39"/>
    <mergeCell ref="B29:AM29"/>
    <mergeCell ref="B24:AM24"/>
    <mergeCell ref="B30:AM30"/>
    <mergeCell ref="B34:AM34"/>
    <mergeCell ref="B33:AM33"/>
    <mergeCell ref="B25:AM25"/>
    <mergeCell ref="B37:AM37"/>
    <mergeCell ref="B28:AM28"/>
    <mergeCell ref="B26:AM26"/>
    <mergeCell ref="B32:R32"/>
    <mergeCell ref="S32:AA32"/>
    <mergeCell ref="B1:AM1"/>
    <mergeCell ref="B21:AM21"/>
    <mergeCell ref="B2:AM2"/>
    <mergeCell ref="B3:AM3"/>
    <mergeCell ref="B22:AM22"/>
  </mergeCells>
  <hyperlinks>
    <hyperlink ref="B26" r:id="rId1" xr:uid="{00000000-0004-0000-0400-000000000000}"/>
    <hyperlink ref="B33" r:id="rId2" display="https://www.hcd.ca.gov/multifamily-finance-supernofa" xr:uid="{00000000-0004-0000-0400-000001000000}"/>
    <hyperlink ref="B34" r:id="rId3" xr:uid="{00000000-0004-0000-0400-000002000000}"/>
    <hyperlink ref="B33:AM33" r:id="rId4" display="Multifamily Finance Super NOFA" xr:uid="{5E6535E8-064E-4A7C-8A1F-D94A57199ADC}"/>
    <hyperlink ref="S32" r:id="rId5" xr:uid="{88080454-5037-4BC8-8B91-F6AB68094698}"/>
  </hyperlinks>
  <printOptions horizontalCentered="1"/>
  <pageMargins left="0" right="0.25" top="0" bottom="0" header="0.25" footer="0.25"/>
  <pageSetup scale="65" orientation="portrait" r:id="rId6"/>
  <headerFooter>
    <oddFooter>&amp;L&amp;F&amp;C&amp;P of &amp;N&amp;R &amp;A</oddFooter>
  </headerFooter>
  <drawing r:id="rId7"/>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Instructions">
    <pageSetUpPr fitToPage="1"/>
  </sheetPr>
  <dimension ref="B2:AQ20"/>
  <sheetViews>
    <sheetView showGridLines="0" topLeftCell="A4" zoomScaleNormal="100" workbookViewId="0">
      <selection activeCell="E5" sqref="E5:AM5"/>
    </sheetView>
  </sheetViews>
  <sheetFormatPr defaultColWidth="9.28515625" defaultRowHeight="18" customHeight="1"/>
  <cols>
    <col min="1" max="1" width="8.5703125" style="15" customWidth="1"/>
    <col min="2" max="39" width="4.28515625" style="15" customWidth="1"/>
    <col min="40" max="40" width="9.7109375" style="15" hidden="1" customWidth="1"/>
    <col min="41" max="42" width="9.28515625" style="15" hidden="1" customWidth="1"/>
    <col min="43" max="43" width="9.28515625" style="15" customWidth="1"/>
    <col min="44" max="16384" width="9.28515625" style="15"/>
  </cols>
  <sheetData>
    <row r="2" spans="2:43" ht="24" customHeight="1" thickBot="1">
      <c r="B2" s="1795" t="s">
        <v>463</v>
      </c>
      <c r="C2" s="1796"/>
      <c r="D2" s="1796"/>
      <c r="E2" s="1796"/>
      <c r="F2" s="1796"/>
      <c r="G2" s="1796"/>
      <c r="H2" s="1796"/>
      <c r="I2" s="1796"/>
      <c r="J2" s="1796"/>
      <c r="K2" s="1796"/>
      <c r="L2" s="1796"/>
      <c r="M2" s="1796"/>
      <c r="N2" s="1796"/>
      <c r="O2" s="1796"/>
      <c r="P2" s="1796"/>
      <c r="Q2" s="1796"/>
      <c r="R2" s="1796"/>
      <c r="S2" s="1796"/>
      <c r="T2" s="1796"/>
      <c r="U2" s="1796"/>
      <c r="V2" s="1796"/>
      <c r="W2" s="1796"/>
      <c r="X2" s="1796"/>
      <c r="Y2" s="1796"/>
      <c r="Z2" s="1796"/>
      <c r="AA2" s="1796"/>
      <c r="AB2" s="1796"/>
      <c r="AC2" s="1796"/>
      <c r="AD2" s="1796"/>
      <c r="AE2" s="1796"/>
      <c r="AF2" s="1796"/>
      <c r="AG2" s="1796"/>
      <c r="AH2" s="1796"/>
      <c r="AI2" s="1796"/>
      <c r="AJ2" s="1796"/>
      <c r="AK2" s="1796"/>
      <c r="AL2" s="1796"/>
      <c r="AM2" s="1796"/>
      <c r="AN2" s="92"/>
    </row>
    <row r="3" spans="2:43" ht="18" customHeight="1">
      <c r="B3" s="1550"/>
      <c r="C3" s="1550"/>
      <c r="D3" s="1550"/>
      <c r="E3" s="1550"/>
      <c r="F3" s="1550"/>
      <c r="G3" s="1550"/>
      <c r="H3" s="1551"/>
      <c r="I3" s="1550"/>
      <c r="J3" s="83"/>
      <c r="K3" s="83"/>
      <c r="L3" s="83"/>
      <c r="M3" s="83"/>
      <c r="N3" s="83"/>
      <c r="O3" s="83"/>
      <c r="P3" s="83"/>
      <c r="Q3" s="83"/>
      <c r="R3" s="83"/>
      <c r="S3" s="83"/>
      <c r="T3" s="83"/>
      <c r="U3" s="83"/>
      <c r="V3" s="83"/>
      <c r="W3" s="83"/>
      <c r="X3" s="83"/>
      <c r="Y3" s="83"/>
      <c r="Z3" s="83"/>
      <c r="AA3" s="83"/>
      <c r="AB3" s="83"/>
      <c r="AC3" s="83"/>
      <c r="AD3" s="83"/>
      <c r="AE3" s="83"/>
      <c r="AF3" s="83"/>
      <c r="AG3" s="83"/>
      <c r="AH3" s="1550"/>
      <c r="AI3" s="1550"/>
      <c r="AJ3" s="1550"/>
      <c r="AK3" s="1550"/>
      <c r="AL3" s="1550"/>
      <c r="AM3" s="1550"/>
      <c r="AN3" s="1550"/>
      <c r="AO3" s="1550"/>
      <c r="AP3" s="1550"/>
    </row>
    <row r="4" spans="2:43" ht="78" customHeight="1">
      <c r="B4" s="1813" t="s">
        <v>464</v>
      </c>
      <c r="C4" s="1798"/>
      <c r="D4" s="1798"/>
      <c r="E4" s="1798"/>
      <c r="F4" s="1798"/>
      <c r="G4" s="1798"/>
      <c r="H4" s="1798"/>
      <c r="I4" s="1798"/>
      <c r="J4" s="1798"/>
      <c r="K4" s="1798"/>
      <c r="L4" s="1798"/>
      <c r="M4" s="1798"/>
      <c r="N4" s="1798"/>
      <c r="O4" s="1798"/>
      <c r="P4" s="1798"/>
      <c r="Q4" s="1798"/>
      <c r="R4" s="1798"/>
      <c r="S4" s="1798"/>
      <c r="T4" s="1798"/>
      <c r="U4" s="1798"/>
      <c r="V4" s="1798"/>
      <c r="W4" s="1798"/>
      <c r="X4" s="1798"/>
      <c r="Y4" s="1798"/>
      <c r="Z4" s="1798"/>
      <c r="AA4" s="1798"/>
      <c r="AB4" s="1798"/>
      <c r="AC4" s="1798"/>
      <c r="AD4" s="1798"/>
      <c r="AE4" s="1798"/>
      <c r="AF4" s="1798"/>
      <c r="AG4" s="1798"/>
      <c r="AH4" s="1798"/>
      <c r="AI4" s="1798"/>
      <c r="AJ4" s="1798"/>
      <c r="AK4" s="1798"/>
      <c r="AL4" s="1798"/>
      <c r="AM4" s="1798"/>
      <c r="AN4" s="1550"/>
      <c r="AO4" s="1550"/>
      <c r="AP4" s="1550"/>
    </row>
    <row r="5" spans="2:43" ht="54" customHeight="1">
      <c r="B5" s="1615"/>
      <c r="C5" s="1615"/>
      <c r="D5" s="1615"/>
      <c r="E5" s="1814" t="s">
        <v>465</v>
      </c>
      <c r="F5" s="1798"/>
      <c r="G5" s="1798"/>
      <c r="H5" s="1798"/>
      <c r="I5" s="1798"/>
      <c r="J5" s="1798"/>
      <c r="K5" s="1798"/>
      <c r="L5" s="1798"/>
      <c r="M5" s="1798"/>
      <c r="N5" s="1798"/>
      <c r="O5" s="1798"/>
      <c r="P5" s="1798"/>
      <c r="Q5" s="1798"/>
      <c r="R5" s="1798"/>
      <c r="S5" s="1798"/>
      <c r="T5" s="1798"/>
      <c r="U5" s="1798"/>
      <c r="V5" s="1798"/>
      <c r="W5" s="1798"/>
      <c r="X5" s="1798"/>
      <c r="Y5" s="1798"/>
      <c r="Z5" s="1798"/>
      <c r="AA5" s="1798"/>
      <c r="AB5" s="1798"/>
      <c r="AC5" s="1798"/>
      <c r="AD5" s="1798"/>
      <c r="AE5" s="1798"/>
      <c r="AF5" s="1798"/>
      <c r="AG5" s="1798"/>
      <c r="AH5" s="1798"/>
      <c r="AI5" s="1798"/>
      <c r="AJ5" s="1798"/>
      <c r="AK5" s="1798"/>
      <c r="AL5" s="1798"/>
      <c r="AM5" s="1798"/>
      <c r="AN5" s="1550"/>
      <c r="AO5" s="1550"/>
      <c r="AP5" s="1550"/>
    </row>
    <row r="6" spans="2:43" ht="18" customHeight="1" thickBot="1">
      <c r="B6" s="262"/>
      <c r="C6" s="262"/>
      <c r="D6" s="262"/>
      <c r="E6" s="262"/>
      <c r="F6" s="262"/>
      <c r="G6" s="262"/>
      <c r="H6" s="262"/>
      <c r="I6" s="262"/>
      <c r="J6" s="262"/>
      <c r="K6" s="262"/>
      <c r="L6" s="262"/>
      <c r="M6" s="262"/>
      <c r="N6" s="262"/>
      <c r="O6" s="262"/>
      <c r="P6" s="262"/>
      <c r="Q6" s="262"/>
      <c r="R6" s="262"/>
      <c r="S6" s="262"/>
      <c r="T6" s="262"/>
      <c r="U6" s="262"/>
      <c r="V6" s="262"/>
      <c r="W6" s="262"/>
      <c r="X6" s="262"/>
      <c r="Y6" s="262"/>
      <c r="Z6" s="262"/>
      <c r="AA6" s="262"/>
      <c r="AB6" s="262"/>
      <c r="AC6" s="262"/>
      <c r="AD6" s="262"/>
      <c r="AE6" s="262"/>
      <c r="AF6" s="262"/>
      <c r="AG6" s="262"/>
      <c r="AH6" s="262"/>
      <c r="AI6" s="262"/>
      <c r="AJ6" s="262"/>
      <c r="AK6" s="262"/>
      <c r="AL6" s="262"/>
      <c r="AM6" s="262"/>
      <c r="AN6" s="92"/>
    </row>
    <row r="7" spans="2:43" ht="18" customHeight="1">
      <c r="B7" s="348"/>
      <c r="C7" s="348"/>
      <c r="D7" s="348"/>
      <c r="E7" s="348"/>
      <c r="F7" s="348"/>
      <c r="G7" s="348"/>
      <c r="H7" s="348"/>
      <c r="I7" s="348"/>
      <c r="J7" s="348"/>
      <c r="K7" s="348"/>
      <c r="L7" s="348"/>
      <c r="M7" s="348"/>
      <c r="N7" s="348"/>
      <c r="O7" s="348"/>
      <c r="P7" s="348"/>
      <c r="Q7" s="348"/>
      <c r="R7" s="348"/>
      <c r="S7" s="348"/>
      <c r="T7" s="348"/>
      <c r="U7" s="348"/>
      <c r="V7" s="348"/>
      <c r="W7" s="348"/>
      <c r="X7" s="348"/>
      <c r="Y7" s="348"/>
      <c r="Z7" s="348"/>
      <c r="AA7" s="348"/>
      <c r="AB7" s="348"/>
      <c r="AC7" s="348"/>
      <c r="AD7" s="348"/>
      <c r="AE7" s="348"/>
      <c r="AF7" s="348"/>
      <c r="AG7" s="348"/>
      <c r="AH7" s="348"/>
      <c r="AI7" s="348"/>
      <c r="AJ7" s="348"/>
      <c r="AK7" s="348"/>
      <c r="AL7" s="348"/>
      <c r="AM7" s="348"/>
      <c r="AN7" s="92"/>
    </row>
    <row r="8" spans="2:43" ht="18" customHeight="1">
      <c r="B8" s="1802" t="s">
        <v>466</v>
      </c>
      <c r="C8" s="1798"/>
      <c r="D8" s="1798"/>
      <c r="E8" s="1798"/>
      <c r="F8" s="1798"/>
      <c r="G8" s="1798"/>
      <c r="H8" s="1798"/>
      <c r="I8" s="1798"/>
      <c r="J8" s="1798"/>
      <c r="K8" s="1798"/>
      <c r="L8" s="1798"/>
      <c r="M8" s="1798"/>
      <c r="N8" s="1798"/>
      <c r="O8" s="1798"/>
      <c r="P8" s="1798"/>
      <c r="Q8" s="1798"/>
      <c r="R8" s="1798"/>
      <c r="S8" s="1798"/>
      <c r="T8" s="1798"/>
      <c r="U8" s="1798"/>
      <c r="V8" s="1798"/>
      <c r="W8" s="1798"/>
      <c r="X8" s="1798"/>
      <c r="Y8" s="1798"/>
      <c r="Z8" s="1798"/>
      <c r="AA8" s="1798"/>
      <c r="AB8" s="1798"/>
      <c r="AC8" s="1798"/>
      <c r="AD8" s="1798"/>
      <c r="AE8" s="1798"/>
      <c r="AF8" s="1798"/>
      <c r="AG8" s="1798"/>
      <c r="AH8" s="1798"/>
      <c r="AI8" s="1798"/>
      <c r="AJ8" s="1798"/>
      <c r="AK8" s="1798"/>
      <c r="AL8" s="1798"/>
      <c r="AM8" s="1798"/>
      <c r="AN8" s="92"/>
    </row>
    <row r="9" spans="2:43" ht="18" customHeight="1">
      <c r="B9" s="1802" t="s">
        <v>467</v>
      </c>
      <c r="C9" s="1798"/>
      <c r="D9" s="1798"/>
      <c r="E9" s="1798"/>
      <c r="F9" s="1798"/>
      <c r="G9" s="1798"/>
      <c r="H9" s="1798"/>
      <c r="I9" s="1798"/>
      <c r="J9" s="1798"/>
      <c r="K9" s="1798"/>
      <c r="L9" s="1798"/>
      <c r="M9" s="1798"/>
      <c r="N9" s="1798"/>
      <c r="O9" s="1798"/>
      <c r="P9" s="1798"/>
      <c r="Q9" s="1798"/>
      <c r="R9" s="1798"/>
      <c r="S9" s="1798"/>
      <c r="T9" s="1798"/>
      <c r="U9" s="1798"/>
      <c r="V9" s="1798"/>
      <c r="W9" s="1798"/>
      <c r="X9" s="1798"/>
      <c r="Y9" s="1808" t="s">
        <v>468</v>
      </c>
      <c r="Z9" s="1808"/>
      <c r="AA9" s="1808"/>
      <c r="AB9" s="1808"/>
      <c r="AC9" s="1808"/>
      <c r="AD9" s="1808"/>
      <c r="AE9" s="1808"/>
      <c r="AF9" s="1808"/>
      <c r="AG9" s="1808"/>
      <c r="AH9" s="1808"/>
      <c r="AI9" s="1808"/>
      <c r="AJ9" s="1808"/>
      <c r="AK9" s="1808"/>
      <c r="AL9" s="1808"/>
      <c r="AM9" s="1808"/>
      <c r="AN9" s="1627"/>
      <c r="AO9" s="263"/>
      <c r="AP9" s="15" t="s">
        <v>469</v>
      </c>
    </row>
    <row r="10" spans="2:43" ht="18" customHeight="1">
      <c r="B10" s="1806" t="s">
        <v>470</v>
      </c>
      <c r="C10" s="1798"/>
      <c r="D10" s="1798"/>
      <c r="E10" s="1798"/>
      <c r="F10" s="1798"/>
      <c r="G10" s="1798"/>
      <c r="H10" s="1798"/>
      <c r="I10" s="1798"/>
      <c r="J10" s="1798"/>
      <c r="K10" s="1798"/>
      <c r="L10" s="1798"/>
      <c r="M10" s="1798"/>
      <c r="N10" s="1798"/>
      <c r="O10" s="1798"/>
      <c r="P10" s="1798"/>
      <c r="Q10" s="1798"/>
      <c r="R10" s="1798"/>
      <c r="S10" s="1798"/>
      <c r="T10" s="1798"/>
      <c r="U10" s="1798"/>
      <c r="V10" s="1798"/>
      <c r="W10" s="1798"/>
      <c r="X10" s="1798"/>
      <c r="Y10" s="1798"/>
      <c r="Z10" s="1798"/>
      <c r="AA10" s="1798"/>
      <c r="AB10" s="1798"/>
      <c r="AC10" s="1798"/>
      <c r="AD10" s="1798"/>
      <c r="AE10" s="1798"/>
      <c r="AF10" s="1798"/>
      <c r="AG10" s="1798"/>
      <c r="AH10" s="1798"/>
      <c r="AI10" s="1798"/>
      <c r="AJ10" s="1798"/>
      <c r="AK10" s="1798"/>
      <c r="AL10" s="1798"/>
      <c r="AM10" s="1798"/>
      <c r="AN10" s="16"/>
      <c r="AO10" s="263"/>
      <c r="AP10" s="58" t="s">
        <v>471</v>
      </c>
      <c r="AQ10" s="16"/>
    </row>
    <row r="11" spans="2:43" ht="17.25" customHeight="1">
      <c r="B11" s="1797" t="s">
        <v>472</v>
      </c>
      <c r="C11" s="1798"/>
      <c r="D11" s="1798"/>
      <c r="E11" s="1798"/>
      <c r="F11" s="1798"/>
      <c r="G11" s="1798"/>
      <c r="H11" s="1798"/>
      <c r="I11" s="1798"/>
      <c r="J11" s="1798"/>
      <c r="K11" s="1798"/>
      <c r="L11" s="1798"/>
      <c r="M11" s="1798"/>
      <c r="N11" s="1798"/>
      <c r="O11" s="1798"/>
      <c r="P11" s="1798"/>
      <c r="Q11" s="1798"/>
      <c r="R11" s="1798"/>
      <c r="S11" s="1798"/>
      <c r="T11" s="1798"/>
      <c r="U11" s="1798"/>
      <c r="V11" s="1798"/>
      <c r="W11" s="1798"/>
      <c r="X11" s="1798"/>
      <c r="Y11" s="1798"/>
      <c r="Z11" s="1798"/>
      <c r="AA11" s="1798"/>
      <c r="AB11" s="1798"/>
      <c r="AC11" s="1798"/>
      <c r="AD11" s="1798"/>
      <c r="AE11" s="1798"/>
      <c r="AF11" s="1798"/>
      <c r="AG11" s="1798"/>
      <c r="AH11" s="1798"/>
      <c r="AI11" s="1798"/>
      <c r="AJ11" s="1798"/>
      <c r="AK11" s="1798"/>
      <c r="AL11" s="1798"/>
      <c r="AM11" s="1798"/>
      <c r="AN11" s="86"/>
    </row>
    <row r="12" spans="2:43" ht="38.450000000000003" customHeight="1">
      <c r="B12" s="1809" t="s">
        <v>473</v>
      </c>
      <c r="C12" s="1809"/>
      <c r="D12" s="1809"/>
      <c r="E12" s="1809"/>
      <c r="F12" s="1809"/>
      <c r="G12" s="1809"/>
      <c r="H12" s="1809"/>
      <c r="I12" s="1809"/>
      <c r="J12" s="1809"/>
      <c r="K12" s="1809"/>
      <c r="L12" s="1809"/>
      <c r="M12" s="1809"/>
      <c r="N12" s="1809"/>
      <c r="O12" s="1809"/>
      <c r="P12" s="1809"/>
      <c r="Q12" s="1809"/>
      <c r="R12" s="1809"/>
      <c r="S12" s="1809"/>
      <c r="T12" s="1809"/>
      <c r="U12" s="1809"/>
      <c r="V12" s="1809"/>
      <c r="W12" s="1809"/>
      <c r="X12" s="1809"/>
      <c r="Y12" s="1809"/>
      <c r="Z12" s="1809"/>
      <c r="AA12" s="1809"/>
      <c r="AB12" s="1809"/>
      <c r="AC12" s="1809"/>
      <c r="AD12" s="1809"/>
      <c r="AE12" s="1809"/>
      <c r="AF12" s="1809"/>
      <c r="AG12" s="1810" t="s">
        <v>474</v>
      </c>
      <c r="AH12" s="1810"/>
      <c r="AI12" s="1810"/>
      <c r="AJ12" s="1810"/>
      <c r="AK12" s="1810"/>
      <c r="AL12" s="1810"/>
      <c r="AN12" s="1485" t="s">
        <v>474</v>
      </c>
    </row>
    <row r="13" spans="2:43" ht="36" customHeight="1" thickBot="1">
      <c r="B13" s="1802" t="s">
        <v>475</v>
      </c>
      <c r="C13" s="1798"/>
      <c r="D13" s="1798"/>
      <c r="E13" s="1798"/>
      <c r="F13" s="1798"/>
      <c r="G13" s="1798"/>
      <c r="H13" s="1798"/>
      <c r="I13" s="1798"/>
      <c r="J13" s="1798"/>
      <c r="K13" s="1798"/>
      <c r="L13" s="1798"/>
      <c r="M13" s="1798"/>
      <c r="N13" s="1798"/>
      <c r="O13" s="1798"/>
      <c r="P13" s="1798"/>
      <c r="Q13" s="1798"/>
      <c r="R13" s="1798"/>
      <c r="S13" s="1798"/>
      <c r="T13" s="1798"/>
      <c r="U13" s="1798"/>
      <c r="V13" s="1798"/>
      <c r="W13" s="1798"/>
      <c r="X13" s="1798"/>
      <c r="Y13" s="1798"/>
      <c r="Z13" s="1798"/>
      <c r="AA13" s="1798"/>
      <c r="AB13" s="1798"/>
      <c r="AC13" s="1798"/>
      <c r="AD13" s="1798"/>
      <c r="AE13" s="1798"/>
      <c r="AF13" s="1798"/>
      <c r="AG13" s="1798"/>
      <c r="AH13" s="1798"/>
      <c r="AI13" s="1798"/>
      <c r="AJ13" s="1798"/>
      <c r="AK13" s="1798"/>
      <c r="AL13" s="1798"/>
      <c r="AM13" s="1798"/>
      <c r="AN13" s="87"/>
    </row>
    <row r="14" spans="2:43" ht="36" customHeight="1" thickTop="1" thickBot="1">
      <c r="B14" s="1803" t="s">
        <v>476</v>
      </c>
      <c r="C14" s="1804"/>
      <c r="D14" s="1804"/>
      <c r="E14" s="1805"/>
      <c r="F14" s="1817" t="s">
        <v>477</v>
      </c>
      <c r="G14" s="1818"/>
      <c r="H14" s="1818"/>
      <c r="I14" s="1818"/>
      <c r="J14" s="1818"/>
      <c r="K14" s="1818"/>
      <c r="L14" s="1818"/>
      <c r="M14" s="1818"/>
      <c r="N14" s="1818"/>
      <c r="O14" s="1818"/>
      <c r="P14" s="1818"/>
      <c r="Q14" s="1818"/>
      <c r="R14" s="1818"/>
      <c r="S14" s="1818"/>
      <c r="T14" s="1818"/>
      <c r="U14" s="1818"/>
      <c r="V14" s="1818"/>
      <c r="W14" s="1818"/>
      <c r="X14" s="1818"/>
      <c r="Y14" s="1818"/>
      <c r="Z14" s="1818"/>
      <c r="AA14" s="1818"/>
      <c r="AB14" s="1818"/>
      <c r="AC14" s="1818"/>
      <c r="AD14" s="1818"/>
      <c r="AE14" s="1818"/>
      <c r="AF14" s="1818"/>
      <c r="AG14" s="1818"/>
      <c r="AH14" s="1818"/>
      <c r="AI14" s="1818"/>
      <c r="AJ14" s="1818"/>
      <c r="AK14" s="1818"/>
      <c r="AL14" s="1818"/>
      <c r="AM14" s="1819"/>
      <c r="AN14" s="259"/>
    </row>
    <row r="15" spans="2:43" ht="36" customHeight="1" thickTop="1" thickBot="1">
      <c r="B15" s="1812" t="s">
        <v>478</v>
      </c>
      <c r="C15" s="1804"/>
      <c r="D15" s="1804"/>
      <c r="E15" s="1805"/>
      <c r="F15" s="1807" t="s">
        <v>479</v>
      </c>
      <c r="G15" s="1804"/>
      <c r="H15" s="1804"/>
      <c r="I15" s="1804"/>
      <c r="J15" s="1804"/>
      <c r="K15" s="1804"/>
      <c r="L15" s="1804"/>
      <c r="M15" s="1804"/>
      <c r="N15" s="1804"/>
      <c r="O15" s="1804"/>
      <c r="P15" s="1804"/>
      <c r="Q15" s="1804"/>
      <c r="R15" s="1804"/>
      <c r="S15" s="1804"/>
      <c r="T15" s="1804"/>
      <c r="U15" s="1804"/>
      <c r="V15" s="1804"/>
      <c r="W15" s="1804"/>
      <c r="X15" s="1804"/>
      <c r="Y15" s="1804"/>
      <c r="Z15" s="1804"/>
      <c r="AA15" s="1804"/>
      <c r="AB15" s="1804"/>
      <c r="AC15" s="1804"/>
      <c r="AD15" s="1804"/>
      <c r="AE15" s="1804"/>
      <c r="AF15" s="1804"/>
      <c r="AG15" s="1804"/>
      <c r="AH15" s="1804"/>
      <c r="AI15" s="1804"/>
      <c r="AJ15" s="1804"/>
      <c r="AK15" s="1804"/>
      <c r="AL15" s="1804"/>
      <c r="AM15" s="1805"/>
      <c r="AN15" s="88"/>
    </row>
    <row r="16" spans="2:43" ht="18" customHeight="1" thickTop="1" thickBot="1">
      <c r="B16" s="1815" t="s">
        <v>480</v>
      </c>
      <c r="C16" s="1804"/>
      <c r="D16" s="1804"/>
      <c r="E16" s="1805"/>
      <c r="F16" s="1799" t="s">
        <v>481</v>
      </c>
      <c r="G16" s="1800"/>
      <c r="H16" s="1800"/>
      <c r="I16" s="1800"/>
      <c r="J16" s="1800"/>
      <c r="K16" s="1800"/>
      <c r="L16" s="1800"/>
      <c r="M16" s="1800"/>
      <c r="N16" s="1800"/>
      <c r="O16" s="1800"/>
      <c r="P16" s="1800"/>
      <c r="Q16" s="1800"/>
      <c r="R16" s="1800"/>
      <c r="S16" s="1800"/>
      <c r="T16" s="1800"/>
      <c r="U16" s="1800"/>
      <c r="V16" s="1800"/>
      <c r="W16" s="1800"/>
      <c r="X16" s="1800"/>
      <c r="Y16" s="1800"/>
      <c r="Z16" s="1800"/>
      <c r="AA16" s="1800"/>
      <c r="AB16" s="1800"/>
      <c r="AC16" s="1800"/>
      <c r="AD16" s="1800"/>
      <c r="AE16" s="1800"/>
      <c r="AF16" s="1800"/>
      <c r="AG16" s="1800"/>
      <c r="AH16" s="1800"/>
      <c r="AI16" s="1800"/>
      <c r="AJ16" s="1800"/>
      <c r="AK16" s="1800"/>
      <c r="AL16" s="1800"/>
      <c r="AM16" s="1801"/>
      <c r="AN16" s="89"/>
    </row>
    <row r="17" spans="2:40" ht="18" customHeight="1" thickTop="1" thickBot="1">
      <c r="B17" s="1820" t="s">
        <v>482</v>
      </c>
      <c r="C17" s="1804"/>
      <c r="D17" s="1804"/>
      <c r="E17" s="1805"/>
      <c r="F17" s="1811" t="s">
        <v>483</v>
      </c>
      <c r="G17" s="1798"/>
      <c r="H17" s="1798"/>
      <c r="I17" s="1798"/>
      <c r="J17" s="1798"/>
      <c r="K17" s="1798"/>
      <c r="L17" s="1798"/>
      <c r="M17" s="1798"/>
      <c r="N17" s="1798"/>
      <c r="O17" s="1798"/>
      <c r="P17" s="1798"/>
      <c r="Q17" s="1798"/>
      <c r="R17" s="1798"/>
      <c r="S17" s="1798"/>
      <c r="T17" s="1798"/>
      <c r="U17" s="1798"/>
      <c r="V17" s="1798"/>
      <c r="W17" s="1798"/>
      <c r="X17" s="1798"/>
      <c r="Y17" s="1798"/>
      <c r="Z17" s="1798"/>
      <c r="AA17" s="1798"/>
      <c r="AB17" s="1798"/>
      <c r="AC17" s="1798"/>
      <c r="AD17" s="1798"/>
      <c r="AE17" s="1798"/>
      <c r="AF17" s="1798"/>
      <c r="AG17" s="1798"/>
      <c r="AH17" s="1798"/>
      <c r="AI17" s="1798"/>
      <c r="AJ17" s="1798"/>
      <c r="AK17" s="1798"/>
      <c r="AL17" s="1798"/>
      <c r="AM17" s="1798"/>
      <c r="AN17" s="93"/>
    </row>
    <row r="18" spans="2:40" ht="72" customHeight="1" thickTop="1">
      <c r="B18" s="1816" t="s">
        <v>484</v>
      </c>
      <c r="C18" s="1798"/>
      <c r="D18" s="1798"/>
      <c r="E18" s="1798"/>
      <c r="F18" s="1798"/>
      <c r="G18" s="1798"/>
      <c r="H18" s="1798"/>
      <c r="I18" s="1798"/>
      <c r="J18" s="1798"/>
      <c r="K18" s="1798"/>
      <c r="L18" s="1798"/>
      <c r="M18" s="1798"/>
      <c r="N18" s="1798"/>
      <c r="O18" s="1798"/>
      <c r="P18" s="1798"/>
      <c r="Q18" s="1798"/>
      <c r="R18" s="1798"/>
      <c r="S18" s="1798"/>
      <c r="T18" s="1798"/>
      <c r="U18" s="1798"/>
      <c r="V18" s="1798"/>
      <c r="W18" s="1798"/>
      <c r="X18" s="1798"/>
      <c r="Y18" s="1798"/>
      <c r="Z18" s="1798"/>
      <c r="AA18" s="1798"/>
      <c r="AB18" s="1798"/>
      <c r="AC18" s="1798"/>
      <c r="AD18" s="1798"/>
      <c r="AE18" s="1798"/>
      <c r="AF18" s="1798"/>
      <c r="AG18" s="1798"/>
      <c r="AH18" s="1798"/>
      <c r="AI18" s="1798"/>
      <c r="AJ18" s="1798"/>
      <c r="AK18" s="1798"/>
      <c r="AL18" s="1798"/>
      <c r="AM18" s="1798"/>
      <c r="AN18" s="259"/>
    </row>
    <row r="20" spans="2:40" ht="18" customHeight="1">
      <c r="B20" s="1791" t="s">
        <v>461</v>
      </c>
      <c r="C20" s="1798"/>
      <c r="D20" s="1798"/>
      <c r="E20" s="1798"/>
      <c r="F20" s="1798"/>
      <c r="G20" s="1798"/>
      <c r="H20" s="1798"/>
      <c r="I20" s="1798"/>
      <c r="J20" s="1798"/>
      <c r="K20" s="1798"/>
      <c r="L20" s="1798"/>
      <c r="M20" s="1798"/>
      <c r="N20" s="1798"/>
      <c r="O20" s="1798"/>
      <c r="P20" s="1798"/>
      <c r="Q20" s="1798"/>
      <c r="R20" s="1798"/>
      <c r="S20" s="1798"/>
      <c r="T20" s="1798"/>
      <c r="U20" s="1798"/>
      <c r="V20" s="1798"/>
      <c r="W20" s="1798"/>
      <c r="X20" s="1798"/>
      <c r="Y20" s="1798"/>
      <c r="Z20" s="1798"/>
      <c r="AA20" s="1798"/>
      <c r="AB20" s="1798"/>
      <c r="AC20" s="1798"/>
      <c r="AD20" s="1798"/>
      <c r="AE20" s="1798"/>
      <c r="AF20" s="1798"/>
      <c r="AG20" s="1798"/>
      <c r="AH20" s="1798"/>
      <c r="AI20" s="1798"/>
      <c r="AJ20" s="1798"/>
      <c r="AK20" s="1798"/>
      <c r="AL20" s="1798"/>
      <c r="AM20" s="1798"/>
      <c r="AN20" s="94"/>
    </row>
  </sheetData>
  <sheetProtection algorithmName="SHA-512" hashValue="vcJIo8e8K3G6djYfG4yryoP/wHluE52fRGO9FcJFgIdLVYQTu5zRxMa1gEq6AjNpzX7lsTeyBJhNyKVc7c69QA==" saltValue="f9W4GX4LoCSFu4kBbbGQqA==" spinCount="100000" sheet="1" objects="1" scenarios="1"/>
  <protectedRanges>
    <protectedRange sqref="F5" name="Range1"/>
  </protectedRanges>
  <mergeCells count="21">
    <mergeCell ref="F17:AM17"/>
    <mergeCell ref="B20:AM20"/>
    <mergeCell ref="B15:E15"/>
    <mergeCell ref="B4:AM4"/>
    <mergeCell ref="E5:AM5"/>
    <mergeCell ref="B16:E16"/>
    <mergeCell ref="B18:AM18"/>
    <mergeCell ref="F14:AM14"/>
    <mergeCell ref="B17:E17"/>
    <mergeCell ref="B2:AM2"/>
    <mergeCell ref="B11:AM11"/>
    <mergeCell ref="F16:AM16"/>
    <mergeCell ref="B8:AM8"/>
    <mergeCell ref="B13:AM13"/>
    <mergeCell ref="B14:E14"/>
    <mergeCell ref="B10:AM10"/>
    <mergeCell ref="F15:AM15"/>
    <mergeCell ref="B9:X9"/>
    <mergeCell ref="Y9:AM9"/>
    <mergeCell ref="B12:AF12"/>
    <mergeCell ref="AG12:AL12"/>
  </mergeCells>
  <conditionalFormatting sqref="B17">
    <cfRule type="cellIs" dxfId="1886" priority="1" operator="greaterThan">
      <formula>""</formula>
    </cfRule>
  </conditionalFormatting>
  <hyperlinks>
    <hyperlink ref="Y9" r:id="rId1" display="https://hcd.ca.gov/multifamily-finance-supernofa" xr:uid="{00000000-0004-0000-0500-000000000000}"/>
    <hyperlink ref="AG12" r:id="rId2" xr:uid="{00000000-0004-0000-0500-000001000000}"/>
    <hyperlink ref="Y9:AM9" r:id="rId3" display="https://www.hcd.ca.gov/funding/supernofa" xr:uid="{254868C3-97FC-4D42-961D-C4D4AB8A5405}"/>
    <hyperlink ref="AN12" r:id="rId4" xr:uid="{033D4446-BCCF-460D-B9C1-00D2E88B1271}"/>
  </hyperlinks>
  <printOptions horizontalCentered="1"/>
  <pageMargins left="0" right="0.25" top="0" bottom="0" header="0.25" footer="0.25"/>
  <pageSetup scale="65" orientation="portrait" r:id="rId5"/>
  <headerFooter>
    <oddFooter>&amp;L&amp;F&amp;C&amp;P of &amp;N&amp;R &amp;A</oddFooter>
  </headerFooter>
  <drawing r:id="rId6"/>
  <legacyDrawing r:id="rId7"/>
  <oleObjects>
    <mc:AlternateContent xmlns:mc="http://schemas.openxmlformats.org/markup-compatibility/2006">
      <mc:Choice Requires="x14">
        <oleObject progId="Document" dvAspect="DVASPECT_ICON" shapeId="4099" r:id="rId8">
          <objectPr defaultSize="0" autoPict="0" r:id="rId9">
            <anchor moveWithCells="1">
              <from>
                <xdr:col>0</xdr:col>
                <xdr:colOff>581025</xdr:colOff>
                <xdr:row>4</xdr:row>
                <xdr:rowOff>47625</xdr:rowOff>
              </from>
              <to>
                <xdr:col>3</xdr:col>
                <xdr:colOff>257175</xdr:colOff>
                <xdr:row>5</xdr:row>
                <xdr:rowOff>9525</xdr:rowOff>
              </to>
            </anchor>
          </objectPr>
        </oleObject>
      </mc:Choice>
      <mc:Fallback>
        <oleObject progId="Document" dvAspect="DVASPECT_ICON" shapeId="4099" r:id="rId8"/>
      </mc:Fallback>
    </mc:AlternateContent>
  </oleObjec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4CEB2-D139-4BD2-B03F-1CA9BEDCB6C3}">
  <sheetPr codeName="Sheet8"/>
  <dimension ref="A1:BE47"/>
  <sheetViews>
    <sheetView showGridLines="0" topLeftCell="A33" zoomScaleNormal="100" workbookViewId="0">
      <selection activeCell="C6" sqref="C6:AL6"/>
    </sheetView>
  </sheetViews>
  <sheetFormatPr defaultColWidth="9.28515625" defaultRowHeight="18" customHeight="1"/>
  <cols>
    <col min="1" max="1" width="8.7109375" style="1496" customWidth="1"/>
    <col min="2" max="39" width="4.28515625" style="1496" customWidth="1"/>
    <col min="40" max="40" width="9.28515625" style="1496" customWidth="1"/>
    <col min="41" max="16384" width="9.28515625" style="1496"/>
  </cols>
  <sheetData>
    <row r="1" spans="1:57" ht="62.25" customHeight="1">
      <c r="A1" s="1855" t="s">
        <v>485</v>
      </c>
      <c r="B1" s="1855"/>
      <c r="C1" s="1855"/>
      <c r="D1" s="1855"/>
      <c r="E1" s="1855"/>
      <c r="F1" s="1855"/>
      <c r="G1" s="1855"/>
      <c r="H1" s="1855"/>
      <c r="I1" s="1855"/>
      <c r="J1" s="1855"/>
      <c r="K1" s="1855"/>
      <c r="L1" s="1855"/>
      <c r="M1" s="1855"/>
      <c r="N1" s="1855"/>
      <c r="O1" s="1855"/>
      <c r="P1" s="1855"/>
      <c r="Q1" s="1855"/>
      <c r="R1" s="1855"/>
      <c r="S1" s="1855"/>
      <c r="T1" s="1855"/>
      <c r="U1" s="1855"/>
      <c r="V1" s="1855"/>
      <c r="W1" s="1855"/>
      <c r="X1" s="1855"/>
      <c r="Y1" s="1855"/>
      <c r="Z1" s="1855"/>
      <c r="AA1" s="1855"/>
      <c r="AB1" s="1855"/>
      <c r="AC1" s="1855"/>
      <c r="AD1" s="1855"/>
      <c r="AE1" s="1855"/>
      <c r="AF1" s="1855"/>
      <c r="AG1" s="1855"/>
      <c r="AH1" s="1855"/>
      <c r="AI1" s="1855"/>
      <c r="AJ1" s="1855"/>
      <c r="AK1" s="1855"/>
      <c r="AL1" s="1855"/>
      <c r="AM1" s="1855"/>
      <c r="AN1" s="1855"/>
    </row>
    <row r="2" spans="1:57" ht="14.25">
      <c r="A2" s="1856"/>
      <c r="B2" s="1856"/>
      <c r="C2" s="1856"/>
      <c r="D2" s="1856"/>
      <c r="E2" s="1856"/>
      <c r="F2" s="1856"/>
      <c r="G2" s="1856"/>
      <c r="H2" s="1856"/>
      <c r="I2" s="1856"/>
      <c r="J2" s="1856"/>
      <c r="K2" s="1856"/>
      <c r="L2" s="1856"/>
      <c r="M2" s="1856"/>
      <c r="N2" s="1856"/>
      <c r="O2" s="1856"/>
      <c r="P2" s="1856"/>
      <c r="Q2" s="1856"/>
      <c r="R2" s="1856"/>
      <c r="S2" s="1856"/>
      <c r="T2" s="1856"/>
      <c r="U2" s="1856"/>
      <c r="V2" s="1856"/>
      <c r="W2" s="1856"/>
      <c r="X2" s="1856"/>
      <c r="Y2" s="1856"/>
      <c r="Z2" s="1856"/>
      <c r="AA2" s="1856"/>
      <c r="AB2" s="1856"/>
      <c r="AC2" s="1856"/>
      <c r="AD2" s="1856"/>
      <c r="AE2" s="1856"/>
      <c r="AF2" s="1856"/>
      <c r="AG2" s="1856"/>
      <c r="AH2" s="1856"/>
      <c r="AI2" s="1856"/>
      <c r="AJ2" s="1856"/>
      <c r="AK2" s="1856"/>
      <c r="AL2" s="1856"/>
      <c r="AM2" s="1856"/>
      <c r="AN2" s="1856"/>
    </row>
    <row r="3" spans="1:57" ht="15">
      <c r="A3" s="1565"/>
      <c r="B3" s="1564"/>
      <c r="C3" s="1564"/>
      <c r="D3" s="1566"/>
      <c r="E3" s="1566"/>
      <c r="F3" s="1566"/>
      <c r="G3" s="1566"/>
      <c r="H3" s="1566"/>
      <c r="I3" s="1566"/>
      <c r="J3" s="1566"/>
      <c r="K3" s="1566"/>
      <c r="L3" s="1566"/>
      <c r="M3" s="1566"/>
      <c r="N3" s="1566"/>
      <c r="O3" s="1566"/>
      <c r="P3" s="1566"/>
      <c r="Q3" s="1566"/>
      <c r="R3" s="1566"/>
      <c r="S3" s="1566"/>
      <c r="T3" s="1566"/>
      <c r="U3" s="1566"/>
      <c r="V3" s="1566"/>
      <c r="W3" s="1566"/>
      <c r="X3" s="1566"/>
      <c r="Y3" s="1566"/>
      <c r="Z3" s="1566"/>
      <c r="AA3" s="1566"/>
      <c r="AB3" s="1566"/>
      <c r="AC3" s="1566"/>
      <c r="AD3" s="1566"/>
      <c r="AE3" s="1566"/>
      <c r="AF3" s="1566"/>
      <c r="AG3" s="1566"/>
      <c r="AH3" s="1566"/>
      <c r="AI3" s="1566"/>
      <c r="AJ3" s="1566"/>
      <c r="AK3" s="1566"/>
      <c r="AL3" s="1566"/>
      <c r="AM3" s="1566"/>
      <c r="AN3" s="1567"/>
      <c r="AO3" s="1497"/>
      <c r="AP3" s="1498"/>
      <c r="AQ3" s="1498"/>
      <c r="AR3" s="1498"/>
      <c r="AS3" s="1498"/>
    </row>
    <row r="4" spans="1:57" ht="30" customHeight="1">
      <c r="A4" s="1857" t="s">
        <v>486</v>
      </c>
      <c r="B4" s="1858"/>
      <c r="C4" s="1858"/>
      <c r="D4" s="1858"/>
      <c r="E4" s="1858"/>
      <c r="F4" s="1858"/>
      <c r="G4" s="1858"/>
      <c r="H4" s="1858"/>
      <c r="I4" s="1858"/>
      <c r="J4" s="1858"/>
      <c r="K4" s="1858"/>
      <c r="L4" s="1858"/>
      <c r="M4" s="1858"/>
      <c r="N4" s="1858"/>
      <c r="O4" s="1858"/>
      <c r="P4" s="1858"/>
      <c r="Q4" s="1858"/>
      <c r="R4" s="1858"/>
      <c r="S4" s="1858"/>
      <c r="T4" s="1858"/>
      <c r="U4" s="1858"/>
      <c r="V4" s="1858"/>
      <c r="W4" s="1858"/>
      <c r="X4" s="1858"/>
      <c r="Y4" s="1858"/>
      <c r="Z4" s="1858"/>
      <c r="AA4" s="1858"/>
      <c r="AB4" s="1858"/>
      <c r="AC4" s="1858"/>
      <c r="AD4" s="1858"/>
      <c r="AE4" s="1858"/>
      <c r="AF4" s="1858"/>
      <c r="AG4" s="1858"/>
      <c r="AH4" s="1858"/>
      <c r="AI4" s="1858"/>
      <c r="AJ4" s="1858"/>
      <c r="AK4" s="1858"/>
      <c r="AL4" s="1858"/>
      <c r="AM4" s="1858"/>
      <c r="AN4" s="1859"/>
    </row>
    <row r="5" spans="1:57" ht="30" customHeight="1">
      <c r="A5" s="1499"/>
      <c r="B5" s="1834" t="s">
        <v>487</v>
      </c>
      <c r="C5" s="1835"/>
      <c r="D5" s="1835"/>
      <c r="E5" s="1835"/>
      <c r="F5" s="1835"/>
      <c r="G5" s="1835"/>
      <c r="H5" s="1835"/>
      <c r="I5" s="1835"/>
      <c r="J5" s="1835"/>
      <c r="K5" s="1835"/>
      <c r="L5" s="1835"/>
      <c r="M5" s="1835"/>
      <c r="N5" s="1835"/>
      <c r="O5" s="1835"/>
      <c r="P5" s="1835"/>
      <c r="Q5" s="1835"/>
      <c r="R5" s="1835"/>
      <c r="S5" s="1835"/>
      <c r="T5" s="1835"/>
      <c r="U5" s="1835"/>
      <c r="V5" s="1835"/>
      <c r="W5" s="1835"/>
      <c r="X5" s="1835"/>
      <c r="Y5" s="1835"/>
      <c r="Z5" s="1835"/>
      <c r="AA5" s="1835"/>
      <c r="AB5" s="1835"/>
      <c r="AC5" s="1835"/>
      <c r="AD5" s="1835"/>
      <c r="AE5" s="1835"/>
      <c r="AF5" s="1835"/>
      <c r="AG5" s="1835"/>
      <c r="AH5" s="1835"/>
      <c r="AI5" s="1835"/>
      <c r="AJ5" s="1835"/>
      <c r="AK5" s="1835"/>
      <c r="AL5" s="1459"/>
      <c r="AM5" s="1538"/>
      <c r="AN5" s="1539"/>
      <c r="AP5" s="1520"/>
      <c r="AQ5" s="1520"/>
      <c r="AR5" s="1521"/>
      <c r="AS5" s="1521"/>
      <c r="AT5" s="1520"/>
      <c r="AU5" s="1520"/>
      <c r="AV5" s="1520"/>
      <c r="AW5" s="1520"/>
      <c r="AX5" s="1520"/>
      <c r="AY5" s="1520"/>
      <c r="AZ5" s="1520"/>
      <c r="BA5" s="1520"/>
      <c r="BB5" s="1520"/>
      <c r="BC5" s="1520"/>
      <c r="BD5" s="1520"/>
      <c r="BE5" s="1520"/>
    </row>
    <row r="6" spans="1:57" ht="27.75" customHeight="1">
      <c r="A6" s="1499"/>
      <c r="B6" s="1459"/>
      <c r="C6" s="1841" t="s">
        <v>488</v>
      </c>
      <c r="D6" s="1841"/>
      <c r="E6" s="1841"/>
      <c r="F6" s="1841"/>
      <c r="G6" s="1841"/>
      <c r="H6" s="1841"/>
      <c r="I6" s="1841"/>
      <c r="J6" s="1841"/>
      <c r="K6" s="1841"/>
      <c r="L6" s="1841"/>
      <c r="M6" s="1841"/>
      <c r="N6" s="1841"/>
      <c r="O6" s="1841"/>
      <c r="P6" s="1841"/>
      <c r="Q6" s="1841"/>
      <c r="R6" s="1841"/>
      <c r="S6" s="1841"/>
      <c r="T6" s="1841"/>
      <c r="U6" s="1841"/>
      <c r="V6" s="1841"/>
      <c r="W6" s="1841"/>
      <c r="X6" s="1841"/>
      <c r="Y6" s="1841"/>
      <c r="Z6" s="1841"/>
      <c r="AA6" s="1841"/>
      <c r="AB6" s="1841"/>
      <c r="AC6" s="1841"/>
      <c r="AD6" s="1841"/>
      <c r="AE6" s="1841"/>
      <c r="AF6" s="1841"/>
      <c r="AG6" s="1841"/>
      <c r="AH6" s="1841"/>
      <c r="AI6" s="1841"/>
      <c r="AJ6" s="1841"/>
      <c r="AK6" s="1841"/>
      <c r="AL6" s="1846"/>
      <c r="AM6" s="1824"/>
      <c r="AN6" s="1825"/>
      <c r="AP6" s="1520"/>
      <c r="AQ6" s="1522"/>
      <c r="AR6" s="1520"/>
      <c r="AS6" s="1520"/>
      <c r="AT6" s="1520"/>
      <c r="AU6" s="1520"/>
      <c r="AV6" s="1520"/>
      <c r="AW6" s="1520"/>
      <c r="AX6" s="1520"/>
      <c r="AY6" s="1520"/>
      <c r="AZ6" s="1520"/>
      <c r="BA6" s="1520"/>
      <c r="BB6" s="1520"/>
      <c r="BC6" s="1520"/>
      <c r="BD6" s="1520"/>
      <c r="BE6" s="1520"/>
    </row>
    <row r="7" spans="1:57" ht="30" hidden="1" customHeight="1">
      <c r="A7" s="1499"/>
      <c r="B7" s="1850" t="s">
        <v>489</v>
      </c>
      <c r="C7" s="1851"/>
      <c r="D7" s="1851"/>
      <c r="E7" s="1851"/>
      <c r="F7" s="1851"/>
      <c r="G7" s="1851"/>
      <c r="H7" s="1851"/>
      <c r="I7" s="1851"/>
      <c r="J7" s="1851"/>
      <c r="K7" s="1851"/>
      <c r="L7" s="1851"/>
      <c r="M7" s="1851"/>
      <c r="N7" s="1851"/>
      <c r="O7" s="1851"/>
      <c r="P7" s="1851"/>
      <c r="Q7" s="1851"/>
      <c r="R7" s="1851"/>
      <c r="S7" s="1851"/>
      <c r="T7" s="1851"/>
      <c r="U7" s="1851"/>
      <c r="V7" s="1851"/>
      <c r="W7" s="1851"/>
      <c r="X7" s="1851"/>
      <c r="Y7" s="1851"/>
      <c r="Z7" s="1851"/>
      <c r="AA7" s="1851"/>
      <c r="AB7" s="1851"/>
      <c r="AC7" s="1851"/>
      <c r="AD7" s="1851"/>
      <c r="AE7" s="1851"/>
      <c r="AF7" s="1851"/>
      <c r="AG7" s="1851"/>
      <c r="AH7" s="1851"/>
      <c r="AI7" s="1851"/>
      <c r="AJ7" s="1851"/>
      <c r="AK7" s="1851"/>
      <c r="AL7" s="952"/>
      <c r="AM7" s="1500"/>
      <c r="AN7" s="1501"/>
      <c r="AP7" s="1520"/>
      <c r="AQ7" s="1522"/>
      <c r="AR7" s="1520"/>
      <c r="AS7" s="1520"/>
      <c r="AT7" s="1520"/>
      <c r="AU7" s="1520"/>
      <c r="AV7" s="1520"/>
      <c r="AW7" s="1520"/>
      <c r="AX7" s="1520"/>
      <c r="AY7" s="1520"/>
      <c r="AZ7" s="1520"/>
      <c r="BA7" s="1520"/>
      <c r="BB7" s="1520"/>
      <c r="BC7" s="1520"/>
      <c r="BD7" s="1520"/>
      <c r="BE7" s="1520"/>
    </row>
    <row r="8" spans="1:57" ht="30" hidden="1" customHeight="1">
      <c r="A8" s="1499"/>
      <c r="B8" s="1502"/>
      <c r="C8" s="1852" t="s">
        <v>490</v>
      </c>
      <c r="D8" s="1852"/>
      <c r="E8" s="1852"/>
      <c r="F8" s="1852"/>
      <c r="G8" s="1852"/>
      <c r="H8" s="1852"/>
      <c r="I8" s="1852"/>
      <c r="J8" s="1852"/>
      <c r="K8" s="1852"/>
      <c r="L8" s="1852"/>
      <c r="M8" s="1852"/>
      <c r="N8" s="1852"/>
      <c r="O8" s="1852"/>
      <c r="P8" s="1852"/>
      <c r="Q8" s="1852"/>
      <c r="R8" s="1852"/>
      <c r="S8" s="1852"/>
      <c r="T8" s="1852"/>
      <c r="U8" s="1852"/>
      <c r="V8" s="1852"/>
      <c r="W8" s="1852"/>
      <c r="X8" s="1852"/>
      <c r="Y8" s="1852"/>
      <c r="Z8" s="1852"/>
      <c r="AA8" s="1852"/>
      <c r="AB8" s="1852"/>
      <c r="AC8" s="1852"/>
      <c r="AD8" s="1852"/>
      <c r="AE8" s="1852"/>
      <c r="AF8" s="1852"/>
      <c r="AG8" s="1852"/>
      <c r="AH8" s="1852"/>
      <c r="AI8" s="1852"/>
      <c r="AJ8" s="1852"/>
      <c r="AK8" s="1852"/>
      <c r="AL8" s="1853"/>
      <c r="AM8" s="1824"/>
      <c r="AN8" s="1825"/>
      <c r="AP8" s="1520"/>
      <c r="AQ8" s="1522"/>
      <c r="AR8" s="1520"/>
      <c r="AS8" s="1520"/>
      <c r="AT8" s="1520"/>
      <c r="AU8" s="1520"/>
      <c r="AV8" s="1520"/>
      <c r="AW8" s="1520"/>
      <c r="AX8" s="1520"/>
      <c r="AY8" s="1520"/>
      <c r="AZ8" s="1520"/>
      <c r="BA8" s="1520"/>
      <c r="BB8" s="1520"/>
      <c r="BC8" s="1520"/>
      <c r="BD8" s="1520"/>
      <c r="BE8" s="1520"/>
    </row>
    <row r="9" spans="1:57" ht="22.5" customHeight="1">
      <c r="A9" s="1499"/>
      <c r="B9" s="1850" t="s">
        <v>491</v>
      </c>
      <c r="C9" s="1850"/>
      <c r="D9" s="1850"/>
      <c r="E9" s="1850"/>
      <c r="F9" s="1850"/>
      <c r="G9" s="1850"/>
      <c r="H9" s="1850"/>
      <c r="I9" s="1503"/>
      <c r="J9" s="1503"/>
      <c r="K9" s="1503"/>
      <c r="L9" s="1503"/>
      <c r="M9" s="1503"/>
      <c r="N9" s="1503"/>
      <c r="O9" s="1503"/>
      <c r="P9" s="1503"/>
      <c r="Q9" s="1503"/>
      <c r="R9" s="1503"/>
      <c r="S9" s="1503"/>
      <c r="T9" s="1503"/>
      <c r="U9" s="1503"/>
      <c r="V9" s="1503"/>
      <c r="W9" s="1503"/>
      <c r="X9" s="1503"/>
      <c r="Y9" s="1503"/>
      <c r="Z9" s="1503"/>
      <c r="AA9" s="1503"/>
      <c r="AB9" s="1503"/>
      <c r="AC9" s="1503"/>
      <c r="AD9" s="1503"/>
      <c r="AE9" s="1503"/>
      <c r="AF9" s="1503"/>
      <c r="AG9" s="1503"/>
      <c r="AH9" s="1503"/>
      <c r="AI9" s="1503"/>
      <c r="AJ9" s="1459"/>
      <c r="AK9" s="1459"/>
      <c r="AL9" s="1459"/>
      <c r="AM9" s="1459"/>
      <c r="AN9" s="1540"/>
      <c r="AP9" s="1520"/>
      <c r="AQ9" s="1522"/>
      <c r="AR9" s="1520"/>
      <c r="AS9" s="1520"/>
      <c r="AT9" s="1520"/>
      <c r="AU9" s="1520"/>
      <c r="AV9" s="1520"/>
      <c r="AW9" s="1520"/>
      <c r="AX9" s="1520"/>
      <c r="AY9" s="1520"/>
      <c r="AZ9" s="1520"/>
      <c r="BA9" s="1520"/>
      <c r="BB9" s="1520"/>
      <c r="BC9" s="1520"/>
      <c r="BD9" s="1520"/>
      <c r="BE9" s="1520"/>
    </row>
    <row r="10" spans="1:57" ht="30" customHeight="1">
      <c r="A10" s="1499"/>
      <c r="B10" s="1502"/>
      <c r="C10" s="1854" t="s">
        <v>492</v>
      </c>
      <c r="D10" s="1854"/>
      <c r="E10" s="1854"/>
      <c r="F10" s="1854"/>
      <c r="G10" s="1854"/>
      <c r="H10" s="1854"/>
      <c r="I10" s="1854"/>
      <c r="J10" s="1854"/>
      <c r="K10" s="1854"/>
      <c r="L10" s="1854"/>
      <c r="M10" s="1854"/>
      <c r="N10" s="1854"/>
      <c r="O10" s="1854"/>
      <c r="P10" s="1854"/>
      <c r="Q10" s="1854"/>
      <c r="R10" s="1854"/>
      <c r="S10" s="1854"/>
      <c r="T10" s="1854"/>
      <c r="U10" s="1854"/>
      <c r="V10" s="1854"/>
      <c r="W10" s="1854"/>
      <c r="X10" s="1854"/>
      <c r="Y10" s="1854"/>
      <c r="Z10" s="1854"/>
      <c r="AA10" s="1854"/>
      <c r="AB10" s="1854"/>
      <c r="AC10" s="1854"/>
      <c r="AD10" s="1854"/>
      <c r="AE10" s="1854"/>
      <c r="AF10" s="1854"/>
      <c r="AG10" s="1854"/>
      <c r="AH10" s="1854"/>
      <c r="AI10" s="1854"/>
      <c r="AJ10" s="1854"/>
      <c r="AK10" s="1854"/>
      <c r="AL10" s="1854"/>
      <c r="AM10" s="1824"/>
      <c r="AN10" s="1825"/>
      <c r="AP10" s="1520"/>
      <c r="AQ10" s="1522"/>
      <c r="AR10" s="1520"/>
      <c r="AS10" s="1520"/>
      <c r="AT10" s="1520"/>
      <c r="AU10" s="1520"/>
      <c r="AV10" s="1520"/>
      <c r="AW10" s="1520"/>
      <c r="AX10" s="1520"/>
      <c r="AY10" s="1520"/>
      <c r="AZ10" s="1520"/>
      <c r="BA10" s="1520"/>
      <c r="BB10" s="1520"/>
      <c r="BC10" s="1520"/>
      <c r="BD10" s="1520"/>
      <c r="BE10" s="1520"/>
    </row>
    <row r="11" spans="1:57" ht="30" customHeight="1">
      <c r="A11" s="1499"/>
      <c r="B11" s="1848" t="s">
        <v>493</v>
      </c>
      <c r="C11" s="1848"/>
      <c r="D11" s="1848"/>
      <c r="E11" s="1848"/>
      <c r="F11" s="1848"/>
      <c r="G11" s="1848"/>
      <c r="H11" s="1848"/>
      <c r="I11" s="1848"/>
      <c r="J11" s="1523"/>
      <c r="K11" s="1523"/>
      <c r="L11" s="1523"/>
      <c r="M11" s="1523"/>
      <c r="N11" s="1523"/>
      <c r="O11" s="1523"/>
      <c r="P11" s="1523"/>
      <c r="Q11" s="1523"/>
      <c r="R11" s="1523"/>
      <c r="S11" s="1523"/>
      <c r="T11" s="1523"/>
      <c r="U11" s="1523"/>
      <c r="V11" s="1523"/>
      <c r="W11" s="1523"/>
      <c r="X11" s="1523"/>
      <c r="Y11" s="1523"/>
      <c r="Z11" s="1523"/>
      <c r="AA11" s="1523"/>
      <c r="AB11" s="1523"/>
      <c r="AC11" s="1523"/>
      <c r="AD11" s="1523"/>
      <c r="AE11" s="1523"/>
      <c r="AF11" s="1523"/>
      <c r="AG11" s="1523"/>
      <c r="AH11" s="1523"/>
      <c r="AI11" s="1523"/>
      <c r="AJ11" s="1523"/>
      <c r="AK11" s="1523"/>
      <c r="AL11" s="1523"/>
      <c r="AM11" s="1502"/>
      <c r="AN11" s="1540"/>
      <c r="AP11" s="1520"/>
      <c r="AQ11" s="1522"/>
      <c r="AR11" s="1520"/>
      <c r="AS11" s="1520"/>
      <c r="AT11" s="1520"/>
      <c r="AU11" s="1520"/>
      <c r="AV11" s="1520"/>
      <c r="AW11" s="1520"/>
      <c r="AX11" s="1520"/>
      <c r="AY11" s="1520"/>
      <c r="AZ11" s="1520"/>
      <c r="BA11" s="1520"/>
      <c r="BB11" s="1520"/>
      <c r="BC11" s="1520"/>
      <c r="BD11" s="1520"/>
      <c r="BE11" s="1520"/>
    </row>
    <row r="12" spans="1:57" ht="68.25" customHeight="1">
      <c r="A12" s="1499"/>
      <c r="B12" s="1502"/>
      <c r="C12" s="1849" t="s">
        <v>494</v>
      </c>
      <c r="D12" s="1849"/>
      <c r="E12" s="1849"/>
      <c r="F12" s="1849"/>
      <c r="G12" s="1849"/>
      <c r="H12" s="1849"/>
      <c r="I12" s="1849"/>
      <c r="J12" s="1849"/>
      <c r="K12" s="1849"/>
      <c r="L12" s="1849"/>
      <c r="M12" s="1849"/>
      <c r="N12" s="1849"/>
      <c r="O12" s="1849"/>
      <c r="P12" s="1849"/>
      <c r="Q12" s="1849"/>
      <c r="R12" s="1849"/>
      <c r="S12" s="1849"/>
      <c r="T12" s="1849"/>
      <c r="U12" s="1849"/>
      <c r="V12" s="1849"/>
      <c r="W12" s="1849"/>
      <c r="X12" s="1849"/>
      <c r="Y12" s="1849"/>
      <c r="Z12" s="1849"/>
      <c r="AA12" s="1849"/>
      <c r="AB12" s="1849"/>
      <c r="AC12" s="1849"/>
      <c r="AD12" s="1849"/>
      <c r="AE12" s="1849"/>
      <c r="AF12" s="1849"/>
      <c r="AG12" s="1849"/>
      <c r="AH12" s="1849"/>
      <c r="AI12" s="1849"/>
      <c r="AJ12" s="1849"/>
      <c r="AK12" s="1849"/>
      <c r="AL12" s="1849"/>
      <c r="AM12" s="1824"/>
      <c r="AN12" s="1825"/>
      <c r="AP12" s="1520"/>
      <c r="AQ12" s="1522"/>
      <c r="AR12" s="1520"/>
      <c r="AS12" s="1520"/>
      <c r="AT12" s="1520"/>
      <c r="AU12" s="1520"/>
      <c r="AV12" s="1520"/>
      <c r="AW12" s="1520"/>
      <c r="AX12" s="1520"/>
      <c r="AY12" s="1520"/>
      <c r="AZ12" s="1520"/>
      <c r="BA12" s="1520"/>
      <c r="BB12" s="1520"/>
      <c r="BC12" s="1520"/>
      <c r="BD12" s="1520"/>
      <c r="BE12" s="1520"/>
    </row>
    <row r="13" spans="1:57" ht="30" customHeight="1">
      <c r="A13" s="1500"/>
      <c r="B13" s="1834" t="s">
        <v>495</v>
      </c>
      <c r="C13" s="1835"/>
      <c r="D13" s="1835"/>
      <c r="E13" s="1835"/>
      <c r="F13" s="1835"/>
      <c r="G13" s="1835"/>
      <c r="H13" s="1835"/>
      <c r="I13" s="1835"/>
      <c r="J13" s="1835"/>
      <c r="K13" s="1835"/>
      <c r="L13" s="1835"/>
      <c r="M13" s="1835"/>
      <c r="N13" s="1835"/>
      <c r="O13" s="1835"/>
      <c r="P13" s="1835"/>
      <c r="Q13" s="1835"/>
      <c r="R13" s="1835"/>
      <c r="S13" s="1835"/>
      <c r="T13" s="1835"/>
      <c r="U13" s="1835"/>
      <c r="V13" s="1835"/>
      <c r="W13" s="1835"/>
      <c r="X13" s="1835"/>
      <c r="Y13" s="1835"/>
      <c r="Z13" s="1835"/>
      <c r="AA13" s="1835"/>
      <c r="AB13" s="1835"/>
      <c r="AC13" s="1835"/>
      <c r="AD13" s="1835"/>
      <c r="AE13" s="1835"/>
      <c r="AF13" s="1835"/>
      <c r="AG13" s="1835"/>
      <c r="AH13" s="1835"/>
      <c r="AI13" s="1835"/>
      <c r="AJ13" s="1835"/>
      <c r="AK13" s="1835"/>
      <c r="AL13" s="1459"/>
      <c r="AM13" s="1459"/>
      <c r="AN13" s="1504"/>
      <c r="AP13" s="1520"/>
      <c r="AQ13" s="1522"/>
      <c r="AR13" s="1520"/>
      <c r="AS13" s="1520"/>
      <c r="AT13" s="1520"/>
      <c r="AU13" s="1520"/>
      <c r="AV13" s="1520"/>
      <c r="AW13" s="1520"/>
      <c r="AX13" s="1520"/>
      <c r="AY13" s="1520"/>
      <c r="AZ13" s="1520"/>
      <c r="BA13" s="1520"/>
      <c r="BB13" s="1520"/>
      <c r="BC13" s="1520"/>
      <c r="BD13" s="1520"/>
      <c r="BE13" s="1520"/>
    </row>
    <row r="14" spans="1:57" ht="36.75" customHeight="1">
      <c r="A14" s="1500"/>
      <c r="B14" s="1459"/>
      <c r="C14" s="1841" t="s">
        <v>496</v>
      </c>
      <c r="D14" s="1841"/>
      <c r="E14" s="1841"/>
      <c r="F14" s="1841"/>
      <c r="G14" s="1841"/>
      <c r="H14" s="1841"/>
      <c r="I14" s="1841"/>
      <c r="J14" s="1841"/>
      <c r="K14" s="1841"/>
      <c r="L14" s="1841"/>
      <c r="M14" s="1841"/>
      <c r="N14" s="1841"/>
      <c r="O14" s="1841"/>
      <c r="P14" s="1841"/>
      <c r="Q14" s="1841"/>
      <c r="R14" s="1841"/>
      <c r="S14" s="1841"/>
      <c r="T14" s="1841"/>
      <c r="U14" s="1841"/>
      <c r="V14" s="1841"/>
      <c r="W14" s="1841"/>
      <c r="X14" s="1841"/>
      <c r="Y14" s="1841"/>
      <c r="Z14" s="1841"/>
      <c r="AA14" s="1841"/>
      <c r="AB14" s="1841"/>
      <c r="AC14" s="1841"/>
      <c r="AD14" s="1841"/>
      <c r="AE14" s="1841"/>
      <c r="AF14" s="1841"/>
      <c r="AG14" s="1841"/>
      <c r="AH14" s="1841"/>
      <c r="AI14" s="1841"/>
      <c r="AJ14" s="1841"/>
      <c r="AK14" s="1841"/>
      <c r="AL14" s="1846"/>
      <c r="AM14" s="1828"/>
      <c r="AN14" s="1829"/>
      <c r="AP14" s="1520"/>
      <c r="AQ14" s="1522"/>
      <c r="AR14" s="1520"/>
      <c r="AS14" s="1520"/>
      <c r="AT14" s="1520"/>
      <c r="AU14" s="1520"/>
      <c r="AV14" s="1520"/>
      <c r="AW14" s="1520"/>
      <c r="AX14" s="1520"/>
      <c r="AY14" s="1520"/>
      <c r="AZ14" s="1520"/>
      <c r="BA14" s="1520"/>
      <c r="BB14" s="1520"/>
      <c r="BC14" s="1520"/>
      <c r="BD14" s="1520"/>
      <c r="BE14" s="1520"/>
    </row>
    <row r="15" spans="1:57" ht="30" customHeight="1">
      <c r="A15" s="1500"/>
      <c r="B15" s="1821" t="s">
        <v>497</v>
      </c>
      <c r="C15" s="1821"/>
      <c r="D15" s="1821"/>
      <c r="E15" s="1821"/>
      <c r="F15" s="1821"/>
      <c r="G15" s="1821"/>
      <c r="H15" s="1821"/>
      <c r="I15" s="1821"/>
      <c r="J15" s="1821"/>
      <c r="K15" s="1506"/>
      <c r="L15" s="1506"/>
      <c r="M15" s="1506"/>
      <c r="N15" s="1506"/>
      <c r="O15" s="1506"/>
      <c r="P15" s="1506"/>
      <c r="Q15" s="1506"/>
      <c r="R15" s="1506"/>
      <c r="S15" s="1506"/>
      <c r="T15" s="1506"/>
      <c r="U15" s="1506"/>
      <c r="V15" s="1506"/>
      <c r="W15" s="1506"/>
      <c r="X15" s="1506"/>
      <c r="Y15" s="1506"/>
      <c r="Z15" s="1506"/>
      <c r="AA15" s="1506"/>
      <c r="AB15" s="1506"/>
      <c r="AC15" s="1500"/>
      <c r="AD15" s="1500"/>
      <c r="AE15" s="1500"/>
      <c r="AF15" s="1500"/>
      <c r="AG15" s="1500"/>
      <c r="AH15" s="1500"/>
      <c r="AI15" s="1500"/>
      <c r="AJ15" s="1500"/>
      <c r="AK15" s="1500"/>
      <c r="AL15" s="1507"/>
      <c r="AM15" s="1542"/>
      <c r="AN15" s="1543"/>
      <c r="AP15" s="1520"/>
      <c r="AQ15" s="1522"/>
      <c r="AR15" s="1520"/>
      <c r="AS15" s="1520"/>
      <c r="AT15" s="1520"/>
      <c r="AU15" s="1520"/>
      <c r="AV15" s="1520"/>
      <c r="AW15" s="1520"/>
      <c r="AX15" s="1520"/>
      <c r="AY15" s="1520"/>
      <c r="AZ15" s="1520"/>
      <c r="BA15" s="1520"/>
      <c r="BB15" s="1520"/>
      <c r="BC15" s="1520"/>
      <c r="BD15" s="1520"/>
      <c r="BE15" s="1520"/>
    </row>
    <row r="16" spans="1:57" ht="30" customHeight="1">
      <c r="A16" s="1500"/>
      <c r="B16" s="1500"/>
      <c r="C16" s="1822" t="s">
        <v>498</v>
      </c>
      <c r="D16" s="1822"/>
      <c r="E16" s="1822"/>
      <c r="F16" s="1822"/>
      <c r="G16" s="1822"/>
      <c r="H16" s="1822"/>
      <c r="I16" s="1822"/>
      <c r="J16" s="1822"/>
      <c r="K16" s="1822"/>
      <c r="L16" s="1822"/>
      <c r="M16" s="1822"/>
      <c r="N16" s="1822"/>
      <c r="O16" s="1822"/>
      <c r="P16" s="1822"/>
      <c r="Q16" s="1822"/>
      <c r="R16" s="1822"/>
      <c r="S16" s="1822"/>
      <c r="T16" s="1822"/>
      <c r="U16" s="1822"/>
      <c r="V16" s="1822"/>
      <c r="W16" s="1822"/>
      <c r="X16" s="1822"/>
      <c r="Y16" s="1822"/>
      <c r="Z16" s="1822"/>
      <c r="AA16" s="1822"/>
      <c r="AB16" s="1822"/>
      <c r="AC16" s="1822"/>
      <c r="AD16" s="1822"/>
      <c r="AE16" s="1822"/>
      <c r="AF16" s="1822"/>
      <c r="AG16" s="1822"/>
      <c r="AH16" s="1822"/>
      <c r="AI16" s="1822"/>
      <c r="AJ16" s="1822"/>
      <c r="AK16" s="1822"/>
      <c r="AL16" s="1823"/>
      <c r="AM16" s="1824"/>
      <c r="AN16" s="1825"/>
      <c r="AP16" s="1520"/>
      <c r="AQ16" s="1522"/>
      <c r="AR16" s="1520"/>
      <c r="AS16" s="1520"/>
      <c r="AT16" s="1520"/>
      <c r="AU16" s="1520"/>
      <c r="AV16" s="1520"/>
      <c r="AW16" s="1520"/>
      <c r="AX16" s="1520"/>
      <c r="AY16" s="1520"/>
      <c r="AZ16" s="1520"/>
      <c r="BA16" s="1520"/>
      <c r="BB16" s="1520"/>
      <c r="BC16" s="1520"/>
      <c r="BD16" s="1520"/>
      <c r="BE16" s="1520"/>
    </row>
    <row r="17" spans="1:57" ht="30" customHeight="1">
      <c r="A17" s="1500"/>
      <c r="B17" s="1505" t="s">
        <v>499</v>
      </c>
      <c r="C17" s="1500"/>
      <c r="D17" s="1500"/>
      <c r="E17" s="1500"/>
      <c r="F17" s="1500"/>
      <c r="G17" s="1500"/>
      <c r="H17" s="1500"/>
      <c r="I17" s="1500"/>
      <c r="J17" s="1500"/>
      <c r="K17" s="1500"/>
      <c r="L17" s="1500"/>
      <c r="M17" s="1500"/>
      <c r="N17" s="1500"/>
      <c r="O17" s="1500"/>
      <c r="P17" s="1500"/>
      <c r="Q17" s="1500"/>
      <c r="R17" s="1500"/>
      <c r="S17" s="1500"/>
      <c r="T17" s="1500"/>
      <c r="U17" s="1500"/>
      <c r="V17" s="1500"/>
      <c r="W17" s="1500"/>
      <c r="X17" s="1500"/>
      <c r="Y17" s="1500"/>
      <c r="Z17" s="1500"/>
      <c r="AA17" s="1500"/>
      <c r="AB17" s="1500"/>
      <c r="AC17" s="1500"/>
      <c r="AD17" s="1500"/>
      <c r="AE17" s="1500"/>
      <c r="AF17" s="1500"/>
      <c r="AG17" s="1500"/>
      <c r="AH17" s="1500"/>
      <c r="AI17" s="1500"/>
      <c r="AJ17" s="1500"/>
      <c r="AK17" s="1500"/>
      <c r="AL17" s="1500"/>
      <c r="AM17" s="1541"/>
      <c r="AN17" s="1540"/>
      <c r="AP17" s="1520"/>
      <c r="AQ17" s="1521"/>
      <c r="AR17" s="1520"/>
      <c r="AS17" s="1520"/>
      <c r="AT17" s="1520"/>
      <c r="AU17" s="1520"/>
      <c r="AV17" s="1520"/>
      <c r="AW17" s="1520"/>
      <c r="AX17" s="1520"/>
      <c r="AY17" s="1520"/>
      <c r="AZ17" s="1520"/>
      <c r="BA17" s="1520"/>
      <c r="BB17" s="1520"/>
      <c r="BC17" s="1520"/>
      <c r="BD17" s="1520"/>
      <c r="BE17" s="1520"/>
    </row>
    <row r="18" spans="1:57" ht="30" customHeight="1">
      <c r="A18" s="1500"/>
      <c r="B18" s="1500"/>
      <c r="C18" s="1842" t="s">
        <v>500</v>
      </c>
      <c r="D18" s="1842"/>
      <c r="E18" s="1842"/>
      <c r="F18" s="1842"/>
      <c r="G18" s="1842"/>
      <c r="H18" s="1842"/>
      <c r="I18" s="1842"/>
      <c r="J18" s="1842"/>
      <c r="K18" s="1842"/>
      <c r="L18" s="1842"/>
      <c r="M18" s="1842"/>
      <c r="N18" s="1842"/>
      <c r="O18" s="1842"/>
      <c r="P18" s="1842"/>
      <c r="Q18" s="1842"/>
      <c r="R18" s="1842"/>
      <c r="S18" s="1842"/>
      <c r="T18" s="1842"/>
      <c r="U18" s="1842"/>
      <c r="V18" s="1842"/>
      <c r="W18" s="1842"/>
      <c r="X18" s="1842"/>
      <c r="Y18" s="1842"/>
      <c r="Z18" s="1842"/>
      <c r="AA18" s="1842"/>
      <c r="AB18" s="1842"/>
      <c r="AC18" s="1842"/>
      <c r="AD18" s="1842"/>
      <c r="AE18" s="1842"/>
      <c r="AF18" s="1842"/>
      <c r="AG18" s="1842"/>
      <c r="AH18" s="1842"/>
      <c r="AI18" s="1842"/>
      <c r="AJ18" s="1842"/>
      <c r="AK18" s="1842"/>
      <c r="AL18" s="1843"/>
      <c r="AM18" s="1844"/>
      <c r="AN18" s="1845"/>
      <c r="AP18" s="1520"/>
      <c r="AQ18" s="1522"/>
      <c r="AR18" s="1520"/>
      <c r="AS18" s="1520"/>
      <c r="AT18" s="1520"/>
      <c r="AU18" s="1520"/>
      <c r="AV18" s="1520"/>
      <c r="AW18" s="1520"/>
      <c r="AX18" s="1520"/>
      <c r="AY18" s="1520"/>
      <c r="AZ18" s="1520"/>
      <c r="BA18" s="1520"/>
      <c r="BB18" s="1520"/>
      <c r="BC18" s="1520"/>
      <c r="BD18" s="1520"/>
      <c r="BE18" s="1520"/>
    </row>
    <row r="19" spans="1:57" s="122" customFormat="1" ht="30" customHeight="1">
      <c r="A19" s="952"/>
      <c r="B19" s="1834" t="s">
        <v>501</v>
      </c>
      <c r="C19" s="1835"/>
      <c r="D19" s="1835"/>
      <c r="E19" s="1835"/>
      <c r="F19" s="1835"/>
      <c r="G19" s="1835"/>
      <c r="H19" s="1835"/>
      <c r="I19" s="1835"/>
      <c r="J19" s="1835"/>
      <c r="K19" s="1835"/>
      <c r="L19" s="1835"/>
      <c r="M19" s="1835"/>
      <c r="N19" s="1835"/>
      <c r="O19" s="1835"/>
      <c r="P19" s="1835"/>
      <c r="Q19" s="1835"/>
      <c r="R19" s="1835"/>
      <c r="S19" s="1835"/>
      <c r="T19" s="1835"/>
      <c r="U19" s="1835"/>
      <c r="V19" s="1835"/>
      <c r="W19" s="1835"/>
      <c r="X19" s="1835"/>
      <c r="Y19" s="1835"/>
      <c r="Z19" s="1835"/>
      <c r="AA19" s="1835"/>
      <c r="AB19" s="1835"/>
      <c r="AC19" s="1835"/>
      <c r="AD19" s="1835"/>
      <c r="AE19" s="1835"/>
      <c r="AF19" s="1835"/>
      <c r="AG19" s="1835"/>
      <c r="AH19" s="1835"/>
      <c r="AI19" s="1835"/>
      <c r="AJ19" s="1835"/>
      <c r="AK19" s="1835"/>
      <c r="AL19" s="1459"/>
      <c r="AM19" s="1459"/>
      <c r="AN19" s="1504"/>
      <c r="AO19" s="215"/>
      <c r="AP19" s="215"/>
      <c r="AQ19" s="215"/>
      <c r="AR19" s="215"/>
      <c r="AS19" s="171"/>
      <c r="AT19" s="95"/>
    </row>
    <row r="20" spans="1:57" s="55" customFormat="1" ht="30" customHeight="1">
      <c r="A20" s="1508"/>
      <c r="B20" s="1459"/>
      <c r="C20" s="1841" t="s">
        <v>502</v>
      </c>
      <c r="D20" s="1841"/>
      <c r="E20" s="1841"/>
      <c r="F20" s="1841"/>
      <c r="G20" s="1841"/>
      <c r="H20" s="1841"/>
      <c r="I20" s="1841"/>
      <c r="J20" s="1841"/>
      <c r="K20" s="1841"/>
      <c r="L20" s="1841"/>
      <c r="M20" s="1841"/>
      <c r="N20" s="1841"/>
      <c r="O20" s="1841"/>
      <c r="P20" s="1841"/>
      <c r="Q20" s="1841"/>
      <c r="R20" s="1841"/>
      <c r="S20" s="1841"/>
      <c r="T20" s="1841"/>
      <c r="U20" s="1841"/>
      <c r="V20" s="1841"/>
      <c r="W20" s="1841"/>
      <c r="X20" s="1841"/>
      <c r="Y20" s="1841"/>
      <c r="Z20" s="1841"/>
      <c r="AA20" s="1841"/>
      <c r="AB20" s="1841"/>
      <c r="AC20" s="1841"/>
      <c r="AD20" s="1841"/>
      <c r="AE20" s="1841"/>
      <c r="AF20" s="1841"/>
      <c r="AG20" s="1841"/>
      <c r="AH20" s="1841"/>
      <c r="AI20" s="1841"/>
      <c r="AJ20" s="1841"/>
      <c r="AK20" s="1841"/>
      <c r="AL20" s="1846"/>
      <c r="AM20" s="1828"/>
      <c r="AN20" s="1829"/>
      <c r="AO20" s="123"/>
      <c r="AP20" s="57"/>
      <c r="AQ20" s="1524"/>
      <c r="AR20" s="1524"/>
      <c r="AS20" s="1525"/>
    </row>
    <row r="21" spans="1:57" ht="30" customHeight="1">
      <c r="A21" s="1499"/>
      <c r="B21" s="1847" t="s">
        <v>503</v>
      </c>
      <c r="C21" s="1847"/>
      <c r="D21" s="1847"/>
      <c r="E21" s="1847"/>
      <c r="F21" s="1847"/>
      <c r="G21" s="1847"/>
      <c r="H21" s="1847"/>
      <c r="I21" s="1847"/>
      <c r="J21" s="1847"/>
      <c r="K21" s="1847"/>
      <c r="L21" s="1847"/>
      <c r="M21" s="1847"/>
      <c r="N21" s="1847"/>
      <c r="O21" s="1847"/>
      <c r="P21" s="1847"/>
      <c r="Q21" s="1847"/>
      <c r="R21" s="1847"/>
      <c r="S21" s="1847"/>
      <c r="T21" s="1847"/>
      <c r="U21" s="1847"/>
      <c r="V21" s="1847"/>
      <c r="W21" s="1847"/>
      <c r="X21" s="1847"/>
      <c r="Y21" s="1847"/>
      <c r="Z21" s="1847"/>
      <c r="AA21" s="1847"/>
      <c r="AB21" s="1847"/>
      <c r="AC21" s="1847"/>
      <c r="AD21" s="1847"/>
      <c r="AE21" s="1847"/>
      <c r="AF21" s="1847"/>
      <c r="AG21" s="1847"/>
      <c r="AH21" s="1847"/>
      <c r="AI21" s="1847"/>
      <c r="AJ21" s="1847"/>
      <c r="AK21" s="1847"/>
      <c r="AL21" s="1507"/>
      <c r="AM21" s="1507"/>
      <c r="AN21" s="1484"/>
    </row>
    <row r="22" spans="1:57" ht="30" customHeight="1">
      <c r="A22" s="1499"/>
      <c r="B22" s="1500"/>
      <c r="C22" s="1822" t="s">
        <v>504</v>
      </c>
      <c r="D22" s="1822"/>
      <c r="E22" s="1822"/>
      <c r="F22" s="1822"/>
      <c r="G22" s="1822"/>
      <c r="H22" s="1822"/>
      <c r="I22" s="1822"/>
      <c r="J22" s="1822"/>
      <c r="K22" s="1822"/>
      <c r="L22" s="1822"/>
      <c r="M22" s="1822"/>
      <c r="N22" s="1822"/>
      <c r="O22" s="1822"/>
      <c r="P22" s="1822"/>
      <c r="Q22" s="1822"/>
      <c r="R22" s="1822"/>
      <c r="S22" s="1822"/>
      <c r="T22" s="1822"/>
      <c r="U22" s="1822"/>
      <c r="V22" s="1822"/>
      <c r="W22" s="1822"/>
      <c r="X22" s="1822"/>
      <c r="Y22" s="1822"/>
      <c r="Z22" s="1822"/>
      <c r="AA22" s="1822"/>
      <c r="AB22" s="1822"/>
      <c r="AC22" s="1822"/>
      <c r="AD22" s="1822"/>
      <c r="AE22" s="1822"/>
      <c r="AF22" s="1822"/>
      <c r="AG22" s="1822"/>
      <c r="AH22" s="1822"/>
      <c r="AI22" s="1822"/>
      <c r="AJ22" s="1822"/>
      <c r="AK22" s="1822"/>
      <c r="AL22" s="1526"/>
      <c r="AM22" s="1828"/>
      <c r="AN22" s="1829"/>
    </row>
    <row r="23" spans="1:57" ht="30" customHeight="1">
      <c r="A23" s="1499"/>
      <c r="B23" s="1617"/>
      <c r="C23" s="1527" t="s">
        <v>505</v>
      </c>
      <c r="D23" s="1500"/>
      <c r="E23" s="1527"/>
      <c r="F23" s="1527"/>
      <c r="G23" s="1527"/>
      <c r="H23" s="1527"/>
      <c r="I23" s="1527"/>
      <c r="J23" s="1527"/>
      <c r="K23" s="1527"/>
      <c r="L23" s="1527"/>
      <c r="M23" s="1527"/>
      <c r="N23" s="1527"/>
      <c r="O23" s="1527"/>
      <c r="P23" s="1527"/>
      <c r="Q23" s="1527"/>
      <c r="R23" s="1527"/>
      <c r="S23" s="1527"/>
      <c r="T23" s="1527"/>
      <c r="U23" s="1527"/>
      <c r="V23" s="1527"/>
      <c r="W23" s="1527"/>
      <c r="X23" s="1527"/>
      <c r="Y23" s="1527"/>
      <c r="Z23" s="1527"/>
      <c r="AA23" s="1527"/>
      <c r="AB23" s="1527"/>
      <c r="AC23" s="1527"/>
      <c r="AD23" s="1527"/>
      <c r="AE23" s="1527"/>
      <c r="AF23" s="1527"/>
      <c r="AG23" s="1527"/>
      <c r="AH23" s="1527"/>
      <c r="AI23" s="1527"/>
      <c r="AJ23" s="1527"/>
      <c r="AK23" s="1527"/>
      <c r="AL23" s="1526"/>
      <c r="AM23" s="1828"/>
      <c r="AN23" s="1829"/>
    </row>
    <row r="24" spans="1:57" ht="30" customHeight="1">
      <c r="A24" s="1499"/>
      <c r="B24" s="1834" t="s">
        <v>506</v>
      </c>
      <c r="C24" s="1835"/>
      <c r="D24" s="1835"/>
      <c r="E24" s="1835"/>
      <c r="F24" s="1835"/>
      <c r="G24" s="1835"/>
      <c r="H24" s="1835"/>
      <c r="I24" s="1835"/>
      <c r="J24" s="1835"/>
      <c r="K24" s="1835"/>
      <c r="L24" s="1835"/>
      <c r="M24" s="1835"/>
      <c r="N24" s="1835"/>
      <c r="O24" s="1835"/>
      <c r="P24" s="1835"/>
      <c r="Q24" s="1835"/>
      <c r="R24" s="1835"/>
      <c r="S24" s="1835"/>
      <c r="T24" s="1835"/>
      <c r="U24" s="1835"/>
      <c r="V24" s="1835"/>
      <c r="W24" s="1835"/>
      <c r="X24" s="1835"/>
      <c r="Y24" s="1835"/>
      <c r="Z24" s="1835"/>
      <c r="AA24" s="1835"/>
      <c r="AB24" s="1835"/>
      <c r="AC24" s="1835"/>
      <c r="AD24" s="1835"/>
      <c r="AE24" s="1835"/>
      <c r="AF24" s="1835"/>
      <c r="AG24" s="1835"/>
      <c r="AH24" s="1835"/>
      <c r="AI24" s="1835"/>
      <c r="AJ24" s="1835"/>
      <c r="AK24" s="1835"/>
      <c r="AL24" s="1459"/>
      <c r="AM24" s="1528"/>
      <c r="AN24" s="1529"/>
    </row>
    <row r="25" spans="1:57" ht="56.25" customHeight="1">
      <c r="A25" s="1499"/>
      <c r="B25" s="1459"/>
      <c r="C25" s="1841" t="s">
        <v>507</v>
      </c>
      <c r="D25" s="1841"/>
      <c r="E25" s="1841"/>
      <c r="F25" s="1841"/>
      <c r="G25" s="1841"/>
      <c r="H25" s="1841"/>
      <c r="I25" s="1841"/>
      <c r="J25" s="1841"/>
      <c r="K25" s="1841"/>
      <c r="L25" s="1841"/>
      <c r="M25" s="1841"/>
      <c r="N25" s="1841"/>
      <c r="O25" s="1841"/>
      <c r="P25" s="1841"/>
      <c r="Q25" s="1841"/>
      <c r="R25" s="1841"/>
      <c r="S25" s="1841"/>
      <c r="T25" s="1841"/>
      <c r="U25" s="1841"/>
      <c r="V25" s="1841"/>
      <c r="W25" s="1841"/>
      <c r="X25" s="1841"/>
      <c r="Y25" s="1841"/>
      <c r="Z25" s="1841"/>
      <c r="AA25" s="1841"/>
      <c r="AB25" s="1841"/>
      <c r="AC25" s="1841"/>
      <c r="AD25" s="1841"/>
      <c r="AE25" s="1841"/>
      <c r="AF25" s="1841"/>
      <c r="AG25" s="1841"/>
      <c r="AH25" s="1841"/>
      <c r="AI25" s="1841"/>
      <c r="AJ25" s="1841"/>
      <c r="AK25" s="1841"/>
      <c r="AL25" s="1841"/>
      <c r="AM25" s="1828"/>
      <c r="AN25" s="1829"/>
    </row>
    <row r="26" spans="1:57" ht="30" hidden="1" customHeight="1">
      <c r="A26" s="1499"/>
      <c r="B26" s="1834" t="s">
        <v>508</v>
      </c>
      <c r="C26" s="1835"/>
      <c r="D26" s="1835"/>
      <c r="E26" s="1835"/>
      <c r="F26" s="1835"/>
      <c r="G26" s="1835"/>
      <c r="H26" s="1835"/>
      <c r="I26" s="1835"/>
      <c r="J26" s="1835"/>
      <c r="K26" s="1835"/>
      <c r="L26" s="1835"/>
      <c r="M26" s="1835"/>
      <c r="N26" s="1835"/>
      <c r="O26" s="1835"/>
      <c r="P26" s="1835"/>
      <c r="Q26" s="1835"/>
      <c r="R26" s="1835"/>
      <c r="S26" s="1835"/>
      <c r="T26" s="1835"/>
      <c r="U26" s="1835"/>
      <c r="V26" s="1835"/>
      <c r="W26" s="1835"/>
      <c r="X26" s="1835"/>
      <c r="Y26" s="1835"/>
      <c r="Z26" s="1835"/>
      <c r="AA26" s="1835"/>
      <c r="AB26" s="1835"/>
      <c r="AC26" s="1835"/>
      <c r="AD26" s="1835"/>
      <c r="AE26" s="1835"/>
      <c r="AF26" s="1835"/>
      <c r="AG26" s="1835"/>
      <c r="AH26" s="1835"/>
      <c r="AI26" s="1835"/>
      <c r="AJ26" s="1835"/>
      <c r="AK26" s="1835"/>
      <c r="AL26" s="1459"/>
      <c r="AM26" s="1528"/>
      <c r="AN26" s="1529"/>
    </row>
    <row r="27" spans="1:57" ht="30" hidden="1" customHeight="1">
      <c r="A27" s="1499"/>
      <c r="B27" s="1459"/>
      <c r="C27" s="1841" t="s">
        <v>509</v>
      </c>
      <c r="D27" s="1841"/>
      <c r="E27" s="1841"/>
      <c r="F27" s="1841"/>
      <c r="G27" s="1841"/>
      <c r="H27" s="1841"/>
      <c r="I27" s="1841"/>
      <c r="J27" s="1841"/>
      <c r="K27" s="1841"/>
      <c r="L27" s="1841"/>
      <c r="M27" s="1841"/>
      <c r="N27" s="1841"/>
      <c r="O27" s="1841"/>
      <c r="P27" s="1841"/>
      <c r="Q27" s="1841"/>
      <c r="R27" s="1841"/>
      <c r="S27" s="1841"/>
      <c r="T27" s="1841"/>
      <c r="U27" s="1841"/>
      <c r="V27" s="1841"/>
      <c r="W27" s="1841"/>
      <c r="X27" s="1841"/>
      <c r="Y27" s="1841"/>
      <c r="Z27" s="1841"/>
      <c r="AA27" s="1841"/>
      <c r="AB27" s="1841"/>
      <c r="AC27" s="1841"/>
      <c r="AD27" s="1841"/>
      <c r="AE27" s="1841"/>
      <c r="AF27" s="1841"/>
      <c r="AG27" s="1841"/>
      <c r="AH27" s="1841"/>
      <c r="AI27" s="1841"/>
      <c r="AJ27" s="1841"/>
      <c r="AK27" s="1841"/>
      <c r="AL27" s="1841"/>
      <c r="AM27" s="1828"/>
      <c r="AN27" s="1829"/>
    </row>
    <row r="28" spans="1:57" ht="30" customHeight="1">
      <c r="A28" s="1499"/>
      <c r="B28" s="1834" t="s">
        <v>510</v>
      </c>
      <c r="C28" s="1835"/>
      <c r="D28" s="1835"/>
      <c r="E28" s="1835"/>
      <c r="F28" s="1835"/>
      <c r="G28" s="1835"/>
      <c r="H28" s="1835"/>
      <c r="I28" s="1835"/>
      <c r="J28" s="1835"/>
      <c r="K28" s="1835"/>
      <c r="L28" s="1835"/>
      <c r="M28" s="1835"/>
      <c r="N28" s="1835"/>
      <c r="O28" s="1835"/>
      <c r="P28" s="1835"/>
      <c r="Q28" s="1835"/>
      <c r="R28" s="1835"/>
      <c r="S28" s="1835"/>
      <c r="T28" s="1835"/>
      <c r="U28" s="1835"/>
      <c r="V28" s="1835"/>
      <c r="W28" s="1835"/>
      <c r="X28" s="1835"/>
      <c r="Y28" s="1835"/>
      <c r="Z28" s="1835"/>
      <c r="AA28" s="1835"/>
      <c r="AB28" s="1835"/>
      <c r="AC28" s="1835"/>
      <c r="AD28" s="1835"/>
      <c r="AE28" s="1835"/>
      <c r="AF28" s="1835"/>
      <c r="AG28" s="1835"/>
      <c r="AH28" s="1835"/>
      <c r="AI28" s="1835"/>
      <c r="AJ28" s="1835"/>
      <c r="AK28" s="1835"/>
      <c r="AL28" s="1459"/>
      <c r="AM28" s="1528"/>
      <c r="AN28" s="1529"/>
    </row>
    <row r="29" spans="1:57" ht="32.25" customHeight="1">
      <c r="A29" s="1499"/>
      <c r="B29" s="1459"/>
      <c r="C29" s="1841" t="s">
        <v>511</v>
      </c>
      <c r="D29" s="1841"/>
      <c r="E29" s="1841"/>
      <c r="F29" s="1841"/>
      <c r="G29" s="1841"/>
      <c r="H29" s="1841"/>
      <c r="I29" s="1841"/>
      <c r="J29" s="1841"/>
      <c r="K29" s="1841"/>
      <c r="L29" s="1841"/>
      <c r="M29" s="1841"/>
      <c r="N29" s="1841"/>
      <c r="O29" s="1841"/>
      <c r="P29" s="1841"/>
      <c r="Q29" s="1841"/>
      <c r="R29" s="1841"/>
      <c r="S29" s="1841"/>
      <c r="T29" s="1841"/>
      <c r="U29" s="1841"/>
      <c r="V29" s="1841"/>
      <c r="W29" s="1841"/>
      <c r="X29" s="1841"/>
      <c r="Y29" s="1841"/>
      <c r="Z29" s="1841"/>
      <c r="AA29" s="1841"/>
      <c r="AB29" s="1841"/>
      <c r="AC29" s="1841"/>
      <c r="AD29" s="1841"/>
      <c r="AE29" s="1841"/>
      <c r="AF29" s="1841"/>
      <c r="AG29" s="1841"/>
      <c r="AH29" s="1841"/>
      <c r="AI29" s="1841"/>
      <c r="AJ29" s="1841"/>
      <c r="AK29" s="1841"/>
      <c r="AL29" s="1841"/>
      <c r="AM29" s="1828"/>
      <c r="AN29" s="1829"/>
    </row>
    <row r="30" spans="1:57" ht="30" customHeight="1">
      <c r="A30" s="1499"/>
      <c r="B30" s="1505" t="s">
        <v>512</v>
      </c>
      <c r="C30" s="1500"/>
      <c r="D30" s="1500"/>
      <c r="E30" s="1500"/>
      <c r="F30" s="1500"/>
      <c r="G30" s="1500"/>
      <c r="H30" s="1500"/>
      <c r="I30" s="1500"/>
      <c r="J30" s="1500"/>
      <c r="K30" s="1500"/>
      <c r="L30" s="1500"/>
      <c r="M30" s="1500"/>
      <c r="N30" s="1500"/>
      <c r="O30" s="1500"/>
      <c r="P30" s="1500"/>
      <c r="Q30" s="1500"/>
      <c r="R30" s="1500"/>
      <c r="S30" s="1500"/>
      <c r="T30" s="1500"/>
      <c r="U30" s="1500"/>
      <c r="V30" s="1500"/>
      <c r="W30" s="1500"/>
      <c r="X30" s="1500"/>
      <c r="Y30" s="1500"/>
      <c r="Z30" s="1500"/>
      <c r="AA30" s="1500"/>
      <c r="AB30" s="1500"/>
      <c r="AC30" s="1500"/>
      <c r="AD30" s="1500"/>
      <c r="AE30" s="1500"/>
      <c r="AF30" s="1500"/>
      <c r="AG30" s="1500"/>
      <c r="AH30" s="1500"/>
      <c r="AI30" s="1500"/>
      <c r="AJ30" s="1500"/>
      <c r="AK30" s="1500"/>
      <c r="AL30" s="1500"/>
      <c r="AM30" s="1500"/>
      <c r="AN30" s="1501"/>
    </row>
    <row r="31" spans="1:57" ht="73.5" customHeight="1">
      <c r="A31" s="1499"/>
      <c r="B31" s="1500"/>
      <c r="C31" s="1842" t="s">
        <v>513</v>
      </c>
      <c r="D31" s="1842"/>
      <c r="E31" s="1842"/>
      <c r="F31" s="1842"/>
      <c r="G31" s="1842"/>
      <c r="H31" s="1842"/>
      <c r="I31" s="1842"/>
      <c r="J31" s="1842"/>
      <c r="K31" s="1842"/>
      <c r="L31" s="1842"/>
      <c r="M31" s="1842"/>
      <c r="N31" s="1842"/>
      <c r="O31" s="1842"/>
      <c r="P31" s="1842"/>
      <c r="Q31" s="1842"/>
      <c r="R31" s="1842"/>
      <c r="S31" s="1842"/>
      <c r="T31" s="1842"/>
      <c r="U31" s="1842"/>
      <c r="V31" s="1842"/>
      <c r="W31" s="1842"/>
      <c r="X31" s="1842"/>
      <c r="Y31" s="1842"/>
      <c r="Z31" s="1842"/>
      <c r="AA31" s="1842"/>
      <c r="AB31" s="1842"/>
      <c r="AC31" s="1842"/>
      <c r="AD31" s="1842"/>
      <c r="AE31" s="1842"/>
      <c r="AF31" s="1842"/>
      <c r="AG31" s="1842"/>
      <c r="AH31" s="1842"/>
      <c r="AI31" s="1842"/>
      <c r="AJ31" s="1842"/>
      <c r="AK31" s="1842"/>
      <c r="AL31" s="1843"/>
      <c r="AM31" s="1828"/>
      <c r="AN31" s="1829"/>
    </row>
    <row r="32" spans="1:57" ht="30" customHeight="1">
      <c r="A32" s="1499"/>
      <c r="B32" s="1618"/>
      <c r="C32" s="1618"/>
      <c r="D32" s="1618"/>
      <c r="E32" s="1618"/>
      <c r="F32" s="1618"/>
      <c r="G32" s="1830" t="s">
        <v>514</v>
      </c>
      <c r="H32" s="1830"/>
      <c r="I32" s="1830"/>
      <c r="J32" s="1830"/>
      <c r="K32" s="1830"/>
      <c r="L32" s="1830"/>
      <c r="M32" s="1831"/>
      <c r="N32" s="1832"/>
      <c r="O32" s="1832"/>
      <c r="P32" s="1832"/>
      <c r="Q32" s="1832"/>
      <c r="R32" s="1832"/>
      <c r="S32" s="1833"/>
      <c r="T32" s="1618"/>
      <c r="U32" s="1618"/>
      <c r="V32" s="1618"/>
      <c r="W32" s="1618"/>
      <c r="X32" s="1618"/>
      <c r="Y32" s="1618"/>
      <c r="Z32" s="1618"/>
      <c r="AA32" s="1618"/>
      <c r="AB32" s="1618"/>
      <c r="AC32" s="1618"/>
      <c r="AD32" s="1618"/>
      <c r="AE32" s="1618"/>
      <c r="AF32" s="1618"/>
      <c r="AG32" s="1618"/>
      <c r="AH32" s="1618"/>
      <c r="AI32" s="1618"/>
      <c r="AJ32" s="1618"/>
      <c r="AK32" s="1618"/>
      <c r="AL32" s="1500"/>
      <c r="AM32" s="1509"/>
      <c r="AN32" s="1510"/>
    </row>
    <row r="33" spans="1:46" ht="30" customHeight="1">
      <c r="A33" s="1499"/>
      <c r="B33" s="1821" t="s">
        <v>515</v>
      </c>
      <c r="C33" s="1821"/>
      <c r="D33" s="1821"/>
      <c r="E33" s="1821"/>
      <c r="F33" s="1821"/>
      <c r="G33" s="1821"/>
      <c r="H33" s="1821"/>
      <c r="I33" s="1821"/>
      <c r="J33" s="1821"/>
      <c r="K33" s="1821"/>
      <c r="L33" s="1821"/>
      <c r="M33" s="1821"/>
      <c r="N33" s="1821"/>
      <c r="O33" s="1821"/>
      <c r="P33" s="1821"/>
      <c r="Q33" s="1821"/>
      <c r="R33" s="1821"/>
      <c r="S33" s="1821"/>
      <c r="T33" s="1821"/>
      <c r="U33" s="1821"/>
      <c r="V33" s="1821"/>
      <c r="W33" s="1821"/>
      <c r="X33" s="1821"/>
      <c r="Y33" s="1821"/>
      <c r="Z33" s="1821"/>
      <c r="AA33" s="1821"/>
      <c r="AB33" s="1821"/>
      <c r="AC33" s="1821"/>
      <c r="AD33" s="1821"/>
      <c r="AE33" s="1821"/>
      <c r="AF33" s="1821"/>
      <c r="AG33" s="1821"/>
      <c r="AH33" s="1821"/>
      <c r="AI33" s="1821"/>
      <c r="AJ33" s="1821"/>
      <c r="AK33" s="1821"/>
      <c r="AL33" s="1527"/>
      <c r="AM33" s="1530"/>
      <c r="AN33" s="1531"/>
    </row>
    <row r="34" spans="1:46" ht="55.5" customHeight="1">
      <c r="A34" s="1499"/>
      <c r="B34" s="1530"/>
      <c r="C34" s="1827" t="s">
        <v>516</v>
      </c>
      <c r="D34" s="1827"/>
      <c r="E34" s="1827"/>
      <c r="F34" s="1827"/>
      <c r="G34" s="1827"/>
      <c r="H34" s="1827"/>
      <c r="I34" s="1827"/>
      <c r="J34" s="1827"/>
      <c r="K34" s="1827"/>
      <c r="L34" s="1827"/>
      <c r="M34" s="1827"/>
      <c r="N34" s="1827"/>
      <c r="O34" s="1827"/>
      <c r="P34" s="1827"/>
      <c r="Q34" s="1827"/>
      <c r="R34" s="1827"/>
      <c r="S34" s="1827"/>
      <c r="T34" s="1827"/>
      <c r="U34" s="1827"/>
      <c r="V34" s="1827"/>
      <c r="W34" s="1827"/>
      <c r="X34" s="1827"/>
      <c r="Y34" s="1827"/>
      <c r="Z34" s="1827"/>
      <c r="AA34" s="1827"/>
      <c r="AB34" s="1827"/>
      <c r="AC34" s="1827"/>
      <c r="AD34" s="1827"/>
      <c r="AE34" s="1827"/>
      <c r="AF34" s="1827"/>
      <c r="AG34" s="1827"/>
      <c r="AH34" s="1827"/>
      <c r="AI34" s="1827"/>
      <c r="AJ34" s="1827"/>
      <c r="AK34" s="1500"/>
      <c r="AL34" s="1527"/>
      <c r="AM34" s="1828"/>
      <c r="AN34" s="1829"/>
    </row>
    <row r="35" spans="1:46" ht="38.25" customHeight="1">
      <c r="A35" s="1499"/>
      <c r="B35" s="1821" t="s">
        <v>517</v>
      </c>
      <c r="C35" s="1821"/>
      <c r="D35" s="1821"/>
      <c r="E35" s="1821"/>
      <c r="F35" s="1821"/>
      <c r="G35" s="1821"/>
      <c r="H35" s="1821"/>
      <c r="I35" s="1821"/>
      <c r="J35" s="1821"/>
      <c r="K35" s="1821"/>
      <c r="L35" s="1821"/>
      <c r="M35" s="1821"/>
      <c r="N35" s="1821"/>
      <c r="O35" s="1821"/>
      <c r="P35" s="1821"/>
      <c r="Q35" s="1821"/>
      <c r="R35" s="1821"/>
      <c r="S35" s="1821"/>
      <c r="T35" s="1821"/>
      <c r="U35" s="1821"/>
      <c r="V35" s="1821"/>
      <c r="W35" s="1821"/>
      <c r="X35" s="1821"/>
      <c r="Y35" s="1821"/>
      <c r="Z35" s="1821"/>
      <c r="AA35" s="1821"/>
      <c r="AB35" s="1821"/>
      <c r="AC35" s="1821"/>
      <c r="AD35" s="1821"/>
      <c r="AE35" s="1821"/>
      <c r="AF35" s="1821"/>
      <c r="AG35" s="1821"/>
      <c r="AH35" s="1821"/>
      <c r="AI35" s="1821"/>
      <c r="AJ35" s="1821"/>
      <c r="AK35" s="1821"/>
      <c r="AL35" s="1527"/>
      <c r="AM35" s="1530"/>
      <c r="AN35" s="1531"/>
    </row>
    <row r="36" spans="1:46" ht="35.25" customHeight="1">
      <c r="A36" s="1499"/>
      <c r="B36" s="1530"/>
      <c r="C36" s="1827" t="s">
        <v>518</v>
      </c>
      <c r="D36" s="1827"/>
      <c r="E36" s="1827"/>
      <c r="F36" s="1827"/>
      <c r="G36" s="1827"/>
      <c r="H36" s="1827"/>
      <c r="I36" s="1827"/>
      <c r="J36" s="1827"/>
      <c r="K36" s="1827"/>
      <c r="L36" s="1827"/>
      <c r="M36" s="1827"/>
      <c r="N36" s="1827"/>
      <c r="O36" s="1827"/>
      <c r="P36" s="1827"/>
      <c r="Q36" s="1827"/>
      <c r="R36" s="1827"/>
      <c r="S36" s="1827"/>
      <c r="T36" s="1827"/>
      <c r="U36" s="1827"/>
      <c r="V36" s="1827"/>
      <c r="W36" s="1827"/>
      <c r="X36" s="1827"/>
      <c r="Y36" s="1827"/>
      <c r="Z36" s="1827"/>
      <c r="AA36" s="1827"/>
      <c r="AB36" s="1827"/>
      <c r="AC36" s="1827"/>
      <c r="AD36" s="1827"/>
      <c r="AE36" s="1827"/>
      <c r="AF36" s="1827"/>
      <c r="AG36" s="1827"/>
      <c r="AH36" s="1827"/>
      <c r="AI36" s="1827"/>
      <c r="AJ36" s="1827"/>
      <c r="AK36" s="1500"/>
      <c r="AL36" s="1527"/>
      <c r="AM36" s="1828"/>
      <c r="AN36" s="1829"/>
    </row>
    <row r="37" spans="1:46" ht="30" customHeight="1">
      <c r="A37" s="1499"/>
      <c r="B37" s="1821" t="s">
        <v>519</v>
      </c>
      <c r="C37" s="1821"/>
      <c r="D37" s="1821"/>
      <c r="E37" s="1821"/>
      <c r="F37" s="1821"/>
      <c r="G37" s="1821"/>
      <c r="H37" s="1821"/>
      <c r="I37" s="1821"/>
      <c r="J37" s="1821"/>
      <c r="K37" s="1506"/>
      <c r="L37" s="1506"/>
      <c r="M37" s="1506"/>
      <c r="N37" s="1506"/>
      <c r="O37" s="1506"/>
      <c r="P37" s="1506"/>
      <c r="Q37" s="1506"/>
      <c r="R37" s="1506"/>
      <c r="S37" s="1506"/>
      <c r="T37" s="1506"/>
      <c r="U37" s="1506"/>
      <c r="V37" s="1506"/>
      <c r="W37" s="1506"/>
      <c r="X37" s="1506"/>
      <c r="Y37" s="1506"/>
      <c r="Z37" s="1506"/>
      <c r="AA37" s="1500"/>
      <c r="AB37" s="1500"/>
      <c r="AC37" s="1500"/>
      <c r="AD37" s="1500"/>
      <c r="AE37" s="1500"/>
      <c r="AF37" s="1500"/>
      <c r="AG37" s="1500"/>
      <c r="AH37" s="1500"/>
      <c r="AI37" s="1500"/>
      <c r="AJ37" s="1500"/>
      <c r="AK37" s="1500"/>
      <c r="AL37" s="1526"/>
      <c r="AM37" s="1511"/>
      <c r="AN37" s="1512"/>
    </row>
    <row r="38" spans="1:46" ht="54" customHeight="1">
      <c r="A38" s="1499"/>
      <c r="B38" s="1500"/>
      <c r="C38" s="1822" t="s">
        <v>520</v>
      </c>
      <c r="D38" s="1822"/>
      <c r="E38" s="1822"/>
      <c r="F38" s="1822"/>
      <c r="G38" s="1822"/>
      <c r="H38" s="1822"/>
      <c r="I38" s="1822"/>
      <c r="J38" s="1822"/>
      <c r="K38" s="1822"/>
      <c r="L38" s="1822"/>
      <c r="M38" s="1822"/>
      <c r="N38" s="1822"/>
      <c r="O38" s="1822"/>
      <c r="P38" s="1822"/>
      <c r="Q38" s="1822"/>
      <c r="R38" s="1822"/>
      <c r="S38" s="1822"/>
      <c r="T38" s="1822"/>
      <c r="U38" s="1822"/>
      <c r="V38" s="1822"/>
      <c r="W38" s="1822"/>
      <c r="X38" s="1822"/>
      <c r="Y38" s="1822"/>
      <c r="Z38" s="1822"/>
      <c r="AA38" s="1822"/>
      <c r="AB38" s="1822"/>
      <c r="AC38" s="1822"/>
      <c r="AD38" s="1822"/>
      <c r="AE38" s="1822"/>
      <c r="AF38" s="1822"/>
      <c r="AG38" s="1822"/>
      <c r="AH38" s="1822"/>
      <c r="AI38" s="1822"/>
      <c r="AJ38" s="1822"/>
      <c r="AK38" s="1822"/>
      <c r="AL38" s="1823"/>
      <c r="AM38" s="1828"/>
      <c r="AN38" s="1829"/>
      <c r="AP38" s="1826"/>
      <c r="AQ38" s="1826"/>
      <c r="AR38" s="1826"/>
      <c r="AS38" s="1826"/>
      <c r="AT38" s="1826"/>
    </row>
    <row r="39" spans="1:46" ht="30" customHeight="1">
      <c r="A39" s="1499"/>
      <c r="B39" s="1821" t="s">
        <v>521</v>
      </c>
      <c r="C39" s="1821"/>
      <c r="D39" s="1821"/>
      <c r="E39" s="1821"/>
      <c r="F39" s="1821"/>
      <c r="G39" s="1821"/>
      <c r="H39" s="1821"/>
      <c r="I39" s="1821"/>
      <c r="J39" s="1513"/>
      <c r="K39" s="1513"/>
      <c r="L39" s="1513"/>
      <c r="M39" s="1513"/>
      <c r="N39" s="1513"/>
      <c r="O39" s="1513"/>
      <c r="P39" s="1500"/>
      <c r="Q39" s="1506"/>
      <c r="R39" s="1506"/>
      <c r="S39" s="1506"/>
      <c r="T39" s="1506"/>
      <c r="U39" s="1506"/>
      <c r="V39" s="1506"/>
      <c r="W39" s="1506"/>
      <c r="X39" s="1506"/>
      <c r="Y39" s="1506"/>
      <c r="Z39" s="1506"/>
      <c r="AA39" s="1506"/>
      <c r="AB39" s="1506"/>
      <c r="AC39" s="1506"/>
      <c r="AD39" s="1506"/>
      <c r="AE39" s="1506"/>
      <c r="AF39" s="1506"/>
      <c r="AG39" s="1506"/>
      <c r="AH39" s="1506"/>
      <c r="AI39" s="1506"/>
      <c r="AJ39" s="1506"/>
      <c r="AK39" s="1506"/>
      <c r="AL39" s="1527"/>
      <c r="AM39" s="1511"/>
      <c r="AN39" s="1512"/>
    </row>
    <row r="40" spans="1:46" ht="30" customHeight="1">
      <c r="A40" s="1499"/>
      <c r="B40" s="1500"/>
      <c r="C40" s="1822" t="s">
        <v>522</v>
      </c>
      <c r="D40" s="1822"/>
      <c r="E40" s="1822"/>
      <c r="F40" s="1822"/>
      <c r="G40" s="1822"/>
      <c r="H40" s="1822"/>
      <c r="I40" s="1822"/>
      <c r="J40" s="1822"/>
      <c r="K40" s="1822"/>
      <c r="L40" s="1822"/>
      <c r="M40" s="1822"/>
      <c r="N40" s="1822"/>
      <c r="O40" s="1822"/>
      <c r="P40" s="1822"/>
      <c r="Q40" s="1822"/>
      <c r="R40" s="1822"/>
      <c r="S40" s="1822"/>
      <c r="T40" s="1822"/>
      <c r="U40" s="1822"/>
      <c r="V40" s="1822"/>
      <c r="W40" s="1822"/>
      <c r="X40" s="1822"/>
      <c r="Y40" s="1822"/>
      <c r="Z40" s="1822"/>
      <c r="AA40" s="1822"/>
      <c r="AB40" s="1822"/>
      <c r="AC40" s="1822"/>
      <c r="AD40" s="1822"/>
      <c r="AE40" s="1822"/>
      <c r="AF40" s="1822"/>
      <c r="AG40" s="1822"/>
      <c r="AH40" s="1822"/>
      <c r="AI40" s="1822"/>
      <c r="AJ40" s="1822"/>
      <c r="AK40" s="1822"/>
      <c r="AL40" s="1823"/>
      <c r="AM40" s="1828"/>
      <c r="AN40" s="1829"/>
    </row>
    <row r="41" spans="1:46" ht="30" customHeight="1">
      <c r="A41" s="1499"/>
      <c r="B41" s="1839" t="s">
        <v>523</v>
      </c>
      <c r="C41" s="1839"/>
      <c r="D41" s="1839"/>
      <c r="E41" s="1839"/>
      <c r="F41" s="1839"/>
      <c r="G41" s="1839"/>
      <c r="H41" s="1514"/>
      <c r="I41" s="1514"/>
      <c r="J41" s="1514"/>
      <c r="K41" s="1514"/>
      <c r="L41" s="1514"/>
      <c r="M41" s="1514"/>
      <c r="N41" s="1514"/>
      <c r="O41" s="1514"/>
      <c r="P41" s="1514"/>
      <c r="Q41" s="1514"/>
      <c r="R41" s="1514"/>
      <c r="S41" s="1514"/>
      <c r="T41" s="1514"/>
      <c r="U41" s="1514"/>
      <c r="V41" s="1514"/>
      <c r="W41" s="1514"/>
      <c r="X41" s="1514"/>
      <c r="Y41" s="1514"/>
      <c r="Z41" s="1514"/>
      <c r="AA41" s="1514"/>
      <c r="AB41" s="1514"/>
      <c r="AC41" s="1514"/>
      <c r="AD41" s="1514"/>
      <c r="AE41" s="1514"/>
      <c r="AF41" s="1514"/>
      <c r="AG41" s="1500"/>
      <c r="AH41" s="1500"/>
      <c r="AI41" s="1500"/>
      <c r="AJ41" s="1500"/>
      <c r="AK41" s="1500"/>
      <c r="AL41" s="1530"/>
      <c r="AM41" s="1530"/>
      <c r="AN41" s="1531"/>
    </row>
    <row r="42" spans="1:46" ht="32.25" customHeight="1">
      <c r="A42" s="1499"/>
      <c r="B42" s="1500"/>
      <c r="C42" s="1827" t="s">
        <v>524</v>
      </c>
      <c r="D42" s="1827"/>
      <c r="E42" s="1827"/>
      <c r="F42" s="1827"/>
      <c r="G42" s="1827"/>
      <c r="H42" s="1827"/>
      <c r="I42" s="1827"/>
      <c r="J42" s="1827"/>
      <c r="K42" s="1827"/>
      <c r="L42" s="1827"/>
      <c r="M42" s="1827"/>
      <c r="N42" s="1827"/>
      <c r="O42" s="1827"/>
      <c r="P42" s="1827"/>
      <c r="Q42" s="1827"/>
      <c r="R42" s="1827"/>
      <c r="S42" s="1827"/>
      <c r="T42" s="1827"/>
      <c r="U42" s="1827"/>
      <c r="V42" s="1827"/>
      <c r="W42" s="1827"/>
      <c r="X42" s="1827"/>
      <c r="Y42" s="1827"/>
      <c r="Z42" s="1827"/>
      <c r="AA42" s="1827"/>
      <c r="AB42" s="1827"/>
      <c r="AC42" s="1827"/>
      <c r="AD42" s="1827"/>
      <c r="AE42" s="1827"/>
      <c r="AF42" s="1827"/>
      <c r="AG42" s="1827"/>
      <c r="AH42" s="1827"/>
      <c r="AI42" s="1827"/>
      <c r="AJ42" s="1827"/>
      <c r="AK42" s="1827"/>
      <c r="AL42" s="1840"/>
      <c r="AM42" s="1828"/>
      <c r="AN42" s="1829"/>
    </row>
    <row r="43" spans="1:46" ht="30" customHeight="1">
      <c r="A43" s="1499"/>
      <c r="B43" s="1821" t="s">
        <v>525</v>
      </c>
      <c r="C43" s="1821"/>
      <c r="D43" s="1821"/>
      <c r="E43" s="1821"/>
      <c r="F43" s="1821"/>
      <c r="G43" s="1821"/>
      <c r="H43" s="1821"/>
      <c r="I43" s="1821"/>
      <c r="J43" s="1821"/>
      <c r="K43" s="1506"/>
      <c r="L43" s="1506"/>
      <c r="M43" s="1506"/>
      <c r="N43" s="1506"/>
      <c r="O43" s="1506"/>
      <c r="P43" s="1506"/>
      <c r="Q43" s="1506"/>
      <c r="R43" s="1506"/>
      <c r="S43" s="1506"/>
      <c r="T43" s="1506"/>
      <c r="U43" s="1506"/>
      <c r="V43" s="1506"/>
      <c r="W43" s="1506"/>
      <c r="X43" s="1506"/>
      <c r="Y43" s="1506"/>
      <c r="Z43" s="1506"/>
      <c r="AA43" s="1506"/>
      <c r="AB43" s="1506"/>
      <c r="AC43" s="1500"/>
      <c r="AD43" s="1500"/>
      <c r="AE43" s="1500"/>
      <c r="AF43" s="1500"/>
      <c r="AG43" s="1500"/>
      <c r="AH43" s="1500"/>
      <c r="AI43" s="1500"/>
      <c r="AJ43" s="1500"/>
      <c r="AK43" s="1500"/>
      <c r="AL43" s="1507"/>
      <c r="AM43" s="1506"/>
      <c r="AN43" s="1531"/>
    </row>
    <row r="44" spans="1:46" ht="38.25" customHeight="1">
      <c r="A44" s="1515"/>
      <c r="B44" s="1516"/>
      <c r="C44" s="1836" t="s">
        <v>526</v>
      </c>
      <c r="D44" s="1836"/>
      <c r="E44" s="1836"/>
      <c r="F44" s="1836"/>
      <c r="G44" s="1836"/>
      <c r="H44" s="1836"/>
      <c r="I44" s="1836"/>
      <c r="J44" s="1836"/>
      <c r="K44" s="1836"/>
      <c r="L44" s="1836"/>
      <c r="M44" s="1836"/>
      <c r="N44" s="1836"/>
      <c r="O44" s="1836"/>
      <c r="P44" s="1836"/>
      <c r="Q44" s="1836"/>
      <c r="R44" s="1836"/>
      <c r="S44" s="1836"/>
      <c r="T44" s="1836"/>
      <c r="U44" s="1836"/>
      <c r="V44" s="1836"/>
      <c r="W44" s="1836"/>
      <c r="X44" s="1836"/>
      <c r="Y44" s="1836"/>
      <c r="Z44" s="1836"/>
      <c r="AA44" s="1836"/>
      <c r="AB44" s="1836"/>
      <c r="AC44" s="1836"/>
      <c r="AD44" s="1836"/>
      <c r="AE44" s="1836"/>
      <c r="AF44" s="1836"/>
      <c r="AG44" s="1836"/>
      <c r="AH44" s="1836"/>
      <c r="AI44" s="1836"/>
      <c r="AJ44" s="1836"/>
      <c r="AK44" s="1836"/>
      <c r="AL44" s="1837"/>
      <c r="AM44" s="1828"/>
      <c r="AN44" s="1829"/>
    </row>
    <row r="45" spans="1:46" ht="14.25">
      <c r="A45" s="1517"/>
      <c r="B45" s="1518"/>
      <c r="C45" s="1518"/>
      <c r="D45" s="1518"/>
      <c r="E45" s="1518"/>
      <c r="F45" s="1518"/>
      <c r="G45" s="1518"/>
      <c r="H45" s="1518"/>
      <c r="I45" s="1518"/>
      <c r="J45" s="1518"/>
      <c r="K45" s="1518"/>
      <c r="L45" s="1518"/>
      <c r="M45" s="1518"/>
      <c r="N45" s="1518"/>
      <c r="O45" s="1518"/>
      <c r="P45" s="1518"/>
      <c r="Q45" s="1518"/>
      <c r="R45" s="1518"/>
      <c r="S45" s="1518"/>
      <c r="T45" s="1518"/>
      <c r="U45" s="1518"/>
      <c r="V45" s="1518"/>
      <c r="W45" s="1518"/>
      <c r="X45" s="1518"/>
      <c r="Y45" s="1518"/>
      <c r="Z45" s="1518"/>
      <c r="AA45" s="1518"/>
      <c r="AB45" s="1518"/>
      <c r="AC45" s="1518"/>
      <c r="AD45" s="1518"/>
      <c r="AE45" s="1518"/>
      <c r="AF45" s="1518"/>
      <c r="AG45" s="1518"/>
      <c r="AH45" s="1518"/>
      <c r="AI45" s="1518"/>
      <c r="AJ45" s="1518"/>
      <c r="AK45" s="1518"/>
      <c r="AL45" s="1532"/>
      <c r="AM45" s="1519"/>
      <c r="AN45" s="1533"/>
    </row>
    <row r="46" spans="1:46" ht="14.25"/>
    <row r="47" spans="1:46" ht="15.75">
      <c r="B47" s="1838" t="s">
        <v>461</v>
      </c>
      <c r="C47" s="1838"/>
      <c r="D47" s="1838"/>
      <c r="E47" s="1838"/>
      <c r="F47" s="1838"/>
      <c r="G47" s="1838"/>
      <c r="H47" s="1838"/>
      <c r="I47" s="1838"/>
      <c r="J47" s="1838"/>
      <c r="K47" s="1838"/>
      <c r="L47" s="1838"/>
      <c r="M47" s="1838"/>
      <c r="N47" s="1838"/>
      <c r="O47" s="1838"/>
      <c r="P47" s="1838"/>
      <c r="Q47" s="1838"/>
      <c r="R47" s="1838"/>
      <c r="S47" s="1838"/>
      <c r="T47" s="1838"/>
      <c r="U47" s="1838"/>
      <c r="V47" s="1838"/>
      <c r="W47" s="1838"/>
      <c r="X47" s="1838"/>
      <c r="Y47" s="1838"/>
      <c r="Z47" s="1838"/>
      <c r="AA47" s="1838"/>
      <c r="AB47" s="1838"/>
      <c r="AC47" s="1838"/>
      <c r="AD47" s="1838"/>
      <c r="AE47" s="1838"/>
      <c r="AF47" s="1838"/>
      <c r="AG47" s="1838"/>
      <c r="AH47" s="1838"/>
      <c r="AI47" s="1838"/>
      <c r="AJ47" s="1838"/>
      <c r="AK47" s="1838"/>
      <c r="AL47" s="1838"/>
      <c r="AM47" s="1838"/>
    </row>
  </sheetData>
  <sheetProtection algorithmName="SHA-512" hashValue="DRRBMFO8TIobnciLPFOpfF7COg7a3OP49JULT/FsDfGdgTxjOuCd5llfQjVguD3nZeP57Lep/Xyj/g9B825D/A==" saltValue="JlGopDaZJYeGTyDO7gNZUw==" spinCount="100000" sheet="1" objects="1" scenarios="1"/>
  <protectedRanges>
    <protectedRange sqref="AM6 AM8 AM10 AM12 AM14 AM18 AM16 AM20 AM22:AM23 AM25 AM29 AM31 M32 AM34 AM38 AM40 AM42 AM44 AM36" name="Range1"/>
  </protectedRanges>
  <mergeCells count="63">
    <mergeCell ref="A1:AN1"/>
    <mergeCell ref="A2:AN2"/>
    <mergeCell ref="A4:AN4"/>
    <mergeCell ref="B5:AK5"/>
    <mergeCell ref="C6:AL6"/>
    <mergeCell ref="AM6:AN6"/>
    <mergeCell ref="B7:AK7"/>
    <mergeCell ref="C8:AL8"/>
    <mergeCell ref="AM8:AN8"/>
    <mergeCell ref="B9:H9"/>
    <mergeCell ref="C10:AL10"/>
    <mergeCell ref="AM10:AN10"/>
    <mergeCell ref="B11:I11"/>
    <mergeCell ref="C12:AL12"/>
    <mergeCell ref="AM12:AN12"/>
    <mergeCell ref="B13:AK13"/>
    <mergeCell ref="C14:AL14"/>
    <mergeCell ref="AM14:AN14"/>
    <mergeCell ref="AM23:AN23"/>
    <mergeCell ref="C18:AL18"/>
    <mergeCell ref="AM18:AN18"/>
    <mergeCell ref="B19:AK19"/>
    <mergeCell ref="C20:AL20"/>
    <mergeCell ref="AM20:AN20"/>
    <mergeCell ref="B21:AK21"/>
    <mergeCell ref="C22:AK22"/>
    <mergeCell ref="AM22:AN22"/>
    <mergeCell ref="B28:AK28"/>
    <mergeCell ref="C29:AL29"/>
    <mergeCell ref="AM29:AN29"/>
    <mergeCell ref="C31:AL31"/>
    <mergeCell ref="AM31:AN31"/>
    <mergeCell ref="C25:AL25"/>
    <mergeCell ref="AM25:AN25"/>
    <mergeCell ref="B26:AK26"/>
    <mergeCell ref="C27:AL27"/>
    <mergeCell ref="AM27:AN27"/>
    <mergeCell ref="B43:J43"/>
    <mergeCell ref="C44:AL44"/>
    <mergeCell ref="AM44:AN44"/>
    <mergeCell ref="B47:AM47"/>
    <mergeCell ref="B39:I39"/>
    <mergeCell ref="C40:AL40"/>
    <mergeCell ref="AM40:AN40"/>
    <mergeCell ref="B41:G41"/>
    <mergeCell ref="C42:AL42"/>
    <mergeCell ref="AM42:AN42"/>
    <mergeCell ref="B15:J15"/>
    <mergeCell ref="C16:AL16"/>
    <mergeCell ref="AM16:AN16"/>
    <mergeCell ref="AP38:AT38"/>
    <mergeCell ref="B35:AK35"/>
    <mergeCell ref="C36:AJ36"/>
    <mergeCell ref="AM36:AN36"/>
    <mergeCell ref="B33:AK33"/>
    <mergeCell ref="C34:AJ34"/>
    <mergeCell ref="AM34:AN34"/>
    <mergeCell ref="B37:J37"/>
    <mergeCell ref="C38:AL38"/>
    <mergeCell ref="AM38:AN38"/>
    <mergeCell ref="G32:L32"/>
    <mergeCell ref="M32:S32"/>
    <mergeCell ref="B24:AK24"/>
  </mergeCells>
  <conditionalFormatting sqref="K45 AM45 AM5:AM14 AM17:AM18">
    <cfRule type="cellIs" dxfId="1885" priority="77" operator="equal">
      <formula>"No"</formula>
    </cfRule>
  </conditionalFormatting>
  <conditionalFormatting sqref="AM45:AN45 AM7:AN9 AM10 AM11:AN11 AM12:AM14 AM5:AN5 AM17:AN18">
    <cfRule type="cellIs" dxfId="1884" priority="74" operator="equal">
      <formula>"Yes"</formula>
    </cfRule>
    <cfRule type="cellIs" dxfId="1883" priority="75" operator="equal">
      <formula>Yes</formula>
    </cfRule>
    <cfRule type="cellIs" dxfId="1882" priority="76" operator="equal">
      <formula>No</formula>
    </cfRule>
  </conditionalFormatting>
  <conditionalFormatting sqref="AM40">
    <cfRule type="cellIs" dxfId="1881" priority="73" operator="equal">
      <formula>"No"</formula>
    </cfRule>
  </conditionalFormatting>
  <conditionalFormatting sqref="AM40:AN40">
    <cfRule type="cellIs" dxfId="1880" priority="70" operator="equal">
      <formula>"Yes"</formula>
    </cfRule>
    <cfRule type="cellIs" dxfId="1879" priority="71" operator="equal">
      <formula>Yes</formula>
    </cfRule>
    <cfRule type="cellIs" dxfId="1878" priority="72" operator="equal">
      <formula>No</formula>
    </cfRule>
  </conditionalFormatting>
  <conditionalFormatting sqref="AM38">
    <cfRule type="cellIs" dxfId="1877" priority="69" operator="equal">
      <formula>"No"</formula>
    </cfRule>
  </conditionalFormatting>
  <conditionalFormatting sqref="AM38:AN38">
    <cfRule type="cellIs" dxfId="1876" priority="66" operator="equal">
      <formula>"Yes"</formula>
    </cfRule>
    <cfRule type="cellIs" dxfId="1875" priority="67" operator="equal">
      <formula>Yes</formula>
    </cfRule>
    <cfRule type="cellIs" dxfId="1874" priority="68" operator="equal">
      <formula>No</formula>
    </cfRule>
  </conditionalFormatting>
  <conditionalFormatting sqref="AM42">
    <cfRule type="cellIs" dxfId="1873" priority="65" operator="equal">
      <formula>"No"</formula>
    </cfRule>
  </conditionalFormatting>
  <conditionalFormatting sqref="AM42:AN42">
    <cfRule type="cellIs" dxfId="1872" priority="62" operator="equal">
      <formula>"Yes"</formula>
    </cfRule>
    <cfRule type="cellIs" dxfId="1871" priority="63" operator="equal">
      <formula>Yes</formula>
    </cfRule>
    <cfRule type="cellIs" dxfId="1870" priority="64" operator="equal">
      <formula>No</formula>
    </cfRule>
  </conditionalFormatting>
  <conditionalFormatting sqref="AM44">
    <cfRule type="cellIs" dxfId="1869" priority="61" operator="equal">
      <formula>"No"</formula>
    </cfRule>
  </conditionalFormatting>
  <conditionalFormatting sqref="AM44:AN44">
    <cfRule type="cellIs" dxfId="1868" priority="58" operator="equal">
      <formula>"Yes"</formula>
    </cfRule>
    <cfRule type="cellIs" dxfId="1867" priority="59" operator="equal">
      <formula>Yes</formula>
    </cfRule>
    <cfRule type="cellIs" dxfId="1866" priority="60" operator="equal">
      <formula>No</formula>
    </cfRule>
  </conditionalFormatting>
  <conditionalFormatting sqref="AM34 AM36">
    <cfRule type="cellIs" dxfId="1865" priority="57" operator="equal">
      <formula>"No"</formula>
    </cfRule>
  </conditionalFormatting>
  <conditionalFormatting sqref="AM34:AN34 AM36:AN36">
    <cfRule type="cellIs" dxfId="1864" priority="54" operator="equal">
      <formula>"Yes"</formula>
    </cfRule>
    <cfRule type="cellIs" dxfId="1863" priority="55" operator="equal">
      <formula>Yes</formula>
    </cfRule>
    <cfRule type="cellIs" dxfId="1862" priority="56" operator="equal">
      <formula>No</formula>
    </cfRule>
  </conditionalFormatting>
  <conditionalFormatting sqref="AM23">
    <cfRule type="cellIs" dxfId="1861" priority="53" operator="equal">
      <formula>"No"</formula>
    </cfRule>
  </conditionalFormatting>
  <conditionalFormatting sqref="AM23:AN23">
    <cfRule type="cellIs" dxfId="1860" priority="50" operator="equal">
      <formula>"Yes"</formula>
    </cfRule>
    <cfRule type="cellIs" dxfId="1859" priority="51" operator="equal">
      <formula>Yes</formula>
    </cfRule>
    <cfRule type="cellIs" dxfId="1858" priority="52" operator="equal">
      <formula>No</formula>
    </cfRule>
  </conditionalFormatting>
  <conditionalFormatting sqref="AM22">
    <cfRule type="cellIs" dxfId="1857" priority="49" operator="equal">
      <formula>"No"</formula>
    </cfRule>
  </conditionalFormatting>
  <conditionalFormatting sqref="AM22:AN22">
    <cfRule type="cellIs" dxfId="1856" priority="46" operator="equal">
      <formula>"Yes"</formula>
    </cfRule>
    <cfRule type="cellIs" dxfId="1855" priority="47" operator="equal">
      <formula>Yes</formula>
    </cfRule>
    <cfRule type="cellIs" dxfId="1854" priority="48" operator="equal">
      <formula>No</formula>
    </cfRule>
  </conditionalFormatting>
  <conditionalFormatting sqref="AM31">
    <cfRule type="cellIs" dxfId="1853" priority="45" operator="equal">
      <formula>"No"</formula>
    </cfRule>
  </conditionalFormatting>
  <conditionalFormatting sqref="AM31:AN31">
    <cfRule type="cellIs" dxfId="1852" priority="42" operator="equal">
      <formula>"Yes"</formula>
    </cfRule>
    <cfRule type="cellIs" dxfId="1851" priority="43" operator="equal">
      <formula>Yes</formula>
    </cfRule>
    <cfRule type="cellIs" dxfId="1850" priority="44" operator="equal">
      <formula>No</formula>
    </cfRule>
  </conditionalFormatting>
  <conditionalFormatting sqref="AM18">
    <cfRule type="cellIs" dxfId="1849" priority="41" operator="equal">
      <formula>"No"</formula>
    </cfRule>
  </conditionalFormatting>
  <conditionalFormatting sqref="AM18:AN18">
    <cfRule type="cellIs" dxfId="1848" priority="38" operator="equal">
      <formula>"Yes"</formula>
    </cfRule>
    <cfRule type="cellIs" dxfId="1847" priority="39" operator="equal">
      <formula>Yes</formula>
    </cfRule>
    <cfRule type="cellIs" dxfId="1846" priority="40" operator="equal">
      <formula>No</formula>
    </cfRule>
  </conditionalFormatting>
  <conditionalFormatting sqref="AM14">
    <cfRule type="cellIs" dxfId="1845" priority="37" operator="equal">
      <formula>"No"</formula>
    </cfRule>
  </conditionalFormatting>
  <conditionalFormatting sqref="AM14:AN14">
    <cfRule type="cellIs" dxfId="1844" priority="34" operator="equal">
      <formula>"Yes"</formula>
    </cfRule>
    <cfRule type="cellIs" dxfId="1843" priority="35" operator="equal">
      <formula>Yes</formula>
    </cfRule>
    <cfRule type="cellIs" dxfId="1842" priority="36" operator="equal">
      <formula>No</formula>
    </cfRule>
  </conditionalFormatting>
  <conditionalFormatting sqref="AM20">
    <cfRule type="cellIs" dxfId="1841" priority="33" operator="equal">
      <formula>"No"</formula>
    </cfRule>
  </conditionalFormatting>
  <conditionalFormatting sqref="AM20:AN20">
    <cfRule type="cellIs" dxfId="1840" priority="30" operator="equal">
      <formula>"Yes"</formula>
    </cfRule>
    <cfRule type="cellIs" dxfId="1839" priority="31" operator="equal">
      <formula>Yes</formula>
    </cfRule>
    <cfRule type="cellIs" dxfId="1838" priority="32" operator="equal">
      <formula>No</formula>
    </cfRule>
  </conditionalFormatting>
  <conditionalFormatting sqref="AM29">
    <cfRule type="cellIs" dxfId="1837" priority="29" operator="equal">
      <formula>"No"</formula>
    </cfRule>
  </conditionalFormatting>
  <conditionalFormatting sqref="AM29:AN29">
    <cfRule type="cellIs" dxfId="1836" priority="26" operator="equal">
      <formula>"Yes"</formula>
    </cfRule>
    <cfRule type="cellIs" dxfId="1835" priority="27" operator="equal">
      <formula>Yes</formula>
    </cfRule>
    <cfRule type="cellIs" dxfId="1834" priority="28" operator="equal">
      <formula>No</formula>
    </cfRule>
  </conditionalFormatting>
  <conditionalFormatting sqref="AM27">
    <cfRule type="cellIs" dxfId="1833" priority="25" operator="equal">
      <formula>"No"</formula>
    </cfRule>
  </conditionalFormatting>
  <conditionalFormatting sqref="AM27:AN27">
    <cfRule type="cellIs" dxfId="1832" priority="22" operator="equal">
      <formula>"Yes"</formula>
    </cfRule>
    <cfRule type="cellIs" dxfId="1831" priority="23" operator="equal">
      <formula>Yes</formula>
    </cfRule>
    <cfRule type="cellIs" dxfId="1830" priority="24" operator="equal">
      <formula>No</formula>
    </cfRule>
  </conditionalFormatting>
  <conditionalFormatting sqref="AM25">
    <cfRule type="cellIs" dxfId="1829" priority="21" operator="equal">
      <formula>"No"</formula>
    </cfRule>
  </conditionalFormatting>
  <conditionalFormatting sqref="AM25:AN25">
    <cfRule type="cellIs" dxfId="1828" priority="18" operator="equal">
      <formula>"Yes"</formula>
    </cfRule>
    <cfRule type="cellIs" dxfId="1827" priority="19" operator="equal">
      <formula>Yes</formula>
    </cfRule>
    <cfRule type="cellIs" dxfId="1826" priority="20" operator="equal">
      <formula>No</formula>
    </cfRule>
  </conditionalFormatting>
  <conditionalFormatting sqref="AM6:AN6">
    <cfRule type="cellIs" dxfId="1825" priority="15" operator="equal">
      <formula>"Yes"</formula>
    </cfRule>
    <cfRule type="cellIs" dxfId="1824" priority="16" operator="equal">
      <formula>Yes</formula>
    </cfRule>
    <cfRule type="cellIs" dxfId="1823" priority="17" operator="equal">
      <formula>No</formula>
    </cfRule>
  </conditionalFormatting>
  <conditionalFormatting sqref="AM15:AM16">
    <cfRule type="cellIs" dxfId="1822" priority="7" operator="equal">
      <formula>"No"</formula>
    </cfRule>
  </conditionalFormatting>
  <conditionalFormatting sqref="AM15:AN15">
    <cfRule type="cellIs" dxfId="1821" priority="4" operator="equal">
      <formula>"Yes"</formula>
    </cfRule>
    <cfRule type="cellIs" dxfId="1820" priority="5" operator="equal">
      <formula>Yes</formula>
    </cfRule>
    <cfRule type="cellIs" dxfId="1819" priority="6" operator="equal">
      <formula>No</formula>
    </cfRule>
  </conditionalFormatting>
  <conditionalFormatting sqref="AM16">
    <cfRule type="cellIs" dxfId="1818" priority="1" operator="equal">
      <formula>"Yes"</formula>
    </cfRule>
    <cfRule type="cellIs" dxfId="1817" priority="2" operator="equal">
      <formula>Yes</formula>
    </cfRule>
    <cfRule type="cellIs" dxfId="1816" priority="3" operator="equal">
      <formula>No</formula>
    </cfRule>
  </conditionalFormatting>
  <dataValidations count="2">
    <dataValidation type="list" allowBlank="1" showInputMessage="1" showErrorMessage="1" sqref="AM6:AN6" xr:uid="{357BB6F3-CB6C-4D45-9747-34340F1DA8EC}">
      <formula1>"Large Family,Senior,Farmworker Housing,At High Risk,Special Needs"</formula1>
    </dataValidation>
    <dataValidation type="list" allowBlank="1" showInputMessage="1" showErrorMessage="1" sqref="AM40 AM38 AM22:AM23 AM16 AM42 AM44 AM31 AM20 K45 AM25 AM29 AM27 AM18 AM8 AM10 AM12 AM14 AM34 AM36" xr:uid="{183FE307-FC65-4D63-9B63-522492DE8659}">
      <formula1>"Yes, No"</formula1>
    </dataValidation>
  </dataValidations>
  <pageMargins left="0.25" right="0.25" top="0.75" bottom="0.75" header="0.3" footer="0.3"/>
  <pageSetup scale="18" orientation="portrait" r:id="rId1"/>
  <headerFooter>
    <oddHeader>&amp;CCalifornial Housing Accelerator Application</oddHeader>
    <oddFooter>&amp;C&amp;P of &amp;N&amp;R&amp;F</oddFooter>
  </headerFooter>
  <colBreaks count="1" manualBreakCount="1">
    <brk id="40" max="1048575" man="1"/>
  </colBreak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ProjectOverview"/>
  <dimension ref="A1:CB596"/>
  <sheetViews>
    <sheetView showGridLines="0" topLeftCell="A552" zoomScaleNormal="100" zoomScaleSheetLayoutView="100" workbookViewId="0">
      <selection activeCell="AL191" sqref="AL191:AM191"/>
    </sheetView>
  </sheetViews>
  <sheetFormatPr defaultColWidth="10.28515625" defaultRowHeight="18" customHeight="1"/>
  <cols>
    <col min="1" max="1" width="8.7109375" style="138" customWidth="1"/>
    <col min="2" max="38" width="4.28515625" style="55" customWidth="1"/>
    <col min="39" max="39" width="6.5703125" style="95" customWidth="1"/>
    <col min="40" max="40" width="5.42578125" style="57" hidden="1" customWidth="1"/>
    <col min="41" max="41" width="11.28515625" style="90" hidden="1" customWidth="1"/>
    <col min="42" max="42" width="5.42578125" style="57" hidden="1" customWidth="1"/>
    <col min="43" max="43" width="4" style="57" hidden="1" customWidth="1"/>
    <col min="44" max="44" width="4" style="57" customWidth="1"/>
    <col min="45" max="45" width="33.28515625" style="57" customWidth="1"/>
    <col min="46" max="47" width="10.28515625" style="55" customWidth="1"/>
    <col min="48" max="48" width="11.7109375" style="55" customWidth="1"/>
    <col min="49" max="78" width="10.28515625" style="55" customWidth="1"/>
    <col min="79" max="16384" width="10.28515625" style="55"/>
  </cols>
  <sheetData>
    <row r="1" spans="1:47" ht="18" customHeight="1">
      <c r="AM1" s="55"/>
    </row>
    <row r="2" spans="1:47" s="122" customFormat="1" ht="18" customHeight="1">
      <c r="A2" s="95"/>
      <c r="B2" s="1984" t="s">
        <v>527</v>
      </c>
      <c r="C2" s="1985"/>
      <c r="D2" s="1985"/>
      <c r="E2" s="1986"/>
      <c r="F2" s="2371"/>
      <c r="G2" s="1861"/>
      <c r="H2" s="1861"/>
      <c r="I2" s="1861"/>
      <c r="J2" s="1861"/>
      <c r="K2" s="1861"/>
      <c r="L2" s="1861"/>
      <c r="M2" s="1862"/>
    </row>
    <row r="3" spans="1:47" ht="24" customHeight="1" thickBot="1">
      <c r="B3" s="2111" t="s">
        <v>528</v>
      </c>
      <c r="C3" s="1796"/>
      <c r="D3" s="1796"/>
      <c r="E3" s="1796"/>
      <c r="F3" s="1796"/>
      <c r="G3" s="1796"/>
      <c r="H3" s="1796"/>
      <c r="I3" s="1796"/>
      <c r="J3" s="1796"/>
      <c r="K3" s="1796"/>
      <c r="L3" s="1796"/>
      <c r="M3" s="1796"/>
      <c r="N3" s="1796"/>
      <c r="O3" s="1796"/>
      <c r="P3" s="1796"/>
      <c r="Q3" s="1796"/>
      <c r="R3" s="1796"/>
      <c r="S3" s="1796"/>
      <c r="T3" s="1796"/>
      <c r="U3" s="1796"/>
      <c r="V3" s="1796"/>
      <c r="W3" s="1796"/>
      <c r="X3" s="1796"/>
      <c r="Y3" s="1796"/>
      <c r="Z3" s="1796"/>
      <c r="AA3" s="1796"/>
      <c r="AB3" s="1796"/>
      <c r="AC3" s="1796"/>
      <c r="AD3" s="1796"/>
      <c r="AE3" s="1796"/>
      <c r="AF3" s="1796"/>
      <c r="AG3" s="1796"/>
      <c r="AH3" s="1796"/>
      <c r="AI3" s="1796"/>
      <c r="AJ3" s="1796"/>
      <c r="AK3" s="1796"/>
      <c r="AL3" s="1796"/>
      <c r="AM3" s="1796"/>
      <c r="AO3" s="311" t="b">
        <f>vmIsSerna="Yes"</f>
        <v>0</v>
      </c>
      <c r="AP3" s="354" t="s">
        <v>529</v>
      </c>
      <c r="AR3" s="122"/>
      <c r="AS3" s="122"/>
      <c r="AT3" s="122"/>
      <c r="AU3" s="122"/>
    </row>
    <row r="4" spans="1:47" s="122" customFormat="1" ht="15" customHeight="1">
      <c r="A4" s="95"/>
      <c r="B4" s="2037"/>
      <c r="C4" s="2037"/>
      <c r="D4" s="2037"/>
      <c r="E4" s="2037"/>
      <c r="F4" s="2037"/>
      <c r="G4" s="2037"/>
      <c r="H4" s="2037"/>
      <c r="I4" s="2037"/>
      <c r="J4" s="2037"/>
      <c r="K4" s="2037"/>
      <c r="L4" s="2037"/>
      <c r="M4" s="2037"/>
      <c r="N4" s="2037"/>
      <c r="O4" s="2037"/>
      <c r="P4" s="2037"/>
      <c r="Q4" s="2037"/>
      <c r="R4" s="2037"/>
      <c r="S4" s="2037"/>
      <c r="T4" s="2037"/>
      <c r="U4" s="2037"/>
      <c r="V4" s="2037"/>
      <c r="W4" s="2037"/>
      <c r="X4" s="2037"/>
      <c r="Y4" s="2037"/>
      <c r="Z4" s="2037"/>
      <c r="AA4" s="2037"/>
      <c r="AB4" s="2037"/>
      <c r="AC4" s="2037"/>
      <c r="AD4" s="2037"/>
      <c r="AE4" s="2037"/>
      <c r="AF4" s="2037"/>
      <c r="AG4" s="2037"/>
      <c r="AH4" s="2037"/>
      <c r="AI4" s="2037"/>
      <c r="AJ4" s="2037"/>
      <c r="AK4" s="2037"/>
      <c r="AL4" s="2037"/>
      <c r="AM4" s="2037"/>
    </row>
    <row r="5" spans="1:47" s="95" customFormat="1" ht="18" customHeight="1">
      <c r="B5" s="2409" t="s">
        <v>530</v>
      </c>
      <c r="C5" s="2409"/>
      <c r="D5" s="2409"/>
      <c r="E5" s="2409"/>
      <c r="F5" s="2409"/>
      <c r="G5" s="2409"/>
      <c r="H5" s="2409"/>
      <c r="I5" s="2409"/>
      <c r="J5" s="2409"/>
      <c r="K5" s="2409"/>
      <c r="L5" s="2409"/>
      <c r="M5" s="2409"/>
      <c r="N5" s="2409"/>
      <c r="O5" s="2409"/>
      <c r="P5" s="2409"/>
      <c r="Q5" s="2409"/>
      <c r="R5" s="2409"/>
      <c r="S5" s="2409"/>
      <c r="T5" s="2410">
        <f>'Gap Eligibility'!B24</f>
        <v>0</v>
      </c>
      <c r="U5" s="2411"/>
      <c r="V5" s="2411"/>
      <c r="W5" s="2411"/>
      <c r="X5" s="2411"/>
      <c r="Y5" s="2411"/>
      <c r="Z5" s="2411"/>
      <c r="AA5" s="2412"/>
    </row>
    <row r="6" spans="1:47" ht="34.15" customHeight="1">
      <c r="B6" s="2423" t="s">
        <v>531</v>
      </c>
      <c r="C6" s="2423"/>
      <c r="D6" s="2423"/>
      <c r="E6" s="2423"/>
      <c r="F6" s="2423"/>
      <c r="G6" s="2423"/>
      <c r="H6" s="2423"/>
      <c r="I6" s="2423"/>
      <c r="J6" s="2423"/>
      <c r="K6" s="2423"/>
      <c r="L6" s="2423"/>
      <c r="M6" s="2423"/>
      <c r="N6" s="2423"/>
      <c r="O6" s="2423"/>
      <c r="P6" s="2423"/>
      <c r="Q6" s="2423"/>
      <c r="R6" s="2423"/>
      <c r="S6" s="2423"/>
      <c r="T6" s="2423"/>
      <c r="U6" s="2423"/>
      <c r="V6" s="2423"/>
      <c r="W6" s="2423"/>
      <c r="X6" s="2423"/>
      <c r="Y6" s="2423"/>
      <c r="Z6" s="2423"/>
      <c r="AA6" s="2423"/>
      <c r="AB6" s="2423"/>
      <c r="AC6" s="2423"/>
      <c r="AD6" s="2424" t="s">
        <v>532</v>
      </c>
      <c r="AE6" s="2424"/>
      <c r="AF6" s="2424"/>
      <c r="AG6" s="2424"/>
      <c r="AH6" s="2424"/>
      <c r="AI6" s="2424"/>
      <c r="AJ6" s="2424"/>
      <c r="AK6" s="2402"/>
      <c r="AL6" s="2425"/>
      <c r="AM6" s="2403"/>
      <c r="AO6" s="354" t="b">
        <f>vmIsIig="Yes"</f>
        <v>0</v>
      </c>
      <c r="AP6" s="354" t="s">
        <v>533</v>
      </c>
      <c r="AR6" s="123"/>
      <c r="AS6" s="123"/>
      <c r="AT6" s="474"/>
      <c r="AU6" s="474"/>
    </row>
    <row r="7" spans="1:47" s="95" customFormat="1" ht="22.9" customHeight="1">
      <c r="B7" s="2413" t="s">
        <v>534</v>
      </c>
      <c r="C7" s="2413"/>
      <c r="D7" s="2413"/>
      <c r="E7" s="2413"/>
      <c r="F7" s="2413"/>
      <c r="G7" s="2413"/>
      <c r="H7" s="2413"/>
      <c r="I7" s="2413"/>
      <c r="J7" s="2414"/>
      <c r="K7" s="2414"/>
      <c r="L7" s="2414"/>
      <c r="M7" s="2414"/>
      <c r="N7" s="2414"/>
      <c r="O7" s="2414"/>
      <c r="P7" s="2414"/>
      <c r="Q7" s="2414"/>
      <c r="R7" s="2414"/>
      <c r="S7" s="2414"/>
      <c r="T7" s="2414"/>
      <c r="U7" s="2414"/>
      <c r="V7" s="2414"/>
      <c r="W7" s="2414"/>
      <c r="X7" s="2414"/>
      <c r="Y7" s="2414"/>
      <c r="Z7" s="2414"/>
      <c r="AA7" s="2414"/>
      <c r="AB7" s="2414"/>
      <c r="AC7" s="2414"/>
      <c r="AD7" s="2414"/>
      <c r="AE7" s="2414"/>
      <c r="AF7" s="2414"/>
      <c r="AG7" s="2414"/>
      <c r="AH7" s="2414"/>
    </row>
    <row r="8" spans="1:47" s="95" customFormat="1" ht="22.9" hidden="1" customHeight="1">
      <c r="B8" s="2413" t="s">
        <v>535</v>
      </c>
      <c r="C8" s="2413"/>
      <c r="D8" s="2413"/>
      <c r="E8" s="2413"/>
      <c r="F8" s="2413"/>
      <c r="G8" s="2413"/>
      <c r="H8" s="2413"/>
      <c r="I8" s="2413"/>
      <c r="J8" s="2415"/>
      <c r="K8" s="2416"/>
      <c r="L8" s="2416"/>
      <c r="M8" s="2416"/>
      <c r="N8" s="2416"/>
      <c r="O8" s="2416"/>
      <c r="P8" s="2416"/>
      <c r="Q8" s="2416"/>
      <c r="R8" s="2416"/>
      <c r="S8" s="2416"/>
      <c r="T8" s="2416"/>
      <c r="U8" s="2416"/>
      <c r="V8" s="2416"/>
      <c r="W8" s="2416"/>
      <c r="X8" s="2416"/>
      <c r="Y8" s="2416"/>
      <c r="Z8" s="2416"/>
      <c r="AA8" s="2416"/>
      <c r="AB8" s="2416"/>
      <c r="AC8" s="2416"/>
      <c r="AD8" s="2416"/>
      <c r="AE8" s="2416"/>
      <c r="AF8" s="2416"/>
      <c r="AG8" s="2416"/>
      <c r="AH8" s="2417"/>
    </row>
    <row r="9" spans="1:47" s="95" customFormat="1" ht="22.9" hidden="1" customHeight="1">
      <c r="B9" s="2413" t="s">
        <v>536</v>
      </c>
      <c r="C9" s="2413"/>
      <c r="D9" s="2413"/>
      <c r="E9" s="2413"/>
      <c r="F9" s="2413"/>
      <c r="G9" s="2413"/>
      <c r="H9" s="2413"/>
      <c r="I9" s="2413"/>
      <c r="J9" s="2414"/>
      <c r="K9" s="2414"/>
      <c r="L9" s="2414"/>
      <c r="M9" s="2414"/>
      <c r="N9" s="2414"/>
      <c r="O9" s="2414"/>
      <c r="P9" s="2414"/>
      <c r="Q9" s="2414"/>
      <c r="R9" s="2414"/>
      <c r="S9" s="2414"/>
      <c r="T9" s="2414"/>
      <c r="U9" s="2414"/>
      <c r="V9" s="2414"/>
      <c r="W9" s="2414"/>
      <c r="X9" s="2414"/>
      <c r="Y9" s="2414"/>
      <c r="Z9" s="2414"/>
      <c r="AA9" s="2414"/>
      <c r="AB9" s="2414"/>
      <c r="AC9" s="2414"/>
      <c r="AD9" s="2414"/>
      <c r="AE9" s="2414"/>
      <c r="AF9" s="2414"/>
      <c r="AG9" s="2414"/>
      <c r="AH9" s="2414"/>
    </row>
    <row r="10" spans="1:47" s="95" customFormat="1" ht="25.15" customHeight="1">
      <c r="B10" s="2170" t="s">
        <v>537</v>
      </c>
      <c r="C10" s="2171"/>
      <c r="D10" s="2171"/>
      <c r="E10" s="2171"/>
      <c r="F10" s="2171"/>
      <c r="G10" s="2171"/>
      <c r="H10" s="2171"/>
      <c r="I10" s="2171"/>
      <c r="J10" s="2171"/>
      <c r="K10" s="2171"/>
      <c r="L10" s="2171"/>
      <c r="M10" s="2171"/>
      <c r="N10" s="2171"/>
      <c r="O10" s="2171"/>
      <c r="P10" s="2171"/>
      <c r="Q10" s="2171"/>
      <c r="R10" s="2171"/>
      <c r="S10" s="2171"/>
      <c r="T10" s="2171"/>
      <c r="U10" s="2171"/>
      <c r="V10" s="2171"/>
      <c r="W10" s="2171"/>
      <c r="X10" s="2171"/>
      <c r="Y10" s="2171"/>
      <c r="Z10" s="2171"/>
      <c r="AA10" s="2171"/>
      <c r="AB10" s="2171"/>
      <c r="AC10" s="2171"/>
      <c r="AD10" s="2171"/>
      <c r="AE10" s="2171"/>
      <c r="AF10" s="2171"/>
      <c r="AG10" s="2171"/>
      <c r="AH10" s="2171"/>
      <c r="AI10" s="2171"/>
      <c r="AJ10" s="2171"/>
      <c r="AK10" s="2171"/>
      <c r="AL10" s="2171"/>
      <c r="AM10" s="2171"/>
      <c r="AS10" s="1745"/>
    </row>
    <row r="11" spans="1:47" s="95" customFormat="1" ht="33.6" customHeight="1">
      <c r="B11" s="2420" t="str">
        <f>_xlfn.TEXTJOIN(", ", TRUE, B196:B203)</f>
        <v/>
      </c>
      <c r="C11" s="2421"/>
      <c r="D11" s="2421"/>
      <c r="E11" s="2421"/>
      <c r="F11" s="2421"/>
      <c r="G11" s="2421"/>
      <c r="H11" s="2421"/>
      <c r="I11" s="2421"/>
      <c r="J11" s="2421"/>
      <c r="K11" s="2421"/>
      <c r="L11" s="2421"/>
      <c r="M11" s="2421"/>
      <c r="N11" s="2421"/>
      <c r="O11" s="2421"/>
      <c r="P11" s="2421"/>
      <c r="Q11" s="2421"/>
      <c r="R11" s="2421"/>
      <c r="S11" s="2421"/>
      <c r="T11" s="2421"/>
      <c r="U11" s="2421"/>
      <c r="V11" s="2421"/>
      <c r="W11" s="2421"/>
      <c r="X11" s="2421"/>
      <c r="Y11" s="2421"/>
      <c r="Z11" s="2421"/>
      <c r="AA11" s="2421"/>
      <c r="AB11" s="2421"/>
      <c r="AC11" s="2421"/>
      <c r="AD11" s="2421"/>
      <c r="AE11" s="2421"/>
      <c r="AF11" s="2421"/>
      <c r="AG11" s="2421"/>
      <c r="AH11" s="2421"/>
      <c r="AI11" s="2421"/>
      <c r="AJ11" s="2421"/>
      <c r="AK11" s="2421"/>
      <c r="AL11" s="2421"/>
      <c r="AM11" s="2422"/>
    </row>
    <row r="12" spans="1:47" s="95" customFormat="1" ht="9" customHeight="1" thickBot="1"/>
    <row r="13" spans="1:47" s="95" customFormat="1" ht="36" hidden="1" customHeight="1">
      <c r="B13" s="2006" t="s">
        <v>538</v>
      </c>
      <c r="C13" s="1888"/>
      <c r="D13" s="1888"/>
      <c r="E13" s="1888"/>
      <c r="F13" s="1888"/>
      <c r="G13" s="1888"/>
      <c r="H13" s="1888"/>
      <c r="I13" s="1888"/>
      <c r="J13" s="1888"/>
      <c r="K13" s="1888"/>
      <c r="L13" s="1888"/>
      <c r="M13" s="1888"/>
      <c r="N13" s="1888"/>
      <c r="O13" s="1888"/>
      <c r="P13" s="1888"/>
      <c r="Q13" s="1888"/>
      <c r="R13" s="1888"/>
      <c r="S13" s="1888"/>
      <c r="T13" s="1888"/>
      <c r="U13" s="1888"/>
      <c r="V13" s="1888"/>
      <c r="W13" s="1888"/>
      <c r="X13" s="1888"/>
      <c r="Y13" s="1888"/>
      <c r="Z13" s="1888"/>
      <c r="AA13" s="1888"/>
      <c r="AB13" s="1888"/>
      <c r="AC13" s="1888"/>
      <c r="AD13" s="1888"/>
      <c r="AE13" s="1888"/>
      <c r="AF13" s="1888"/>
      <c r="AG13" s="1888"/>
      <c r="AH13" s="1888"/>
      <c r="AI13" s="1888"/>
      <c r="AJ13" s="1888"/>
      <c r="AK13" s="1888"/>
      <c r="AL13" s="1888"/>
      <c r="AM13" s="1888"/>
    </row>
    <row r="14" spans="1:47" ht="9" hidden="1" customHeight="1">
      <c r="AM14" s="55"/>
      <c r="AO14" s="354" t="b">
        <f>vmIsMhp="Yes"</f>
        <v>1</v>
      </c>
      <c r="AP14" s="354" t="s">
        <v>539</v>
      </c>
      <c r="AR14" s="716"/>
      <c r="AS14" s="716"/>
      <c r="AT14" s="57"/>
      <c r="AU14" s="474"/>
    </row>
    <row r="15" spans="1:47" ht="18.75" hidden="1" customHeight="1" thickBot="1">
      <c r="B15" s="2418" t="s">
        <v>540</v>
      </c>
      <c r="C15" s="1953"/>
      <c r="D15" s="1953"/>
      <c r="E15" s="1953"/>
      <c r="F15" s="1953"/>
      <c r="G15" s="1953"/>
      <c r="H15" s="1953"/>
      <c r="I15" s="1953"/>
      <c r="J15" s="1953"/>
      <c r="K15" s="1953"/>
      <c r="L15" s="1953"/>
      <c r="M15" s="1953"/>
      <c r="N15" s="1953"/>
      <c r="O15" s="1953"/>
      <c r="P15" s="1953"/>
      <c r="Q15" s="1953"/>
      <c r="R15" s="1953"/>
      <c r="S15" s="1953"/>
      <c r="T15" s="1953"/>
      <c r="U15" s="1953"/>
      <c r="V15" s="1953"/>
      <c r="W15" s="1953"/>
      <c r="X15" s="1953"/>
      <c r="Y15" s="1953"/>
      <c r="Z15" s="1953"/>
      <c r="AA15" s="1953"/>
      <c r="AB15" s="1953"/>
      <c r="AC15" s="1953"/>
      <c r="AD15" s="1953"/>
      <c r="AE15" s="1953"/>
      <c r="AF15" s="1953"/>
      <c r="AG15" s="1953"/>
      <c r="AH15" s="1953"/>
      <c r="AI15" s="1953"/>
      <c r="AJ15" s="1953"/>
      <c r="AK15" s="1953"/>
      <c r="AL15" s="1953"/>
      <c r="AM15" s="1953"/>
      <c r="AO15" s="354" t="b">
        <f>vmIsTod="Yes"</f>
        <v>0</v>
      </c>
      <c r="AP15" s="354" t="s">
        <v>541</v>
      </c>
    </row>
    <row r="16" spans="1:47" ht="18" hidden="1" customHeight="1" thickBot="1">
      <c r="B16" s="1796"/>
      <c r="C16" s="1796"/>
      <c r="D16" s="1796"/>
      <c r="E16" s="1796"/>
      <c r="F16" s="1796"/>
      <c r="G16" s="1796"/>
      <c r="H16" s="1796"/>
      <c r="I16" s="1796"/>
      <c r="J16" s="1796"/>
      <c r="K16" s="1796"/>
      <c r="L16" s="1796"/>
      <c r="M16" s="1796"/>
      <c r="N16" s="1796"/>
      <c r="O16" s="1796"/>
      <c r="P16" s="1796"/>
      <c r="Q16" s="1796"/>
      <c r="R16" s="1796"/>
      <c r="S16" s="1796"/>
      <c r="T16" s="1796"/>
      <c r="U16" s="1796"/>
      <c r="V16" s="1796"/>
      <c r="W16" s="1796"/>
      <c r="X16" s="1796"/>
      <c r="Y16" s="1796"/>
      <c r="Z16" s="1796"/>
      <c r="AA16" s="1796"/>
      <c r="AB16" s="1796"/>
      <c r="AC16" s="1796"/>
      <c r="AD16" s="1796"/>
      <c r="AE16" s="1796"/>
      <c r="AF16" s="1796"/>
      <c r="AG16" s="1796"/>
      <c r="AH16" s="1796"/>
      <c r="AI16" s="1796"/>
      <c r="AJ16" s="1796"/>
      <c r="AK16" s="1796"/>
      <c r="AL16" s="1796"/>
      <c r="AM16" s="1796"/>
      <c r="AN16" s="717"/>
      <c r="AO16" s="354" t="b">
        <f>vmIsVhhp="Yes"</f>
        <v>0</v>
      </c>
      <c r="AP16" s="354" t="s">
        <v>542</v>
      </c>
      <c r="AQ16" s="515"/>
      <c r="AR16" s="15"/>
      <c r="AS16" s="15"/>
    </row>
    <row r="17" spans="1:47" ht="18" hidden="1" customHeight="1">
      <c r="B17" s="1996"/>
      <c r="C17" s="1910"/>
      <c r="D17" s="1910"/>
      <c r="E17" s="1910"/>
      <c r="F17" s="1910"/>
      <c r="G17" s="1910"/>
      <c r="H17" s="1910"/>
      <c r="I17" s="1910"/>
      <c r="J17" s="1910"/>
      <c r="K17" s="1910"/>
      <c r="L17" s="1910"/>
      <c r="M17" s="1910"/>
      <c r="N17" s="1910"/>
      <c r="O17" s="1910"/>
      <c r="P17" s="1910"/>
      <c r="Q17" s="1910"/>
      <c r="R17" s="1910"/>
      <c r="S17" s="1910"/>
      <c r="T17" s="1910"/>
      <c r="U17" s="1910"/>
      <c r="V17" s="1910"/>
      <c r="W17" s="1910"/>
      <c r="X17" s="1910"/>
      <c r="Y17" s="1910"/>
      <c r="Z17" s="1910"/>
      <c r="AA17" s="1910"/>
      <c r="AB17" s="1910"/>
      <c r="AC17" s="1910"/>
      <c r="AD17" s="1910"/>
      <c r="AE17" s="1910"/>
      <c r="AF17" s="1910"/>
      <c r="AG17" s="1910"/>
      <c r="AH17" s="1910"/>
      <c r="AI17" s="1910"/>
      <c r="AJ17" s="1910"/>
      <c r="AK17" s="1910"/>
      <c r="AL17" s="1910"/>
      <c r="AM17" s="1888"/>
      <c r="AN17" s="717"/>
      <c r="AO17" s="354" t="b">
        <f>vmIsShmhp="Yes"</f>
        <v>0</v>
      </c>
      <c r="AP17" s="718" t="s">
        <v>543</v>
      </c>
      <c r="AQ17" s="15"/>
      <c r="AR17" s="15"/>
      <c r="AS17" s="15"/>
    </row>
    <row r="18" spans="1:47" ht="18" hidden="1" customHeight="1">
      <c r="B18" s="1994" t="s">
        <v>201</v>
      </c>
      <c r="C18" s="1862"/>
      <c r="D18" s="2017" t="s">
        <v>544</v>
      </c>
      <c r="E18" s="1777"/>
      <c r="F18" s="1777"/>
      <c r="G18" s="1777"/>
      <c r="H18" s="1777"/>
      <c r="I18" s="1777"/>
      <c r="J18" s="1777"/>
      <c r="K18" s="1777"/>
      <c r="L18" s="1777"/>
      <c r="M18" s="1777"/>
      <c r="N18" s="1777"/>
      <c r="O18" s="1777"/>
      <c r="P18" s="1777"/>
      <c r="Q18" s="1777"/>
      <c r="R18" s="1777"/>
      <c r="S18" s="1777"/>
      <c r="T18" s="1778"/>
      <c r="V18" s="1997" t="s">
        <v>545</v>
      </c>
      <c r="W18" s="1777"/>
      <c r="X18" s="1777"/>
      <c r="Y18" s="1777"/>
      <c r="Z18" s="1777"/>
      <c r="AA18" s="1777"/>
      <c r="AB18" s="1777"/>
      <c r="AC18" s="1777"/>
      <c r="AD18" s="1777"/>
      <c r="AE18" s="1777"/>
      <c r="AF18" s="1777"/>
      <c r="AG18" s="1777"/>
      <c r="AH18" s="1777"/>
      <c r="AI18" s="1777"/>
      <c r="AJ18" s="1777"/>
      <c r="AK18" s="1777"/>
      <c r="AL18" s="1994"/>
      <c r="AM18" s="1862"/>
      <c r="AN18" s="719"/>
      <c r="AO18" s="136"/>
      <c r="AP18" s="123"/>
      <c r="AR18" s="15"/>
      <c r="AS18" s="15"/>
    </row>
    <row r="19" spans="1:47" s="95" customFormat="1" ht="18" hidden="1" customHeight="1">
      <c r="AN19" s="171"/>
      <c r="AO19" s="171"/>
      <c r="AP19" s="171"/>
      <c r="AQ19" s="171"/>
      <c r="AR19" s="171"/>
      <c r="AS19" s="171"/>
      <c r="AU19" s="55"/>
    </row>
    <row r="20" spans="1:47" ht="18" hidden="1" customHeight="1">
      <c r="B20" s="2132"/>
      <c r="C20" s="1862"/>
      <c r="D20" s="2017" t="s">
        <v>546</v>
      </c>
      <c r="E20" s="1777"/>
      <c r="F20" s="1777"/>
      <c r="G20" s="1777"/>
      <c r="H20" s="1777"/>
      <c r="I20" s="1777"/>
      <c r="J20" s="1777"/>
      <c r="K20" s="1777"/>
      <c r="L20" s="1777"/>
      <c r="M20" s="1777"/>
      <c r="N20" s="1777"/>
      <c r="O20" s="1777"/>
      <c r="P20" s="1777"/>
      <c r="Q20" s="1777"/>
      <c r="R20" s="1777"/>
      <c r="S20" s="1777"/>
      <c r="T20" s="1778"/>
      <c r="U20" s="221"/>
      <c r="V20" s="1997" t="s">
        <v>547</v>
      </c>
      <c r="W20" s="1777"/>
      <c r="X20" s="1777"/>
      <c r="Y20" s="1777"/>
      <c r="Z20" s="1777"/>
      <c r="AA20" s="1777"/>
      <c r="AB20" s="1777"/>
      <c r="AC20" s="1777"/>
      <c r="AD20" s="1777"/>
      <c r="AE20" s="1777"/>
      <c r="AF20" s="1777"/>
      <c r="AG20" s="1777"/>
      <c r="AH20" s="1777"/>
      <c r="AI20" s="1777"/>
      <c r="AJ20" s="1777"/>
      <c r="AK20" s="1777"/>
      <c r="AL20" s="1994"/>
      <c r="AM20" s="1862"/>
      <c r="AN20" s="719"/>
      <c r="AO20" s="57"/>
      <c r="AP20" s="2132" t="s">
        <v>201</v>
      </c>
      <c r="AQ20" s="1862"/>
      <c r="AR20" s="15"/>
      <c r="AS20" s="15"/>
    </row>
    <row r="21" spans="1:47" s="95" customFormat="1" ht="18" hidden="1" customHeight="1">
      <c r="AN21" s="171"/>
      <c r="AO21" s="171"/>
      <c r="AP21" s="171"/>
      <c r="AQ21" s="171"/>
      <c r="AR21" s="171"/>
      <c r="AS21" s="171"/>
      <c r="AU21" s="55"/>
    </row>
    <row r="22" spans="1:47" ht="24.75" hidden="1" customHeight="1">
      <c r="B22" s="2249" t="s">
        <v>198</v>
      </c>
      <c r="C22" s="2022"/>
      <c r="D22" s="2241" t="s">
        <v>548</v>
      </c>
      <c r="E22" s="1910"/>
      <c r="F22" s="1910"/>
      <c r="G22" s="1910"/>
      <c r="H22" s="1910"/>
      <c r="I22" s="1910"/>
      <c r="J22" s="1910"/>
      <c r="K22" s="1910"/>
      <c r="L22" s="1910"/>
      <c r="M22" s="1910"/>
      <c r="N22" s="1910"/>
      <c r="O22" s="1910"/>
      <c r="P22" s="1910"/>
      <c r="Q22" s="1910"/>
      <c r="R22" s="1910"/>
      <c r="S22" s="1910"/>
      <c r="T22" s="1910"/>
      <c r="V22" s="1997" t="s">
        <v>549</v>
      </c>
      <c r="W22" s="1777"/>
      <c r="X22" s="1777"/>
      <c r="Y22" s="1777"/>
      <c r="Z22" s="1777"/>
      <c r="AA22" s="1777"/>
      <c r="AB22" s="1777"/>
      <c r="AC22" s="1777"/>
      <c r="AD22" s="1777"/>
      <c r="AE22" s="1777"/>
      <c r="AF22" s="1777"/>
      <c r="AG22" s="1777"/>
      <c r="AH22" s="1777"/>
      <c r="AI22" s="1777"/>
      <c r="AJ22" s="1777"/>
      <c r="AK22" s="1777"/>
      <c r="AL22" s="1994"/>
      <c r="AM22" s="1862"/>
      <c r="AN22" s="719"/>
      <c r="AQ22" s="15"/>
      <c r="AR22" s="15"/>
      <c r="AS22" s="15"/>
    </row>
    <row r="23" spans="1:47" ht="26.25" hidden="1" customHeight="1" thickBot="1">
      <c r="A23" s="1667"/>
      <c r="B23" s="720"/>
      <c r="C23" s="720"/>
      <c r="D23" s="720"/>
      <c r="E23" s="720"/>
      <c r="F23" s="720"/>
      <c r="G23" s="720"/>
      <c r="H23" s="720"/>
      <c r="I23" s="720"/>
      <c r="J23" s="720"/>
      <c r="K23" s="720"/>
      <c r="L23" s="720"/>
      <c r="M23" s="720"/>
      <c r="N23" s="720"/>
      <c r="O23" s="720"/>
      <c r="P23" s="720"/>
      <c r="Q23" s="720"/>
      <c r="R23" s="720"/>
      <c r="S23" s="720"/>
      <c r="T23" s="720"/>
      <c r="U23" s="720"/>
      <c r="V23" s="720"/>
      <c r="W23" s="720"/>
      <c r="X23" s="720"/>
      <c r="Y23" s="720"/>
      <c r="Z23" s="720"/>
      <c r="AA23" s="720"/>
      <c r="AB23" s="720"/>
      <c r="AC23" s="720"/>
      <c r="AD23" s="720"/>
      <c r="AE23" s="720"/>
      <c r="AF23" s="720"/>
      <c r="AG23" s="720"/>
      <c r="AH23" s="720"/>
      <c r="AI23" s="720"/>
      <c r="AJ23" s="720"/>
      <c r="AK23" s="720"/>
      <c r="AL23" s="720"/>
      <c r="AM23" s="720"/>
      <c r="AN23" s="719"/>
      <c r="AQ23" s="16"/>
      <c r="AR23" s="16"/>
      <c r="AS23" s="16"/>
    </row>
    <row r="24" spans="1:47" s="122" customFormat="1" ht="32.25" hidden="1" customHeight="1">
      <c r="A24" s="95"/>
      <c r="AN24" s="215"/>
      <c r="AO24" s="215"/>
      <c r="AP24" s="215"/>
      <c r="AQ24" s="215"/>
      <c r="AR24" s="215"/>
      <c r="AS24" s="215"/>
    </row>
    <row r="25" spans="1:47" s="122" customFormat="1" ht="36" hidden="1" customHeight="1">
      <c r="A25" s="95"/>
      <c r="B25" s="1802" t="s">
        <v>550</v>
      </c>
      <c r="C25" s="1913"/>
      <c r="D25" s="1913"/>
      <c r="E25" s="1913"/>
      <c r="F25" s="1913"/>
      <c r="G25" s="1913"/>
      <c r="H25" s="1913"/>
      <c r="I25" s="1913"/>
      <c r="J25" s="1913"/>
      <c r="K25" s="1913"/>
      <c r="L25" s="1913"/>
      <c r="M25" s="1913"/>
      <c r="N25" s="1913"/>
      <c r="O25" s="1913"/>
      <c r="P25" s="1913"/>
      <c r="Q25" s="1913"/>
      <c r="R25" s="1913"/>
      <c r="S25" s="1913"/>
      <c r="T25" s="1913"/>
      <c r="U25" s="1913"/>
      <c r="V25" s="1913"/>
      <c r="W25" s="1913"/>
      <c r="X25" s="1913"/>
      <c r="Y25" s="1913"/>
      <c r="Z25" s="1913"/>
      <c r="AA25" s="1913"/>
      <c r="AB25" s="1913"/>
      <c r="AC25" s="1913"/>
      <c r="AD25" s="1913"/>
      <c r="AE25" s="1913"/>
      <c r="AF25" s="1913"/>
      <c r="AG25" s="1913"/>
      <c r="AH25" s="1913"/>
      <c r="AI25" s="1913"/>
      <c r="AJ25" s="1913"/>
      <c r="AK25" s="1913"/>
      <c r="AL25" s="1911"/>
      <c r="AM25" s="1862"/>
      <c r="AN25" s="215"/>
      <c r="AO25" s="215"/>
      <c r="AP25" s="215"/>
      <c r="AQ25" s="215"/>
      <c r="AR25" s="215"/>
      <c r="AS25" s="215"/>
    </row>
    <row r="26" spans="1:47" s="122" customFormat="1" ht="18" hidden="1" customHeight="1" thickBot="1">
      <c r="A26" s="95"/>
      <c r="B26" s="721"/>
      <c r="C26" s="721"/>
      <c r="D26" s="721"/>
      <c r="E26" s="721"/>
      <c r="F26" s="721"/>
      <c r="G26" s="721"/>
      <c r="H26" s="721"/>
      <c r="I26" s="721"/>
      <c r="J26" s="721"/>
      <c r="K26" s="721"/>
      <c r="L26" s="721"/>
      <c r="M26" s="721"/>
      <c r="N26" s="721"/>
      <c r="O26" s="721"/>
      <c r="P26" s="721"/>
      <c r="Q26" s="721"/>
      <c r="R26" s="721"/>
      <c r="S26" s="721"/>
      <c r="T26" s="721"/>
      <c r="U26" s="721"/>
      <c r="V26" s="721"/>
      <c r="W26" s="721"/>
      <c r="X26" s="721"/>
      <c r="Y26" s="721"/>
      <c r="Z26" s="721"/>
      <c r="AA26" s="721"/>
      <c r="AB26" s="721"/>
      <c r="AC26" s="721"/>
      <c r="AD26" s="721"/>
      <c r="AE26" s="721"/>
      <c r="AF26" s="721"/>
      <c r="AG26" s="721"/>
      <c r="AH26" s="721"/>
      <c r="AI26" s="721"/>
      <c r="AJ26" s="721"/>
      <c r="AK26" s="721"/>
      <c r="AL26" s="721"/>
      <c r="AM26" s="721"/>
      <c r="AN26" s="215"/>
      <c r="AO26" s="215"/>
      <c r="AP26" s="215"/>
      <c r="AQ26" s="215"/>
      <c r="AR26" s="215"/>
      <c r="AS26" s="215"/>
    </row>
    <row r="27" spans="1:47" s="122" customFormat="1" ht="18" hidden="1" customHeight="1">
      <c r="A27" s="95"/>
      <c r="AN27" s="215"/>
      <c r="AO27" s="215"/>
      <c r="AP27" s="215"/>
      <c r="AQ27" s="215"/>
      <c r="AR27" s="215"/>
      <c r="AS27" s="215"/>
    </row>
    <row r="28" spans="1:47" ht="18" hidden="1" customHeight="1" thickBot="1">
      <c r="B28" s="2419" t="s">
        <v>551</v>
      </c>
      <c r="C28" s="1796"/>
      <c r="D28" s="1796"/>
      <c r="E28" s="1796"/>
      <c r="F28" s="1796"/>
      <c r="G28" s="1796"/>
      <c r="H28" s="1796"/>
      <c r="I28" s="1796"/>
      <c r="J28" s="2174" t="str">
        <f>CONCATENATE(IF(IsMhp,"MHP §7302(d)",""),"  ",IF(IsIig,"IIG §200(a)",""),"  ",IF(IsSerna,"FWHG §202",""),"  ",IF(IsVhhp,"VHHP §201 Guidelines dated May 18, 2023",""))</f>
        <v xml:space="preserve">MHP §7302(d)      </v>
      </c>
      <c r="K28" s="1796"/>
      <c r="L28" s="1796"/>
      <c r="M28" s="1796"/>
      <c r="N28" s="1796"/>
      <c r="O28" s="1796"/>
      <c r="P28" s="1796"/>
      <c r="Q28" s="1796"/>
      <c r="R28" s="1796"/>
      <c r="S28" s="1796"/>
      <c r="T28" s="1796"/>
      <c r="U28" s="1796"/>
      <c r="V28" s="1796"/>
      <c r="W28" s="1796"/>
      <c r="X28" s="1796"/>
      <c r="Y28" s="1796"/>
      <c r="Z28" s="1796"/>
      <c r="AA28" s="1796"/>
      <c r="AB28" s="1796"/>
      <c r="AC28" s="1796"/>
      <c r="AD28" s="1796"/>
      <c r="AE28" s="1796"/>
      <c r="AF28" s="1796"/>
      <c r="AG28" s="1796"/>
      <c r="AH28" s="1796"/>
      <c r="AI28" s="1796"/>
      <c r="AJ28" s="1796"/>
      <c r="AK28" s="1796"/>
      <c r="AL28" s="1796"/>
      <c r="AM28" s="1796"/>
      <c r="AN28" s="719"/>
      <c r="AO28" s="215"/>
      <c r="AQ28" s="16"/>
      <c r="AR28" s="16"/>
      <c r="AS28" s="16"/>
    </row>
    <row r="29" spans="1:47" s="474" customFormat="1" ht="18" hidden="1" customHeight="1">
      <c r="A29" s="138"/>
      <c r="B29" s="722"/>
      <c r="C29" s="722"/>
      <c r="D29" s="722"/>
      <c r="E29" s="722"/>
      <c r="F29" s="722"/>
      <c r="G29" s="722"/>
      <c r="H29" s="722"/>
      <c r="I29" s="722"/>
      <c r="J29" s="722"/>
      <c r="K29" s="722"/>
      <c r="L29" s="722"/>
      <c r="M29" s="722"/>
      <c r="N29" s="722"/>
      <c r="O29" s="722"/>
      <c r="P29" s="722"/>
      <c r="Q29" s="722"/>
      <c r="R29" s="722"/>
      <c r="S29" s="722"/>
      <c r="T29" s="723"/>
      <c r="U29" s="723"/>
      <c r="V29" s="723"/>
      <c r="W29" s="723"/>
      <c r="X29" s="723"/>
      <c r="Y29" s="723"/>
      <c r="Z29" s="723"/>
      <c r="AA29" s="724"/>
      <c r="AB29" s="724"/>
      <c r="AC29" s="724"/>
      <c r="AD29" s="724"/>
      <c r="AE29" s="724"/>
      <c r="AF29" s="724"/>
      <c r="AG29" s="724"/>
      <c r="AH29" s="724"/>
      <c r="AI29" s="724"/>
      <c r="AJ29" s="724"/>
      <c r="AK29" s="724"/>
      <c r="AL29" s="724"/>
      <c r="AM29" s="724"/>
      <c r="AN29" s="719"/>
      <c r="AO29" s="718"/>
      <c r="AP29" s="718"/>
      <c r="AQ29" s="16"/>
      <c r="AR29" s="16"/>
      <c r="AS29" s="16"/>
    </row>
    <row r="30" spans="1:47" s="474" customFormat="1" ht="18" hidden="1" customHeight="1">
      <c r="A30" s="138"/>
      <c r="B30" s="1994"/>
      <c r="C30" s="1862"/>
      <c r="D30" s="2019" t="s">
        <v>552</v>
      </c>
      <c r="E30" s="1777"/>
      <c r="F30" s="1777"/>
      <c r="G30" s="1777"/>
      <c r="H30" s="1777"/>
      <c r="I30" s="1777"/>
      <c r="J30" s="1777"/>
      <c r="K30" s="1777"/>
      <c r="L30" s="1777"/>
      <c r="M30" s="1777"/>
      <c r="N30" s="1777"/>
      <c r="O30" s="1777"/>
      <c r="P30" s="1777"/>
      <c r="Q30" s="1777"/>
      <c r="R30" s="1777"/>
      <c r="S30" s="1778"/>
      <c r="T30" s="723"/>
      <c r="U30" s="723"/>
      <c r="V30" s="723"/>
      <c r="W30" s="723"/>
      <c r="X30" s="723"/>
      <c r="Y30" s="723"/>
      <c r="Z30" s="723"/>
      <c r="AA30" s="724"/>
      <c r="AB30" s="724"/>
      <c r="AC30" s="724"/>
      <c r="AD30" s="724"/>
      <c r="AE30" s="724"/>
      <c r="AF30" s="724"/>
      <c r="AG30" s="724"/>
      <c r="AH30" s="724"/>
      <c r="AI30" s="724"/>
      <c r="AJ30" s="724"/>
      <c r="AK30" s="724"/>
      <c r="AL30" s="724"/>
      <c r="AM30" s="724"/>
      <c r="AN30" s="719"/>
      <c r="AO30" s="354" t="b">
        <f>vmCIP="Yes"</f>
        <v>0</v>
      </c>
      <c r="AP30" s="136" t="s">
        <v>553</v>
      </c>
      <c r="AQ30" s="16"/>
      <c r="AR30" s="16"/>
      <c r="AS30" s="16"/>
    </row>
    <row r="31" spans="1:47" s="95" customFormat="1" ht="9" hidden="1" customHeight="1"/>
    <row r="32" spans="1:47" s="474" customFormat="1" ht="18" hidden="1" customHeight="1">
      <c r="A32" s="138"/>
      <c r="B32" s="2361" t="s">
        <v>554</v>
      </c>
      <c r="C32" s="1964"/>
      <c r="D32" s="1964"/>
      <c r="E32" s="1964"/>
      <c r="F32" s="1964"/>
      <c r="G32" s="1964"/>
      <c r="H32" s="1964"/>
      <c r="I32" s="1964"/>
      <c r="J32" s="1964"/>
      <c r="K32" s="1964"/>
      <c r="L32" s="1964"/>
      <c r="M32" s="1964"/>
      <c r="N32" s="1964"/>
      <c r="O32" s="1964"/>
      <c r="P32" s="1964"/>
      <c r="Q32" s="1964"/>
      <c r="R32" s="1964"/>
      <c r="S32" s="1964"/>
      <c r="T32" s="1964"/>
      <c r="U32" s="1964"/>
      <c r="V32" s="1964"/>
      <c r="W32" s="1964"/>
      <c r="X32" s="1964"/>
      <c r="Y32" s="1964"/>
      <c r="Z32" s="1964"/>
      <c r="AA32" s="1964"/>
      <c r="AB32" s="1964"/>
      <c r="AC32" s="1964"/>
      <c r="AD32" s="1964"/>
      <c r="AE32" s="1964"/>
      <c r="AF32" s="1964"/>
      <c r="AG32" s="1964"/>
      <c r="AH32" s="1964"/>
      <c r="AI32" s="1964"/>
      <c r="AJ32" s="1964"/>
      <c r="AK32" s="1889"/>
      <c r="AL32" s="1911"/>
      <c r="AM32" s="1862"/>
      <c r="AN32" s="719"/>
      <c r="AO32" s="718"/>
      <c r="AP32" s="718"/>
      <c r="AQ32" s="16"/>
    </row>
    <row r="33" spans="1:45" s="474" customFormat="1" ht="18" hidden="1" customHeight="1">
      <c r="A33" s="138"/>
      <c r="B33" s="1995" t="s">
        <v>555</v>
      </c>
      <c r="C33" s="1964"/>
      <c r="D33" s="1964"/>
      <c r="E33" s="1964"/>
      <c r="F33" s="1964"/>
      <c r="G33" s="1964"/>
      <c r="H33" s="1964"/>
      <c r="I33" s="1964"/>
      <c r="J33" s="1964"/>
      <c r="K33" s="1964"/>
      <c r="L33" s="1964"/>
      <c r="M33" s="1964"/>
      <c r="N33" s="1964"/>
      <c r="O33" s="1964"/>
      <c r="P33" s="1964"/>
      <c r="Q33" s="1964"/>
      <c r="R33" s="1964"/>
      <c r="S33" s="2233" t="str">
        <f>IF(AL33="No","To be eligible for funding, all IIG applications must include a Qualifying Infill Project.","")</f>
        <v/>
      </c>
      <c r="T33" s="1964"/>
      <c r="U33" s="1964"/>
      <c r="V33" s="1964"/>
      <c r="W33" s="1964"/>
      <c r="X33" s="1964"/>
      <c r="Y33" s="1964"/>
      <c r="Z33" s="1964"/>
      <c r="AA33" s="1964"/>
      <c r="AB33" s="1964"/>
      <c r="AC33" s="1964"/>
      <c r="AD33" s="1964"/>
      <c r="AE33" s="1964"/>
      <c r="AF33" s="1964"/>
      <c r="AG33" s="1964"/>
      <c r="AH33" s="1964"/>
      <c r="AI33" s="1964"/>
      <c r="AJ33" s="1964"/>
      <c r="AK33" s="1964"/>
      <c r="AL33" s="1911"/>
      <c r="AM33" s="1862"/>
      <c r="AN33" s="719"/>
      <c r="AO33" s="718"/>
      <c r="AP33" s="718"/>
      <c r="AQ33" s="16"/>
      <c r="AR33" s="16"/>
      <c r="AS33" s="16"/>
    </row>
    <row r="34" spans="1:45" s="474" customFormat="1" ht="18" hidden="1" customHeight="1">
      <c r="A34" s="138"/>
      <c r="B34" s="1964" t="s">
        <v>556</v>
      </c>
      <c r="C34" s="1964"/>
      <c r="D34" s="1964"/>
      <c r="E34" s="1964"/>
      <c r="F34" s="1964"/>
      <c r="G34" s="1964"/>
      <c r="H34" s="1964"/>
      <c r="I34" s="1964"/>
      <c r="J34" s="1964"/>
      <c r="K34" s="1964"/>
      <c r="L34" s="1964"/>
      <c r="M34" s="1964"/>
      <c r="N34" s="1964"/>
      <c r="O34" s="1964"/>
      <c r="P34" s="1964"/>
      <c r="Q34" s="1964"/>
      <c r="R34" s="1964"/>
      <c r="S34" s="1964"/>
      <c r="T34" s="1964"/>
      <c r="U34" s="1964"/>
      <c r="X34" s="122"/>
      <c r="Y34" s="122"/>
      <c r="Z34" s="122"/>
      <c r="AA34" s="122"/>
      <c r="AB34" s="122"/>
      <c r="AC34" s="122"/>
      <c r="AD34" s="122"/>
      <c r="AE34" s="122"/>
      <c r="AF34" s="122"/>
      <c r="AG34" s="122"/>
      <c r="AH34" s="122"/>
      <c r="AI34" s="122"/>
      <c r="AJ34" s="122"/>
      <c r="AK34" s="122"/>
      <c r="AL34" s="1911"/>
      <c r="AM34" s="1862"/>
      <c r="AN34" s="719"/>
      <c r="AO34" s="718"/>
      <c r="AP34" s="718"/>
      <c r="AQ34" s="16"/>
      <c r="AR34" s="16"/>
      <c r="AS34" s="16"/>
    </row>
    <row r="35" spans="1:45" s="95" customFormat="1" ht="36" hidden="1" customHeight="1">
      <c r="B35" s="2006" t="s">
        <v>557</v>
      </c>
      <c r="C35" s="1888"/>
      <c r="D35" s="1888"/>
      <c r="E35" s="1888"/>
      <c r="F35" s="1888"/>
      <c r="G35" s="1888"/>
      <c r="H35" s="1888"/>
      <c r="I35" s="1888"/>
      <c r="J35" s="1888"/>
      <c r="K35" s="1888"/>
      <c r="L35" s="1888"/>
      <c r="M35" s="1888"/>
      <c r="N35" s="1888"/>
      <c r="O35" s="1888"/>
      <c r="P35" s="1888"/>
      <c r="Q35" s="1888"/>
      <c r="R35" s="1888"/>
      <c r="S35" s="1888"/>
      <c r="T35" s="1888"/>
      <c r="U35" s="1888"/>
      <c r="V35" s="1888"/>
      <c r="W35" s="1888"/>
      <c r="X35" s="1888"/>
      <c r="Y35" s="1888"/>
      <c r="Z35" s="1888"/>
      <c r="AA35" s="1888"/>
      <c r="AB35" s="1888"/>
      <c r="AC35" s="1888"/>
      <c r="AD35" s="1888"/>
      <c r="AE35" s="1888"/>
      <c r="AF35" s="1888"/>
      <c r="AG35" s="1888"/>
      <c r="AH35" s="1888"/>
      <c r="AI35" s="1888"/>
      <c r="AJ35" s="1888"/>
      <c r="AK35" s="1888"/>
      <c r="AL35" s="1911"/>
      <c r="AM35" s="1862"/>
    </row>
    <row r="36" spans="1:45" s="474" customFormat="1" ht="18" hidden="1" customHeight="1">
      <c r="A36" s="138"/>
      <c r="B36" s="2326"/>
      <c r="C36" s="1861"/>
      <c r="D36" s="1861"/>
      <c r="E36" s="1861"/>
      <c r="F36" s="1861"/>
      <c r="G36" s="1861"/>
      <c r="H36" s="1861"/>
      <c r="I36" s="1861"/>
      <c r="J36" s="1861"/>
      <c r="K36" s="1861"/>
      <c r="L36" s="1861"/>
      <c r="M36" s="1861"/>
      <c r="N36" s="1861"/>
      <c r="O36" s="1861"/>
      <c r="P36" s="1861"/>
      <c r="Q36" s="1861"/>
      <c r="R36" s="1861"/>
      <c r="S36" s="1861"/>
      <c r="T36" s="1861"/>
      <c r="U36" s="1861"/>
      <c r="V36" s="1861"/>
      <c r="W36" s="1861"/>
      <c r="X36" s="1861"/>
      <c r="Y36" s="1861"/>
      <c r="Z36" s="1861"/>
      <c r="AA36" s="1861"/>
      <c r="AB36" s="1861"/>
      <c r="AC36" s="1861"/>
      <c r="AD36" s="1861"/>
      <c r="AE36" s="1861"/>
      <c r="AF36" s="1861"/>
      <c r="AG36" s="1862"/>
      <c r="AH36" s="122"/>
      <c r="AI36" s="122"/>
      <c r="AJ36" s="122"/>
      <c r="AK36" s="122"/>
      <c r="AL36" s="122"/>
      <c r="AM36" s="122"/>
      <c r="AN36" s="719"/>
      <c r="AO36" s="354"/>
      <c r="AP36" s="718"/>
      <c r="AQ36" s="16"/>
      <c r="AR36" s="16"/>
      <c r="AS36" s="16"/>
    </row>
    <row r="37" spans="1:45" s="474" customFormat="1" ht="18" hidden="1" customHeight="1">
      <c r="A37" s="138"/>
      <c r="B37" s="1866" t="s">
        <v>558</v>
      </c>
      <c r="C37" s="1777"/>
      <c r="D37" s="1778"/>
      <c r="E37" s="2140" t="str">
        <f>'Document Checklist-Full List'!$E$12</f>
        <v>04. Urban Area</v>
      </c>
      <c r="F37" s="1777"/>
      <c r="G37" s="1777"/>
      <c r="H37" s="1777"/>
      <c r="I37" s="1777"/>
      <c r="J37" s="1777"/>
      <c r="K37" s="1778"/>
      <c r="L37" s="1885" t="str">
        <f>'Document Checklist-Full List'!$N$12</f>
        <v>Provide documentation of location in an Urbanized Area.</v>
      </c>
      <c r="M37" s="1777"/>
      <c r="N37" s="1777"/>
      <c r="O37" s="1777"/>
      <c r="P37" s="1777"/>
      <c r="Q37" s="1777"/>
      <c r="R37" s="1777"/>
      <c r="S37" s="1777"/>
      <c r="T37" s="1777"/>
      <c r="U37" s="1777"/>
      <c r="V37" s="1777"/>
      <c r="W37" s="1777"/>
      <c r="X37" s="1777"/>
      <c r="Y37" s="1777"/>
      <c r="Z37" s="1777"/>
      <c r="AA37" s="1777"/>
      <c r="AB37" s="1777"/>
      <c r="AC37" s="1777"/>
      <c r="AD37" s="1777"/>
      <c r="AE37" s="1778"/>
      <c r="AF37" s="1886" t="s">
        <v>559</v>
      </c>
      <c r="AG37" s="1777"/>
      <c r="AH37" s="1777"/>
      <c r="AI37" s="1777"/>
      <c r="AJ37" s="1777"/>
      <c r="AK37" s="1778"/>
      <c r="AL37" s="1958"/>
      <c r="AM37" s="1862"/>
      <c r="AN37" s="719"/>
      <c r="AO37" s="718"/>
      <c r="AP37" s="718"/>
      <c r="AQ37" s="16"/>
      <c r="AR37" s="16"/>
      <c r="AS37" s="16"/>
    </row>
    <row r="38" spans="1:45" s="474" customFormat="1" ht="18" hidden="1" customHeight="1">
      <c r="A38" s="138"/>
      <c r="B38" s="1814" t="s">
        <v>560</v>
      </c>
      <c r="C38" s="1964"/>
      <c r="D38" s="1964"/>
      <c r="E38" s="1964"/>
      <c r="F38" s="1964"/>
      <c r="G38" s="1964"/>
      <c r="H38" s="1964"/>
      <c r="I38" s="1964"/>
      <c r="J38" s="1964"/>
      <c r="K38" s="1964"/>
      <c r="L38" s="1964"/>
      <c r="M38" s="1964"/>
      <c r="N38" s="1964"/>
      <c r="O38" s="1964"/>
      <c r="P38" s="1964"/>
      <c r="Q38" s="1964"/>
      <c r="R38" s="1964"/>
      <c r="S38" s="1964"/>
      <c r="T38" s="1964"/>
      <c r="U38" s="1964"/>
      <c r="V38" s="1964"/>
      <c r="W38" s="1964"/>
      <c r="X38" s="1964"/>
      <c r="Y38" s="1964"/>
      <c r="Z38" s="1964"/>
      <c r="AA38" s="1964"/>
      <c r="AB38" s="1964"/>
      <c r="AC38" s="1964"/>
      <c r="AD38" s="1964"/>
      <c r="AE38" s="1964"/>
      <c r="AF38" s="1964"/>
      <c r="AG38" s="1964"/>
      <c r="AH38" s="1964"/>
      <c r="AI38" s="1964"/>
      <c r="AJ38" s="1964"/>
      <c r="AK38" s="1964"/>
      <c r="AL38" s="2339"/>
      <c r="AM38" s="1865"/>
      <c r="AN38" s="719"/>
      <c r="AO38" s="718"/>
      <c r="AP38" s="718"/>
      <c r="AQ38" s="16"/>
      <c r="AR38" s="16"/>
      <c r="AS38" s="16"/>
    </row>
    <row r="39" spans="1:45" s="95" customFormat="1" ht="18" customHeight="1" thickTop="1">
      <c r="B39" s="1569"/>
      <c r="C39" s="1569"/>
      <c r="D39" s="1569"/>
      <c r="E39" s="1569"/>
      <c r="F39" s="1569"/>
      <c r="G39" s="1569"/>
      <c r="H39" s="1569"/>
      <c r="I39" s="1569"/>
      <c r="J39" s="1569"/>
      <c r="K39" s="1569"/>
      <c r="L39" s="1569"/>
      <c r="M39" s="1569"/>
      <c r="N39" s="1569"/>
      <c r="O39" s="1569"/>
      <c r="P39" s="1569"/>
      <c r="Q39" s="1569"/>
      <c r="R39" s="1569"/>
      <c r="S39" s="1569"/>
      <c r="T39" s="1569"/>
      <c r="U39" s="1569"/>
      <c r="V39" s="1569"/>
      <c r="W39" s="1569"/>
      <c r="X39" s="1569"/>
      <c r="Y39" s="1569"/>
      <c r="Z39" s="1569"/>
      <c r="AA39" s="1569"/>
      <c r="AB39" s="1569"/>
      <c r="AC39" s="1569"/>
      <c r="AD39" s="1569"/>
      <c r="AE39" s="1569"/>
      <c r="AF39" s="1569"/>
      <c r="AG39" s="1569"/>
      <c r="AH39" s="1569"/>
      <c r="AI39" s="1569"/>
      <c r="AJ39" s="1569"/>
      <c r="AK39" s="1569"/>
      <c r="AL39" s="1569"/>
      <c r="AM39" s="1569"/>
    </row>
    <row r="40" spans="1:45" s="474" customFormat="1" ht="18" hidden="1" customHeight="1">
      <c r="A40" s="138"/>
      <c r="B40" s="1994"/>
      <c r="C40" s="1862"/>
      <c r="D40" s="2017" t="str">
        <f>IF(AND(IsMhp,IsSerna),"Farmworker Housing (MHP &amp; FWHG)",IF(IsMhp,"Farmworker Housing (MHP)",IF(IsSerna,"Farmworker Housing (FWHG)","")))</f>
        <v>Farmworker Housing (MHP)</v>
      </c>
      <c r="E40" s="1777"/>
      <c r="F40" s="1777"/>
      <c r="G40" s="1777"/>
      <c r="H40" s="1777"/>
      <c r="I40" s="1777"/>
      <c r="J40" s="1777"/>
      <c r="K40" s="1777"/>
      <c r="L40" s="1777"/>
      <c r="M40" s="1777"/>
      <c r="N40" s="1777"/>
      <c r="O40" s="1777"/>
      <c r="P40" s="1777"/>
      <c r="Q40" s="1777"/>
      <c r="R40" s="1777"/>
      <c r="S40" s="1778"/>
      <c r="T40" s="221"/>
      <c r="U40" s="221"/>
      <c r="V40" s="221"/>
      <c r="W40" s="221"/>
      <c r="X40" s="723"/>
      <c r="Y40" s="723"/>
      <c r="Z40" s="723"/>
      <c r="AA40" s="724"/>
      <c r="AB40" s="724"/>
      <c r="AC40" s="724"/>
      <c r="AD40" s="724"/>
      <c r="AE40" s="724"/>
      <c r="AF40" s="724"/>
      <c r="AG40" s="724"/>
      <c r="AH40" s="724"/>
      <c r="AI40" s="724"/>
      <c r="AJ40" s="724"/>
      <c r="AK40" s="724"/>
      <c r="AL40" s="724"/>
      <c r="AM40" s="724"/>
      <c r="AN40" s="719"/>
      <c r="AO40" s="354" t="b">
        <f>vmFarmworker="Yes"</f>
        <v>0</v>
      </c>
      <c r="AP40" s="136" t="s">
        <v>561</v>
      </c>
      <c r="AQ40" s="16"/>
      <c r="AR40" s="16"/>
      <c r="AS40" s="16"/>
    </row>
    <row r="41" spans="1:45" s="474" customFormat="1" ht="36" hidden="1" customHeight="1">
      <c r="A41" s="138"/>
      <c r="B41" s="2315" t="s">
        <v>562</v>
      </c>
      <c r="C41" s="1964"/>
      <c r="D41" s="1964"/>
      <c r="E41" s="1964"/>
      <c r="F41" s="1964"/>
      <c r="G41" s="1964"/>
      <c r="H41" s="1964"/>
      <c r="I41" s="1964"/>
      <c r="J41" s="1964"/>
      <c r="K41" s="1964"/>
      <c r="L41" s="1964"/>
      <c r="M41" s="1964"/>
      <c r="N41" s="1964"/>
      <c r="O41" s="1964"/>
      <c r="P41" s="1964"/>
      <c r="Q41" s="1964"/>
      <c r="R41" s="1964"/>
      <c r="S41" s="1964"/>
      <c r="T41" s="1964"/>
      <c r="U41" s="1964"/>
      <c r="V41" s="1964"/>
      <c r="W41" s="1964"/>
      <c r="X41" s="1964"/>
      <c r="Y41" s="1964"/>
      <c r="Z41" s="1964"/>
      <c r="AA41" s="1964"/>
      <c r="AB41" s="1964"/>
      <c r="AC41" s="1964"/>
      <c r="AD41" s="1964"/>
      <c r="AE41" s="1964"/>
      <c r="AF41" s="1964"/>
      <c r="AG41" s="1964"/>
      <c r="AH41" s="1964"/>
      <c r="AI41" s="1964"/>
      <c r="AJ41" s="1964"/>
      <c r="AK41" s="1964"/>
      <c r="AL41" s="1911"/>
      <c r="AM41" s="1862"/>
      <c r="AN41" s="719"/>
      <c r="AO41" s="718"/>
      <c r="AP41" s="718"/>
      <c r="AQ41" s="16"/>
      <c r="AR41" s="16"/>
      <c r="AS41" s="16"/>
    </row>
    <row r="42" spans="1:45" s="474" customFormat="1" ht="18" hidden="1" customHeight="1">
      <c r="A42" s="138"/>
      <c r="B42" s="722"/>
      <c r="C42" s="722"/>
      <c r="D42" s="722"/>
      <c r="E42" s="722"/>
      <c r="F42" s="722"/>
      <c r="G42" s="722"/>
      <c r="H42" s="722"/>
      <c r="I42" s="722"/>
      <c r="J42" s="722"/>
      <c r="K42" s="722"/>
      <c r="L42" s="722"/>
      <c r="M42" s="722"/>
      <c r="N42" s="722"/>
      <c r="O42" s="722"/>
      <c r="P42" s="722"/>
      <c r="Q42" s="722"/>
      <c r="R42" s="722"/>
      <c r="S42" s="722"/>
      <c r="T42" s="723"/>
      <c r="U42" s="723"/>
      <c r="V42" s="723"/>
      <c r="W42" s="723"/>
      <c r="X42" s="723"/>
      <c r="Y42" s="723"/>
      <c r="Z42" s="723"/>
      <c r="AA42" s="724"/>
      <c r="AB42" s="724"/>
      <c r="AC42" s="724"/>
      <c r="AD42" s="724"/>
      <c r="AE42" s="724"/>
      <c r="AF42" s="724"/>
      <c r="AG42" s="724"/>
      <c r="AH42" s="724"/>
      <c r="AI42" s="724"/>
      <c r="AJ42" s="724"/>
      <c r="AK42" s="724"/>
      <c r="AL42" s="724"/>
      <c r="AM42" s="724"/>
      <c r="AN42" s="719"/>
      <c r="AO42" s="718"/>
      <c r="AP42" s="718"/>
      <c r="AQ42" s="16"/>
      <c r="AR42" s="16"/>
      <c r="AS42" s="16"/>
    </row>
    <row r="43" spans="1:45" s="474" customFormat="1" ht="18" hidden="1" customHeight="1">
      <c r="A43" s="138"/>
      <c r="B43" s="1994"/>
      <c r="C43" s="1862"/>
      <c r="D43" s="2019" t="s">
        <v>563</v>
      </c>
      <c r="E43" s="1777"/>
      <c r="F43" s="1777"/>
      <c r="G43" s="1777"/>
      <c r="H43" s="1777"/>
      <c r="I43" s="1777"/>
      <c r="J43" s="1777"/>
      <c r="K43" s="1777"/>
      <c r="L43" s="1777"/>
      <c r="M43" s="1777"/>
      <c r="N43" s="1777"/>
      <c r="O43" s="1777"/>
      <c r="P43" s="1777"/>
      <c r="Q43" s="1777"/>
      <c r="R43" s="1777"/>
      <c r="S43" s="1778"/>
      <c r="T43" s="723"/>
      <c r="U43" s="723"/>
      <c r="V43" s="723"/>
      <c r="W43" s="723"/>
      <c r="X43" s="723"/>
      <c r="Y43" s="723"/>
      <c r="Z43" s="723"/>
      <c r="AA43" s="724"/>
      <c r="AB43" s="724"/>
      <c r="AC43" s="724"/>
      <c r="AD43" s="724"/>
      <c r="AE43" s="724"/>
      <c r="AF43" s="724"/>
      <c r="AG43" s="724"/>
      <c r="AH43" s="724"/>
      <c r="AI43" s="724"/>
      <c r="AJ43" s="724"/>
      <c r="AK43" s="724"/>
      <c r="AL43" s="724"/>
      <c r="AM43" s="724"/>
      <c r="AN43" s="719"/>
      <c r="AO43" s="354" t="b">
        <f>vmAtHighRisk="yes"</f>
        <v>0</v>
      </c>
      <c r="AP43" s="354" t="s">
        <v>564</v>
      </c>
      <c r="AQ43" s="16"/>
      <c r="AR43" s="16"/>
      <c r="AS43" s="16"/>
    </row>
    <row r="44" spans="1:45" s="474" customFormat="1" ht="18" hidden="1" customHeight="1">
      <c r="A44" s="138"/>
      <c r="B44" s="1963" t="s">
        <v>565</v>
      </c>
      <c r="C44" s="1964"/>
      <c r="D44" s="1964"/>
      <c r="E44" s="1964"/>
      <c r="F44" s="1964"/>
      <c r="G44" s="1964"/>
      <c r="H44" s="1964"/>
      <c r="I44" s="1964"/>
      <c r="J44" s="1964"/>
      <c r="K44" s="1964"/>
      <c r="L44" s="1964"/>
      <c r="M44" s="1964"/>
      <c r="N44" s="1964"/>
      <c r="O44" s="1964"/>
      <c r="P44" s="1964"/>
      <c r="Q44" s="1964"/>
      <c r="R44" s="1964"/>
      <c r="S44" s="1964"/>
      <c r="T44" s="723"/>
      <c r="U44" s="723"/>
      <c r="V44" s="723"/>
      <c r="W44" s="723"/>
      <c r="X44" s="723"/>
      <c r="Y44" s="723"/>
      <c r="Z44" s="723"/>
      <c r="AA44" s="724"/>
      <c r="AB44" s="724"/>
      <c r="AC44" s="724"/>
      <c r="AD44" s="724"/>
      <c r="AE44" s="724"/>
      <c r="AF44" s="724"/>
      <c r="AG44" s="724"/>
      <c r="AH44" s="724"/>
      <c r="AI44" s="724"/>
      <c r="AJ44" s="724"/>
      <c r="AK44" s="724"/>
      <c r="AL44" s="724"/>
      <c r="AM44" s="724"/>
      <c r="AN44" s="719"/>
      <c r="AO44" s="718"/>
      <c r="AP44" s="718"/>
      <c r="AQ44" s="16"/>
      <c r="AR44" s="16"/>
      <c r="AS44" s="16"/>
    </row>
    <row r="45" spans="1:45" s="474" customFormat="1" ht="18" hidden="1" customHeight="1">
      <c r="A45" s="138"/>
      <c r="B45" s="2000" t="s">
        <v>566</v>
      </c>
      <c r="C45" s="1964"/>
      <c r="D45" s="1964"/>
      <c r="E45" s="1964"/>
      <c r="F45" s="1964"/>
      <c r="G45" s="1964"/>
      <c r="H45" s="1964"/>
      <c r="I45" s="1964"/>
      <c r="J45" s="1964"/>
      <c r="K45" s="1964"/>
      <c r="L45" s="1964"/>
      <c r="M45" s="1964"/>
      <c r="N45" s="1964"/>
      <c r="O45" s="1964"/>
      <c r="P45" s="1964"/>
      <c r="Q45" s="1964"/>
      <c r="R45" s="1964"/>
      <c r="S45" s="1964"/>
      <c r="T45" s="1964"/>
      <c r="U45" s="1964"/>
      <c r="V45" s="1964"/>
      <c r="W45" s="1964"/>
      <c r="X45" s="1964"/>
      <c r="Y45" s="1964"/>
      <c r="Z45" s="1964"/>
      <c r="AA45" s="1964"/>
      <c r="AB45" s="1964"/>
      <c r="AC45" s="1964"/>
      <c r="AD45" s="1964"/>
      <c r="AE45" s="1964"/>
      <c r="AF45" s="1964"/>
      <c r="AG45" s="1964"/>
      <c r="AH45" s="1964"/>
      <c r="AI45" s="1964"/>
      <c r="AJ45" s="1964"/>
      <c r="AK45" s="1889"/>
      <c r="AL45" s="1911"/>
      <c r="AM45" s="1862"/>
      <c r="AN45" s="719"/>
      <c r="AO45" s="718"/>
      <c r="AP45" s="718"/>
      <c r="AQ45" s="16"/>
      <c r="AR45" s="16"/>
      <c r="AS45" s="16"/>
    </row>
    <row r="46" spans="1:45" s="474" customFormat="1" ht="18" hidden="1" customHeight="1">
      <c r="A46" s="138"/>
      <c r="B46" s="722"/>
      <c r="C46" s="722"/>
      <c r="D46" s="722"/>
      <c r="E46" s="722"/>
      <c r="F46" s="722"/>
      <c r="G46" s="722"/>
      <c r="H46" s="722"/>
      <c r="I46" s="722"/>
      <c r="J46" s="722"/>
      <c r="K46" s="722"/>
      <c r="L46" s="722"/>
      <c r="M46" s="722"/>
      <c r="N46" s="722"/>
      <c r="O46" s="722"/>
      <c r="P46" s="722"/>
      <c r="Q46" s="722"/>
      <c r="R46" s="722"/>
      <c r="S46" s="722"/>
      <c r="T46" s="723"/>
      <c r="U46" s="723"/>
      <c r="V46" s="723"/>
      <c r="W46" s="723"/>
      <c r="X46" s="723"/>
      <c r="Y46" s="723"/>
      <c r="Z46" s="723"/>
      <c r="AA46" s="724"/>
      <c r="AB46" s="724"/>
      <c r="AC46" s="724"/>
      <c r="AD46" s="724"/>
      <c r="AE46" s="724"/>
      <c r="AF46" s="724"/>
      <c r="AG46" s="724"/>
      <c r="AH46" s="724"/>
      <c r="AI46" s="724"/>
      <c r="AJ46" s="724"/>
      <c r="AK46" s="724"/>
      <c r="AL46" s="724"/>
      <c r="AM46" s="724"/>
      <c r="AN46" s="719"/>
      <c r="AO46" s="718"/>
      <c r="AP46" s="718"/>
      <c r="AQ46" s="16"/>
      <c r="AR46" s="16"/>
      <c r="AS46" s="16"/>
    </row>
    <row r="47" spans="1:45" ht="18" hidden="1" customHeight="1">
      <c r="B47" s="1994"/>
      <c r="C47" s="1862"/>
      <c r="D47" s="2019" t="s">
        <v>567</v>
      </c>
      <c r="E47" s="1777"/>
      <c r="F47" s="1777"/>
      <c r="G47" s="1777"/>
      <c r="H47" s="1777"/>
      <c r="I47" s="1777"/>
      <c r="J47" s="1777"/>
      <c r="K47" s="1777"/>
      <c r="L47" s="1777"/>
      <c r="M47" s="1777"/>
      <c r="N47" s="1777"/>
      <c r="O47" s="1777"/>
      <c r="P47" s="1777"/>
      <c r="Q47" s="1777"/>
      <c r="R47" s="1777"/>
      <c r="S47" s="1778"/>
      <c r="T47" s="723"/>
      <c r="U47" s="723"/>
      <c r="V47" s="723"/>
      <c r="W47" s="723"/>
      <c r="X47" s="723"/>
      <c r="Y47" s="723"/>
      <c r="Z47" s="723"/>
      <c r="AA47" s="1486"/>
      <c r="AB47" s="1486"/>
      <c r="AC47" s="1486"/>
      <c r="AD47" s="1486"/>
      <c r="AE47" s="1486"/>
      <c r="AF47" s="1486"/>
      <c r="AG47" s="1486"/>
      <c r="AH47" s="1486"/>
      <c r="AI47" s="1486"/>
      <c r="AJ47" s="1486"/>
      <c r="AK47" s="1486"/>
      <c r="AL47" s="1486"/>
      <c r="AM47" s="1486"/>
      <c r="AN47" s="719"/>
      <c r="AO47" s="354" t="b">
        <f>vmLargeFamily="Yes"</f>
        <v>0</v>
      </c>
      <c r="AP47" s="136" t="s">
        <v>568</v>
      </c>
      <c r="AQ47" s="16"/>
      <c r="AR47" s="16"/>
      <c r="AS47" s="16"/>
    </row>
    <row r="48" spans="1:45" ht="18" hidden="1" customHeight="1">
      <c r="A48" s="55"/>
      <c r="B48" s="2000" t="s">
        <v>569</v>
      </c>
      <c r="C48" s="1910"/>
      <c r="D48" s="1910"/>
      <c r="E48" s="1910"/>
      <c r="F48" s="1910"/>
      <c r="G48" s="1910"/>
      <c r="H48" s="1910"/>
      <c r="I48" s="1910"/>
      <c r="J48" s="1910"/>
      <c r="K48" s="1910"/>
      <c r="L48" s="1910"/>
      <c r="M48" s="1910"/>
      <c r="N48" s="1910"/>
      <c r="O48" s="1910"/>
      <c r="P48" s="1910"/>
      <c r="Q48" s="1910"/>
      <c r="R48" s="1910"/>
      <c r="S48" s="1910"/>
      <c r="T48" s="1910"/>
      <c r="U48" s="1910"/>
      <c r="V48" s="1910"/>
      <c r="W48" s="1910"/>
      <c r="X48" s="1910"/>
      <c r="Y48" s="1910"/>
      <c r="Z48" s="1910"/>
      <c r="AA48" s="1910"/>
      <c r="AB48" s="1910"/>
      <c r="AC48" s="1910"/>
      <c r="AD48" s="1910"/>
      <c r="AE48" s="1910"/>
      <c r="AF48" s="1910"/>
      <c r="AG48" s="1910"/>
      <c r="AH48" s="1910"/>
      <c r="AI48" s="1910"/>
      <c r="AJ48" s="1910"/>
      <c r="AK48" s="1889"/>
      <c r="AL48" s="1911"/>
      <c r="AM48" s="1862"/>
      <c r="AN48" s="719"/>
      <c r="AO48" s="354"/>
      <c r="AP48" s="136"/>
      <c r="AQ48" s="16"/>
      <c r="AR48" s="16"/>
      <c r="AS48" s="16"/>
    </row>
    <row r="49" spans="1:47" ht="18" hidden="1" customHeight="1">
      <c r="B49" s="722"/>
      <c r="C49" s="1743"/>
      <c r="D49" s="1743"/>
      <c r="E49" s="1743"/>
      <c r="F49" s="1743"/>
      <c r="G49" s="1743"/>
      <c r="H49" s="1743"/>
      <c r="I49" s="1743"/>
      <c r="J49" s="1743"/>
      <c r="K49" s="1743"/>
      <c r="L49" s="1743"/>
      <c r="M49" s="1743"/>
      <c r="N49" s="1743"/>
      <c r="O49" s="1743"/>
      <c r="P49" s="1743"/>
      <c r="Q49" s="1743"/>
      <c r="R49" s="1743"/>
      <c r="S49" s="1743"/>
      <c r="T49" s="1743"/>
      <c r="U49" s="723"/>
      <c r="V49" s="723"/>
      <c r="W49" s="723"/>
      <c r="AC49" s="1487"/>
      <c r="AD49" s="1487"/>
      <c r="AE49" s="1487"/>
      <c r="AF49" s="1487"/>
      <c r="AG49" s="1487"/>
      <c r="AH49" s="1487"/>
      <c r="AI49" s="1487"/>
      <c r="AJ49" s="1487"/>
      <c r="AK49" s="1487"/>
      <c r="AL49" s="1487"/>
      <c r="AM49" s="1487"/>
      <c r="AN49" s="719"/>
      <c r="AO49" s="354"/>
      <c r="AP49" s="58"/>
      <c r="AQ49" s="15"/>
      <c r="AR49" s="15"/>
    </row>
    <row r="50" spans="1:47" ht="18" hidden="1" customHeight="1">
      <c r="B50" s="1994"/>
      <c r="C50" s="1862"/>
      <c r="D50" s="2019" t="s">
        <v>570</v>
      </c>
      <c r="E50" s="1777"/>
      <c r="F50" s="1777"/>
      <c r="G50" s="1777"/>
      <c r="H50" s="1777"/>
      <c r="I50" s="1777"/>
      <c r="J50" s="1777"/>
      <c r="K50" s="1777"/>
      <c r="L50" s="1777"/>
      <c r="M50" s="1777"/>
      <c r="N50" s="1777"/>
      <c r="O50" s="1777"/>
      <c r="P50" s="1777"/>
      <c r="Q50" s="1777"/>
      <c r="R50" s="1777"/>
      <c r="S50" s="1778"/>
      <c r="T50" s="1488"/>
      <c r="U50" s="1488"/>
      <c r="V50" s="1488"/>
      <c r="W50" s="1488"/>
      <c r="X50" s="1488"/>
      <c r="Y50" s="1488"/>
      <c r="Z50" s="1488"/>
      <c r="AA50" s="1488"/>
      <c r="AB50" s="1488"/>
      <c r="AC50" s="1488"/>
      <c r="AD50" s="1488"/>
      <c r="AE50" s="1488"/>
      <c r="AF50" s="1488"/>
      <c r="AG50" s="1488"/>
      <c r="AH50" s="1488"/>
      <c r="AI50" s="1488"/>
      <c r="AJ50" s="1488"/>
      <c r="AK50" s="1488"/>
      <c r="AL50" s="1488"/>
      <c r="AM50" s="1488"/>
      <c r="AN50" s="719"/>
      <c r="AO50" s="354" t="b">
        <f>vmSenior="Yes"</f>
        <v>0</v>
      </c>
      <c r="AP50" s="136" t="s">
        <v>571</v>
      </c>
      <c r="AQ50" s="16"/>
      <c r="AR50" s="16"/>
      <c r="AS50" s="16"/>
    </row>
    <row r="51" spans="1:47" ht="18" hidden="1" customHeight="1">
      <c r="B51" s="1995" t="s">
        <v>572</v>
      </c>
      <c r="C51" s="1910"/>
      <c r="D51" s="1910"/>
      <c r="E51" s="1910"/>
      <c r="F51" s="1910"/>
      <c r="G51" s="1910"/>
      <c r="H51" s="1910"/>
      <c r="I51" s="1910"/>
      <c r="J51" s="1910"/>
      <c r="K51" s="1910"/>
      <c r="L51" s="1910"/>
      <c r="M51" s="1910"/>
      <c r="N51" s="1910"/>
      <c r="O51" s="1910"/>
      <c r="P51" s="1910"/>
      <c r="Q51" s="1910"/>
      <c r="R51" s="1910"/>
      <c r="S51" s="1910"/>
      <c r="T51" s="1910"/>
      <c r="U51" s="1910"/>
      <c r="AA51" s="221"/>
      <c r="AB51" s="222"/>
      <c r="AC51" s="172"/>
      <c r="AD51" s="172"/>
      <c r="AE51" s="172"/>
      <c r="AF51" s="172"/>
      <c r="AG51" s="172"/>
      <c r="AH51" s="172"/>
      <c r="AI51" s="172"/>
      <c r="AJ51" s="172"/>
      <c r="AK51" s="172"/>
      <c r="AL51" s="1911"/>
      <c r="AM51" s="1862"/>
      <c r="AN51" s="15"/>
      <c r="AO51" s="57"/>
      <c r="AQ51" s="16"/>
      <c r="AR51" s="16"/>
      <c r="AS51" s="16"/>
    </row>
    <row r="52" spans="1:47" ht="18" hidden="1" customHeight="1">
      <c r="B52" s="1667"/>
      <c r="C52" s="173"/>
      <c r="D52" s="173"/>
      <c r="E52" s="173"/>
      <c r="F52" s="173"/>
      <c r="G52" s="173"/>
      <c r="H52" s="173"/>
      <c r="I52" s="173"/>
      <c r="J52" s="173"/>
      <c r="K52" s="173"/>
      <c r="L52" s="173"/>
      <c r="M52" s="173"/>
      <c r="N52" s="173"/>
      <c r="O52" s="173"/>
      <c r="P52" s="173"/>
      <c r="Q52" s="173"/>
      <c r="R52" s="173"/>
      <c r="S52" s="173"/>
      <c r="T52" s="723"/>
      <c r="U52" s="723"/>
      <c r="V52" s="223"/>
      <c r="W52" s="723"/>
      <c r="X52" s="723"/>
      <c r="AA52" s="221"/>
      <c r="AB52" s="222"/>
      <c r="AC52" s="172"/>
      <c r="AD52" s="172"/>
      <c r="AE52" s="172"/>
      <c r="AF52" s="172"/>
      <c r="AG52" s="172"/>
      <c r="AH52" s="172"/>
      <c r="AI52" s="172"/>
      <c r="AJ52" s="172"/>
      <c r="AK52" s="172"/>
      <c r="AL52" s="172"/>
      <c r="AM52" s="172"/>
      <c r="AN52" s="15"/>
      <c r="AO52" s="57"/>
      <c r="AQ52" s="16"/>
      <c r="AR52" s="16"/>
      <c r="AS52" s="16"/>
    </row>
    <row r="53" spans="1:47" ht="18" hidden="1" customHeight="1">
      <c r="A53" s="90"/>
      <c r="B53" s="1994"/>
      <c r="C53" s="1862"/>
      <c r="D53" s="2019" t="s">
        <v>573</v>
      </c>
      <c r="E53" s="1777"/>
      <c r="F53" s="1777"/>
      <c r="G53" s="1777"/>
      <c r="H53" s="1777"/>
      <c r="I53" s="1777"/>
      <c r="J53" s="1777"/>
      <c r="K53" s="1777"/>
      <c r="L53" s="1777"/>
      <c r="M53" s="1777"/>
      <c r="N53" s="1777"/>
      <c r="O53" s="1777"/>
      <c r="P53" s="1777"/>
      <c r="Q53" s="1777"/>
      <c r="R53" s="1777"/>
      <c r="S53" s="1778"/>
      <c r="T53" s="221"/>
      <c r="U53" s="221"/>
      <c r="V53" s="221"/>
      <c r="W53" s="221"/>
      <c r="X53" s="221"/>
      <c r="Y53" s="221"/>
      <c r="Z53" s="221"/>
      <c r="AA53" s="221"/>
      <c r="AB53" s="222"/>
      <c r="AC53" s="172"/>
      <c r="AD53" s="172"/>
      <c r="AE53" s="172"/>
      <c r="AF53" s="172"/>
      <c r="AG53" s="172"/>
      <c r="AH53" s="172"/>
      <c r="AI53" s="172"/>
      <c r="AJ53" s="172"/>
      <c r="AK53" s="172"/>
      <c r="AL53" s="172"/>
      <c r="AM53" s="172"/>
      <c r="AN53" s="15"/>
      <c r="AO53" s="354" t="b">
        <f>B53="Yes"</f>
        <v>0</v>
      </c>
      <c r="AP53" s="136" t="s">
        <v>574</v>
      </c>
      <c r="AQ53" s="16"/>
      <c r="AR53" s="16"/>
      <c r="AS53" s="16"/>
    </row>
    <row r="54" spans="1:47" s="215" customFormat="1" ht="36" hidden="1" customHeight="1">
      <c r="B54" s="2315" t="s">
        <v>575</v>
      </c>
      <c r="C54" s="2385"/>
      <c r="D54" s="2385"/>
      <c r="E54" s="2385"/>
      <c r="F54" s="2385"/>
      <c r="G54" s="2385"/>
      <c r="H54" s="2385"/>
      <c r="I54" s="2385"/>
      <c r="J54" s="2385"/>
      <c r="K54" s="2385"/>
      <c r="L54" s="2385"/>
      <c r="M54" s="2385"/>
      <c r="N54" s="2385"/>
      <c r="O54" s="2385"/>
      <c r="P54" s="2385"/>
      <c r="Q54" s="2385"/>
      <c r="R54" s="2385"/>
      <c r="S54" s="2385"/>
      <c r="T54" s="2385"/>
      <c r="U54" s="2385"/>
      <c r="V54" s="2385"/>
      <c r="W54" s="2385"/>
      <c r="X54" s="2385"/>
      <c r="Y54" s="2385"/>
      <c r="Z54" s="2385"/>
      <c r="AA54" s="2385"/>
      <c r="AB54" s="2385"/>
      <c r="AC54" s="2385"/>
      <c r="AD54" s="2385"/>
      <c r="AE54" s="2385"/>
      <c r="AF54" s="2385"/>
      <c r="AG54" s="2385"/>
      <c r="AH54" s="2385"/>
      <c r="AI54" s="2385"/>
      <c r="AJ54" s="2385"/>
      <c r="AK54" s="2385"/>
      <c r="AL54" s="2385"/>
      <c r="AM54" s="2385"/>
      <c r="AN54" s="171"/>
      <c r="AU54" s="123"/>
    </row>
    <row r="55" spans="1:47" s="95" customFormat="1" ht="18" hidden="1" customHeight="1">
      <c r="B55" s="1995" t="s">
        <v>576</v>
      </c>
      <c r="C55" s="1888"/>
      <c r="D55" s="1888"/>
      <c r="E55" s="1888"/>
      <c r="F55" s="1888"/>
      <c r="G55" s="1888"/>
      <c r="H55" s="1888"/>
      <c r="I55" s="1888"/>
      <c r="J55" s="1888"/>
      <c r="K55" s="1888"/>
      <c r="L55" s="1888"/>
      <c r="M55" s="1888"/>
      <c r="N55" s="1888"/>
      <c r="O55" s="1888"/>
      <c r="P55" s="1888"/>
      <c r="Q55" s="1888"/>
      <c r="R55" s="1888"/>
      <c r="S55" s="1888"/>
      <c r="T55" s="1888"/>
      <c r="U55" s="1888"/>
      <c r="V55" s="1888"/>
      <c r="W55" s="1888"/>
      <c r="X55" s="1888"/>
      <c r="Y55" s="1888"/>
      <c r="Z55" s="1888"/>
      <c r="AA55" s="1888"/>
      <c r="AB55" s="1888"/>
      <c r="AC55" s="1888"/>
      <c r="AD55" s="1888"/>
      <c r="AE55" s="1888"/>
      <c r="AF55" s="1888"/>
      <c r="AG55" s="1888"/>
      <c r="AH55" s="1888"/>
      <c r="AI55" s="1888"/>
      <c r="AJ55" s="1888"/>
      <c r="AK55" s="1888"/>
      <c r="AL55" s="1911"/>
      <c r="AM55" s="1862"/>
      <c r="AN55" s="215"/>
      <c r="AO55" s="171"/>
      <c r="AP55" s="171"/>
      <c r="AQ55" s="171"/>
      <c r="AU55" s="55"/>
    </row>
    <row r="56" spans="1:47" s="765" customFormat="1" ht="54" hidden="1" customHeight="1">
      <c r="B56" s="2080" t="s">
        <v>577</v>
      </c>
      <c r="C56" s="2081"/>
      <c r="D56" s="2081"/>
      <c r="E56" s="2081"/>
      <c r="F56" s="2081"/>
      <c r="G56" s="2081"/>
      <c r="H56" s="2081"/>
      <c r="I56" s="2081"/>
      <c r="J56" s="2081"/>
      <c r="K56" s="2081"/>
      <c r="L56" s="2081"/>
      <c r="M56" s="2081"/>
      <c r="N56" s="2081"/>
      <c r="O56" s="2081"/>
      <c r="P56" s="2081"/>
      <c r="Q56" s="2081"/>
      <c r="R56" s="2081"/>
      <c r="S56" s="2081"/>
      <c r="T56" s="2081"/>
      <c r="U56" s="2081"/>
      <c r="V56" s="2081"/>
      <c r="W56" s="2081"/>
      <c r="X56" s="2081"/>
      <c r="Y56" s="2081"/>
      <c r="Z56" s="2081"/>
      <c r="AA56" s="2081"/>
      <c r="AB56" s="2081"/>
      <c r="AC56" s="2081"/>
      <c r="AD56" s="2081"/>
      <c r="AE56" s="2081"/>
      <c r="AF56" s="2081"/>
      <c r="AG56" s="2081"/>
      <c r="AH56" s="2081"/>
      <c r="AI56" s="2081"/>
      <c r="AJ56" s="2081"/>
      <c r="AK56" s="2081"/>
      <c r="AL56" s="1911"/>
      <c r="AM56" s="1862"/>
    </row>
    <row r="57" spans="1:47" ht="18" hidden="1" customHeight="1">
      <c r="T57" s="221"/>
      <c r="U57" s="221"/>
      <c r="V57" s="221"/>
      <c r="W57" s="221"/>
      <c r="X57" s="221"/>
      <c r="Y57" s="221"/>
      <c r="Z57" s="221"/>
      <c r="AA57" s="221"/>
      <c r="AB57" s="222"/>
      <c r="AC57" s="172"/>
      <c r="AD57" s="172"/>
      <c r="AE57" s="172"/>
      <c r="AF57" s="172"/>
      <c r="AG57" s="172"/>
      <c r="AH57" s="172"/>
      <c r="AI57" s="172"/>
      <c r="AJ57" s="172"/>
      <c r="AK57" s="172"/>
      <c r="AL57" s="172"/>
      <c r="AM57" s="172"/>
      <c r="AN57" s="15"/>
      <c r="AO57" s="57"/>
      <c r="AQ57" s="16"/>
      <c r="AR57" s="16"/>
      <c r="AS57" s="16"/>
    </row>
    <row r="58" spans="1:47" s="95" customFormat="1" ht="18" hidden="1" customHeight="1">
      <c r="B58" s="1994"/>
      <c r="C58" s="1862"/>
      <c r="D58" s="2019" t="s">
        <v>578</v>
      </c>
      <c r="E58" s="1777"/>
      <c r="F58" s="1777"/>
      <c r="G58" s="1777"/>
      <c r="H58" s="1777"/>
      <c r="I58" s="1777"/>
      <c r="J58" s="1777"/>
      <c r="K58" s="1777"/>
      <c r="L58" s="1777"/>
      <c r="M58" s="1777"/>
      <c r="N58" s="1777"/>
      <c r="O58" s="1777"/>
      <c r="P58" s="1777"/>
      <c r="Q58" s="1777"/>
      <c r="R58" s="1777"/>
      <c r="S58" s="1778"/>
      <c r="T58" s="2031" t="s">
        <v>579</v>
      </c>
      <c r="U58" s="1888"/>
      <c r="V58" s="1888"/>
      <c r="W58" s="1888"/>
      <c r="X58" s="1888"/>
      <c r="Y58" s="1888"/>
      <c r="Z58" s="1888"/>
      <c r="AA58" s="1888"/>
      <c r="AB58" s="1888"/>
      <c r="AC58" s="1888"/>
      <c r="AD58" s="1888"/>
      <c r="AE58" s="1888"/>
      <c r="AF58" s="1888"/>
      <c r="AG58" s="1888"/>
      <c r="AH58" s="1888"/>
      <c r="AI58" s="1888"/>
      <c r="AJ58" s="1888"/>
      <c r="AK58" s="1888"/>
      <c r="AL58" s="1888"/>
      <c r="AM58" s="1888"/>
      <c r="AO58" s="354" t="b">
        <f>B58="Yes"</f>
        <v>0</v>
      </c>
      <c r="AP58" s="136" t="s">
        <v>580</v>
      </c>
    </row>
    <row r="59" spans="1:47" s="95" customFormat="1" ht="18" hidden="1" customHeight="1"/>
    <row r="60" spans="1:47" ht="18" hidden="1" customHeight="1">
      <c r="B60" s="1994"/>
      <c r="C60" s="1862"/>
      <c r="D60" s="2019" t="s">
        <v>581</v>
      </c>
      <c r="E60" s="1777"/>
      <c r="F60" s="1777"/>
      <c r="G60" s="1777"/>
      <c r="H60" s="1777"/>
      <c r="I60" s="1777"/>
      <c r="J60" s="1777"/>
      <c r="K60" s="1777"/>
      <c r="L60" s="1777"/>
      <c r="M60" s="1777"/>
      <c r="N60" s="1777"/>
      <c r="O60" s="1777"/>
      <c r="P60" s="1777"/>
      <c r="Q60" s="1777"/>
      <c r="R60" s="1777"/>
      <c r="S60" s="1778"/>
      <c r="T60" s="221"/>
      <c r="U60" s="221"/>
      <c r="V60" s="221"/>
      <c r="W60" s="221"/>
      <c r="X60" s="221"/>
      <c r="Y60" s="221"/>
      <c r="Z60" s="221"/>
      <c r="AA60" s="221"/>
      <c r="AB60" s="222"/>
      <c r="AC60" s="172"/>
      <c r="AD60" s="172"/>
      <c r="AE60" s="172"/>
      <c r="AF60" s="172"/>
      <c r="AG60" s="172"/>
      <c r="AH60" s="172"/>
      <c r="AI60" s="172"/>
      <c r="AJ60" s="172"/>
      <c r="AK60" s="172"/>
      <c r="AL60" s="172"/>
      <c r="AM60" s="172"/>
      <c r="AN60" s="15"/>
      <c r="AO60" s="354" t="b">
        <f>B60="Yes"</f>
        <v>0</v>
      </c>
      <c r="AP60" s="136" t="s">
        <v>582</v>
      </c>
      <c r="AQ60" s="16"/>
      <c r="AR60" s="16"/>
      <c r="AS60" s="16"/>
    </row>
    <row r="61" spans="1:47" s="122" customFormat="1" ht="31.5" hidden="1" customHeight="1">
      <c r="A61" s="95"/>
      <c r="B61" s="2315" t="s">
        <v>583</v>
      </c>
      <c r="C61" s="1913"/>
      <c r="D61" s="1913"/>
      <c r="E61" s="1913"/>
      <c r="F61" s="1913"/>
      <c r="G61" s="1913"/>
      <c r="H61" s="1913"/>
      <c r="I61" s="1913"/>
      <c r="J61" s="1913"/>
      <c r="K61" s="1913"/>
      <c r="L61" s="1913"/>
      <c r="M61" s="1913"/>
      <c r="N61" s="1913"/>
      <c r="O61" s="1913"/>
      <c r="P61" s="1913"/>
      <c r="Q61" s="1913"/>
      <c r="R61" s="1913"/>
      <c r="S61" s="1913"/>
      <c r="T61" s="1913"/>
      <c r="U61" s="1913"/>
      <c r="V61" s="1913"/>
      <c r="W61" s="1913"/>
      <c r="X61" s="1913"/>
      <c r="Y61" s="1913"/>
      <c r="Z61" s="1913"/>
      <c r="AA61" s="1913"/>
      <c r="AB61" s="1913"/>
      <c r="AC61" s="1913"/>
      <c r="AD61" s="1913"/>
      <c r="AE61" s="1913"/>
      <c r="AF61" s="1913"/>
      <c r="AG61" s="1913"/>
      <c r="AH61" s="1913"/>
      <c r="AI61" s="1913"/>
      <c r="AJ61" s="1913"/>
      <c r="AK61" s="1913"/>
      <c r="AL61" s="1913"/>
      <c r="AM61" s="1913"/>
      <c r="AN61" s="215"/>
      <c r="AO61" s="171"/>
      <c r="AP61" s="215"/>
      <c r="AQ61" s="215"/>
      <c r="AR61" s="215"/>
      <c r="AS61" s="215"/>
    </row>
    <row r="62" spans="1:47" s="122" customFormat="1" ht="18" hidden="1" customHeight="1">
      <c r="A62" s="95"/>
      <c r="AN62" s="215"/>
      <c r="AO62" s="215"/>
      <c r="AP62" s="215"/>
      <c r="AQ62" s="215"/>
      <c r="AR62" s="215"/>
      <c r="AS62" s="215"/>
    </row>
    <row r="63" spans="1:47" ht="18" hidden="1" customHeight="1">
      <c r="B63" s="1994"/>
      <c r="C63" s="1862"/>
      <c r="D63" s="2019" t="s">
        <v>584</v>
      </c>
      <c r="E63" s="1777"/>
      <c r="F63" s="1777"/>
      <c r="G63" s="1777"/>
      <c r="H63" s="1777"/>
      <c r="I63" s="1777"/>
      <c r="J63" s="1777"/>
      <c r="K63" s="1777"/>
      <c r="L63" s="1777"/>
      <c r="M63" s="1777"/>
      <c r="N63" s="1777"/>
      <c r="O63" s="1777"/>
      <c r="P63" s="1777"/>
      <c r="Q63" s="1777"/>
      <c r="R63" s="1777"/>
      <c r="S63" s="1778"/>
      <c r="T63" s="221"/>
      <c r="U63" s="221"/>
      <c r="V63" s="221"/>
      <c r="W63" s="221"/>
      <c r="X63" s="221"/>
      <c r="Y63" s="221"/>
      <c r="Z63" s="221"/>
      <c r="AA63" s="221"/>
      <c r="AB63" s="222"/>
      <c r="AC63" s="172"/>
      <c r="AD63" s="172"/>
      <c r="AE63" s="172"/>
      <c r="AF63" s="172"/>
      <c r="AG63" s="172"/>
      <c r="AH63" s="172"/>
      <c r="AI63" s="172"/>
      <c r="AJ63" s="172"/>
      <c r="AK63" s="172"/>
      <c r="AL63" s="172"/>
      <c r="AM63" s="172"/>
      <c r="AN63" s="15"/>
      <c r="AO63" s="354" t="b">
        <f>B63="Yes"</f>
        <v>0</v>
      </c>
      <c r="AP63" s="136" t="s">
        <v>585</v>
      </c>
      <c r="AQ63" s="16"/>
      <c r="AR63" s="16"/>
      <c r="AS63" s="16"/>
    </row>
    <row r="64" spans="1:47" s="122" customFormat="1" ht="18" hidden="1" customHeight="1">
      <c r="A64" s="95"/>
      <c r="B64" s="1964" t="s">
        <v>586</v>
      </c>
      <c r="C64" s="1913"/>
      <c r="D64" s="1913"/>
      <c r="E64" s="1913"/>
      <c r="F64" s="1913"/>
      <c r="G64" s="1913"/>
      <c r="H64" s="1913"/>
      <c r="I64" s="1913"/>
      <c r="J64" s="1913"/>
      <c r="K64" s="1913"/>
      <c r="L64" s="1913"/>
      <c r="M64" s="1913"/>
      <c r="N64" s="1913"/>
      <c r="O64" s="1913"/>
      <c r="P64" s="1913"/>
      <c r="Q64" s="1913"/>
      <c r="R64" s="1913"/>
      <c r="S64" s="1913"/>
      <c r="T64" s="1913"/>
      <c r="U64" s="1913"/>
      <c r="V64" s="1913"/>
      <c r="W64" s="1913"/>
      <c r="X64" s="1913"/>
      <c r="Y64" s="1913"/>
      <c r="Z64" s="1913"/>
      <c r="AA64" s="1913"/>
      <c r="AB64" s="1913"/>
      <c r="AC64" s="1913"/>
      <c r="AD64" s="1913"/>
      <c r="AE64" s="1913"/>
      <c r="AF64" s="1913"/>
      <c r="AG64" s="1913"/>
      <c r="AH64" s="1913"/>
      <c r="AI64" s="1913"/>
      <c r="AJ64" s="1913"/>
      <c r="AK64" s="1913"/>
      <c r="AL64" s="1904"/>
      <c r="AM64" s="1862"/>
      <c r="AN64" s="215"/>
      <c r="AO64" s="215"/>
      <c r="AP64" s="215"/>
      <c r="AQ64" s="215"/>
      <c r="AR64" s="215"/>
      <c r="AS64" s="215"/>
    </row>
    <row r="65" spans="1:47" ht="18" hidden="1" customHeight="1" thickBot="1">
      <c r="T65" s="221"/>
      <c r="U65" s="221"/>
      <c r="V65" s="221"/>
      <c r="W65" s="221"/>
      <c r="X65" s="221"/>
      <c r="Y65" s="221"/>
      <c r="Z65" s="221"/>
      <c r="AA65" s="221"/>
      <c r="AB65" s="222"/>
      <c r="AC65" s="172"/>
      <c r="AD65" s="172"/>
      <c r="AE65" s="172"/>
      <c r="AF65" s="172"/>
      <c r="AG65" s="172"/>
      <c r="AH65" s="172"/>
      <c r="AI65" s="172"/>
      <c r="AJ65" s="172"/>
      <c r="AK65" s="172"/>
      <c r="AL65" s="172"/>
      <c r="AM65" s="172"/>
      <c r="AN65" s="15"/>
      <c r="AO65" s="57"/>
      <c r="AQ65" s="16"/>
      <c r="AR65" s="16"/>
      <c r="AS65" s="16"/>
    </row>
    <row r="66" spans="1:47" ht="20.25" hidden="1" customHeight="1">
      <c r="B66" s="725"/>
      <c r="C66" s="725"/>
      <c r="D66" s="725"/>
      <c r="E66" s="725"/>
      <c r="F66" s="725"/>
      <c r="G66" s="725"/>
      <c r="H66" s="725"/>
      <c r="I66" s="725"/>
      <c r="J66" s="725"/>
      <c r="K66" s="725"/>
      <c r="L66" s="725"/>
      <c r="M66" s="725"/>
      <c r="N66" s="725"/>
      <c r="O66" s="725"/>
      <c r="P66" s="725"/>
      <c r="Q66" s="725"/>
      <c r="R66" s="725"/>
      <c r="S66" s="725"/>
      <c r="T66" s="726"/>
      <c r="U66" s="726"/>
      <c r="V66" s="726"/>
      <c r="W66" s="726"/>
      <c r="X66" s="726"/>
      <c r="Y66" s="726"/>
      <c r="Z66" s="726"/>
      <c r="AA66" s="726"/>
      <c r="AB66" s="224"/>
      <c r="AC66" s="727"/>
      <c r="AD66" s="727"/>
      <c r="AE66" s="727"/>
      <c r="AF66" s="727"/>
      <c r="AG66" s="727"/>
      <c r="AH66" s="727"/>
      <c r="AI66" s="727"/>
      <c r="AJ66" s="727"/>
      <c r="AK66" s="727"/>
      <c r="AL66" s="727"/>
      <c r="AM66" s="727"/>
      <c r="AN66" s="15"/>
      <c r="AO66" s="57"/>
      <c r="AQ66" s="16"/>
      <c r="AR66" s="16"/>
      <c r="AS66" s="16"/>
    </row>
    <row r="67" spans="1:47" ht="9" hidden="1" customHeight="1">
      <c r="B67" s="780"/>
      <c r="C67" s="978"/>
      <c r="D67" s="978"/>
      <c r="E67" s="978"/>
      <c r="F67" s="978"/>
      <c r="G67" s="978"/>
      <c r="H67" s="978"/>
      <c r="I67" s="978"/>
      <c r="J67" s="978"/>
      <c r="K67" s="978"/>
      <c r="L67" s="978"/>
      <c r="M67" s="978"/>
      <c r="N67" s="978"/>
      <c r="O67" s="978"/>
      <c r="P67" s="978"/>
      <c r="Q67" s="978"/>
      <c r="R67" s="978"/>
      <c r="S67" s="978"/>
      <c r="T67" s="979"/>
      <c r="U67" s="979"/>
      <c r="V67" s="979"/>
      <c r="W67" s="979"/>
      <c r="X67" s="979"/>
      <c r="Y67" s="979"/>
      <c r="Z67" s="979"/>
      <c r="AA67" s="979"/>
      <c r="AB67" s="980"/>
      <c r="AC67" s="981"/>
      <c r="AD67" s="981"/>
      <c r="AE67" s="981"/>
      <c r="AF67" s="981"/>
      <c r="AG67" s="981"/>
      <c r="AH67" s="981"/>
      <c r="AI67" s="981"/>
      <c r="AJ67" s="981"/>
      <c r="AK67" s="981"/>
      <c r="AL67" s="981"/>
      <c r="AM67" s="982"/>
      <c r="AN67" s="15"/>
      <c r="AO67" s="57"/>
      <c r="AQ67" s="16"/>
      <c r="AR67" s="16"/>
      <c r="AS67" s="16"/>
    </row>
    <row r="68" spans="1:47" s="58" customFormat="1" ht="18" hidden="1" customHeight="1">
      <c r="A68" s="136"/>
      <c r="B68" s="2116" t="s">
        <v>587</v>
      </c>
      <c r="C68" s="1945"/>
      <c r="D68" s="1945"/>
      <c r="E68" s="1945"/>
      <c r="F68" s="1945"/>
      <c r="G68" s="1945"/>
      <c r="H68" s="1945"/>
      <c r="I68" s="1945"/>
      <c r="J68" s="1945"/>
      <c r="K68" s="1945"/>
      <c r="L68" s="1945"/>
      <c r="M68" s="1945"/>
      <c r="N68" s="1945"/>
      <c r="O68" s="1945"/>
      <c r="P68" s="1945"/>
      <c r="Q68" s="1945"/>
      <c r="R68" s="1945"/>
      <c r="S68" s="1945"/>
      <c r="T68" s="1945"/>
      <c r="U68" s="1945"/>
      <c r="V68" s="1945"/>
      <c r="W68" s="1945"/>
      <c r="X68" s="1945"/>
      <c r="Y68" s="1945"/>
      <c r="Z68" s="1945"/>
      <c r="AA68" s="1945"/>
      <c r="AB68" s="1945"/>
      <c r="AC68" s="1945"/>
      <c r="AD68" s="1945"/>
      <c r="AE68" s="1945"/>
      <c r="AF68" s="1945"/>
      <c r="AG68" s="1945"/>
      <c r="AH68" s="1945"/>
      <c r="AI68" s="1945"/>
      <c r="AJ68" s="1945"/>
      <c r="AK68" s="1945"/>
      <c r="AM68" s="1747"/>
    </row>
    <row r="69" spans="1:47" s="58" customFormat="1" ht="36" hidden="1" customHeight="1">
      <c r="A69" s="136"/>
      <c r="B69" s="2314" t="s">
        <v>588</v>
      </c>
      <c r="C69" s="1945"/>
      <c r="D69" s="1945"/>
      <c r="E69" s="1945"/>
      <c r="F69" s="1945"/>
      <c r="G69" s="1945"/>
      <c r="H69" s="1945"/>
      <c r="I69" s="1945"/>
      <c r="J69" s="1945"/>
      <c r="K69" s="1945"/>
      <c r="L69" s="1945"/>
      <c r="M69" s="1945"/>
      <c r="N69" s="1945"/>
      <c r="O69" s="1945"/>
      <c r="P69" s="1945"/>
      <c r="Q69" s="1945"/>
      <c r="R69" s="1945"/>
      <c r="S69" s="1945"/>
      <c r="T69" s="1945"/>
      <c r="U69" s="1945"/>
      <c r="V69" s="1945"/>
      <c r="W69" s="1945"/>
      <c r="X69" s="1945"/>
      <c r="Y69" s="1945"/>
      <c r="Z69" s="1945"/>
      <c r="AA69" s="1945"/>
      <c r="AB69" s="1945"/>
      <c r="AC69" s="1945"/>
      <c r="AD69" s="1945"/>
      <c r="AE69" s="1945"/>
      <c r="AF69" s="1945"/>
      <c r="AG69" s="1945"/>
      <c r="AH69" s="1945"/>
      <c r="AI69" s="1945"/>
      <c r="AJ69" s="1945"/>
      <c r="AK69" s="1945"/>
      <c r="AM69" s="1747"/>
    </row>
    <row r="70" spans="1:47" s="58" customFormat="1" ht="18" hidden="1" customHeight="1">
      <c r="A70" s="136"/>
      <c r="B70" s="2153" t="s">
        <v>589</v>
      </c>
      <c r="C70" s="1945"/>
      <c r="D70" s="1945"/>
      <c r="E70" s="1945"/>
      <c r="F70" s="1945"/>
      <c r="G70" s="1945"/>
      <c r="H70" s="1945"/>
      <c r="I70" s="1945"/>
      <c r="J70" s="1945"/>
      <c r="K70" s="1945"/>
      <c r="L70" s="1945"/>
      <c r="M70" s="1945"/>
      <c r="N70" s="1945"/>
      <c r="O70" s="1945"/>
      <c r="P70" s="1945"/>
      <c r="Q70" s="1945"/>
      <c r="R70" s="1945"/>
      <c r="S70" s="1945"/>
      <c r="T70" s="1945"/>
      <c r="U70" s="1945"/>
      <c r="V70" s="1945"/>
      <c r="W70" s="1945"/>
      <c r="X70" s="1945"/>
      <c r="Y70" s="1945"/>
      <c r="Z70" s="1945"/>
      <c r="AA70" s="1945"/>
      <c r="AB70" s="1945"/>
      <c r="AC70" s="1945"/>
      <c r="AD70" s="1945"/>
      <c r="AE70" s="1945"/>
      <c r="AF70" s="1945"/>
      <c r="AG70" s="1945"/>
      <c r="AH70" s="1945"/>
      <c r="AI70" s="1945"/>
      <c r="AJ70" s="1945"/>
      <c r="AK70" s="1945"/>
      <c r="AL70" s="1873"/>
      <c r="AM70" s="1862"/>
    </row>
    <row r="71" spans="1:47" s="58" customFormat="1" ht="18" hidden="1" customHeight="1">
      <c r="A71" s="136"/>
      <c r="B71" s="2114" t="s">
        <v>590</v>
      </c>
      <c r="C71" s="1945"/>
      <c r="D71" s="1945"/>
      <c r="E71" s="1945"/>
      <c r="F71" s="1945"/>
      <c r="G71" s="1945"/>
      <c r="H71" s="1945"/>
      <c r="I71" s="1945"/>
      <c r="J71" s="1945"/>
      <c r="K71" s="1945"/>
      <c r="L71" s="1945"/>
      <c r="M71" s="1945"/>
      <c r="N71" s="1945"/>
      <c r="O71" s="1945"/>
      <c r="P71" s="1945"/>
      <c r="Q71" s="1945"/>
      <c r="R71" s="1945"/>
      <c r="S71" s="1945"/>
      <c r="T71" s="1945"/>
      <c r="U71" s="1945"/>
      <c r="V71" s="1945"/>
      <c r="W71" s="1889"/>
      <c r="X71" s="1873"/>
      <c r="Y71" s="1861"/>
      <c r="Z71" s="1862"/>
      <c r="AM71" s="1747"/>
    </row>
    <row r="72" spans="1:47" s="58" customFormat="1" ht="9" hidden="1" customHeight="1">
      <c r="B72" s="983"/>
      <c r="C72" s="847"/>
      <c r="D72" s="847"/>
      <c r="E72" s="847"/>
      <c r="F72" s="847"/>
      <c r="G72" s="847"/>
      <c r="H72" s="847"/>
      <c r="I72" s="847"/>
      <c r="J72" s="847"/>
      <c r="K72" s="847"/>
      <c r="L72" s="847"/>
      <c r="M72" s="847"/>
      <c r="N72" s="847"/>
      <c r="O72" s="847"/>
      <c r="P72" s="847"/>
      <c r="Q72" s="847"/>
      <c r="R72" s="847"/>
      <c r="S72" s="847"/>
      <c r="T72" s="847"/>
      <c r="U72" s="847"/>
      <c r="V72" s="847"/>
      <c r="W72" s="847"/>
      <c r="X72" s="847"/>
      <c r="Y72" s="847"/>
      <c r="Z72" s="847"/>
      <c r="AA72" s="847"/>
      <c r="AB72" s="847"/>
      <c r="AC72" s="847"/>
      <c r="AD72" s="847"/>
      <c r="AE72" s="847"/>
      <c r="AF72" s="847"/>
      <c r="AG72" s="847"/>
      <c r="AH72" s="847"/>
      <c r="AI72" s="847"/>
      <c r="AJ72" s="847"/>
      <c r="AK72" s="847"/>
      <c r="AL72" s="847"/>
      <c r="AM72" s="1482"/>
    </row>
    <row r="73" spans="1:47" s="58" customFormat="1" ht="18" hidden="1" customHeight="1"/>
    <row r="74" spans="1:47" ht="18" hidden="1" customHeight="1">
      <c r="B74" s="1950" t="s">
        <v>591</v>
      </c>
      <c r="C74" s="1910"/>
      <c r="D74" s="1910"/>
      <c r="E74" s="1910"/>
      <c r="F74" s="1910"/>
      <c r="G74" s="1910"/>
      <c r="H74" s="1910"/>
      <c r="I74" s="1910"/>
      <c r="J74" s="1910"/>
      <c r="K74" s="1910"/>
      <c r="L74" s="1910"/>
      <c r="M74" s="1910"/>
      <c r="N74" s="1910"/>
      <c r="O74" s="2016" t="str">
        <f>IF(OR(IsMhp,IsIig,IsSerna,IsVhhp),"See Appendix A – Defined Terms","")</f>
        <v>See Appendix A – Defined Terms</v>
      </c>
      <c r="P74" s="1910"/>
      <c r="Q74" s="1910"/>
      <c r="R74" s="1910"/>
      <c r="S74" s="1910"/>
      <c r="T74" s="1910"/>
      <c r="U74" s="1910"/>
      <c r="V74" s="1910"/>
      <c r="W74" s="1910"/>
      <c r="X74" s="1910"/>
      <c r="Y74" s="1910"/>
      <c r="Z74" s="1910"/>
      <c r="AA74" s="1910"/>
      <c r="AB74" s="1910"/>
      <c r="AC74" s="1910"/>
      <c r="AD74" s="1910"/>
      <c r="AE74" s="1910"/>
      <c r="AF74" s="1910"/>
      <c r="AG74" s="1910"/>
      <c r="AH74" s="1910"/>
      <c r="AI74" s="1910"/>
      <c r="AJ74" s="1910"/>
      <c r="AK74" s="1889"/>
      <c r="AL74" s="1911"/>
      <c r="AM74" s="1862"/>
      <c r="AN74" s="15"/>
      <c r="AO74" s="123"/>
      <c r="AQ74" s="16"/>
      <c r="AR74" s="16"/>
      <c r="AS74" s="16"/>
    </row>
    <row r="75" spans="1:47" s="95" customFormat="1" ht="17.25" hidden="1" customHeight="1">
      <c r="B75" s="2006" t="s">
        <v>592</v>
      </c>
      <c r="C75" s="1888"/>
      <c r="D75" s="1888"/>
      <c r="E75" s="1888"/>
      <c r="F75" s="1888"/>
      <c r="G75" s="1888"/>
      <c r="H75" s="1888"/>
      <c r="I75" s="1888"/>
      <c r="J75" s="1888"/>
      <c r="K75" s="1888"/>
      <c r="L75" s="1888"/>
      <c r="M75" s="1888"/>
      <c r="N75" s="1888"/>
      <c r="O75" s="1888"/>
      <c r="P75" s="1888"/>
      <c r="Q75" s="1888"/>
      <c r="R75" s="1888"/>
      <c r="S75" s="1888"/>
      <c r="T75" s="1888"/>
      <c r="U75" s="1888"/>
      <c r="V75" s="1888"/>
      <c r="W75" s="1888"/>
      <c r="X75" s="1888"/>
      <c r="Y75" s="1888"/>
      <c r="Z75" s="1888"/>
      <c r="AA75" s="1888"/>
      <c r="AB75" s="1888"/>
      <c r="AC75" s="1888"/>
      <c r="AD75" s="1888"/>
      <c r="AE75" s="1888"/>
      <c r="AF75" s="1888"/>
      <c r="AG75" s="1888"/>
      <c r="AH75" s="1888"/>
      <c r="AI75" s="1888"/>
      <c r="AJ75" s="1888"/>
      <c r="AK75" s="1888"/>
      <c r="AL75" s="1911"/>
      <c r="AM75" s="1862"/>
      <c r="AN75" s="171"/>
      <c r="AO75" s="171"/>
      <c r="AP75" s="171"/>
      <c r="AQ75" s="171"/>
      <c r="AU75" s="55"/>
    </row>
    <row r="76" spans="1:47" s="95" customFormat="1" ht="18" hidden="1" customHeight="1">
      <c r="B76" s="2117" t="s">
        <v>593</v>
      </c>
      <c r="C76" s="1877"/>
      <c r="D76" s="1877"/>
      <c r="E76" s="1877"/>
      <c r="F76" s="1877"/>
      <c r="G76" s="1877"/>
      <c r="H76" s="1877"/>
      <c r="I76" s="1877"/>
      <c r="J76" s="1877"/>
      <c r="K76" s="1877"/>
      <c r="L76" s="1877"/>
      <c r="M76" s="1877"/>
      <c r="N76" s="1877"/>
      <c r="O76" s="1877"/>
      <c r="P76" s="1877"/>
      <c r="Q76" s="1877"/>
      <c r="R76" s="1877"/>
      <c r="S76" s="1877"/>
      <c r="T76" s="1877"/>
      <c r="U76" s="1877"/>
      <c r="V76" s="1877"/>
      <c r="W76" s="1877"/>
      <c r="X76" s="1877"/>
      <c r="Y76" s="1877"/>
      <c r="Z76" s="1877"/>
      <c r="AA76" s="1877"/>
      <c r="AB76" s="1877"/>
      <c r="AC76" s="1877"/>
      <c r="AD76" s="1877"/>
      <c r="AE76" s="1877"/>
      <c r="AF76" s="1877"/>
      <c r="AG76" s="1877"/>
      <c r="AH76" s="1877"/>
      <c r="AI76" s="1877"/>
      <c r="AJ76" s="1877"/>
      <c r="AK76" s="1772"/>
      <c r="AL76" s="1904"/>
      <c r="AM76" s="1862"/>
      <c r="AN76" s="171"/>
      <c r="AO76" s="171"/>
      <c r="AP76" s="171"/>
      <c r="AQ76" s="171"/>
      <c r="AR76" s="171"/>
      <c r="AS76" s="171"/>
      <c r="AU76" s="55"/>
    </row>
    <row r="77" spans="1:47" ht="36" hidden="1" customHeight="1">
      <c r="B77" s="1959" t="s">
        <v>558</v>
      </c>
      <c r="C77" s="1777"/>
      <c r="D77" s="1778"/>
      <c r="E77" s="2140" t="str">
        <f>'Document Checklist-Full List'!$E$15</f>
        <v>07. Emerging Developer Experience</v>
      </c>
      <c r="F77" s="1777"/>
      <c r="G77" s="1777"/>
      <c r="H77" s="1777"/>
      <c r="I77" s="1777"/>
      <c r="J77" s="1777"/>
      <c r="K77" s="1778"/>
      <c r="L77" s="1885" t="str">
        <f>'Document Checklist-Full List'!$N$15</f>
        <v>Provide documentation satisfying experience. See Appendix A – Defined Terms.</v>
      </c>
      <c r="M77" s="1777"/>
      <c r="N77" s="1777"/>
      <c r="O77" s="1777"/>
      <c r="P77" s="1777"/>
      <c r="Q77" s="1777"/>
      <c r="R77" s="1777"/>
      <c r="S77" s="1777"/>
      <c r="T77" s="1777"/>
      <c r="U77" s="1777"/>
      <c r="V77" s="1777"/>
      <c r="W77" s="1777"/>
      <c r="X77" s="1777"/>
      <c r="Y77" s="1777"/>
      <c r="Z77" s="1777"/>
      <c r="AA77" s="1777"/>
      <c r="AB77" s="1777"/>
      <c r="AC77" s="1777"/>
      <c r="AD77" s="1777"/>
      <c r="AE77" s="1778"/>
      <c r="AF77" s="2252" t="s">
        <v>559</v>
      </c>
      <c r="AG77" s="1777"/>
      <c r="AH77" s="1777"/>
      <c r="AI77" s="1777"/>
      <c r="AJ77" s="1777"/>
      <c r="AK77" s="1778"/>
      <c r="AL77" s="1904"/>
      <c r="AM77" s="1862"/>
      <c r="AN77" s="15"/>
      <c r="AO77" s="57"/>
      <c r="AQ77" s="16"/>
      <c r="AR77" s="16"/>
      <c r="AS77" s="16"/>
    </row>
    <row r="78" spans="1:47" s="95" customFormat="1" ht="9" hidden="1" customHeight="1"/>
    <row r="79" spans="1:47" s="95" customFormat="1" ht="18" hidden="1" customHeight="1">
      <c r="B79" s="2180" t="s">
        <v>594</v>
      </c>
      <c r="C79" s="1888"/>
      <c r="D79" s="1888"/>
      <c r="E79" s="1888"/>
      <c r="F79" s="1888"/>
      <c r="G79" s="1888"/>
      <c r="H79" s="1888"/>
      <c r="I79" s="1888"/>
      <c r="J79" s="1888"/>
      <c r="K79" s="1888"/>
      <c r="L79" s="1888"/>
      <c r="M79" s="1888"/>
      <c r="N79" s="1888"/>
      <c r="O79" s="2349"/>
      <c r="P79" s="1864"/>
      <c r="Q79" s="1864"/>
      <c r="R79" s="1864"/>
      <c r="S79" s="1864"/>
      <c r="T79" s="1864"/>
      <c r="U79" s="1864"/>
      <c r="V79" s="1864"/>
      <c r="W79" s="1864"/>
      <c r="X79" s="1864"/>
      <c r="Y79" s="1864"/>
      <c r="Z79" s="1864"/>
      <c r="AA79" s="1864"/>
      <c r="AB79" s="1864"/>
      <c r="AC79" s="1865"/>
      <c r="AD79" s="2184" t="s">
        <v>595</v>
      </c>
      <c r="AE79" s="1888"/>
      <c r="AF79" s="1888"/>
      <c r="AG79" s="1888"/>
      <c r="AH79" s="1889"/>
      <c r="AI79" s="2261"/>
      <c r="AJ79" s="1864"/>
      <c r="AK79" s="1864"/>
      <c r="AL79" s="1864"/>
      <c r="AM79" s="1865"/>
    </row>
    <row r="80" spans="1:47" s="95" customFormat="1" ht="36" hidden="1" customHeight="1">
      <c r="B80" s="2427" t="s">
        <v>596</v>
      </c>
      <c r="C80" s="1777"/>
      <c r="D80" s="1777"/>
      <c r="E80" s="1777"/>
      <c r="F80" s="1777"/>
      <c r="G80" s="1777"/>
      <c r="H80" s="1777"/>
      <c r="I80" s="1777"/>
      <c r="J80" s="1777"/>
      <c r="K80" s="1777"/>
      <c r="L80" s="1777"/>
      <c r="M80" s="1973" t="s">
        <v>597</v>
      </c>
      <c r="N80" s="1777"/>
      <c r="O80" s="1777"/>
      <c r="P80" s="1777"/>
      <c r="Q80" s="1777"/>
      <c r="R80" s="1777"/>
      <c r="S80" s="1778"/>
      <c r="T80" s="1973" t="s">
        <v>598</v>
      </c>
      <c r="U80" s="1777"/>
      <c r="V80" s="1777"/>
      <c r="W80" s="1778"/>
      <c r="X80" s="1973" t="s">
        <v>599</v>
      </c>
      <c r="Y80" s="1777"/>
      <c r="Z80" s="1777"/>
      <c r="AA80" s="1777"/>
      <c r="AB80" s="1778"/>
      <c r="AC80" s="2064" t="s">
        <v>600</v>
      </c>
      <c r="AD80" s="1778"/>
      <c r="AE80" s="2064" t="s">
        <v>601</v>
      </c>
      <c r="AF80" s="1777"/>
      <c r="AG80" s="1777"/>
      <c r="AH80" s="1777"/>
      <c r="AI80" s="1778"/>
      <c r="AJ80" s="2064" t="s">
        <v>602</v>
      </c>
      <c r="AK80" s="1777"/>
      <c r="AL80" s="1777"/>
      <c r="AM80" s="1778"/>
    </row>
    <row r="81" spans="1:47" s="95" customFormat="1" ht="18" hidden="1" customHeight="1">
      <c r="A81" s="95">
        <v>1</v>
      </c>
      <c r="B81" s="1941"/>
      <c r="C81" s="1861"/>
      <c r="D81" s="1861"/>
      <c r="E81" s="1861"/>
      <c r="F81" s="1861"/>
      <c r="G81" s="1861"/>
      <c r="H81" s="1861"/>
      <c r="I81" s="1861"/>
      <c r="J81" s="1861"/>
      <c r="K81" s="1861"/>
      <c r="L81" s="1862"/>
      <c r="M81" s="1941"/>
      <c r="N81" s="1861"/>
      <c r="O81" s="1861"/>
      <c r="P81" s="1861"/>
      <c r="Q81" s="1861"/>
      <c r="R81" s="1861"/>
      <c r="S81" s="1862"/>
      <c r="T81" s="1873"/>
      <c r="U81" s="1861"/>
      <c r="V81" s="1861"/>
      <c r="W81" s="1862"/>
      <c r="X81" s="1873"/>
      <c r="Y81" s="1861"/>
      <c r="Z81" s="1861"/>
      <c r="AA81" s="1861"/>
      <c r="AB81" s="1862"/>
      <c r="AC81" s="1873"/>
      <c r="AD81" s="1862"/>
      <c r="AE81" s="2139"/>
      <c r="AF81" s="1864"/>
      <c r="AG81" s="1864"/>
      <c r="AH81" s="1864"/>
      <c r="AI81" s="1865"/>
      <c r="AJ81" s="2121"/>
      <c r="AK81" s="1861"/>
      <c r="AL81" s="1861"/>
      <c r="AM81" s="1862"/>
    </row>
    <row r="82" spans="1:47" s="95" customFormat="1" ht="18" hidden="1" customHeight="1">
      <c r="A82" s="95">
        <v>2</v>
      </c>
      <c r="B82" s="1941"/>
      <c r="C82" s="1861"/>
      <c r="D82" s="1861"/>
      <c r="E82" s="1861"/>
      <c r="F82" s="1861"/>
      <c r="G82" s="1861"/>
      <c r="H82" s="1861"/>
      <c r="I82" s="1861"/>
      <c r="J82" s="1861"/>
      <c r="K82" s="1861"/>
      <c r="L82" s="1862"/>
      <c r="M82" s="1941"/>
      <c r="N82" s="1861"/>
      <c r="O82" s="1861"/>
      <c r="P82" s="1861"/>
      <c r="Q82" s="1861"/>
      <c r="R82" s="1861"/>
      <c r="S82" s="1862"/>
      <c r="T82" s="1873"/>
      <c r="U82" s="1861"/>
      <c r="V82" s="1861"/>
      <c r="W82" s="1862"/>
      <c r="X82" s="1873"/>
      <c r="Y82" s="1861"/>
      <c r="Z82" s="1861"/>
      <c r="AA82" s="1861"/>
      <c r="AB82" s="1862"/>
      <c r="AC82" s="1873"/>
      <c r="AD82" s="1862"/>
      <c r="AE82" s="2139"/>
      <c r="AF82" s="1864"/>
      <c r="AG82" s="1864"/>
      <c r="AH82" s="1864"/>
      <c r="AI82" s="1865"/>
      <c r="AJ82" s="2121"/>
      <c r="AK82" s="1861"/>
      <c r="AL82" s="1861"/>
      <c r="AM82" s="1862"/>
    </row>
    <row r="83" spans="1:47" s="95" customFormat="1" ht="18" hidden="1" customHeight="1">
      <c r="A83" s="95">
        <v>3</v>
      </c>
      <c r="B83" s="1941"/>
      <c r="C83" s="1861"/>
      <c r="D83" s="1861"/>
      <c r="E83" s="1861"/>
      <c r="F83" s="1861"/>
      <c r="G83" s="1861"/>
      <c r="H83" s="1861"/>
      <c r="I83" s="1861"/>
      <c r="J83" s="1861"/>
      <c r="K83" s="1861"/>
      <c r="L83" s="1862"/>
      <c r="M83" s="1941"/>
      <c r="N83" s="1861"/>
      <c r="O83" s="1861"/>
      <c r="P83" s="1861"/>
      <c r="Q83" s="1861"/>
      <c r="R83" s="1861"/>
      <c r="S83" s="1862"/>
      <c r="T83" s="1873"/>
      <c r="U83" s="1861"/>
      <c r="V83" s="1861"/>
      <c r="W83" s="1862"/>
      <c r="X83" s="1873"/>
      <c r="Y83" s="1861"/>
      <c r="Z83" s="1861"/>
      <c r="AA83" s="1861"/>
      <c r="AB83" s="1862"/>
      <c r="AC83" s="1873"/>
      <c r="AD83" s="1862"/>
      <c r="AE83" s="2139"/>
      <c r="AF83" s="1864"/>
      <c r="AG83" s="1864"/>
      <c r="AH83" s="1864"/>
      <c r="AI83" s="1865"/>
      <c r="AJ83" s="2121"/>
      <c r="AK83" s="1861"/>
      <c r="AL83" s="1861"/>
      <c r="AM83" s="1862"/>
    </row>
    <row r="84" spans="1:47" s="95" customFormat="1" ht="18" hidden="1" customHeight="1">
      <c r="A84" s="95">
        <v>4</v>
      </c>
      <c r="B84" s="1941"/>
      <c r="C84" s="1861"/>
      <c r="D84" s="1861"/>
      <c r="E84" s="1861"/>
      <c r="F84" s="1861"/>
      <c r="G84" s="1861"/>
      <c r="H84" s="1861"/>
      <c r="I84" s="1861"/>
      <c r="J84" s="1861"/>
      <c r="K84" s="1861"/>
      <c r="L84" s="1862"/>
      <c r="M84" s="1941"/>
      <c r="N84" s="1861"/>
      <c r="O84" s="1861"/>
      <c r="P84" s="1861"/>
      <c r="Q84" s="1861"/>
      <c r="R84" s="1861"/>
      <c r="S84" s="1862"/>
      <c r="T84" s="1873"/>
      <c r="U84" s="1861"/>
      <c r="V84" s="1861"/>
      <c r="W84" s="1862"/>
      <c r="X84" s="1873"/>
      <c r="Y84" s="1861"/>
      <c r="Z84" s="1861"/>
      <c r="AA84" s="1861"/>
      <c r="AB84" s="1862"/>
      <c r="AC84" s="1873"/>
      <c r="AD84" s="1862"/>
      <c r="AE84" s="2121"/>
      <c r="AF84" s="1861"/>
      <c r="AG84" s="1861"/>
      <c r="AH84" s="1861"/>
      <c r="AI84" s="1862"/>
      <c r="AJ84" s="2121"/>
      <c r="AK84" s="1861"/>
      <c r="AL84" s="1861"/>
      <c r="AM84" s="1862"/>
    </row>
    <row r="85" spans="1:47" s="95" customFormat="1" ht="18" hidden="1" customHeight="1">
      <c r="B85" s="2088" t="str">
        <f>IF(AI79="Sponsor Principal","I certify that in utilizing the Principal's past experience to demonstrate Emerging Developer eligibility, Principal has developed, operated, or owned no more than four Rental Housing Developments as defined in MFSN Program Guidelines Appendix A.",CONCATENATE("I certify that ",O79," has developed, operated, or owned no more than four Rental Housing Developments as defined in MFSN Program Guidelines Appendix A."))</f>
        <v>I certify that  has developed, operated, or owned no more than four Rental Housing Developments as defined in MFSN Program Guidelines Appendix A.</v>
      </c>
      <c r="C85" s="1953"/>
      <c r="D85" s="1953"/>
      <c r="E85" s="1953"/>
      <c r="F85" s="1953"/>
      <c r="G85" s="1953"/>
      <c r="H85" s="1953"/>
      <c r="I85" s="1953"/>
      <c r="J85" s="1953"/>
      <c r="K85" s="1953"/>
      <c r="L85" s="1953"/>
      <c r="M85" s="1953"/>
      <c r="N85" s="1953"/>
      <c r="O85" s="1953"/>
      <c r="P85" s="1953"/>
      <c r="Q85" s="1953"/>
      <c r="R85" s="1953"/>
      <c r="S85" s="1953"/>
      <c r="T85" s="1953"/>
      <c r="U85" s="1953"/>
      <c r="V85" s="1953"/>
      <c r="W85" s="1953"/>
      <c r="X85" s="1953"/>
      <c r="Y85" s="1953"/>
      <c r="Z85" s="1953"/>
      <c r="AA85" s="1953"/>
      <c r="AB85" s="1953"/>
      <c r="AC85" s="1953"/>
      <c r="AD85" s="1953"/>
      <c r="AE85" s="1953"/>
      <c r="AF85" s="1953"/>
      <c r="AG85" s="1953"/>
      <c r="AH85" s="1953"/>
      <c r="AI85" s="1953"/>
      <c r="AJ85" s="1953"/>
      <c r="AK85" s="1953"/>
      <c r="AL85" s="1911"/>
      <c r="AM85" s="1862"/>
    </row>
    <row r="86" spans="1:47" s="95" customFormat="1" ht="18" hidden="1" customHeight="1"/>
    <row r="87" spans="1:47" ht="18" hidden="1" customHeight="1">
      <c r="B87" s="1950" t="s">
        <v>603</v>
      </c>
      <c r="C87" s="1910"/>
      <c r="D87" s="1910"/>
      <c r="E87" s="1910"/>
      <c r="F87" s="1910"/>
      <c r="G87" s="1910"/>
      <c r="H87" s="1910"/>
      <c r="I87" s="1910"/>
      <c r="J87" s="1910"/>
      <c r="K87" s="1910"/>
      <c r="L87" s="1910"/>
      <c r="M87" s="1910"/>
      <c r="N87" s="1910"/>
      <c r="O87" s="1910"/>
      <c r="P87" s="1910"/>
      <c r="Q87" s="2016" t="str">
        <f>IF(OR(IsMhp,IsIig,IsSerna,IsVhhp),"See Appendix A – Defined Terms","")</f>
        <v>See Appendix A – Defined Terms</v>
      </c>
      <c r="R87" s="1910"/>
      <c r="S87" s="1910"/>
      <c r="T87" s="1910"/>
      <c r="U87" s="1910"/>
      <c r="V87" s="1910"/>
      <c r="W87" s="1910"/>
      <c r="X87" s="1910"/>
      <c r="Y87" s="1910"/>
      <c r="Z87" s="1910"/>
      <c r="AA87" s="1910"/>
      <c r="AB87" s="1910"/>
      <c r="AC87" s="1910"/>
      <c r="AD87" s="1910"/>
      <c r="AE87" s="1910"/>
      <c r="AF87" s="1910"/>
      <c r="AG87" s="1910"/>
      <c r="AH87" s="1910"/>
      <c r="AI87" s="1910"/>
      <c r="AJ87" s="1910"/>
      <c r="AK87" s="1889"/>
      <c r="AL87" s="1911"/>
      <c r="AM87" s="1862"/>
      <c r="AN87" s="15"/>
      <c r="AO87" s="123"/>
      <c r="AQ87" s="16"/>
      <c r="AR87" s="16"/>
      <c r="AS87" s="16"/>
    </row>
    <row r="88" spans="1:47" s="122" customFormat="1" ht="18" hidden="1" customHeight="1">
      <c r="A88" s="95"/>
    </row>
    <row r="89" spans="1:47" ht="18" hidden="1" customHeight="1">
      <c r="B89" s="2319" t="str">
        <f>IF(AND(vmCBD="Yes",vmED="Yes"),"Is the Community-Based Developer or Emerging Developer a Tribal Entity",IF(vmCBD="Yes","Is the Community-Based Developer a Tribal Entity? ",IF(vmED="Yes","Is the Emerging Developer a Tribal Entity?","Is the Sponsor/Applicant a Tribal Entity?")))</f>
        <v>Is the Sponsor/Applicant a Tribal Entity?</v>
      </c>
      <c r="C89" s="1910"/>
      <c r="D89" s="1910"/>
      <c r="E89" s="1910"/>
      <c r="F89" s="1910"/>
      <c r="G89" s="1910"/>
      <c r="H89" s="1910"/>
      <c r="I89" s="1910"/>
      <c r="J89" s="1910"/>
      <c r="K89" s="1910"/>
      <c r="L89" s="1910"/>
      <c r="M89" s="1910"/>
      <c r="N89" s="1910"/>
      <c r="O89" s="1910"/>
      <c r="P89" s="1910"/>
      <c r="Q89" s="1910"/>
      <c r="R89" s="1910"/>
      <c r="S89" s="1910"/>
      <c r="T89" s="1910"/>
      <c r="U89" s="1910"/>
      <c r="V89" s="1910"/>
      <c r="W89" s="1910"/>
      <c r="X89" s="2016" t="str">
        <f>IF(OR(IsMhp,IsIig,IsSerna,IsVhhp),"See Appendix A – Defined Terms","")</f>
        <v>See Appendix A – Defined Terms</v>
      </c>
      <c r="Y89" s="1910"/>
      <c r="Z89" s="1910"/>
      <c r="AA89" s="1910"/>
      <c r="AB89" s="1910"/>
      <c r="AC89" s="1910"/>
      <c r="AD89" s="1910"/>
      <c r="AE89" s="1910"/>
      <c r="AF89" s="1910"/>
      <c r="AG89" s="1910"/>
      <c r="AH89" s="1910"/>
      <c r="AI89" s="1910"/>
      <c r="AJ89" s="1910"/>
      <c r="AK89" s="1889"/>
      <c r="AL89" s="1911"/>
      <c r="AM89" s="1862"/>
      <c r="AN89" s="15"/>
      <c r="AO89" s="123"/>
      <c r="AQ89" s="16"/>
      <c r="AR89" s="16"/>
      <c r="AS89" s="16"/>
    </row>
    <row r="90" spans="1:47" ht="18" hidden="1" customHeight="1">
      <c r="B90" s="1910" t="s">
        <v>604</v>
      </c>
      <c r="C90" s="1910"/>
      <c r="D90" s="1910"/>
      <c r="E90" s="1910"/>
      <c r="F90" s="1910"/>
      <c r="G90" s="1910"/>
      <c r="H90" s="1910"/>
      <c r="I90" s="1910"/>
      <c r="J90" s="1910"/>
      <c r="K90" s="1910"/>
      <c r="L90" s="1910"/>
      <c r="M90" s="1910"/>
      <c r="N90" s="1910"/>
      <c r="O90" s="1910"/>
      <c r="P90" s="1910"/>
      <c r="Q90" s="1910"/>
      <c r="R90" s="1910"/>
      <c r="S90" s="1910"/>
      <c r="T90" s="1910"/>
      <c r="U90" s="1910"/>
      <c r="V90" s="1910"/>
      <c r="W90" s="1910"/>
      <c r="X90" s="1893"/>
      <c r="Y90" s="1861"/>
      <c r="Z90" s="1861"/>
      <c r="AA90" s="1861"/>
      <c r="AB90" s="1861"/>
      <c r="AC90" s="1862"/>
      <c r="AD90" s="172"/>
      <c r="AE90" s="172"/>
      <c r="AF90" s="172"/>
      <c r="AG90" s="172"/>
      <c r="AH90" s="172"/>
      <c r="AI90" s="172"/>
      <c r="AJ90" s="172"/>
      <c r="AK90" s="172"/>
      <c r="AL90" s="172"/>
      <c r="AM90" s="172"/>
      <c r="AN90" s="15"/>
      <c r="AO90" s="123"/>
      <c r="AQ90" s="16"/>
      <c r="AR90" s="16"/>
      <c r="AS90" s="16"/>
    </row>
    <row r="91" spans="1:47" s="122" customFormat="1" ht="63" hidden="1" customHeight="1">
      <c r="A91" s="95"/>
      <c r="B91" s="2426" t="s">
        <v>605</v>
      </c>
      <c r="C91" s="1877"/>
      <c r="D91" s="1877"/>
      <c r="E91" s="1877"/>
      <c r="F91" s="1877"/>
      <c r="G91" s="1877"/>
      <c r="H91" s="1877"/>
      <c r="I91" s="1877"/>
      <c r="J91" s="1877"/>
      <c r="K91" s="1877"/>
      <c r="L91" s="1877"/>
      <c r="M91" s="1877"/>
      <c r="N91" s="1877"/>
      <c r="O91" s="1877"/>
      <c r="P91" s="1877"/>
      <c r="Q91" s="1877"/>
      <c r="R91" s="1877"/>
      <c r="S91" s="1877"/>
      <c r="T91" s="1877"/>
      <c r="U91" s="1877"/>
      <c r="V91" s="1877"/>
      <c r="W91" s="1877"/>
      <c r="X91" s="1877"/>
      <c r="Y91" s="1877"/>
      <c r="Z91" s="1877"/>
      <c r="AA91" s="1877"/>
      <c r="AB91" s="1877"/>
      <c r="AC91" s="1877"/>
      <c r="AD91" s="2262" t="str">
        <f>CONCATENATE(IF(IsMhp,"MHP §7302(h)(2)(A-C)",""),"  ",IF(IsIig,"IIG§200(e)(2)(A-C)",""),"  ",IF(IsSerna,"FWHG §201(f)(2)(A-C)",""),"  ",IF(IsVhhp,"",""))</f>
        <v xml:space="preserve">MHP §7302(h)(2)(A-C)      </v>
      </c>
      <c r="AE91" s="1877"/>
      <c r="AF91" s="1877"/>
      <c r="AG91" s="1877"/>
      <c r="AH91" s="1877"/>
      <c r="AI91" s="1877"/>
      <c r="AJ91" s="1877"/>
      <c r="AK91" s="1772"/>
      <c r="AL91" s="1904"/>
      <c r="AM91" s="1862"/>
      <c r="AN91" s="215"/>
      <c r="AO91" s="215"/>
      <c r="AP91" s="215"/>
      <c r="AQ91" s="215"/>
      <c r="AR91" s="215"/>
      <c r="AS91" s="215"/>
    </row>
    <row r="92" spans="1:47" ht="36" hidden="1" customHeight="1">
      <c r="B92" s="1959" t="s">
        <v>558</v>
      </c>
      <c r="C92" s="1777"/>
      <c r="D92" s="1778"/>
      <c r="E92" s="2140" t="str">
        <f>'Document Checklist-Full List'!$E$16</f>
        <v>08. Tribal Entity Waiver</v>
      </c>
      <c r="F92" s="1777"/>
      <c r="G92" s="1777"/>
      <c r="H92" s="1777"/>
      <c r="I92" s="1777"/>
      <c r="J92" s="1777"/>
      <c r="K92" s="1778"/>
      <c r="L92" s="1885" t="str">
        <f>'Document Checklist-Full List'!$N$16</f>
        <v>Modifications or waivers as provided for in HSC §50406, subdivision (p) (Assembly Bill 1010 (Chapter 660, Statutes of 2019).</v>
      </c>
      <c r="M92" s="1777"/>
      <c r="N92" s="1777"/>
      <c r="O92" s="1777"/>
      <c r="P92" s="1777"/>
      <c r="Q92" s="1777"/>
      <c r="R92" s="1777"/>
      <c r="S92" s="1777"/>
      <c r="T92" s="1777"/>
      <c r="U92" s="1777"/>
      <c r="V92" s="1777"/>
      <c r="W92" s="1777"/>
      <c r="X92" s="1777"/>
      <c r="Y92" s="1777"/>
      <c r="Z92" s="1777"/>
      <c r="AA92" s="1777"/>
      <c r="AB92" s="1777"/>
      <c r="AC92" s="1777"/>
      <c r="AD92" s="1777"/>
      <c r="AE92" s="1778"/>
      <c r="AF92" s="2252" t="s">
        <v>559</v>
      </c>
      <c r="AG92" s="1777"/>
      <c r="AH92" s="1777"/>
      <c r="AI92" s="1777"/>
      <c r="AJ92" s="1777"/>
      <c r="AK92" s="1778"/>
      <c r="AL92" s="1904"/>
      <c r="AM92" s="1862"/>
      <c r="AN92" s="15"/>
      <c r="AO92" s="57"/>
      <c r="AQ92" s="16"/>
      <c r="AR92" s="16"/>
      <c r="AS92" s="16"/>
    </row>
    <row r="93" spans="1:47" ht="36" hidden="1" customHeight="1">
      <c r="B93" s="1959" t="s">
        <v>558</v>
      </c>
      <c r="C93" s="1777"/>
      <c r="D93" s="1778"/>
      <c r="E93" s="2140" t="str">
        <f>'Document Checklist-Full List'!$E$17</f>
        <v>09a. Indian Country Verification</v>
      </c>
      <c r="F93" s="1777"/>
      <c r="G93" s="1777"/>
      <c r="H93" s="1777"/>
      <c r="I93" s="1777"/>
      <c r="J93" s="1777"/>
      <c r="K93" s="1778"/>
      <c r="L93" s="1885" t="str">
        <f>'Document Checklist-Full List'!$N$17</f>
        <v>Documentation verifying land is located in Indian Country as defined by 18 USC 1151.</v>
      </c>
      <c r="M93" s="1777"/>
      <c r="N93" s="1777"/>
      <c r="O93" s="1777"/>
      <c r="P93" s="1777"/>
      <c r="Q93" s="1777"/>
      <c r="R93" s="1777"/>
      <c r="S93" s="1777"/>
      <c r="T93" s="1777"/>
      <c r="U93" s="1777"/>
      <c r="V93" s="1777"/>
      <c r="W93" s="1777"/>
      <c r="X93" s="1777"/>
      <c r="Y93" s="1777"/>
      <c r="Z93" s="1777"/>
      <c r="AA93" s="1777"/>
      <c r="AB93" s="1777"/>
      <c r="AC93" s="1777"/>
      <c r="AD93" s="1777"/>
      <c r="AE93" s="1778"/>
      <c r="AF93" s="2252" t="s">
        <v>559</v>
      </c>
      <c r="AG93" s="1777"/>
      <c r="AH93" s="1777"/>
      <c r="AI93" s="1777"/>
      <c r="AJ93" s="1777"/>
      <c r="AK93" s="1778"/>
      <c r="AL93" s="1904"/>
      <c r="AM93" s="1862"/>
      <c r="AN93" s="15"/>
      <c r="AO93" s="57"/>
      <c r="AQ93" s="16"/>
      <c r="AR93" s="16"/>
      <c r="AS93" s="16"/>
    </row>
    <row r="94" spans="1:47" ht="36" hidden="1" customHeight="1">
      <c r="B94" s="1959" t="s">
        <v>558</v>
      </c>
      <c r="C94" s="1777"/>
      <c r="D94" s="1778"/>
      <c r="E94" s="2140" t="str">
        <f>'Document Checklist-Full List'!$E$18</f>
        <v>09b. Fee or Trust Land Verification</v>
      </c>
      <c r="F94" s="1777"/>
      <c r="G94" s="1777"/>
      <c r="H94" s="1777"/>
      <c r="I94" s="1777"/>
      <c r="J94" s="1777"/>
      <c r="K94" s="1778"/>
      <c r="L94" s="1885" t="str">
        <f>'Document Checklist-Full List'!$N$18</f>
        <v>Documentation verifying land is located on Fee or Trust Land.</v>
      </c>
      <c r="M94" s="1777"/>
      <c r="N94" s="1777"/>
      <c r="O94" s="1777"/>
      <c r="P94" s="1777"/>
      <c r="Q94" s="1777"/>
      <c r="R94" s="1777"/>
      <c r="S94" s="1777"/>
      <c r="T94" s="1777"/>
      <c r="U94" s="1777"/>
      <c r="V94" s="1777"/>
      <c r="W94" s="1777"/>
      <c r="X94" s="1777"/>
      <c r="Y94" s="1777"/>
      <c r="Z94" s="1777"/>
      <c r="AA94" s="1777"/>
      <c r="AB94" s="1777"/>
      <c r="AC94" s="1777"/>
      <c r="AD94" s="1777"/>
      <c r="AE94" s="1778"/>
      <c r="AF94" s="2252" t="s">
        <v>559</v>
      </c>
      <c r="AG94" s="1777"/>
      <c r="AH94" s="1777"/>
      <c r="AI94" s="1777"/>
      <c r="AJ94" s="1777"/>
      <c r="AK94" s="1778"/>
      <c r="AL94" s="1904"/>
      <c r="AM94" s="1862"/>
      <c r="AN94" s="15"/>
      <c r="AO94" s="57"/>
      <c r="AQ94" s="16"/>
      <c r="AR94" s="16"/>
      <c r="AS94" s="16"/>
    </row>
    <row r="95" spans="1:47" s="95" customFormat="1" ht="9" hidden="1" customHeight="1"/>
    <row r="96" spans="1:47" s="95" customFormat="1" ht="18" hidden="1" customHeight="1">
      <c r="B96" s="2006" t="s">
        <v>606</v>
      </c>
      <c r="C96" s="1888"/>
      <c r="D96" s="1888"/>
      <c r="E96" s="1888"/>
      <c r="F96" s="1888"/>
      <c r="G96" s="1888"/>
      <c r="H96" s="1888"/>
      <c r="I96" s="1888"/>
      <c r="J96" s="1888"/>
      <c r="K96" s="1888"/>
      <c r="L96" s="1888"/>
      <c r="M96" s="1888"/>
      <c r="N96" s="1888"/>
      <c r="O96" s="1888"/>
      <c r="P96" s="1888"/>
      <c r="Q96" s="1888"/>
      <c r="R96" s="1888"/>
      <c r="S96" s="1888"/>
      <c r="T96" s="1888"/>
      <c r="U96" s="1888"/>
      <c r="V96" s="1888"/>
      <c r="W96" s="1888"/>
      <c r="X96" s="1888"/>
      <c r="Y96" s="1888"/>
      <c r="Z96" s="1888"/>
      <c r="AA96" s="1888"/>
      <c r="AB96" s="1888"/>
      <c r="AC96" s="1888"/>
      <c r="AD96" s="1888"/>
      <c r="AE96" s="1888"/>
      <c r="AF96" s="1888"/>
      <c r="AG96" s="1888"/>
      <c r="AH96" s="1888"/>
      <c r="AI96" s="1888"/>
      <c r="AJ96" s="1888"/>
      <c r="AK96" s="1888"/>
      <c r="AL96" s="1911"/>
      <c r="AM96" s="1862"/>
      <c r="AN96" s="171"/>
      <c r="AO96" s="171"/>
      <c r="AP96" s="171"/>
      <c r="AQ96" s="171"/>
      <c r="AR96" s="171"/>
      <c r="AS96" s="171"/>
      <c r="AU96" s="55"/>
    </row>
    <row r="97" spans="1:47" s="95" customFormat="1" ht="36.75" hidden="1" customHeight="1">
      <c r="A97" s="122"/>
      <c r="B97" s="2122" t="s">
        <v>607</v>
      </c>
      <c r="C97" s="1888"/>
      <c r="D97" s="1888"/>
      <c r="E97" s="1888"/>
      <c r="F97" s="1888"/>
      <c r="G97" s="1888"/>
      <c r="H97" s="1888"/>
      <c r="I97" s="1888"/>
      <c r="J97" s="1888"/>
      <c r="K97" s="1888"/>
      <c r="L97" s="1888"/>
      <c r="M97" s="1888"/>
      <c r="N97" s="1888"/>
      <c r="O97" s="1888"/>
      <c r="P97" s="1888"/>
      <c r="Q97" s="1888"/>
      <c r="R97" s="1888"/>
      <c r="S97" s="1888"/>
      <c r="T97" s="1888"/>
      <c r="U97" s="1888"/>
      <c r="V97" s="1888"/>
      <c r="W97" s="1888"/>
      <c r="X97" s="1888"/>
      <c r="Y97" s="1888"/>
      <c r="Z97" s="1888"/>
      <c r="AA97" s="1888"/>
      <c r="AB97" s="1888"/>
      <c r="AC97" s="1888"/>
      <c r="AD97" s="1888"/>
      <c r="AE97" s="1888"/>
      <c r="AF97" s="1888"/>
      <c r="AG97" s="1888"/>
      <c r="AH97" s="1888"/>
      <c r="AI97" s="1888"/>
      <c r="AJ97" s="1888"/>
      <c r="AK97" s="1889"/>
      <c r="AL97" s="1911"/>
      <c r="AM97" s="1862"/>
      <c r="AN97" s="171"/>
      <c r="AO97" s="171"/>
      <c r="AP97" s="171"/>
      <c r="AQ97" s="171"/>
      <c r="AR97" s="171"/>
      <c r="AS97" s="171"/>
      <c r="AU97" s="55"/>
    </row>
    <row r="98" spans="1:47" s="95" customFormat="1" ht="36.75" hidden="1" customHeight="1">
      <c r="A98" s="122"/>
      <c r="B98" s="138" t="s">
        <v>608</v>
      </c>
      <c r="C98" s="2122" t="s">
        <v>609</v>
      </c>
      <c r="D98" s="1888"/>
      <c r="E98" s="1888"/>
      <c r="F98" s="1888"/>
      <c r="G98" s="1888"/>
      <c r="H98" s="1888"/>
      <c r="I98" s="1888"/>
      <c r="J98" s="1888"/>
      <c r="K98" s="1888"/>
      <c r="L98" s="1888"/>
      <c r="M98" s="1888"/>
      <c r="N98" s="1888"/>
      <c r="O98" s="1888"/>
      <c r="P98" s="1888"/>
      <c r="Q98" s="1888"/>
      <c r="R98" s="1888"/>
      <c r="S98" s="1888"/>
      <c r="T98" s="1888"/>
      <c r="U98" s="1888"/>
      <c r="V98" s="1888"/>
      <c r="W98" s="1888"/>
      <c r="X98" s="1888"/>
      <c r="Y98" s="1888"/>
      <c r="Z98" s="1888"/>
      <c r="AA98" s="1888"/>
      <c r="AB98" s="1888"/>
      <c r="AC98" s="1888"/>
      <c r="AD98" s="1888"/>
      <c r="AE98" s="1888"/>
      <c r="AF98" s="1888"/>
      <c r="AG98" s="1888"/>
      <c r="AH98" s="1888"/>
      <c r="AI98" s="1888"/>
      <c r="AJ98" s="1888"/>
      <c r="AK98" s="1889"/>
      <c r="AL98" s="1911"/>
      <c r="AM98" s="1862"/>
      <c r="AN98" s="171"/>
      <c r="AO98" s="171"/>
      <c r="AP98" s="171"/>
      <c r="AQ98" s="171"/>
      <c r="AR98" s="171"/>
      <c r="AS98" s="171"/>
      <c r="AU98" s="55"/>
    </row>
    <row r="99" spans="1:47" s="95" customFormat="1" ht="18" hidden="1" customHeight="1">
      <c r="A99" s="122"/>
      <c r="C99" s="2122" t="s">
        <v>610</v>
      </c>
      <c r="D99" s="1888"/>
      <c r="E99" s="1888"/>
      <c r="F99" s="1888"/>
      <c r="G99" s="1888"/>
      <c r="H99" s="1888"/>
      <c r="I99" s="1888"/>
      <c r="J99" s="1888"/>
      <c r="K99" s="1888"/>
      <c r="L99" s="1888"/>
      <c r="M99" s="1888"/>
      <c r="N99" s="1888"/>
      <c r="O99" s="1888"/>
      <c r="P99" s="1888"/>
      <c r="Q99" s="1888"/>
      <c r="R99" s="1888"/>
      <c r="S99" s="1888"/>
      <c r="T99" s="1888"/>
      <c r="U99" s="1888"/>
      <c r="V99" s="1889"/>
      <c r="W99" s="2047"/>
      <c r="X99" s="1861"/>
      <c r="Y99" s="1861"/>
      <c r="Z99" s="1862"/>
      <c r="AA99" s="1654"/>
      <c r="AB99" s="1745"/>
      <c r="AC99" s="2253"/>
      <c r="AD99" s="1888"/>
      <c r="AE99" s="1745"/>
      <c r="AF99" s="1745"/>
      <c r="AG99" s="1745"/>
      <c r="AH99" s="1745"/>
      <c r="AI99" s="1745"/>
      <c r="AJ99" s="1745"/>
      <c r="AK99" s="1745"/>
      <c r="AL99" s="1745"/>
      <c r="AM99" s="1745"/>
      <c r="AN99" s="171"/>
      <c r="AO99" s="171"/>
      <c r="AP99" s="171"/>
      <c r="AQ99" s="171"/>
      <c r="AR99" s="171"/>
      <c r="AS99" s="171"/>
      <c r="AU99" s="55"/>
    </row>
    <row r="100" spans="1:47" s="122" customFormat="1" ht="54" hidden="1" customHeight="1">
      <c r="B100" s="138" t="s">
        <v>611</v>
      </c>
      <c r="C100" s="1912" t="s">
        <v>612</v>
      </c>
      <c r="D100" s="1913"/>
      <c r="E100" s="1913"/>
      <c r="F100" s="1913"/>
      <c r="G100" s="1913"/>
      <c r="H100" s="1913"/>
      <c r="I100" s="1913"/>
      <c r="J100" s="1913"/>
      <c r="K100" s="1913"/>
      <c r="L100" s="1913"/>
      <c r="M100" s="1913"/>
      <c r="N100" s="1913"/>
      <c r="O100" s="1913"/>
      <c r="P100" s="1913"/>
      <c r="Q100" s="1913"/>
      <c r="R100" s="1913"/>
      <c r="S100" s="1913"/>
      <c r="T100" s="1913"/>
      <c r="U100" s="1913"/>
      <c r="V100" s="1913"/>
      <c r="W100" s="1913"/>
      <c r="X100" s="1913"/>
      <c r="Y100" s="1913"/>
      <c r="Z100" s="1913"/>
      <c r="AA100" s="1913"/>
      <c r="AB100" s="1913"/>
      <c r="AC100" s="1913"/>
      <c r="AD100" s="1913"/>
      <c r="AE100" s="1913"/>
      <c r="AF100" s="1913"/>
      <c r="AG100" s="1913"/>
      <c r="AH100" s="1913"/>
      <c r="AI100" s="1913"/>
      <c r="AJ100" s="1913"/>
      <c r="AK100" s="1913"/>
      <c r="AL100" s="1911"/>
      <c r="AM100" s="1862"/>
    </row>
    <row r="101" spans="1:47" s="122" customFormat="1" ht="36" hidden="1" customHeight="1">
      <c r="C101" s="1489" t="s">
        <v>613</v>
      </c>
      <c r="D101" s="2343" t="s">
        <v>614</v>
      </c>
      <c r="E101" s="1913"/>
      <c r="F101" s="1913"/>
      <c r="G101" s="1913"/>
      <c r="H101" s="1913"/>
      <c r="I101" s="1913"/>
      <c r="J101" s="1913"/>
      <c r="K101" s="1913"/>
      <c r="L101" s="1913"/>
      <c r="M101" s="1913"/>
      <c r="N101" s="1913"/>
      <c r="O101" s="1913"/>
      <c r="P101" s="1913"/>
      <c r="Q101" s="1913"/>
      <c r="R101" s="1913"/>
      <c r="S101" s="1913"/>
      <c r="T101" s="1913"/>
      <c r="U101" s="1913"/>
      <c r="V101" s="1913"/>
      <c r="W101" s="1913"/>
      <c r="X101" s="1913"/>
      <c r="Y101" s="1913"/>
      <c r="Z101" s="1913"/>
      <c r="AA101" s="1913"/>
      <c r="AB101" s="1913"/>
      <c r="AC101" s="1913"/>
      <c r="AD101" s="1913"/>
      <c r="AE101" s="1913"/>
      <c r="AF101" s="1913"/>
      <c r="AG101" s="1913"/>
      <c r="AH101" s="1913"/>
      <c r="AI101" s="1913"/>
      <c r="AJ101" s="1913"/>
      <c r="AK101" s="1913"/>
    </row>
    <row r="102" spans="1:47" s="122" customFormat="1" ht="18" hidden="1" customHeight="1">
      <c r="C102" s="1489" t="s">
        <v>615</v>
      </c>
      <c r="D102" s="1912" t="s">
        <v>616</v>
      </c>
      <c r="E102" s="1913"/>
      <c r="F102" s="1913"/>
      <c r="G102" s="1913"/>
      <c r="H102" s="1913"/>
      <c r="I102" s="1913"/>
      <c r="J102" s="1913"/>
      <c r="K102" s="1913"/>
      <c r="L102" s="1913"/>
      <c r="M102" s="1913"/>
      <c r="N102" s="1913"/>
      <c r="O102" s="1913"/>
      <c r="P102" s="1913"/>
      <c r="Q102" s="1913"/>
      <c r="R102" s="1913"/>
      <c r="S102" s="1913"/>
      <c r="T102" s="1913"/>
      <c r="U102" s="1913"/>
      <c r="V102" s="1913"/>
      <c r="W102" s="1913"/>
      <c r="X102" s="1913"/>
      <c r="Y102" s="1913"/>
      <c r="Z102" s="1913"/>
      <c r="AA102" s="1913"/>
      <c r="AB102" s="1913"/>
      <c r="AC102" s="1913"/>
      <c r="AD102" s="1913"/>
      <c r="AE102" s="1913"/>
      <c r="AF102" s="1913"/>
      <c r="AG102" s="1913"/>
      <c r="AH102" s="1913"/>
      <c r="AI102" s="1913"/>
      <c r="AJ102" s="1913"/>
      <c r="AK102" s="1913"/>
    </row>
    <row r="103" spans="1:47" s="122" customFormat="1" ht="18" hidden="1" customHeight="1">
      <c r="C103" s="1489" t="s">
        <v>617</v>
      </c>
      <c r="D103" s="1912" t="s">
        <v>618</v>
      </c>
      <c r="E103" s="1913"/>
      <c r="F103" s="1913"/>
      <c r="G103" s="1913"/>
      <c r="H103" s="1913"/>
      <c r="I103" s="1913"/>
      <c r="J103" s="1913"/>
      <c r="K103" s="1913"/>
      <c r="L103" s="1913"/>
      <c r="M103" s="1913"/>
      <c r="N103" s="1913"/>
      <c r="O103" s="1913"/>
      <c r="P103" s="1913"/>
      <c r="Q103" s="1913"/>
      <c r="R103" s="1913"/>
      <c r="S103" s="1913"/>
      <c r="T103" s="1913"/>
      <c r="U103" s="1913"/>
      <c r="V103" s="1913"/>
      <c r="W103" s="1913"/>
      <c r="X103" s="1913"/>
      <c r="Y103" s="1913"/>
      <c r="Z103" s="1913"/>
      <c r="AA103" s="1913"/>
      <c r="AB103" s="1913"/>
      <c r="AC103" s="1913"/>
      <c r="AD103" s="1913"/>
      <c r="AE103" s="1913"/>
      <c r="AF103" s="1913"/>
      <c r="AG103" s="1913"/>
      <c r="AH103" s="1913"/>
      <c r="AI103" s="1913"/>
      <c r="AJ103" s="1913"/>
      <c r="AK103" s="1913"/>
    </row>
    <row r="104" spans="1:47" s="122" customFormat="1" ht="18" hidden="1" customHeight="1">
      <c r="B104" s="138" t="s">
        <v>619</v>
      </c>
      <c r="C104" s="1912" t="s">
        <v>620</v>
      </c>
      <c r="D104" s="1913"/>
      <c r="E104" s="1913"/>
      <c r="F104" s="1913"/>
      <c r="G104" s="1913"/>
      <c r="H104" s="1913"/>
      <c r="I104" s="1913"/>
      <c r="J104" s="1913"/>
      <c r="K104" s="1913"/>
      <c r="L104" s="1913"/>
      <c r="M104" s="1913"/>
      <c r="N104" s="1913"/>
      <c r="O104" s="1913"/>
      <c r="P104" s="1913"/>
      <c r="Q104" s="1913"/>
      <c r="R104" s="1913"/>
      <c r="S104" s="1913"/>
      <c r="T104" s="1913"/>
      <c r="U104" s="1913"/>
      <c r="V104" s="1913"/>
      <c r="W104" s="1913"/>
      <c r="X104" s="1913"/>
      <c r="Y104" s="1913"/>
      <c r="Z104" s="1913"/>
      <c r="AA104" s="1913"/>
      <c r="AB104" s="1913"/>
      <c r="AC104" s="1913"/>
      <c r="AD104" s="1913"/>
      <c r="AE104" s="1913"/>
      <c r="AF104" s="1913"/>
      <c r="AG104" s="1913"/>
      <c r="AH104" s="1913"/>
      <c r="AI104" s="1913"/>
      <c r="AJ104" s="1913"/>
      <c r="AK104" s="1913"/>
    </row>
    <row r="105" spans="1:47" s="122" customFormat="1" ht="36" hidden="1" customHeight="1">
      <c r="C105" s="1489" t="s">
        <v>613</v>
      </c>
      <c r="D105" s="1912" t="s">
        <v>621</v>
      </c>
      <c r="E105" s="1913"/>
      <c r="F105" s="1913"/>
      <c r="G105" s="1913"/>
      <c r="H105" s="1913"/>
      <c r="I105" s="1913"/>
      <c r="J105" s="1913"/>
      <c r="K105" s="1913"/>
      <c r="L105" s="1913"/>
      <c r="M105" s="1913"/>
      <c r="N105" s="1913"/>
      <c r="O105" s="1913"/>
      <c r="P105" s="1913"/>
      <c r="Q105" s="1913"/>
      <c r="R105" s="1913"/>
      <c r="S105" s="1913"/>
      <c r="T105" s="1913"/>
      <c r="U105" s="1913"/>
      <c r="V105" s="1913"/>
      <c r="W105" s="1913"/>
      <c r="X105" s="1913"/>
      <c r="Y105" s="1913"/>
      <c r="Z105" s="1913"/>
      <c r="AA105" s="1913"/>
      <c r="AB105" s="1913"/>
      <c r="AC105" s="1913"/>
      <c r="AD105" s="1913"/>
      <c r="AE105" s="1913"/>
      <c r="AF105" s="1913"/>
      <c r="AG105" s="1913"/>
      <c r="AH105" s="1913"/>
      <c r="AI105" s="1913"/>
      <c r="AJ105" s="1913"/>
      <c r="AK105" s="1913"/>
    </row>
    <row r="106" spans="1:47" s="122" customFormat="1" ht="36" hidden="1" customHeight="1">
      <c r="C106" s="1489" t="s">
        <v>615</v>
      </c>
      <c r="D106" s="1912" t="s">
        <v>622</v>
      </c>
      <c r="E106" s="1913"/>
      <c r="F106" s="1913"/>
      <c r="G106" s="1913"/>
      <c r="H106" s="1913"/>
      <c r="I106" s="1913"/>
      <c r="J106" s="1913"/>
      <c r="K106" s="1913"/>
      <c r="L106" s="1913"/>
      <c r="M106" s="1913"/>
      <c r="N106" s="1913"/>
      <c r="O106" s="1913"/>
      <c r="P106" s="1913"/>
      <c r="Q106" s="1913"/>
      <c r="R106" s="1913"/>
      <c r="S106" s="1913"/>
      <c r="T106" s="1913"/>
      <c r="U106" s="1913"/>
      <c r="V106" s="1913"/>
      <c r="W106" s="1913"/>
      <c r="X106" s="1913"/>
      <c r="Y106" s="1913"/>
      <c r="Z106" s="1913"/>
      <c r="AA106" s="1913"/>
      <c r="AB106" s="1913"/>
      <c r="AC106" s="1913"/>
      <c r="AD106" s="1913"/>
      <c r="AE106" s="1913"/>
      <c r="AF106" s="1913"/>
      <c r="AG106" s="1913"/>
      <c r="AH106" s="1913"/>
      <c r="AI106" s="1913"/>
      <c r="AJ106" s="1913"/>
      <c r="AK106" s="1913"/>
    </row>
    <row r="107" spans="1:47" s="122" customFormat="1" ht="18" hidden="1" customHeight="1">
      <c r="B107" s="138" t="s">
        <v>623</v>
      </c>
      <c r="C107" s="1912" t="s">
        <v>624</v>
      </c>
      <c r="D107" s="1913"/>
      <c r="E107" s="1913"/>
      <c r="F107" s="1913"/>
      <c r="G107" s="1913"/>
      <c r="H107" s="1913"/>
      <c r="I107" s="1913"/>
      <c r="J107" s="1913"/>
      <c r="K107" s="1913"/>
      <c r="L107" s="1913"/>
      <c r="M107" s="1913"/>
      <c r="N107" s="1913"/>
      <c r="O107" s="1913"/>
      <c r="P107" s="1913"/>
      <c r="Q107" s="1913"/>
      <c r="R107" s="1913"/>
      <c r="S107" s="1913"/>
      <c r="T107" s="1913"/>
      <c r="U107" s="1913"/>
      <c r="V107" s="1913"/>
      <c r="W107" s="1913"/>
      <c r="X107" s="1913"/>
      <c r="Y107" s="1913"/>
      <c r="Z107" s="1913"/>
      <c r="AA107" s="1913"/>
      <c r="AB107" s="1913"/>
      <c r="AC107" s="1913"/>
      <c r="AD107" s="1913"/>
      <c r="AE107" s="1913"/>
      <c r="AF107" s="1913"/>
      <c r="AG107" s="1913"/>
      <c r="AH107" s="1913"/>
      <c r="AI107" s="1913"/>
      <c r="AJ107" s="1913"/>
      <c r="AK107" s="1913"/>
    </row>
    <row r="108" spans="1:47" s="122" customFormat="1" ht="78.75" hidden="1" customHeight="1">
      <c r="C108" s="1489" t="s">
        <v>613</v>
      </c>
      <c r="D108" s="1912" t="s">
        <v>625</v>
      </c>
      <c r="E108" s="1913"/>
      <c r="F108" s="1913"/>
      <c r="G108" s="1913"/>
      <c r="H108" s="1913"/>
      <c r="I108" s="1913"/>
      <c r="J108" s="1913"/>
      <c r="K108" s="1913"/>
      <c r="L108" s="1913"/>
      <c r="M108" s="1913"/>
      <c r="N108" s="1913"/>
      <c r="O108" s="1913"/>
      <c r="P108" s="1913"/>
      <c r="Q108" s="1913"/>
      <c r="R108" s="1913"/>
      <c r="S108" s="1913"/>
      <c r="T108" s="1913"/>
      <c r="U108" s="1913"/>
      <c r="V108" s="1913"/>
      <c r="W108" s="1913"/>
      <c r="X108" s="1913"/>
      <c r="Y108" s="1913"/>
      <c r="Z108" s="1913"/>
      <c r="AA108" s="1913"/>
      <c r="AB108" s="1913"/>
      <c r="AC108" s="1913"/>
      <c r="AD108" s="1913"/>
      <c r="AE108" s="1913"/>
      <c r="AF108" s="1913"/>
      <c r="AG108" s="1913"/>
      <c r="AH108" s="1913"/>
      <c r="AI108" s="1913"/>
      <c r="AJ108" s="1913"/>
      <c r="AK108" s="1913"/>
    </row>
    <row r="109" spans="1:47" s="122" customFormat="1" ht="78" hidden="1" customHeight="1">
      <c r="C109" s="1489" t="s">
        <v>615</v>
      </c>
      <c r="D109" s="1912" t="s">
        <v>626</v>
      </c>
      <c r="E109" s="1913"/>
      <c r="F109" s="1913"/>
      <c r="G109" s="1913"/>
      <c r="H109" s="1913"/>
      <c r="I109" s="1913"/>
      <c r="J109" s="1913"/>
      <c r="K109" s="1913"/>
      <c r="L109" s="1913"/>
      <c r="M109" s="1913"/>
      <c r="N109" s="1913"/>
      <c r="O109" s="1913"/>
      <c r="P109" s="1913"/>
      <c r="Q109" s="1913"/>
      <c r="R109" s="1913"/>
      <c r="S109" s="1913"/>
      <c r="T109" s="1913"/>
      <c r="U109" s="1913"/>
      <c r="V109" s="1913"/>
      <c r="W109" s="1913"/>
      <c r="X109" s="1913"/>
      <c r="Y109" s="1913"/>
      <c r="Z109" s="1913"/>
      <c r="AA109" s="1913"/>
      <c r="AB109" s="1913"/>
      <c r="AC109" s="1913"/>
      <c r="AD109" s="1913"/>
      <c r="AE109" s="1913"/>
      <c r="AF109" s="1913"/>
      <c r="AG109" s="1913"/>
      <c r="AH109" s="1913"/>
      <c r="AI109" s="1913"/>
      <c r="AJ109" s="1913"/>
      <c r="AK109" s="1913"/>
    </row>
    <row r="110" spans="1:47" s="122" customFormat="1" ht="36" hidden="1" customHeight="1">
      <c r="B110" s="138" t="s">
        <v>627</v>
      </c>
      <c r="C110" s="1912" t="s">
        <v>628</v>
      </c>
      <c r="D110" s="1913"/>
      <c r="E110" s="1913"/>
      <c r="F110" s="1913"/>
      <c r="G110" s="1913"/>
      <c r="H110" s="1913"/>
      <c r="I110" s="1913"/>
      <c r="J110" s="1913"/>
      <c r="K110" s="1913"/>
      <c r="L110" s="1913"/>
      <c r="M110" s="1913"/>
      <c r="N110" s="1913"/>
      <c r="O110" s="1913"/>
      <c r="P110" s="1913"/>
      <c r="Q110" s="1913"/>
      <c r="R110" s="1913"/>
      <c r="S110" s="1913"/>
      <c r="T110" s="1913"/>
      <c r="U110" s="1913"/>
      <c r="V110" s="1913"/>
      <c r="W110" s="1913"/>
      <c r="X110" s="1913"/>
      <c r="Y110" s="1913"/>
      <c r="Z110" s="1913"/>
      <c r="AA110" s="1913"/>
      <c r="AB110" s="1913"/>
      <c r="AC110" s="1913"/>
      <c r="AD110" s="1913"/>
      <c r="AE110" s="1913"/>
      <c r="AF110" s="1913"/>
      <c r="AG110" s="1913"/>
      <c r="AH110" s="1913"/>
      <c r="AI110" s="1913"/>
      <c r="AJ110" s="1913"/>
      <c r="AK110" s="1913"/>
    </row>
    <row r="111" spans="1:47" s="122" customFormat="1" ht="36" hidden="1" customHeight="1">
      <c r="B111" s="138" t="s">
        <v>629</v>
      </c>
      <c r="C111" s="1912" t="s">
        <v>630</v>
      </c>
      <c r="D111" s="1913"/>
      <c r="E111" s="1913"/>
      <c r="F111" s="1913"/>
      <c r="G111" s="1913"/>
      <c r="H111" s="1913"/>
      <c r="I111" s="1913"/>
      <c r="J111" s="1913"/>
      <c r="K111" s="1913"/>
      <c r="L111" s="1913"/>
      <c r="M111" s="1913"/>
      <c r="N111" s="1913"/>
      <c r="O111" s="1913"/>
      <c r="P111" s="1913"/>
      <c r="Q111" s="1913"/>
      <c r="R111" s="1913"/>
      <c r="S111" s="1913"/>
      <c r="T111" s="1913"/>
      <c r="U111" s="1913"/>
      <c r="V111" s="1913"/>
      <c r="W111" s="1913"/>
      <c r="X111" s="1913"/>
      <c r="Y111" s="1913"/>
      <c r="Z111" s="1913"/>
      <c r="AA111" s="1913"/>
      <c r="AB111" s="1913"/>
      <c r="AC111" s="1913"/>
      <c r="AD111" s="1913"/>
      <c r="AE111" s="1913"/>
      <c r="AF111" s="1913"/>
      <c r="AG111" s="1913"/>
      <c r="AH111" s="1913"/>
      <c r="AI111" s="1913"/>
      <c r="AJ111" s="1913"/>
      <c r="AK111" s="1913"/>
    </row>
    <row r="112" spans="1:47" s="122" customFormat="1" ht="18" hidden="1" customHeight="1">
      <c r="C112" s="1489" t="s">
        <v>613</v>
      </c>
      <c r="D112" s="1912" t="s">
        <v>631</v>
      </c>
      <c r="E112" s="1913"/>
      <c r="F112" s="1913"/>
      <c r="G112" s="1913"/>
      <c r="H112" s="1913"/>
      <c r="I112" s="1913"/>
      <c r="J112" s="1913"/>
      <c r="K112" s="1913"/>
      <c r="L112" s="1913"/>
      <c r="M112" s="1913"/>
      <c r="N112" s="1913"/>
      <c r="O112" s="1913"/>
      <c r="P112" s="1913"/>
      <c r="Q112" s="1913"/>
      <c r="R112" s="1913"/>
      <c r="S112" s="1913"/>
      <c r="T112" s="1913"/>
      <c r="U112" s="1913"/>
      <c r="V112" s="1913"/>
      <c r="W112" s="1913"/>
      <c r="X112" s="1913"/>
      <c r="Y112" s="1913"/>
      <c r="Z112" s="1913"/>
      <c r="AA112" s="1913"/>
      <c r="AB112" s="1913"/>
      <c r="AC112" s="1913"/>
      <c r="AD112" s="1913"/>
      <c r="AE112" s="1913"/>
      <c r="AF112" s="1913"/>
      <c r="AG112" s="1913"/>
      <c r="AH112" s="1913"/>
      <c r="AI112" s="1913"/>
      <c r="AJ112" s="1913"/>
      <c r="AK112" s="1913"/>
    </row>
    <row r="113" spans="1:41" s="122" customFormat="1" ht="18" hidden="1" customHeight="1">
      <c r="C113" s="1489" t="s">
        <v>615</v>
      </c>
      <c r="D113" s="1912" t="s">
        <v>632</v>
      </c>
      <c r="E113" s="1913"/>
      <c r="F113" s="1913"/>
      <c r="G113" s="1913"/>
      <c r="H113" s="1913"/>
      <c r="I113" s="1913"/>
      <c r="J113" s="1913"/>
      <c r="K113" s="1913"/>
      <c r="L113" s="1913"/>
      <c r="M113" s="1913"/>
      <c r="N113" s="1913"/>
      <c r="O113" s="1913"/>
      <c r="P113" s="1913"/>
      <c r="Q113" s="1913"/>
      <c r="R113" s="1913"/>
      <c r="S113" s="1913"/>
      <c r="T113" s="1913"/>
      <c r="U113" s="1913"/>
      <c r="V113" s="1913"/>
      <c r="W113" s="1913"/>
      <c r="X113" s="1913"/>
      <c r="Y113" s="1913"/>
      <c r="Z113" s="1913"/>
      <c r="AA113" s="1913"/>
      <c r="AB113" s="1913"/>
      <c r="AC113" s="1913"/>
      <c r="AD113" s="1913"/>
      <c r="AE113" s="1913"/>
      <c r="AF113" s="1913"/>
      <c r="AG113" s="1913"/>
      <c r="AH113" s="1913"/>
      <c r="AI113" s="1913"/>
      <c r="AJ113" s="1913"/>
      <c r="AK113" s="1913"/>
    </row>
    <row r="114" spans="1:41" s="122" customFormat="1" ht="18" hidden="1" customHeight="1">
      <c r="C114" s="1489" t="s">
        <v>617</v>
      </c>
      <c r="D114" s="1912" t="s">
        <v>633</v>
      </c>
      <c r="E114" s="1913"/>
      <c r="F114" s="1913"/>
      <c r="G114" s="1913"/>
      <c r="H114" s="1913"/>
      <c r="I114" s="1913"/>
      <c r="J114" s="1913"/>
      <c r="K114" s="1913"/>
      <c r="L114" s="1913"/>
      <c r="M114" s="1913"/>
      <c r="N114" s="1913"/>
      <c r="O114" s="1913"/>
      <c r="P114" s="1913"/>
      <c r="Q114" s="1913"/>
      <c r="R114" s="1913"/>
      <c r="S114" s="1913"/>
      <c r="T114" s="1913"/>
      <c r="U114" s="1913"/>
      <c r="V114" s="1913"/>
      <c r="W114" s="1913"/>
      <c r="X114" s="1913"/>
      <c r="Y114" s="1913"/>
      <c r="Z114" s="1913"/>
      <c r="AA114" s="1913"/>
      <c r="AB114" s="1913"/>
      <c r="AC114" s="1913"/>
      <c r="AD114" s="1913"/>
      <c r="AE114" s="1913"/>
      <c r="AF114" s="1913"/>
      <c r="AG114" s="1913"/>
      <c r="AH114" s="1913"/>
      <c r="AI114" s="1913"/>
      <c r="AJ114" s="1913"/>
      <c r="AK114" s="1913"/>
    </row>
    <row r="115" spans="1:41" s="122" customFormat="1" ht="18" hidden="1" customHeight="1">
      <c r="C115" s="1489" t="s">
        <v>634</v>
      </c>
      <c r="D115" s="1912" t="s">
        <v>635</v>
      </c>
      <c r="E115" s="1913"/>
      <c r="F115" s="1913"/>
      <c r="G115" s="1913"/>
      <c r="H115" s="1913"/>
      <c r="I115" s="1913"/>
      <c r="J115" s="1913"/>
      <c r="K115" s="1913"/>
      <c r="L115" s="1913"/>
      <c r="M115" s="1913"/>
      <c r="N115" s="1913"/>
      <c r="O115" s="1913"/>
      <c r="P115" s="1913"/>
      <c r="Q115" s="1913"/>
      <c r="R115" s="1913"/>
      <c r="S115" s="1913"/>
      <c r="T115" s="1913"/>
      <c r="U115" s="1913"/>
      <c r="V115" s="1913"/>
      <c r="W115" s="1913"/>
      <c r="X115" s="1913"/>
      <c r="Y115" s="1913"/>
      <c r="Z115" s="1913"/>
      <c r="AA115" s="1913"/>
      <c r="AB115" s="1913"/>
      <c r="AC115" s="1913"/>
      <c r="AD115" s="1913"/>
      <c r="AE115" s="1913"/>
      <c r="AF115" s="1913"/>
      <c r="AG115" s="1913"/>
      <c r="AH115" s="1913"/>
      <c r="AI115" s="1913"/>
      <c r="AJ115" s="1913"/>
      <c r="AK115" s="1913"/>
    </row>
    <row r="116" spans="1:41" s="122" customFormat="1" ht="36" hidden="1" customHeight="1">
      <c r="A116" s="95"/>
      <c r="B116" s="1959" t="s">
        <v>558</v>
      </c>
      <c r="C116" s="1777"/>
      <c r="D116" s="1778"/>
      <c r="E116" s="2140" t="str">
        <f>'Document Checklist-Full List'!E19</f>
        <v>10. Community-Based Developer Experience</v>
      </c>
      <c r="F116" s="1777"/>
      <c r="G116" s="1777"/>
      <c r="H116" s="1777"/>
      <c r="I116" s="1777"/>
      <c r="J116" s="1777"/>
      <c r="K116" s="1778"/>
      <c r="L116" s="1885" t="str">
        <f>'Document Checklist-Full List'!N19</f>
        <v>Provide documentation of all requirements for "Community-Based Developer" listed in Appendix A – Defined Terms and as indicated in (a)-(f) above.</v>
      </c>
      <c r="M116" s="1777"/>
      <c r="N116" s="1777"/>
      <c r="O116" s="1777"/>
      <c r="P116" s="1777"/>
      <c r="Q116" s="1777"/>
      <c r="R116" s="1777"/>
      <c r="S116" s="1777"/>
      <c r="T116" s="1777"/>
      <c r="U116" s="1777"/>
      <c r="V116" s="1777"/>
      <c r="W116" s="1777"/>
      <c r="X116" s="1777"/>
      <c r="Y116" s="1777"/>
      <c r="Z116" s="1777"/>
      <c r="AA116" s="1777"/>
      <c r="AB116" s="1777"/>
      <c r="AC116" s="1777"/>
      <c r="AD116" s="1777"/>
      <c r="AE116" s="1778"/>
      <c r="AF116" s="1886" t="s">
        <v>559</v>
      </c>
      <c r="AG116" s="1777"/>
      <c r="AH116" s="1777"/>
      <c r="AI116" s="1777"/>
      <c r="AJ116" s="1777"/>
      <c r="AK116" s="1778"/>
      <c r="AL116" s="1904"/>
      <c r="AM116" s="1862"/>
    </row>
    <row r="117" spans="1:41" s="95" customFormat="1" ht="18" hidden="1" customHeight="1"/>
    <row r="118" spans="1:41" s="122" customFormat="1" ht="18" hidden="1" customHeight="1">
      <c r="B118" s="122" t="s">
        <v>636</v>
      </c>
    </row>
    <row r="119" spans="1:41" s="122" customFormat="1" ht="36" hidden="1" customHeight="1">
      <c r="B119" s="1912" t="s">
        <v>637</v>
      </c>
      <c r="C119" s="1913"/>
      <c r="D119" s="1913"/>
      <c r="E119" s="1913"/>
      <c r="F119" s="1913"/>
      <c r="G119" s="1913"/>
      <c r="H119" s="1913"/>
      <c r="I119" s="1913"/>
      <c r="J119" s="1913"/>
      <c r="K119" s="1913"/>
      <c r="L119" s="1913"/>
      <c r="M119" s="1913"/>
      <c r="N119" s="1913"/>
      <c r="O119" s="1913"/>
      <c r="P119" s="1913"/>
      <c r="Q119" s="1913"/>
      <c r="R119" s="1913"/>
      <c r="S119" s="1913"/>
      <c r="T119" s="1913"/>
      <c r="U119" s="1913"/>
      <c r="V119" s="1913"/>
      <c r="W119" s="1913"/>
      <c r="X119" s="1913"/>
      <c r="Y119" s="1913"/>
      <c r="Z119" s="1913"/>
      <c r="AA119" s="1913"/>
      <c r="AB119" s="1913"/>
      <c r="AC119" s="1913"/>
      <c r="AD119" s="1913"/>
      <c r="AE119" s="1913"/>
      <c r="AF119" s="1913"/>
      <c r="AG119" s="1913"/>
      <c r="AH119" s="1913"/>
      <c r="AI119" s="1913"/>
      <c r="AJ119" s="1913"/>
      <c r="AK119" s="1913"/>
    </row>
    <row r="120" spans="1:41" s="95" customFormat="1" ht="18" hidden="1" customHeight="1"/>
    <row r="121" spans="1:41" s="95" customFormat="1" ht="54" hidden="1" customHeight="1">
      <c r="B121" s="2006" t="s">
        <v>638</v>
      </c>
      <c r="C121" s="1888"/>
      <c r="D121" s="1888"/>
      <c r="E121" s="1888"/>
      <c r="F121" s="1888"/>
      <c r="G121" s="1888"/>
      <c r="H121" s="1888"/>
      <c r="I121" s="1888"/>
      <c r="J121" s="1888"/>
      <c r="K121" s="1888"/>
      <c r="L121" s="1888"/>
      <c r="M121" s="1888"/>
      <c r="N121" s="1888"/>
      <c r="O121" s="1888"/>
      <c r="P121" s="1888"/>
      <c r="Q121" s="1888"/>
      <c r="R121" s="1888"/>
      <c r="S121" s="1888"/>
      <c r="T121" s="1888"/>
      <c r="U121" s="1888"/>
      <c r="V121" s="1888"/>
      <c r="W121" s="1888"/>
      <c r="X121" s="1888"/>
      <c r="Y121" s="1888"/>
      <c r="Z121" s="1888"/>
      <c r="AA121" s="1888"/>
      <c r="AB121" s="1888"/>
      <c r="AC121" s="1888"/>
      <c r="AD121" s="1888"/>
      <c r="AE121" s="1888"/>
      <c r="AF121" s="1888"/>
      <c r="AG121" s="1888"/>
      <c r="AH121" s="1888"/>
      <c r="AI121" s="1888"/>
      <c r="AJ121" s="1888"/>
      <c r="AK121" s="1888"/>
    </row>
    <row r="122" spans="1:41" s="95" customFormat="1" ht="36" hidden="1" customHeight="1">
      <c r="B122" s="2006" t="s">
        <v>639</v>
      </c>
      <c r="C122" s="1888"/>
      <c r="D122" s="1888"/>
      <c r="E122" s="1888"/>
      <c r="F122" s="1888"/>
      <c r="G122" s="1888"/>
      <c r="H122" s="1888"/>
      <c r="I122" s="1888"/>
      <c r="J122" s="1888"/>
      <c r="K122" s="1888"/>
      <c r="L122" s="1888"/>
      <c r="M122" s="1888"/>
      <c r="N122" s="1888"/>
      <c r="O122" s="1888"/>
      <c r="P122" s="1888"/>
      <c r="Q122" s="1888"/>
      <c r="R122" s="1888"/>
      <c r="S122" s="1888"/>
      <c r="T122" s="1888"/>
      <c r="U122" s="1888"/>
      <c r="V122" s="1888"/>
      <c r="W122" s="1888"/>
      <c r="X122" s="1888"/>
      <c r="Y122" s="1888"/>
      <c r="Z122" s="1888"/>
      <c r="AA122" s="1888"/>
      <c r="AB122" s="1888"/>
      <c r="AC122" s="1888"/>
      <c r="AD122" s="1888"/>
      <c r="AE122" s="1888"/>
      <c r="AF122" s="1888"/>
      <c r="AG122" s="1888"/>
      <c r="AH122" s="1888"/>
      <c r="AI122" s="1888"/>
      <c r="AJ122" s="1888"/>
      <c r="AK122" s="1888"/>
      <c r="AL122" s="1911"/>
      <c r="AM122" s="1862"/>
    </row>
    <row r="123" spans="1:41" s="95" customFormat="1" ht="18" hidden="1" customHeight="1"/>
    <row r="124" spans="1:41" s="95" customFormat="1" ht="18" hidden="1" customHeight="1">
      <c r="B124" s="1910" t="s">
        <v>640</v>
      </c>
      <c r="C124" s="1888"/>
      <c r="D124" s="1888"/>
      <c r="E124" s="1888"/>
      <c r="F124" s="1888"/>
      <c r="G124" s="1888"/>
      <c r="H124" s="1888"/>
      <c r="I124" s="1888"/>
      <c r="J124" s="1888"/>
      <c r="K124" s="1888"/>
      <c r="L124" s="1888"/>
      <c r="M124" s="1911"/>
      <c r="N124" s="1862"/>
      <c r="O124" s="2031" t="str">
        <f>IF(MHPCOSR, "At Cash Flow sheet, starting with row 90, complete/reviw COSR calculation.","")</f>
        <v/>
      </c>
      <c r="P124" s="1888"/>
      <c r="Q124" s="1888"/>
      <c r="R124" s="1888"/>
      <c r="S124" s="1888"/>
      <c r="T124" s="1888"/>
      <c r="U124" s="1888"/>
      <c r="V124" s="1888"/>
      <c r="W124" s="1888"/>
      <c r="X124" s="1888"/>
      <c r="Y124" s="1888"/>
      <c r="Z124" s="1888"/>
      <c r="AA124" s="1888"/>
      <c r="AB124" s="1888"/>
      <c r="AC124" s="1888"/>
      <c r="AD124" s="1888"/>
      <c r="AE124" s="1888"/>
      <c r="AF124" s="1888"/>
      <c r="AG124" s="1888"/>
      <c r="AH124" s="1888"/>
      <c r="AI124" s="1888"/>
      <c r="AJ124" s="1888"/>
      <c r="AK124" s="1888"/>
    </row>
    <row r="125" spans="1:41" s="95" customFormat="1" ht="18" hidden="1" customHeight="1">
      <c r="B125" s="2006" t="s">
        <v>641</v>
      </c>
      <c r="C125" s="1888"/>
      <c r="D125" s="1888"/>
      <c r="E125" s="1888"/>
      <c r="F125" s="1888"/>
      <c r="G125" s="1888"/>
      <c r="H125" s="1888"/>
      <c r="I125" s="1888"/>
      <c r="J125" s="1888"/>
      <c r="K125" s="1888"/>
      <c r="L125" s="1888"/>
      <c r="M125" s="1888"/>
      <c r="N125" s="1888"/>
      <c r="O125" s="1888"/>
      <c r="P125" s="1888"/>
      <c r="Q125" s="1888"/>
      <c r="R125" s="1888"/>
      <c r="S125" s="1888"/>
      <c r="T125" s="1888"/>
      <c r="U125" s="1888"/>
      <c r="V125" s="1888"/>
      <c r="W125" s="1888"/>
      <c r="X125" s="1888"/>
      <c r="Y125" s="1888"/>
      <c r="Z125" s="1888"/>
      <c r="AA125" s="1888"/>
      <c r="AB125" s="1888"/>
      <c r="AC125" s="1888"/>
      <c r="AD125" s="1888"/>
      <c r="AE125" s="1888"/>
      <c r="AF125" s="1888"/>
      <c r="AG125" s="1888"/>
      <c r="AH125" s="1888"/>
      <c r="AI125" s="1888"/>
      <c r="AJ125" s="1888"/>
      <c r="AK125" s="1888"/>
    </row>
    <row r="126" spans="1:41" s="95" customFormat="1" ht="36" hidden="1" customHeight="1">
      <c r="B126" s="2006" t="s">
        <v>642</v>
      </c>
      <c r="C126" s="1888"/>
      <c r="D126" s="1888"/>
      <c r="E126" s="1888"/>
      <c r="F126" s="1888"/>
      <c r="G126" s="1888"/>
      <c r="H126" s="1888"/>
      <c r="I126" s="1888"/>
      <c r="J126" s="1888"/>
      <c r="K126" s="1888"/>
      <c r="L126" s="1888"/>
      <c r="M126" s="1888"/>
      <c r="N126" s="1888"/>
      <c r="O126" s="1888"/>
      <c r="P126" s="1888"/>
      <c r="Q126" s="1888"/>
      <c r="R126" s="1888"/>
      <c r="S126" s="1888"/>
      <c r="T126" s="1888"/>
      <c r="U126" s="1888"/>
      <c r="V126" s="1888"/>
      <c r="W126" s="1888"/>
      <c r="X126" s="1888"/>
      <c r="Y126" s="1888"/>
      <c r="Z126" s="1888"/>
      <c r="AA126" s="1888"/>
      <c r="AB126" s="1888"/>
      <c r="AC126" s="1888"/>
      <c r="AD126" s="1888"/>
      <c r="AE126" s="1888"/>
      <c r="AF126" s="1888"/>
      <c r="AG126" s="1888"/>
      <c r="AH126" s="1888"/>
      <c r="AI126" s="1888"/>
      <c r="AJ126" s="1888"/>
      <c r="AK126" s="1888"/>
      <c r="AL126" s="1911"/>
      <c r="AM126" s="1862"/>
    </row>
    <row r="127" spans="1:41" s="95" customFormat="1" ht="36" hidden="1" customHeight="1">
      <c r="B127" s="1490" t="s">
        <v>627</v>
      </c>
      <c r="C127" s="2006" t="s">
        <v>643</v>
      </c>
      <c r="D127" s="1888"/>
      <c r="E127" s="1888"/>
      <c r="F127" s="1888"/>
      <c r="G127" s="1888"/>
      <c r="H127" s="1888"/>
      <c r="I127" s="1888"/>
      <c r="J127" s="1888"/>
      <c r="K127" s="1888"/>
      <c r="L127" s="1888"/>
      <c r="M127" s="1888"/>
      <c r="N127" s="1888"/>
      <c r="O127" s="1888"/>
      <c r="P127" s="1888"/>
      <c r="Q127" s="1888"/>
      <c r="R127" s="1888"/>
      <c r="S127" s="1888"/>
      <c r="T127" s="1888"/>
      <c r="U127" s="1888"/>
      <c r="V127" s="1888"/>
      <c r="W127" s="1888"/>
      <c r="X127" s="1888"/>
      <c r="Y127" s="1888"/>
      <c r="Z127" s="1888"/>
      <c r="AA127" s="1888"/>
      <c r="AB127" s="1888"/>
      <c r="AC127" s="1888"/>
      <c r="AD127" s="1888"/>
      <c r="AE127" s="1888"/>
      <c r="AF127" s="1888"/>
      <c r="AG127" s="1888"/>
      <c r="AH127" s="1888"/>
      <c r="AI127" s="1888"/>
      <c r="AJ127" s="1888"/>
      <c r="AK127" s="1888"/>
      <c r="AL127" s="1904"/>
      <c r="AM127" s="1862"/>
    </row>
    <row r="128" spans="1:41" s="95" customFormat="1" ht="36" hidden="1" customHeight="1">
      <c r="C128" s="1490" t="s">
        <v>613</v>
      </c>
      <c r="D128" s="2006" t="s">
        <v>644</v>
      </c>
      <c r="E128" s="1888"/>
      <c r="F128" s="1888"/>
      <c r="G128" s="1888"/>
      <c r="H128" s="1888"/>
      <c r="I128" s="1888"/>
      <c r="J128" s="1888"/>
      <c r="K128" s="1888"/>
      <c r="L128" s="1888"/>
      <c r="M128" s="1888"/>
      <c r="N128" s="1888"/>
      <c r="O128" s="1888"/>
      <c r="P128" s="1888"/>
      <c r="Q128" s="1888"/>
      <c r="R128" s="1888"/>
      <c r="S128" s="1888"/>
      <c r="T128" s="1888"/>
      <c r="U128" s="1888"/>
      <c r="V128" s="1888"/>
      <c r="W128" s="1888"/>
      <c r="X128" s="1888"/>
      <c r="Y128" s="1888"/>
      <c r="Z128" s="1888"/>
      <c r="AA128" s="1888"/>
      <c r="AB128" s="1888"/>
      <c r="AC128" s="1888"/>
      <c r="AD128" s="1888"/>
      <c r="AE128" s="1888"/>
      <c r="AF128" s="1888"/>
      <c r="AG128" s="1888"/>
      <c r="AH128" s="1888"/>
      <c r="AI128" s="1888"/>
      <c r="AJ128" s="1888"/>
      <c r="AK128" s="1888"/>
      <c r="AO128" s="122"/>
    </row>
    <row r="129" spans="2:41" s="95" customFormat="1" ht="36" hidden="1" customHeight="1">
      <c r="C129" s="1490" t="s">
        <v>615</v>
      </c>
      <c r="D129" s="2006" t="s">
        <v>645</v>
      </c>
      <c r="E129" s="1888"/>
      <c r="F129" s="1888"/>
      <c r="G129" s="1888"/>
      <c r="H129" s="1888"/>
      <c r="I129" s="1888"/>
      <c r="J129" s="1888"/>
      <c r="K129" s="1888"/>
      <c r="L129" s="1888"/>
      <c r="M129" s="1888"/>
      <c r="N129" s="1888"/>
      <c r="O129" s="1888"/>
      <c r="P129" s="1888"/>
      <c r="Q129" s="1888"/>
      <c r="R129" s="1888"/>
      <c r="S129" s="1888"/>
      <c r="T129" s="1888"/>
      <c r="U129" s="1888"/>
      <c r="V129" s="1888"/>
      <c r="W129" s="1888"/>
      <c r="X129" s="1888"/>
      <c r="Y129" s="1888"/>
      <c r="Z129" s="1888"/>
      <c r="AA129" s="1888"/>
      <c r="AB129" s="1888"/>
      <c r="AC129" s="1888"/>
      <c r="AD129" s="1888"/>
      <c r="AE129" s="1888"/>
      <c r="AF129" s="1888"/>
      <c r="AG129" s="1888"/>
      <c r="AH129" s="1888"/>
      <c r="AI129" s="1888"/>
      <c r="AJ129" s="1888"/>
      <c r="AK129" s="1888"/>
      <c r="AO129" s="122"/>
    </row>
    <row r="130" spans="2:41" s="95" customFormat="1" ht="32.1" hidden="1" customHeight="1">
      <c r="C130" s="1490" t="s">
        <v>617</v>
      </c>
      <c r="D130" s="2006" t="s">
        <v>646</v>
      </c>
      <c r="E130" s="1888"/>
      <c r="F130" s="1888"/>
      <c r="G130" s="1888"/>
      <c r="H130" s="1888"/>
      <c r="I130" s="1888"/>
      <c r="J130" s="1888"/>
      <c r="K130" s="1888"/>
      <c r="L130" s="1888"/>
      <c r="M130" s="1888"/>
      <c r="N130" s="1888"/>
      <c r="O130" s="1888"/>
      <c r="P130" s="1888"/>
      <c r="Q130" s="1888"/>
      <c r="R130" s="1888"/>
      <c r="S130" s="1888"/>
      <c r="T130" s="1888"/>
      <c r="U130" s="1888"/>
      <c r="V130" s="1888"/>
      <c r="W130" s="1888"/>
      <c r="X130" s="1888"/>
      <c r="Y130" s="1888"/>
      <c r="Z130" s="1888"/>
      <c r="AA130" s="1888"/>
      <c r="AB130" s="1888"/>
      <c r="AC130" s="1888"/>
      <c r="AD130" s="1888"/>
      <c r="AE130" s="1888"/>
      <c r="AF130" s="1888"/>
      <c r="AG130" s="1888"/>
      <c r="AH130" s="1888"/>
      <c r="AI130" s="1888"/>
      <c r="AJ130" s="1888"/>
      <c r="AK130" s="1888"/>
      <c r="AO130" s="122"/>
    </row>
    <row r="131" spans="2:41" s="95" customFormat="1" ht="96.6" hidden="1" customHeight="1">
      <c r="B131" s="1866" t="s">
        <v>558</v>
      </c>
      <c r="C131" s="1777"/>
      <c r="D131" s="1778"/>
      <c r="E131" s="1890" t="str">
        <f>'Document Checklist-Full List'!$E$20</f>
        <v>11. COSR Eligibility</v>
      </c>
      <c r="F131" s="1777"/>
      <c r="G131" s="1777"/>
      <c r="H131" s="1777"/>
      <c r="I131" s="1777"/>
      <c r="J131" s="1777"/>
      <c r="K131" s="1778"/>
      <c r="L131" s="1885" t="str">
        <f>'Document Checklist-Full List'!$N$20</f>
        <v xml:space="preserve">Briefly describe available federal, state, and local sources of rental assistance and other operating assistance such as project-based Housing Choice Vouchers and any locally administered affordable housing operating subsidy funds. In addition, provide either (1) documentation of unfunded applications or unsuccessful written requests for rental assistance and other operating support; or (2) evidence from the appropriate entities that rental assistance and/or other operating assistance is not available or is insufficient. </v>
      </c>
      <c r="M131" s="1777"/>
      <c r="N131" s="1777"/>
      <c r="O131" s="1777"/>
      <c r="P131" s="1777"/>
      <c r="Q131" s="1777"/>
      <c r="R131" s="1777"/>
      <c r="S131" s="1777"/>
      <c r="T131" s="1777"/>
      <c r="U131" s="1777"/>
      <c r="V131" s="1777"/>
      <c r="W131" s="1777"/>
      <c r="X131" s="1777"/>
      <c r="Y131" s="1777"/>
      <c r="Z131" s="1777"/>
      <c r="AA131" s="1777"/>
      <c r="AB131" s="1777"/>
      <c r="AC131" s="1777"/>
      <c r="AD131" s="1777"/>
      <c r="AE131" s="1778"/>
      <c r="AF131" s="1886" t="s">
        <v>559</v>
      </c>
      <c r="AG131" s="1777"/>
      <c r="AH131" s="1777"/>
      <c r="AI131" s="1777"/>
      <c r="AJ131" s="1777"/>
      <c r="AK131" s="1778"/>
      <c r="AL131" s="1904"/>
      <c r="AM131" s="1862"/>
      <c r="AN131" s="122"/>
      <c r="AO131" s="728"/>
    </row>
    <row r="132" spans="2:41" s="95" customFormat="1" ht="36" hidden="1" customHeight="1">
      <c r="B132" s="1490" t="s">
        <v>629</v>
      </c>
      <c r="C132" s="2088" t="s">
        <v>647</v>
      </c>
      <c r="D132" s="1953"/>
      <c r="E132" s="1953"/>
      <c r="F132" s="1953"/>
      <c r="G132" s="1953"/>
      <c r="H132" s="1953"/>
      <c r="I132" s="1953"/>
      <c r="J132" s="1953"/>
      <c r="K132" s="1953"/>
      <c r="L132" s="1953"/>
      <c r="M132" s="1953"/>
      <c r="N132" s="1953"/>
      <c r="O132" s="1953"/>
      <c r="P132" s="1953"/>
      <c r="Q132" s="1953"/>
      <c r="R132" s="1953"/>
      <c r="S132" s="1953"/>
      <c r="T132" s="1953"/>
      <c r="U132" s="1953"/>
      <c r="V132" s="1953"/>
      <c r="W132" s="1953"/>
      <c r="X132" s="1953"/>
      <c r="Y132" s="1953"/>
      <c r="Z132" s="1953"/>
      <c r="AA132" s="1953"/>
      <c r="AB132" s="1953"/>
      <c r="AC132" s="1953"/>
      <c r="AD132" s="1953"/>
      <c r="AE132" s="1953"/>
      <c r="AF132" s="1953"/>
      <c r="AG132" s="1953"/>
      <c r="AH132" s="1953"/>
      <c r="AI132" s="1953"/>
      <c r="AJ132" s="1953"/>
      <c r="AK132" s="1953"/>
      <c r="AL132" s="1904"/>
      <c r="AM132" s="1862"/>
    </row>
    <row r="133" spans="2:41" s="95" customFormat="1" ht="64.349999999999994" hidden="1" customHeight="1">
      <c r="B133" s="1490" t="s">
        <v>648</v>
      </c>
      <c r="C133" s="2006" t="s">
        <v>649</v>
      </c>
      <c r="D133" s="1888"/>
      <c r="E133" s="1888"/>
      <c r="F133" s="1888"/>
      <c r="G133" s="1888"/>
      <c r="H133" s="1888"/>
      <c r="I133" s="1888"/>
      <c r="J133" s="1888"/>
      <c r="K133" s="1888"/>
      <c r="L133" s="1888"/>
      <c r="M133" s="1888"/>
      <c r="N133" s="1888"/>
      <c r="O133" s="1888"/>
      <c r="P133" s="1888"/>
      <c r="Q133" s="1888"/>
      <c r="R133" s="1888"/>
      <c r="S133" s="1888"/>
      <c r="T133" s="1888"/>
      <c r="U133" s="1888"/>
      <c r="V133" s="1888"/>
      <c r="W133" s="1888"/>
      <c r="X133" s="1888"/>
      <c r="Y133" s="1888"/>
      <c r="Z133" s="1888"/>
      <c r="AA133" s="1888"/>
      <c r="AB133" s="1888"/>
      <c r="AC133" s="1888"/>
      <c r="AD133" s="1888"/>
      <c r="AE133" s="1888"/>
      <c r="AF133" s="1888"/>
      <c r="AG133" s="1888"/>
      <c r="AH133" s="1888"/>
      <c r="AI133" s="1888"/>
      <c r="AJ133" s="1888"/>
      <c r="AK133" s="1888"/>
    </row>
    <row r="134" spans="2:41" s="95" customFormat="1" ht="36" hidden="1" customHeight="1">
      <c r="C134" s="1490" t="s">
        <v>617</v>
      </c>
      <c r="D134" s="2006" t="s">
        <v>650</v>
      </c>
      <c r="E134" s="1888"/>
      <c r="F134" s="1888"/>
      <c r="G134" s="1888"/>
      <c r="H134" s="1888"/>
      <c r="I134" s="1888"/>
      <c r="J134" s="1888"/>
      <c r="K134" s="1888"/>
      <c r="L134" s="1888"/>
      <c r="M134" s="1888"/>
      <c r="N134" s="1888"/>
      <c r="O134" s="1888"/>
      <c r="P134" s="1888"/>
      <c r="Q134" s="1888"/>
      <c r="R134" s="1888"/>
      <c r="S134" s="1888"/>
      <c r="T134" s="1888"/>
      <c r="U134" s="1888"/>
      <c r="V134" s="1888"/>
      <c r="W134" s="1888"/>
      <c r="X134" s="1888"/>
      <c r="Y134" s="1888"/>
      <c r="Z134" s="1888"/>
      <c r="AA134" s="1888"/>
      <c r="AB134" s="1888"/>
      <c r="AC134" s="1888"/>
      <c r="AD134" s="1888"/>
      <c r="AE134" s="1888"/>
      <c r="AF134" s="1888"/>
      <c r="AG134" s="1888"/>
      <c r="AH134" s="1888"/>
      <c r="AI134" s="1888"/>
      <c r="AJ134" s="1888"/>
      <c r="AK134" s="1888"/>
    </row>
    <row r="135" spans="2:41" s="95" customFormat="1" ht="36" hidden="1" customHeight="1">
      <c r="B135" s="1866" t="s">
        <v>558</v>
      </c>
      <c r="C135" s="1777"/>
      <c r="D135" s="1778"/>
      <c r="E135" s="1890" t="str">
        <f>'Document Checklist-Full List'!$E$21</f>
        <v>12. COSR third-party documentation</v>
      </c>
      <c r="F135" s="1777"/>
      <c r="G135" s="1777"/>
      <c r="H135" s="1777"/>
      <c r="I135" s="1777"/>
      <c r="J135" s="1777"/>
      <c r="K135" s="1778"/>
      <c r="L135" s="1885" t="str">
        <f>'Document Checklist-Full List'!$N$21</f>
        <v>Third-party documentation of anticipated public cash assistance payment levels which support the proposed rents.</v>
      </c>
      <c r="M135" s="1777"/>
      <c r="N135" s="1777"/>
      <c r="O135" s="1777"/>
      <c r="P135" s="1777"/>
      <c r="Q135" s="1777"/>
      <c r="R135" s="1777"/>
      <c r="S135" s="1777"/>
      <c r="T135" s="1777"/>
      <c r="U135" s="1777"/>
      <c r="V135" s="1777"/>
      <c r="W135" s="1777"/>
      <c r="X135" s="1777"/>
      <c r="Y135" s="1777"/>
      <c r="Z135" s="1777"/>
      <c r="AA135" s="1777"/>
      <c r="AB135" s="1777"/>
      <c r="AC135" s="1777"/>
      <c r="AD135" s="1777"/>
      <c r="AE135" s="1778"/>
      <c r="AF135" s="1886" t="s">
        <v>559</v>
      </c>
      <c r="AG135" s="1777"/>
      <c r="AH135" s="1777"/>
      <c r="AI135" s="1777"/>
      <c r="AJ135" s="1777"/>
      <c r="AK135" s="1778"/>
      <c r="AL135" s="1904"/>
      <c r="AM135" s="1862"/>
    </row>
    <row r="136" spans="2:41" s="95" customFormat="1" ht="18" hidden="1" customHeight="1"/>
    <row r="137" spans="2:41" s="95" customFormat="1" ht="18" hidden="1" customHeight="1">
      <c r="B137" s="1490" t="s">
        <v>651</v>
      </c>
      <c r="C137" s="2000" t="s">
        <v>652</v>
      </c>
      <c r="D137" s="1888"/>
      <c r="E137" s="1888"/>
      <c r="F137" s="1888"/>
      <c r="G137" s="1888"/>
      <c r="H137" s="1888"/>
      <c r="I137" s="1888"/>
      <c r="J137" s="1888"/>
      <c r="K137" s="1888"/>
      <c r="L137" s="1888"/>
      <c r="M137" s="1888"/>
      <c r="N137" s="1888"/>
      <c r="O137" s="1888"/>
      <c r="P137" s="1888"/>
      <c r="Q137" s="1888"/>
      <c r="R137" s="1888"/>
      <c r="S137" s="1888"/>
      <c r="T137" s="1888"/>
      <c r="U137" s="1888"/>
      <c r="V137" s="1888"/>
      <c r="W137" s="1888"/>
      <c r="X137" s="1888"/>
      <c r="Y137" s="1888"/>
      <c r="Z137" s="1888"/>
      <c r="AA137" s="1888"/>
      <c r="AB137" s="1888"/>
      <c r="AC137" s="1888"/>
      <c r="AD137" s="1888"/>
      <c r="AE137" s="1888"/>
      <c r="AF137" s="1888"/>
      <c r="AG137" s="1888"/>
      <c r="AH137" s="1888"/>
      <c r="AI137" s="1888"/>
      <c r="AJ137" s="1888"/>
      <c r="AK137" s="1889"/>
      <c r="AL137" s="1904"/>
      <c r="AM137" s="1862"/>
    </row>
    <row r="138" spans="2:41" s="95" customFormat="1" ht="18" hidden="1" customHeight="1"/>
    <row r="139" spans="2:41" s="95" customFormat="1" ht="18" hidden="1" customHeight="1">
      <c r="B139" s="2006" t="s">
        <v>653</v>
      </c>
      <c r="C139" s="1888"/>
      <c r="D139" s="1888"/>
      <c r="E139" s="1888"/>
      <c r="F139" s="1888"/>
      <c r="G139" s="1888"/>
      <c r="H139" s="1888"/>
      <c r="I139" s="1888"/>
      <c r="J139" s="1888"/>
      <c r="K139" s="1888"/>
      <c r="L139" s="1888"/>
      <c r="M139" s="1888"/>
      <c r="N139" s="1888"/>
      <c r="O139" s="1888"/>
      <c r="P139" s="1888"/>
      <c r="Q139" s="1888"/>
      <c r="R139" s="1888"/>
      <c r="S139" s="1888"/>
      <c r="T139" s="1888"/>
      <c r="U139" s="1888"/>
      <c r="V139" s="1888"/>
      <c r="W139" s="1888"/>
      <c r="X139" s="1888"/>
      <c r="Y139" s="1888"/>
      <c r="Z139" s="1888"/>
      <c r="AA139" s="1888"/>
      <c r="AB139" s="1888"/>
      <c r="AC139" s="1888"/>
      <c r="AD139" s="1888"/>
      <c r="AE139" s="1888"/>
      <c r="AF139" s="1888"/>
      <c r="AG139" s="1888"/>
      <c r="AH139" s="1888"/>
      <c r="AI139" s="1888"/>
      <c r="AJ139" s="1888"/>
      <c r="AK139" s="1888"/>
    </row>
    <row r="140" spans="2:41" s="95" customFormat="1" ht="36" hidden="1" customHeight="1">
      <c r="B140" s="2006" t="s">
        <v>654</v>
      </c>
      <c r="C140" s="1888"/>
      <c r="D140" s="1888"/>
      <c r="E140" s="1888"/>
      <c r="F140" s="1888"/>
      <c r="G140" s="1888"/>
      <c r="H140" s="1888"/>
      <c r="I140" s="1888"/>
      <c r="J140" s="1888"/>
      <c r="K140" s="1888"/>
      <c r="L140" s="1888"/>
      <c r="M140" s="1888"/>
      <c r="N140" s="1888"/>
      <c r="O140" s="1888"/>
      <c r="P140" s="1888"/>
      <c r="Q140" s="1888"/>
      <c r="R140" s="1888"/>
      <c r="S140" s="1888"/>
      <c r="T140" s="1888"/>
      <c r="U140" s="1888"/>
      <c r="V140" s="1888"/>
      <c r="W140" s="1888"/>
      <c r="X140" s="1888"/>
      <c r="Y140" s="1888"/>
      <c r="Z140" s="1888"/>
      <c r="AA140" s="1888"/>
      <c r="AB140" s="1888"/>
      <c r="AC140" s="1888"/>
      <c r="AD140" s="1888"/>
      <c r="AE140" s="1888"/>
      <c r="AF140" s="1888"/>
      <c r="AG140" s="1888"/>
      <c r="AH140" s="1888"/>
      <c r="AI140" s="1888"/>
      <c r="AJ140" s="1888"/>
      <c r="AK140" s="1888"/>
    </row>
    <row r="141" spans="2:41" s="95" customFormat="1" ht="18" hidden="1" customHeight="1">
      <c r="C141" s="2006" t="s">
        <v>655</v>
      </c>
      <c r="D141" s="1888"/>
      <c r="E141" s="1888"/>
      <c r="F141" s="1888"/>
      <c r="G141" s="1888"/>
      <c r="H141" s="1888"/>
      <c r="I141" s="1888"/>
      <c r="J141" s="1888"/>
      <c r="K141" s="1888"/>
      <c r="L141" s="1888"/>
      <c r="M141" s="1888"/>
      <c r="N141" s="1888"/>
      <c r="O141" s="1905" t="s">
        <v>656</v>
      </c>
      <c r="P141" s="1888"/>
      <c r="Q141" s="1888"/>
      <c r="R141" s="1888"/>
      <c r="S141" s="1888"/>
      <c r="T141" s="1888"/>
      <c r="U141" s="1888"/>
      <c r="V141" s="1888"/>
      <c r="W141" s="1888"/>
      <c r="X141" s="1888"/>
      <c r="Y141" s="1745"/>
      <c r="Z141" s="1745"/>
      <c r="AA141" s="1745"/>
      <c r="AB141" s="1745"/>
      <c r="AC141" s="1745"/>
      <c r="AD141" s="1745"/>
      <c r="AE141" s="1745"/>
      <c r="AF141" s="1745"/>
      <c r="AG141" s="1745"/>
      <c r="AH141" s="1745"/>
      <c r="AI141" s="1745"/>
      <c r="AJ141" s="1745"/>
      <c r="AK141" s="1745"/>
      <c r="AL141" s="1904"/>
      <c r="AM141" s="1862"/>
    </row>
    <row r="142" spans="2:41" s="95" customFormat="1" ht="18" hidden="1" customHeight="1">
      <c r="C142" s="1910" t="s">
        <v>657</v>
      </c>
      <c r="D142" s="1888"/>
      <c r="E142" s="1888"/>
      <c r="F142" s="1888"/>
      <c r="G142" s="1888"/>
      <c r="H142" s="1888"/>
      <c r="I142" s="1888"/>
      <c r="J142" s="1888"/>
      <c r="K142" s="1888"/>
      <c r="L142" s="1888"/>
      <c r="M142" s="2231" t="s">
        <v>658</v>
      </c>
      <c r="N142" s="1888"/>
      <c r="O142" s="1888"/>
      <c r="P142" s="1888"/>
      <c r="AL142" s="1904"/>
      <c r="AM142" s="1862"/>
    </row>
    <row r="143" spans="2:41" s="95" customFormat="1" ht="18" hidden="1" customHeight="1">
      <c r="C143" s="2230" t="s">
        <v>659</v>
      </c>
      <c r="D143" s="1888"/>
      <c r="E143" s="1888"/>
      <c r="F143" s="1888"/>
      <c r="G143" s="1888"/>
      <c r="H143" s="2325" t="s">
        <v>660</v>
      </c>
      <c r="I143" s="1888"/>
      <c r="J143" s="1888"/>
      <c r="K143" s="1888"/>
      <c r="L143" s="1888"/>
      <c r="AL143" s="1904"/>
      <c r="AM143" s="1862"/>
    </row>
    <row r="144" spans="2:41" s="95" customFormat="1" ht="36" hidden="1" customHeight="1">
      <c r="B144" s="1490" t="s">
        <v>611</v>
      </c>
      <c r="C144" s="2006" t="s">
        <v>661</v>
      </c>
      <c r="D144" s="1888"/>
      <c r="E144" s="1888"/>
      <c r="F144" s="1888"/>
      <c r="G144" s="1888"/>
      <c r="H144" s="1888"/>
      <c r="I144" s="1888"/>
      <c r="J144" s="1888"/>
      <c r="K144" s="1888"/>
      <c r="L144" s="1888"/>
      <c r="M144" s="1888"/>
      <c r="N144" s="1888"/>
      <c r="O144" s="1888"/>
      <c r="P144" s="1888"/>
      <c r="Q144" s="1888"/>
      <c r="R144" s="1888"/>
      <c r="S144" s="1888"/>
      <c r="T144" s="1888"/>
      <c r="U144" s="1888"/>
      <c r="V144" s="1888"/>
      <c r="W144" s="1888"/>
      <c r="X144" s="1888"/>
      <c r="Y144" s="1888"/>
      <c r="Z144" s="1888"/>
      <c r="AA144" s="1888"/>
      <c r="AB144" s="1888"/>
      <c r="AC144" s="1888"/>
      <c r="AD144" s="1888"/>
      <c r="AE144" s="1888"/>
      <c r="AF144" s="1888"/>
      <c r="AG144" s="1888"/>
      <c r="AH144" s="1888"/>
      <c r="AI144" s="1888"/>
      <c r="AJ144" s="1888"/>
      <c r="AK144" s="1888"/>
      <c r="AL144" s="1904"/>
      <c r="AM144" s="1862"/>
    </row>
    <row r="145" spans="1:80" s="95" customFormat="1" ht="36" hidden="1" customHeight="1">
      <c r="C145" s="1490" t="s">
        <v>613</v>
      </c>
      <c r="D145" s="2006" t="s">
        <v>662</v>
      </c>
      <c r="E145" s="1888"/>
      <c r="F145" s="1888"/>
      <c r="G145" s="1888"/>
      <c r="H145" s="1888"/>
      <c r="I145" s="1888"/>
      <c r="J145" s="1888"/>
      <c r="K145" s="1888"/>
      <c r="L145" s="1888"/>
      <c r="M145" s="1888"/>
      <c r="N145" s="1888"/>
      <c r="O145" s="1888"/>
      <c r="P145" s="1888"/>
      <c r="Q145" s="1888"/>
      <c r="R145" s="1888"/>
      <c r="S145" s="1888"/>
      <c r="T145" s="1888"/>
      <c r="U145" s="1888"/>
      <c r="V145" s="1888"/>
      <c r="W145" s="1888"/>
      <c r="X145" s="1888"/>
      <c r="Y145" s="1888"/>
      <c r="Z145" s="1888"/>
      <c r="AA145" s="1888"/>
      <c r="AB145" s="1888"/>
      <c r="AC145" s="1888"/>
      <c r="AD145" s="1888"/>
      <c r="AE145" s="1888"/>
      <c r="AF145" s="1888"/>
      <c r="AG145" s="1888"/>
      <c r="AH145" s="1888"/>
      <c r="AI145" s="1888"/>
      <c r="AJ145" s="1888"/>
      <c r="AK145" s="1888"/>
      <c r="AL145" s="2374" t="b">
        <f>IFERROR(IF(OR(AND(TotalUnits&lt;=100,MediCalSetAside/TotalUnits&gt;=20%),AND(TotalUnits&gt;100,MediCalSetAside/TotalUnits&lt;=50%)),TRUE,FALSE),FALSE)</f>
        <v>0</v>
      </c>
      <c r="AM145" s="1770"/>
    </row>
    <row r="146" spans="1:80" s="95" customFormat="1" ht="71.099999999999994" hidden="1" customHeight="1">
      <c r="B146" s="1866" t="s">
        <v>558</v>
      </c>
      <c r="C146" s="1777"/>
      <c r="D146" s="1778"/>
      <c r="E146" s="1890" t="str">
        <f>'Document Checklist-Full List'!$E$22</f>
        <v xml:space="preserve">13. Written agreement or letter of intent </v>
      </c>
      <c r="F146" s="1777"/>
      <c r="G146" s="1777"/>
      <c r="H146" s="1777"/>
      <c r="I146" s="1777"/>
      <c r="J146" s="1777"/>
      <c r="K146" s="1778"/>
      <c r="L146" s="1885" t="str">
        <f>'Document Checklist-Full List'!$N$22</f>
        <v>Signed MHP Medi-Cal Partnerships Letter of Intent (HCD suggests using sample Letter of Intent provided with the MFSN Application materials) or fully executed (signed) Medi-Cal Partnerships Written Agreement  (HCD has sample Written Agreement available for use, provided with the MFSN Application materials). See §7310.1(b)(2)(A-E) for requirements.</v>
      </c>
      <c r="M146" s="1777"/>
      <c r="N146" s="1777"/>
      <c r="O146" s="1777"/>
      <c r="P146" s="1777"/>
      <c r="Q146" s="1777"/>
      <c r="R146" s="1777"/>
      <c r="S146" s="1777"/>
      <c r="T146" s="1777"/>
      <c r="U146" s="1777"/>
      <c r="V146" s="1777"/>
      <c r="W146" s="1777"/>
      <c r="X146" s="1777"/>
      <c r="Y146" s="1777"/>
      <c r="Z146" s="1777"/>
      <c r="AA146" s="1777"/>
      <c r="AB146" s="1777"/>
      <c r="AC146" s="1777"/>
      <c r="AD146" s="1777"/>
      <c r="AE146" s="1778"/>
      <c r="AF146" s="1886" t="s">
        <v>559</v>
      </c>
      <c r="AG146" s="1777"/>
      <c r="AH146" s="1777"/>
      <c r="AI146" s="1777"/>
      <c r="AJ146" s="1777"/>
      <c r="AK146" s="1778"/>
      <c r="AL146" s="1904"/>
      <c r="AM146" s="1862"/>
      <c r="AN146" s="122"/>
      <c r="AO146" s="1649"/>
      <c r="AS146" s="1639" t="s">
        <v>663</v>
      </c>
    </row>
    <row r="147" spans="1:80" s="95" customFormat="1" ht="54" hidden="1" customHeight="1">
      <c r="B147" s="2006" t="s">
        <v>664</v>
      </c>
      <c r="C147" s="1888"/>
      <c r="D147" s="1888"/>
      <c r="E147" s="1888"/>
      <c r="F147" s="1888"/>
      <c r="G147" s="1888"/>
      <c r="H147" s="1888"/>
      <c r="I147" s="1888"/>
      <c r="J147" s="1888"/>
      <c r="K147" s="1888"/>
      <c r="L147" s="1888"/>
      <c r="M147" s="1888"/>
      <c r="N147" s="1888"/>
      <c r="O147" s="1888"/>
      <c r="P147" s="1888"/>
      <c r="Q147" s="1888"/>
      <c r="R147" s="1888"/>
      <c r="S147" s="1888"/>
      <c r="T147" s="1888"/>
      <c r="U147" s="1888"/>
      <c r="V147" s="1888"/>
      <c r="W147" s="1888"/>
      <c r="X147" s="1888"/>
      <c r="Y147" s="1888"/>
      <c r="Z147" s="1888"/>
      <c r="AA147" s="1888"/>
      <c r="AB147" s="1888"/>
      <c r="AC147" s="1888"/>
      <c r="AD147" s="1888"/>
      <c r="AE147" s="1888"/>
      <c r="AF147" s="1888"/>
      <c r="AG147" s="1888"/>
      <c r="AH147" s="1888"/>
      <c r="AI147" s="1888"/>
      <c r="AJ147" s="1888"/>
      <c r="AK147" s="1888"/>
    </row>
    <row r="148" spans="1:80" s="95" customFormat="1" ht="18" hidden="1" customHeight="1">
      <c r="B148" s="2006" t="s">
        <v>665</v>
      </c>
      <c r="C148" s="1888"/>
      <c r="D148" s="1888"/>
      <c r="E148" s="1888"/>
      <c r="F148" s="1888"/>
      <c r="G148" s="1888"/>
      <c r="H148" s="1888"/>
      <c r="I148" s="1888"/>
      <c r="J148" s="1888"/>
      <c r="K148" s="1888"/>
      <c r="L148" s="1888"/>
      <c r="M148" s="1888"/>
      <c r="N148" s="1888"/>
      <c r="O148" s="1888"/>
      <c r="P148" s="1888"/>
      <c r="Q148" s="1888"/>
      <c r="R148" s="1888"/>
      <c r="S148" s="1888"/>
      <c r="T148" s="1888"/>
      <c r="U148" s="1888"/>
      <c r="V148" s="1888"/>
      <c r="W148" s="1888"/>
      <c r="X148" s="1888"/>
      <c r="Y148" s="1888"/>
      <c r="Z148" s="1888"/>
      <c r="AA148" s="1888"/>
      <c r="AB148" s="1888"/>
      <c r="AC148" s="1888"/>
      <c r="AD148" s="1888"/>
      <c r="AE148" s="1888"/>
      <c r="AF148" s="1888"/>
      <c r="AG148" s="1888"/>
      <c r="AH148" s="1888"/>
      <c r="AI148" s="1888"/>
      <c r="AJ148" s="1888"/>
      <c r="AK148" s="1888"/>
      <c r="AL148" s="1904"/>
      <c r="AM148" s="1862"/>
    </row>
    <row r="149" spans="1:80" ht="9" hidden="1" customHeight="1" thickBot="1">
      <c r="B149" s="720"/>
      <c r="C149" s="720"/>
      <c r="D149" s="720"/>
      <c r="E149" s="720"/>
      <c r="F149" s="720"/>
      <c r="G149" s="720"/>
      <c r="H149" s="720"/>
      <c r="I149" s="720"/>
      <c r="J149" s="720"/>
      <c r="K149" s="720"/>
      <c r="L149" s="720"/>
      <c r="M149" s="720"/>
      <c r="N149" s="720"/>
      <c r="O149" s="720"/>
      <c r="P149" s="720"/>
      <c r="Q149" s="720"/>
      <c r="R149" s="720"/>
      <c r="S149" s="720"/>
      <c r="T149" s="729"/>
      <c r="U149" s="729"/>
      <c r="V149" s="729"/>
      <c r="W149" s="729"/>
      <c r="X149" s="729"/>
      <c r="Y149" s="729"/>
      <c r="Z149" s="729"/>
      <c r="AA149" s="729"/>
      <c r="AB149" s="225"/>
      <c r="AC149" s="730"/>
      <c r="AD149" s="730"/>
      <c r="AE149" s="730"/>
      <c r="AF149" s="730"/>
      <c r="AG149" s="730"/>
      <c r="AH149" s="730"/>
      <c r="AI149" s="730"/>
      <c r="AJ149" s="730"/>
      <c r="AK149" s="730"/>
      <c r="AL149" s="2232"/>
      <c r="AM149" s="1796"/>
      <c r="AN149" s="15"/>
      <c r="AO149" s="57"/>
      <c r="AQ149" s="16"/>
      <c r="AR149" s="16"/>
      <c r="AS149" s="16"/>
    </row>
    <row r="150" spans="1:80" ht="12.75" hidden="1" customHeight="1">
      <c r="T150" s="221"/>
      <c r="U150" s="221"/>
      <c r="V150" s="221"/>
      <c r="W150" s="221"/>
      <c r="X150" s="221"/>
      <c r="Y150" s="221"/>
      <c r="Z150" s="221"/>
      <c r="AA150" s="221"/>
      <c r="AB150" s="222"/>
      <c r="AC150" s="172"/>
      <c r="AD150" s="172"/>
      <c r="AE150" s="172"/>
      <c r="AF150" s="172"/>
      <c r="AG150" s="172"/>
      <c r="AH150" s="172"/>
      <c r="AI150" s="172"/>
      <c r="AJ150" s="172"/>
      <c r="AK150" s="172"/>
      <c r="AL150" s="172"/>
      <c r="AM150" s="172"/>
      <c r="AN150" s="15"/>
      <c r="AO150" s="57"/>
      <c r="AQ150" s="16"/>
      <c r="AR150" s="16"/>
      <c r="AS150" s="16"/>
    </row>
    <row r="151" spans="1:80" s="122" customFormat="1" ht="18" customHeight="1">
      <c r="A151" s="95"/>
      <c r="B151" s="2372" t="s">
        <v>666</v>
      </c>
      <c r="C151" s="2373"/>
      <c r="D151" s="2373"/>
      <c r="E151" s="2373"/>
      <c r="F151" s="2373"/>
      <c r="G151" s="2373"/>
      <c r="H151" s="2373"/>
      <c r="I151" s="2373"/>
      <c r="J151" s="2373"/>
      <c r="K151" s="2373"/>
      <c r="L151" s="2373"/>
      <c r="M151" s="2373"/>
      <c r="N151" s="2373"/>
      <c r="O151" s="2373"/>
      <c r="P151" s="2373"/>
      <c r="Q151" s="2373"/>
      <c r="R151" s="2373"/>
      <c r="S151" s="2373"/>
      <c r="T151" s="2373"/>
      <c r="U151" s="2373"/>
      <c r="V151" s="2373"/>
      <c r="W151" s="2373"/>
      <c r="X151" s="2373"/>
      <c r="Y151" s="2373"/>
      <c r="Z151" s="2373"/>
      <c r="AA151" s="2373"/>
      <c r="AB151" s="2373"/>
      <c r="AC151" s="2373"/>
      <c r="AD151" s="2373"/>
      <c r="AE151" s="2373"/>
      <c r="AF151" s="2373"/>
      <c r="AG151" s="2373"/>
      <c r="AH151" s="2373"/>
      <c r="AI151" s="2373"/>
      <c r="AJ151" s="2373"/>
      <c r="AK151" s="2373"/>
      <c r="AN151" s="215"/>
      <c r="AO151" s="215"/>
      <c r="AP151" s="215"/>
      <c r="AQ151" s="215"/>
      <c r="AR151" s="215"/>
      <c r="AS151" s="171"/>
      <c r="AT151" s="95"/>
    </row>
    <row r="152" spans="1:80" s="122" customFormat="1" ht="54" hidden="1" customHeight="1">
      <c r="A152" s="171"/>
      <c r="B152" s="2123" t="s">
        <v>667</v>
      </c>
      <c r="C152" s="1913"/>
      <c r="D152" s="1913"/>
      <c r="E152" s="1913"/>
      <c r="F152" s="1913"/>
      <c r="G152" s="1913"/>
      <c r="H152" s="1913"/>
      <c r="I152" s="1913"/>
      <c r="J152" s="1913"/>
      <c r="K152" s="1913"/>
      <c r="L152" s="1913"/>
      <c r="M152" s="1913"/>
      <c r="N152" s="1913"/>
      <c r="O152" s="1913"/>
      <c r="P152" s="1913"/>
      <c r="Q152" s="1913"/>
      <c r="R152" s="1913"/>
      <c r="S152" s="1913"/>
      <c r="T152" s="1913"/>
      <c r="U152" s="1913"/>
      <c r="V152" s="1913"/>
      <c r="W152" s="1913"/>
      <c r="X152" s="1913"/>
      <c r="Y152" s="1913"/>
      <c r="Z152" s="1913"/>
      <c r="AA152" s="1913"/>
      <c r="AB152" s="1913"/>
      <c r="AC152" s="1913"/>
      <c r="AD152" s="1913"/>
      <c r="AE152" s="1913"/>
      <c r="AF152" s="1913"/>
      <c r="AG152" s="1913"/>
      <c r="AH152" s="1913"/>
      <c r="AI152" s="1913"/>
      <c r="AJ152" s="1913"/>
      <c r="AK152" s="1889"/>
      <c r="AL152" s="1872"/>
      <c r="AM152" s="1862"/>
      <c r="AN152" s="171"/>
      <c r="AO152" s="215"/>
      <c r="AP152" s="215"/>
      <c r="AQ152" s="215"/>
      <c r="AT152" s="95"/>
      <c r="AU152" s="474"/>
    </row>
    <row r="153" spans="1:80" s="122" customFormat="1" ht="18.75" hidden="1" customHeight="1">
      <c r="A153" s="95"/>
      <c r="B153" s="2242" t="s">
        <v>489</v>
      </c>
      <c r="C153" s="1913"/>
      <c r="D153" s="1913"/>
      <c r="E153" s="1913"/>
      <c r="F153" s="1913"/>
      <c r="G153" s="1913"/>
      <c r="H153" s="1913"/>
      <c r="I153" s="1913"/>
      <c r="J153" s="1913"/>
      <c r="K153" s="1913"/>
      <c r="L153" s="1913"/>
      <c r="M153" s="1913"/>
      <c r="N153" s="1913"/>
      <c r="O153" s="1913"/>
      <c r="P153" s="1913"/>
      <c r="Q153" s="1913"/>
      <c r="R153" s="1913"/>
      <c r="S153" s="1913"/>
      <c r="T153" s="1913"/>
      <c r="U153" s="1913"/>
      <c r="V153" s="1913"/>
      <c r="W153" s="1913"/>
      <c r="X153" s="1913"/>
      <c r="Y153" s="1913"/>
      <c r="Z153" s="1913"/>
      <c r="AA153" s="1913"/>
      <c r="AB153" s="1913"/>
      <c r="AC153" s="1913"/>
      <c r="AD153" s="1913"/>
      <c r="AE153" s="1913"/>
      <c r="AF153" s="1913"/>
      <c r="AG153" s="1913"/>
      <c r="AH153" s="1913"/>
      <c r="AI153" s="1913"/>
      <c r="AJ153" s="1913"/>
      <c r="AK153" s="1913"/>
      <c r="AN153" s="215"/>
      <c r="AO153" s="215"/>
      <c r="AP153" s="215"/>
      <c r="AQ153" s="215"/>
      <c r="AR153" s="215"/>
      <c r="AS153" s="215"/>
      <c r="AT153" s="95"/>
    </row>
    <row r="154" spans="1:80" ht="36" hidden="1" customHeight="1">
      <c r="B154" s="2341" t="s">
        <v>668</v>
      </c>
      <c r="C154" s="1910"/>
      <c r="D154" s="1910"/>
      <c r="E154" s="1910"/>
      <c r="F154" s="1910"/>
      <c r="G154" s="1910"/>
      <c r="H154" s="1910"/>
      <c r="I154" s="1910"/>
      <c r="J154" s="1910"/>
      <c r="K154" s="1910"/>
      <c r="L154" s="1910"/>
      <c r="M154" s="1910"/>
      <c r="N154" s="1910"/>
      <c r="O154" s="1910"/>
      <c r="P154" s="1910"/>
      <c r="Q154" s="1910"/>
      <c r="R154" s="1910"/>
      <c r="S154" s="1910"/>
      <c r="T154" s="1910"/>
      <c r="U154" s="1910"/>
      <c r="V154" s="1910"/>
      <c r="W154" s="1910"/>
      <c r="X154" s="1910"/>
      <c r="Y154" s="1910"/>
      <c r="Z154" s="1910"/>
      <c r="AA154" s="1910"/>
      <c r="AB154" s="1910"/>
      <c r="AC154" s="1910"/>
      <c r="AD154" s="1910"/>
      <c r="AE154" s="1910"/>
      <c r="AF154" s="1910"/>
      <c r="AG154" s="1910"/>
      <c r="AH154" s="1910"/>
      <c r="AI154" s="1910"/>
      <c r="AJ154" s="1910"/>
      <c r="AK154" s="1910"/>
      <c r="AL154" s="1872"/>
      <c r="AM154" s="1862"/>
      <c r="AN154" s="15"/>
      <c r="AO154" s="123"/>
      <c r="AQ154" s="16"/>
      <c r="AR154" s="16"/>
      <c r="AS154" s="136"/>
    </row>
    <row r="155" spans="1:80" s="122" customFormat="1" ht="18" hidden="1" customHeight="1">
      <c r="A155" s="95"/>
      <c r="B155" s="2242" t="s">
        <v>491</v>
      </c>
      <c r="C155" s="2242"/>
      <c r="D155" s="2242"/>
      <c r="E155" s="2242"/>
      <c r="F155" s="2242"/>
      <c r="G155" s="2242"/>
      <c r="H155" s="2242"/>
      <c r="I155" s="2242"/>
      <c r="J155" s="2242"/>
      <c r="K155" s="2242"/>
      <c r="L155" s="2242"/>
      <c r="M155" s="2242"/>
      <c r="N155" s="2242"/>
      <c r="O155" s="2242"/>
      <c r="P155" s="2242"/>
      <c r="Q155" s="2242"/>
      <c r="R155" s="2242"/>
      <c r="S155" s="2242"/>
      <c r="T155" s="2242"/>
      <c r="U155" s="2242"/>
      <c r="V155" s="2242"/>
      <c r="W155" s="2242"/>
      <c r="X155" s="2242"/>
      <c r="Y155" s="2242"/>
      <c r="Z155" s="2242"/>
      <c r="AA155" s="2242"/>
      <c r="AB155" s="2242"/>
      <c r="AC155" s="2242"/>
      <c r="AD155" s="2242"/>
      <c r="AE155" s="2242"/>
      <c r="AF155" s="2242"/>
      <c r="AG155" s="2242"/>
      <c r="AH155" s="2242"/>
      <c r="AN155" s="215"/>
      <c r="AO155" s="215"/>
      <c r="AP155" s="215"/>
      <c r="AQ155" s="215"/>
      <c r="AR155" s="215"/>
      <c r="AS155" s="215"/>
      <c r="AT155" s="95"/>
    </row>
    <row r="156" spans="1:80" ht="82.9" hidden="1" customHeight="1">
      <c r="A156" s="731"/>
      <c r="B156" s="2342" t="s">
        <v>669</v>
      </c>
      <c r="C156" s="2342"/>
      <c r="D156" s="2342"/>
      <c r="E156" s="2342"/>
      <c r="F156" s="2342"/>
      <c r="G156" s="2342"/>
      <c r="H156" s="2342"/>
      <c r="I156" s="2342"/>
      <c r="J156" s="2342"/>
      <c r="K156" s="2342"/>
      <c r="L156" s="2342"/>
      <c r="M156" s="2342"/>
      <c r="N156" s="2342"/>
      <c r="O156" s="2342"/>
      <c r="P156" s="2342"/>
      <c r="Q156" s="2342"/>
      <c r="R156" s="2342"/>
      <c r="S156" s="2342"/>
      <c r="T156" s="2342"/>
      <c r="U156" s="2342"/>
      <c r="V156" s="2342"/>
      <c r="W156" s="2342"/>
      <c r="X156" s="2342"/>
      <c r="Y156" s="2342"/>
      <c r="Z156" s="2342"/>
      <c r="AA156" s="2342"/>
      <c r="AB156" s="2342"/>
      <c r="AC156" s="2342"/>
      <c r="AD156" s="2342"/>
      <c r="AE156" s="2342"/>
      <c r="AF156" s="2342"/>
      <c r="AG156" s="2342"/>
      <c r="AH156" s="2342"/>
      <c r="AI156" s="2342"/>
      <c r="AJ156" s="2342"/>
      <c r="AK156" s="2342"/>
      <c r="AL156" s="2339"/>
      <c r="AM156" s="1865"/>
      <c r="AN156" s="15"/>
      <c r="AO156" s="57"/>
      <c r="AQ156" s="16"/>
      <c r="AR156" s="16"/>
      <c r="AS156" s="948"/>
      <c r="AT156" s="948"/>
      <c r="AU156" s="948"/>
      <c r="AV156" s="948"/>
      <c r="AW156" s="948"/>
      <c r="AX156" s="948"/>
      <c r="AY156" s="948"/>
      <c r="AZ156" s="948"/>
      <c r="BA156" s="948"/>
      <c r="BB156" s="948"/>
      <c r="BC156" s="948"/>
      <c r="BD156" s="948"/>
      <c r="BE156" s="948"/>
      <c r="BF156" s="948"/>
      <c r="BG156" s="948"/>
      <c r="BH156" s="948"/>
      <c r="BI156" s="948"/>
      <c r="BJ156" s="948"/>
      <c r="BK156" s="948"/>
      <c r="BL156" s="948"/>
      <c r="BM156" s="948"/>
      <c r="BN156" s="948"/>
      <c r="BO156" s="948"/>
      <c r="BP156" s="948"/>
      <c r="BQ156" s="948"/>
      <c r="BR156" s="948"/>
      <c r="BS156" s="948"/>
      <c r="BT156" s="948"/>
      <c r="BU156" s="948"/>
      <c r="BV156" s="948"/>
      <c r="BW156" s="948"/>
      <c r="BX156" s="948"/>
      <c r="BY156" s="948"/>
    </row>
    <row r="157" spans="1:80" ht="18" hidden="1" customHeight="1">
      <c r="A157" s="1667"/>
      <c r="B157" s="2380" t="s">
        <v>493</v>
      </c>
      <c r="C157" s="2380"/>
      <c r="D157" s="2380"/>
      <c r="E157" s="2380"/>
      <c r="F157" s="2380"/>
      <c r="G157" s="2380"/>
      <c r="H157" s="2380"/>
      <c r="I157" s="2380"/>
      <c r="J157" s="2380"/>
      <c r="K157" s="2380"/>
      <c r="L157" s="2380"/>
      <c r="M157" s="2380"/>
      <c r="N157" s="2380"/>
      <c r="O157" s="2380"/>
      <c r="P157" s="2380"/>
      <c r="Q157" s="2380"/>
      <c r="R157" s="2380"/>
      <c r="S157" s="2380"/>
      <c r="T157" s="2380"/>
      <c r="U157" s="2380"/>
      <c r="V157" s="2380"/>
      <c r="W157" s="2380"/>
      <c r="X157" s="2380"/>
      <c r="Y157" s="2380"/>
      <c r="Z157" s="2380"/>
      <c r="AA157" s="2380"/>
      <c r="AB157" s="2380"/>
      <c r="AC157" s="2380"/>
      <c r="AD157" s="2380"/>
      <c r="AE157" s="2380"/>
      <c r="AF157" s="2380"/>
      <c r="AG157" s="2380"/>
      <c r="AH157" s="2380"/>
      <c r="AI157" s="2380"/>
      <c r="AJ157" s="2380"/>
      <c r="AK157" s="2380"/>
      <c r="AL157" s="2386"/>
      <c r="AM157" s="1864"/>
      <c r="AN157" s="15"/>
      <c r="AO157" s="57"/>
      <c r="AQ157" s="16"/>
      <c r="AR157" s="16"/>
      <c r="AS157" s="16"/>
    </row>
    <row r="158" spans="1:80" s="122" customFormat="1" ht="60" hidden="1" customHeight="1">
      <c r="A158" s="95"/>
      <c r="B158" s="2305" t="s">
        <v>670</v>
      </c>
      <c r="C158" s="2305"/>
      <c r="D158" s="2305"/>
      <c r="E158" s="2305"/>
      <c r="F158" s="2305"/>
      <c r="G158" s="2305"/>
      <c r="H158" s="2305"/>
      <c r="I158" s="2305"/>
      <c r="J158" s="2305"/>
      <c r="K158" s="2305"/>
      <c r="L158" s="2305"/>
      <c r="M158" s="2305"/>
      <c r="N158" s="2305"/>
      <c r="O158" s="2305"/>
      <c r="P158" s="2305"/>
      <c r="Q158" s="2305"/>
      <c r="R158" s="2305"/>
      <c r="S158" s="2305"/>
      <c r="T158" s="2305"/>
      <c r="U158" s="2305"/>
      <c r="V158" s="2305"/>
      <c r="W158" s="2305"/>
      <c r="X158" s="2305"/>
      <c r="Y158" s="2305"/>
      <c r="Z158" s="2305"/>
      <c r="AA158" s="2305"/>
      <c r="AB158" s="2305"/>
      <c r="AC158" s="2305"/>
      <c r="AD158" s="2305"/>
      <c r="AE158" s="2305"/>
      <c r="AF158" s="2305"/>
      <c r="AG158" s="2305"/>
      <c r="AH158" s="2305"/>
      <c r="AI158" s="2305"/>
      <c r="AJ158" s="2305"/>
      <c r="AK158" s="2305"/>
      <c r="AL158" s="2339"/>
      <c r="AM158" s="1865"/>
      <c r="AN158" s="215"/>
      <c r="AO158" s="215"/>
      <c r="AP158" s="215"/>
      <c r="AQ158" s="215"/>
      <c r="AR158" s="215"/>
      <c r="AS158" s="947"/>
      <c r="AT158" s="947"/>
      <c r="AU158" s="947"/>
      <c r="AV158" s="947"/>
      <c r="AW158" s="947"/>
      <c r="AX158" s="947"/>
      <c r="AY158" s="947"/>
      <c r="AZ158" s="947"/>
      <c r="BA158" s="947"/>
      <c r="BB158" s="947"/>
      <c r="BC158" s="947"/>
      <c r="BD158" s="947"/>
      <c r="BE158" s="947"/>
      <c r="BF158" s="947"/>
      <c r="BG158" s="947"/>
      <c r="BH158" s="947"/>
      <c r="BI158" s="947"/>
      <c r="BJ158" s="947"/>
      <c r="BK158" s="947"/>
      <c r="BL158" s="947"/>
      <c r="BM158" s="947"/>
      <c r="BN158" s="947"/>
      <c r="BO158" s="947"/>
      <c r="BP158" s="947"/>
      <c r="BQ158" s="947"/>
      <c r="BR158" s="947"/>
      <c r="BS158" s="947"/>
      <c r="BT158" s="947"/>
      <c r="BU158" s="947"/>
      <c r="BV158" s="947"/>
      <c r="BW158" s="947"/>
      <c r="BX158" s="947"/>
      <c r="BY158" s="947"/>
      <c r="BZ158" s="947"/>
      <c r="CA158" s="947"/>
      <c r="CB158" s="947"/>
    </row>
    <row r="159" spans="1:80" s="95" customFormat="1" ht="36" hidden="1" customHeight="1">
      <c r="B159" s="2186" t="s">
        <v>671</v>
      </c>
      <c r="C159" s="2186"/>
      <c r="D159" s="2186"/>
      <c r="E159" s="2186"/>
      <c r="F159" s="2186"/>
      <c r="G159" s="2186"/>
      <c r="H159" s="2186"/>
      <c r="I159" s="2186"/>
      <c r="J159" s="2186"/>
      <c r="K159" s="2186"/>
      <c r="L159" s="2186"/>
      <c r="M159" s="2186"/>
      <c r="N159" s="2186"/>
      <c r="O159" s="2186"/>
      <c r="P159" s="2186"/>
      <c r="Q159" s="2186"/>
      <c r="R159" s="2186"/>
      <c r="S159" s="2186"/>
      <c r="T159" s="2186"/>
      <c r="U159" s="2186"/>
      <c r="V159" s="2186"/>
      <c r="W159" s="2186"/>
      <c r="X159" s="2186"/>
      <c r="Y159" s="2186"/>
      <c r="Z159" s="2186"/>
      <c r="AA159" s="2186"/>
      <c r="AB159" s="2186"/>
      <c r="AC159" s="2186"/>
      <c r="AD159" s="2186"/>
      <c r="AE159" s="2186"/>
      <c r="AF159" s="2186"/>
      <c r="AG159" s="2186"/>
      <c r="AH159" s="2186"/>
      <c r="AI159" s="2186"/>
      <c r="AJ159" s="2186"/>
      <c r="AK159" s="2186"/>
      <c r="AL159" s="1872"/>
      <c r="AM159" s="1872"/>
    </row>
    <row r="160" spans="1:80" s="95" customFormat="1" ht="18" hidden="1" customHeight="1">
      <c r="B160" s="2378"/>
      <c r="C160" s="2379"/>
      <c r="D160" s="2379"/>
      <c r="E160" s="2379"/>
      <c r="F160" s="2379"/>
      <c r="G160" s="2379"/>
      <c r="H160" s="2379"/>
      <c r="I160" s="2379"/>
      <c r="J160" s="2379"/>
      <c r="K160" s="2379"/>
      <c r="L160" s="2379"/>
      <c r="M160" s="2379"/>
      <c r="N160" s="2379"/>
      <c r="O160" s="2379"/>
      <c r="P160" s="2379"/>
      <c r="Q160" s="2379"/>
      <c r="R160" s="2379"/>
      <c r="S160" s="2379"/>
      <c r="T160" s="2379"/>
      <c r="U160" s="2379"/>
      <c r="V160" s="2379"/>
      <c r="W160" s="2379"/>
      <c r="X160" s="2379"/>
      <c r="Y160" s="2379"/>
      <c r="Z160" s="2379"/>
      <c r="AA160" s="2379"/>
      <c r="AB160" s="2379"/>
      <c r="AC160" s="2379"/>
      <c r="AD160" s="2379"/>
      <c r="AE160" s="2379"/>
      <c r="AF160" s="2379"/>
      <c r="AG160" s="2379"/>
      <c r="AH160" s="2379"/>
      <c r="AI160" s="2379"/>
      <c r="AJ160" s="2379"/>
      <c r="AK160" s="2379"/>
    </row>
    <row r="161" spans="1:45" s="95" customFormat="1" ht="51.4" hidden="1" customHeight="1">
      <c r="B161" s="2305"/>
      <c r="C161" s="1910"/>
      <c r="D161" s="1910"/>
      <c r="E161" s="1910"/>
      <c r="F161" s="1910"/>
      <c r="G161" s="1910"/>
      <c r="H161" s="1910"/>
      <c r="I161" s="1910"/>
      <c r="J161" s="1910"/>
      <c r="K161" s="1910"/>
      <c r="L161" s="1910"/>
      <c r="M161" s="1910"/>
      <c r="N161" s="1910"/>
      <c r="O161" s="1910"/>
      <c r="P161" s="1910"/>
      <c r="Q161" s="1910"/>
      <c r="R161" s="1910"/>
      <c r="S161" s="1910"/>
      <c r="T161" s="1910"/>
      <c r="U161" s="1910"/>
      <c r="V161" s="1910"/>
      <c r="W161" s="1910"/>
      <c r="X161" s="1910"/>
      <c r="Y161" s="1910"/>
      <c r="Z161" s="1910"/>
      <c r="AA161" s="1910"/>
      <c r="AB161" s="1910"/>
      <c r="AC161" s="1910"/>
      <c r="AD161" s="1910"/>
      <c r="AE161" s="1910"/>
      <c r="AF161" s="1910"/>
      <c r="AG161" s="1910"/>
      <c r="AH161" s="1910"/>
      <c r="AI161" s="1910"/>
      <c r="AJ161" s="1910"/>
      <c r="AK161" s="1910"/>
      <c r="AL161" s="1911"/>
      <c r="AM161" s="1862"/>
    </row>
    <row r="162" spans="1:45" s="95" customFormat="1" ht="57.75" customHeight="1">
      <c r="B162" s="2391" t="s">
        <v>558</v>
      </c>
      <c r="C162" s="1966"/>
      <c r="D162" s="2060"/>
      <c r="E162" s="2340" t="str">
        <f>'Document Checklist-Full List'!$E$24</f>
        <v>2. Application Submission Notification</v>
      </c>
      <c r="F162" s="1966"/>
      <c r="G162" s="1966"/>
      <c r="H162" s="1966"/>
      <c r="I162" s="1966"/>
      <c r="J162" s="1966"/>
      <c r="K162" s="2060"/>
      <c r="L162" s="2428" t="str">
        <f>'Document Checklist-Full List'!$N$24</f>
        <v>MHP: The application includes a letter from the Applicant to the relevant local legislative body or tribal governing body that, pursuant to HSC §50675.7(e), notifies the body of the Applicant’s intent to submit a loan application to the Department.</v>
      </c>
      <c r="M162" s="2429"/>
      <c r="N162" s="2429"/>
      <c r="O162" s="2429"/>
      <c r="P162" s="2429"/>
      <c r="Q162" s="2429"/>
      <c r="R162" s="2429"/>
      <c r="S162" s="2429"/>
      <c r="T162" s="2429"/>
      <c r="U162" s="2429"/>
      <c r="V162" s="2429"/>
      <c r="W162" s="2429"/>
      <c r="X162" s="2429"/>
      <c r="Y162" s="2429"/>
      <c r="Z162" s="2429"/>
      <c r="AA162" s="2429"/>
      <c r="AB162" s="2429"/>
      <c r="AC162" s="2395" t="str">
        <f>'Document Checklist-Full List'!AG24</f>
        <v>HSC §50675.7(e)</v>
      </c>
      <c r="AD162" s="2396"/>
      <c r="AE162" s="2397"/>
      <c r="AF162" s="2252" t="s">
        <v>559</v>
      </c>
      <c r="AG162" s="1777"/>
      <c r="AH162" s="1777"/>
      <c r="AI162" s="1777"/>
      <c r="AJ162" s="1777"/>
      <c r="AK162" s="1778"/>
      <c r="AL162" s="1946"/>
      <c r="AM162" s="1947"/>
      <c r="AN162" s="1619"/>
      <c r="AO162" s="1620"/>
    </row>
    <row r="163" spans="1:45" s="95" customFormat="1" ht="36" hidden="1" customHeight="1">
      <c r="B163" s="2006" t="s">
        <v>672</v>
      </c>
      <c r="C163" s="2006"/>
      <c r="D163" s="2006"/>
      <c r="E163" s="2006"/>
      <c r="F163" s="2006"/>
      <c r="G163" s="2006"/>
      <c r="H163" s="2006"/>
      <c r="I163" s="2006"/>
      <c r="J163" s="2006"/>
      <c r="K163" s="2006"/>
      <c r="L163" s="2006"/>
      <c r="M163" s="2006"/>
      <c r="N163" s="2006"/>
      <c r="O163" s="2006"/>
      <c r="P163" s="2006"/>
      <c r="Q163" s="2006"/>
      <c r="R163" s="2006"/>
      <c r="S163" s="2006"/>
      <c r="T163" s="2006"/>
      <c r="U163" s="2006"/>
      <c r="V163" s="2006"/>
      <c r="W163" s="2006"/>
      <c r="X163" s="2006"/>
      <c r="Y163" s="2006"/>
      <c r="Z163" s="2006"/>
      <c r="AA163" s="2006"/>
      <c r="AB163" s="2006"/>
      <c r="AC163" s="2006"/>
      <c r="AD163" s="2006"/>
      <c r="AE163" s="2006"/>
      <c r="AF163" s="2006"/>
      <c r="AG163" s="2006"/>
      <c r="AH163" s="2006"/>
      <c r="AI163" s="2006"/>
      <c r="AJ163" s="2006"/>
      <c r="AK163" s="2006"/>
      <c r="AL163" s="1872"/>
      <c r="AM163" s="1872"/>
    </row>
    <row r="164" spans="1:45" s="95" customFormat="1" ht="18" hidden="1" customHeight="1">
      <c r="B164" s="2250"/>
      <c r="C164" s="2015"/>
      <c r="D164" s="2015"/>
      <c r="E164" s="2014"/>
      <c r="F164" s="2015"/>
      <c r="G164" s="2015"/>
      <c r="H164" s="2015"/>
      <c r="I164" s="2015"/>
      <c r="J164" s="2015"/>
      <c r="K164" s="2015"/>
      <c r="L164" s="2176"/>
      <c r="M164" s="2015"/>
      <c r="N164" s="2015"/>
      <c r="O164" s="2015"/>
      <c r="P164" s="2015"/>
      <c r="Q164" s="2015"/>
      <c r="R164" s="2015"/>
      <c r="S164" s="2015"/>
      <c r="T164" s="2015"/>
      <c r="U164" s="2015"/>
      <c r="V164" s="2015"/>
      <c r="W164" s="2015"/>
      <c r="X164" s="2015"/>
      <c r="Y164" s="2015"/>
      <c r="Z164" s="2015"/>
      <c r="AA164" s="2015"/>
      <c r="AB164" s="2015"/>
      <c r="AC164" s="2015"/>
      <c r="AD164" s="2015"/>
      <c r="AE164" s="2015"/>
      <c r="AF164" s="1929"/>
      <c r="AG164" s="2015"/>
      <c r="AH164" s="2015"/>
      <c r="AI164" s="2015"/>
      <c r="AJ164" s="2015"/>
      <c r="AK164" s="2015"/>
      <c r="AL164" s="2105"/>
      <c r="AM164" s="2022"/>
    </row>
    <row r="165" spans="1:45" s="95" customFormat="1" ht="14.25" hidden="1" customHeight="1"/>
    <row r="166" spans="1:45" ht="18" hidden="1" customHeight="1">
      <c r="B166" s="1891" t="s">
        <v>673</v>
      </c>
      <c r="C166" s="1877"/>
      <c r="D166" s="1877"/>
      <c r="E166" s="1877"/>
      <c r="F166" s="1877"/>
      <c r="G166" s="1877"/>
      <c r="H166" s="1877"/>
      <c r="I166" s="1877"/>
      <c r="J166" s="1877"/>
      <c r="K166" s="1877"/>
      <c r="L166" s="1877"/>
      <c r="M166" s="1877"/>
      <c r="N166" s="1877"/>
      <c r="O166" s="1877"/>
      <c r="P166" s="1877"/>
      <c r="Q166" s="1877"/>
      <c r="R166" s="1877"/>
      <c r="S166" s="1877"/>
      <c r="T166" s="1877"/>
      <c r="U166" s="1877"/>
      <c r="V166" s="1877"/>
      <c r="W166" s="1877"/>
      <c r="X166" s="1877"/>
      <c r="Y166" s="1877"/>
      <c r="Z166" s="1877"/>
      <c r="AA166" s="1877"/>
      <c r="AB166" s="1877"/>
      <c r="AC166" s="1877"/>
      <c r="AD166" s="1877"/>
      <c r="AE166" s="1877"/>
      <c r="AF166" s="1877"/>
      <c r="AG166" s="1877"/>
      <c r="AH166" s="1877"/>
      <c r="AI166" s="1877"/>
      <c r="AJ166" s="1877"/>
      <c r="AK166" s="1877"/>
      <c r="AL166" s="1877"/>
      <c r="AM166" s="1877"/>
      <c r="AN166" s="15"/>
      <c r="AO166" s="57"/>
      <c r="AQ166" s="16"/>
      <c r="AR166" s="16"/>
      <c r="AS166" s="16"/>
    </row>
    <row r="167" spans="1:45" ht="141" hidden="1" customHeight="1">
      <c r="B167" s="1874"/>
      <c r="C167" s="1869"/>
      <c r="D167" s="1869"/>
      <c r="E167" s="1869"/>
      <c r="F167" s="1869"/>
      <c r="G167" s="1869"/>
      <c r="H167" s="1869"/>
      <c r="I167" s="1869"/>
      <c r="J167" s="1869"/>
      <c r="K167" s="1869"/>
      <c r="L167" s="1869"/>
      <c r="M167" s="1869"/>
      <c r="N167" s="1869"/>
      <c r="O167" s="1869"/>
      <c r="P167" s="1869"/>
      <c r="Q167" s="1869"/>
      <c r="R167" s="1869"/>
      <c r="S167" s="1869"/>
      <c r="T167" s="1869"/>
      <c r="U167" s="1869"/>
      <c r="V167" s="1869"/>
      <c r="W167" s="1869"/>
      <c r="X167" s="1869"/>
      <c r="Y167" s="1869"/>
      <c r="Z167" s="1869"/>
      <c r="AA167" s="1869"/>
      <c r="AB167" s="1869"/>
      <c r="AC167" s="1869"/>
      <c r="AD167" s="1869"/>
      <c r="AE167" s="1869"/>
      <c r="AF167" s="1869"/>
      <c r="AG167" s="1869"/>
      <c r="AH167" s="1869"/>
      <c r="AI167" s="1869"/>
      <c r="AJ167" s="1869"/>
      <c r="AK167" s="1869"/>
      <c r="AL167" s="1869"/>
      <c r="AM167" s="1870"/>
      <c r="AN167" s="15"/>
      <c r="AO167" s="57"/>
      <c r="AQ167" s="16"/>
      <c r="AR167" s="16"/>
    </row>
    <row r="168" spans="1:45" ht="18" hidden="1" customHeight="1">
      <c r="T168" s="221"/>
      <c r="U168" s="221"/>
      <c r="V168" s="221"/>
      <c r="W168" s="221"/>
      <c r="X168" s="221"/>
      <c r="Y168" s="221"/>
      <c r="Z168" s="221"/>
      <c r="AA168" s="221"/>
      <c r="AB168" s="222"/>
      <c r="AC168" s="172"/>
      <c r="AD168" s="172"/>
      <c r="AE168" s="172"/>
      <c r="AF168" s="172"/>
      <c r="AG168" s="172"/>
      <c r="AH168" s="172"/>
      <c r="AI168" s="172"/>
      <c r="AJ168" s="172"/>
      <c r="AK168" s="172"/>
      <c r="AL168" s="172"/>
      <c r="AM168" s="172"/>
      <c r="AN168" s="15"/>
      <c r="AO168" s="57"/>
      <c r="AQ168" s="16"/>
      <c r="AR168" s="16"/>
      <c r="AS168" s="16"/>
    </row>
    <row r="169" spans="1:45" ht="35.25" hidden="1" customHeight="1">
      <c r="B169" s="2119" t="s">
        <v>674</v>
      </c>
      <c r="C169" s="1910"/>
      <c r="D169" s="1910"/>
      <c r="E169" s="1910"/>
      <c r="F169" s="1910"/>
      <c r="G169" s="1910"/>
      <c r="H169" s="1910"/>
      <c r="I169" s="1910"/>
      <c r="J169" s="1910"/>
      <c r="K169" s="1910"/>
      <c r="L169" s="1910"/>
      <c r="M169" s="1910"/>
      <c r="N169" s="1910"/>
      <c r="O169" s="1910"/>
      <c r="P169" s="1910"/>
      <c r="Q169" s="1910"/>
      <c r="R169" s="777" t="s">
        <v>675</v>
      </c>
      <c r="T169" s="777"/>
      <c r="U169" s="777"/>
      <c r="V169" s="777"/>
      <c r="W169" s="777"/>
      <c r="X169" s="777"/>
      <c r="Y169" s="777"/>
      <c r="Z169" s="777"/>
      <c r="AA169" s="777"/>
      <c r="AB169" s="777"/>
      <c r="AC169" s="777"/>
      <c r="AD169" s="777"/>
      <c r="AE169" s="777"/>
      <c r="AF169" s="777"/>
      <c r="AG169" s="777"/>
      <c r="AH169" s="777"/>
      <c r="AI169" s="777"/>
      <c r="AJ169" s="777"/>
      <c r="AK169" s="777"/>
      <c r="AL169" s="777"/>
      <c r="AM169" s="777"/>
      <c r="AN169" s="15"/>
      <c r="AO169" s="57"/>
      <c r="AQ169" s="16"/>
      <c r="AR169" s="16"/>
      <c r="AS169" s="16"/>
    </row>
    <row r="170" spans="1:45" s="95" customFormat="1" ht="36" hidden="1" customHeight="1">
      <c r="B170" s="2057" t="s">
        <v>676</v>
      </c>
      <c r="C170" s="1877"/>
      <c r="D170" s="1877"/>
      <c r="E170" s="1877"/>
      <c r="F170" s="1877"/>
      <c r="G170" s="1877"/>
      <c r="H170" s="1877"/>
      <c r="I170" s="1877"/>
      <c r="J170" s="1877"/>
      <c r="K170" s="1877"/>
      <c r="L170" s="1877"/>
      <c r="M170" s="1877"/>
      <c r="N170" s="1877"/>
      <c r="O170" s="1877"/>
      <c r="P170" s="1877"/>
      <c r="Q170" s="1877"/>
      <c r="R170" s="1877"/>
      <c r="S170" s="1877"/>
      <c r="T170" s="1877"/>
      <c r="U170" s="1877"/>
      <c r="V170" s="1877"/>
      <c r="W170" s="1877"/>
      <c r="X170" s="1877"/>
      <c r="Y170" s="1877"/>
      <c r="Z170" s="1877"/>
      <c r="AA170" s="1877"/>
      <c r="AB170" s="1877"/>
      <c r="AC170" s="1877"/>
      <c r="AD170" s="1877"/>
      <c r="AE170" s="1877"/>
      <c r="AF170" s="1877"/>
      <c r="AG170" s="1877"/>
      <c r="AH170" s="1877"/>
      <c r="AI170" s="1877"/>
      <c r="AJ170" s="1877"/>
      <c r="AK170" s="1877"/>
      <c r="AL170" s="1877"/>
      <c r="AM170" s="1877"/>
    </row>
    <row r="171" spans="1:45" ht="120.75" hidden="1" customHeight="1">
      <c r="B171" s="2086"/>
      <c r="C171" s="1861"/>
      <c r="D171" s="1861"/>
      <c r="E171" s="1861"/>
      <c r="F171" s="1861"/>
      <c r="G171" s="1861"/>
      <c r="H171" s="1861"/>
      <c r="I171" s="1861"/>
      <c r="J171" s="1861"/>
      <c r="K171" s="1861"/>
      <c r="L171" s="1861"/>
      <c r="M171" s="1861"/>
      <c r="N171" s="1861"/>
      <c r="O171" s="1861"/>
      <c r="P171" s="1861"/>
      <c r="Q171" s="1861"/>
      <c r="R171" s="1861"/>
      <c r="S171" s="1861"/>
      <c r="T171" s="1861"/>
      <c r="U171" s="1861"/>
      <c r="V171" s="1861"/>
      <c r="W171" s="1861"/>
      <c r="X171" s="1861"/>
      <c r="Y171" s="1861"/>
      <c r="Z171" s="1861"/>
      <c r="AA171" s="1861"/>
      <c r="AB171" s="1861"/>
      <c r="AC171" s="1861"/>
      <c r="AD171" s="1861"/>
      <c r="AE171" s="1861"/>
      <c r="AF171" s="1861"/>
      <c r="AG171" s="1861"/>
      <c r="AH171" s="1861"/>
      <c r="AI171" s="1861"/>
      <c r="AJ171" s="1861"/>
      <c r="AK171" s="1861"/>
      <c r="AL171" s="1861"/>
      <c r="AM171" s="1862"/>
      <c r="AN171" s="15"/>
      <c r="AO171" s="57"/>
      <c r="AQ171" s="16"/>
      <c r="AR171" s="16"/>
      <c r="AS171" s="16"/>
    </row>
    <row r="172" spans="1:45" ht="18" hidden="1" customHeight="1">
      <c r="T172" s="221"/>
      <c r="U172" s="221"/>
      <c r="V172" s="221"/>
      <c r="W172" s="221"/>
      <c r="X172" s="221"/>
      <c r="Y172" s="221"/>
      <c r="Z172" s="221"/>
      <c r="AA172" s="221"/>
      <c r="AB172" s="260"/>
      <c r="AC172" s="77"/>
      <c r="AD172" s="77"/>
      <c r="AE172" s="77"/>
      <c r="AF172" s="77"/>
      <c r="AG172" s="77"/>
      <c r="AH172" s="77"/>
      <c r="AI172" s="77"/>
      <c r="AJ172" s="77"/>
      <c r="AK172" s="77"/>
      <c r="AL172" s="77"/>
      <c r="AM172" s="77"/>
      <c r="AN172" s="15"/>
      <c r="AO172" s="57"/>
      <c r="AQ172" s="16"/>
      <c r="AR172" s="16"/>
      <c r="AS172" s="16"/>
    </row>
    <row r="173" spans="1:45" ht="30.75" hidden="1" customHeight="1">
      <c r="B173" s="2119" t="s">
        <v>677</v>
      </c>
      <c r="C173" s="1910"/>
      <c r="D173" s="1910"/>
      <c r="E173" s="1910"/>
      <c r="F173" s="1910"/>
      <c r="G173" s="1910"/>
      <c r="H173" s="1910"/>
      <c r="I173" s="1910"/>
      <c r="J173" s="1910"/>
      <c r="K173" s="1910"/>
      <c r="L173" s="1910"/>
      <c r="M173" s="1910"/>
      <c r="N173" s="1910"/>
      <c r="O173" s="1910"/>
      <c r="P173" s="777" t="s">
        <v>675</v>
      </c>
      <c r="Q173" s="777"/>
      <c r="R173" s="777"/>
      <c r="S173" s="777"/>
      <c r="T173" s="777"/>
      <c r="U173" s="777"/>
      <c r="V173" s="777"/>
      <c r="W173" s="777"/>
      <c r="X173" s="777"/>
      <c r="Y173" s="777"/>
      <c r="Z173" s="777"/>
      <c r="AA173" s="777"/>
      <c r="AB173" s="777"/>
      <c r="AC173" s="777"/>
      <c r="AD173" s="777"/>
      <c r="AE173" s="777"/>
      <c r="AF173" s="777"/>
      <c r="AG173" s="777"/>
      <c r="AH173" s="777"/>
      <c r="AI173" s="777"/>
      <c r="AJ173" s="777"/>
      <c r="AK173" s="777"/>
      <c r="AL173" s="777"/>
      <c r="AM173" s="777"/>
      <c r="AN173" s="15"/>
      <c r="AO173" s="57"/>
      <c r="AQ173" s="16"/>
      <c r="AR173" s="16"/>
      <c r="AS173" s="16"/>
    </row>
    <row r="174" spans="1:45" s="95" customFormat="1" ht="36" hidden="1" customHeight="1">
      <c r="B174" s="2057" t="s">
        <v>676</v>
      </c>
      <c r="C174" s="1877"/>
      <c r="D174" s="1877"/>
      <c r="E174" s="1877"/>
      <c r="F174" s="1877"/>
      <c r="G174" s="1877"/>
      <c r="H174" s="1877"/>
      <c r="I174" s="1877"/>
      <c r="J174" s="1877"/>
      <c r="K174" s="1877"/>
      <c r="L174" s="1877"/>
      <c r="M174" s="1877"/>
      <c r="N174" s="1877"/>
      <c r="O174" s="1877"/>
      <c r="P174" s="1877"/>
      <c r="Q174" s="1877"/>
      <c r="R174" s="1877"/>
      <c r="S174" s="1877"/>
      <c r="T174" s="1877"/>
      <c r="U174" s="1877"/>
      <c r="V174" s="1877"/>
      <c r="W174" s="1877"/>
      <c r="X174" s="1877"/>
      <c r="Y174" s="1877"/>
      <c r="Z174" s="1877"/>
      <c r="AA174" s="1877"/>
      <c r="AB174" s="1877"/>
      <c r="AC174" s="1877"/>
      <c r="AD174" s="1877"/>
      <c r="AE174" s="1877"/>
      <c r="AF174" s="1877"/>
      <c r="AG174" s="1877"/>
      <c r="AH174" s="1877"/>
      <c r="AI174" s="1877"/>
      <c r="AJ174" s="1877"/>
      <c r="AK174" s="1877"/>
      <c r="AL174" s="1877"/>
      <c r="AM174" s="1877"/>
    </row>
    <row r="175" spans="1:45" s="122" customFormat="1" ht="113.85" hidden="1" customHeight="1">
      <c r="A175" s="95"/>
      <c r="B175" s="1874"/>
      <c r="C175" s="1869"/>
      <c r="D175" s="1869"/>
      <c r="E175" s="1869"/>
      <c r="F175" s="1869"/>
      <c r="G175" s="1869"/>
      <c r="H175" s="1869"/>
      <c r="I175" s="1869"/>
      <c r="J175" s="1869"/>
      <c r="K175" s="1869"/>
      <c r="L175" s="1869"/>
      <c r="M175" s="1869"/>
      <c r="N175" s="1869"/>
      <c r="O175" s="1869"/>
      <c r="P175" s="1869"/>
      <c r="Q175" s="1869"/>
      <c r="R175" s="1869"/>
      <c r="S175" s="1869"/>
      <c r="T175" s="1869"/>
      <c r="U175" s="1869"/>
      <c r="V175" s="1869"/>
      <c r="W175" s="1869"/>
      <c r="X175" s="1869"/>
      <c r="Y175" s="1869"/>
      <c r="Z175" s="1869"/>
      <c r="AA175" s="1869"/>
      <c r="AB175" s="1869"/>
      <c r="AC175" s="1869"/>
      <c r="AD175" s="1869"/>
      <c r="AE175" s="1869"/>
      <c r="AF175" s="1869"/>
      <c r="AG175" s="1869"/>
      <c r="AH175" s="1869"/>
      <c r="AI175" s="1869"/>
      <c r="AJ175" s="1869"/>
      <c r="AK175" s="1869"/>
      <c r="AL175" s="1869"/>
      <c r="AM175" s="1870"/>
      <c r="AN175" s="215"/>
      <c r="AO175" s="215"/>
      <c r="AP175" s="215"/>
      <c r="AQ175" s="215"/>
      <c r="AR175" s="215"/>
      <c r="AS175" s="215"/>
    </row>
    <row r="176" spans="1:45" s="122" customFormat="1" ht="13.5" customHeight="1">
      <c r="A176" s="95"/>
      <c r="AN176" s="215"/>
      <c r="AO176" s="215"/>
      <c r="AP176" s="215"/>
      <c r="AQ176" s="215"/>
      <c r="AR176" s="215"/>
      <c r="AS176" s="215"/>
    </row>
    <row r="177" spans="1:47" ht="18" customHeight="1" thickBot="1">
      <c r="B177" s="2337" t="s">
        <v>678</v>
      </c>
      <c r="C177" s="1910"/>
      <c r="D177" s="1910"/>
      <c r="E177" s="1910"/>
      <c r="F177" s="1910"/>
      <c r="G177" s="1910"/>
      <c r="H177" s="1910"/>
      <c r="I177" s="1910"/>
      <c r="J177" s="1910"/>
      <c r="K177" s="1910"/>
      <c r="L177" s="1910"/>
      <c r="M177" s="1910"/>
      <c r="N177" s="1910"/>
      <c r="O177" s="1910"/>
      <c r="P177" s="1910"/>
      <c r="Q177" s="1910"/>
      <c r="R177" s="1910"/>
      <c r="S177" s="1910"/>
      <c r="T177" s="1910"/>
      <c r="U177" s="1910"/>
      <c r="V177" s="1910"/>
      <c r="W177" s="1910"/>
      <c r="X177" s="1910"/>
      <c r="Y177" s="1910"/>
      <c r="Z177" s="1910"/>
      <c r="AA177" s="1910"/>
      <c r="AB177" s="1910"/>
      <c r="AC177" s="1910"/>
      <c r="AD177" s="1910"/>
      <c r="AE177" s="1910"/>
      <c r="AF177" s="1910"/>
      <c r="AG177" s="1910"/>
      <c r="AH177" s="1910"/>
      <c r="AI177" s="1910"/>
      <c r="AJ177" s="1910"/>
      <c r="AK177" s="1910"/>
      <c r="AL177" s="1910"/>
      <c r="AM177" s="1888"/>
      <c r="AN177" s="15"/>
      <c r="AO177" s="57"/>
      <c r="AQ177" s="16"/>
      <c r="AR177" s="16"/>
      <c r="AS177" s="16"/>
    </row>
    <row r="178" spans="1:47" ht="18" customHeight="1" thickBot="1">
      <c r="B178" s="1993" t="s">
        <v>679</v>
      </c>
      <c r="C178" s="1777"/>
      <c r="D178" s="1777"/>
      <c r="E178" s="1777"/>
      <c r="F178" s="1777"/>
      <c r="G178" s="1777"/>
      <c r="H178" s="1778"/>
      <c r="I178" s="1989"/>
      <c r="J178" s="1990"/>
      <c r="K178" s="1990"/>
      <c r="L178" s="1990"/>
      <c r="M178" s="1990"/>
      <c r="N178" s="1990"/>
      <c r="O178" s="1990"/>
      <c r="P178" s="1990"/>
      <c r="Q178" s="1991"/>
      <c r="R178" s="2289"/>
      <c r="S178" s="1953"/>
      <c r="T178" s="1953"/>
      <c r="U178" s="1953"/>
      <c r="V178" s="1953"/>
      <c r="W178" s="1953"/>
      <c r="X178" s="1953"/>
      <c r="Y178" s="1953"/>
      <c r="Z178" s="1953"/>
      <c r="AA178" s="1953"/>
      <c r="AB178" s="1953"/>
      <c r="AC178" s="1953"/>
      <c r="AD178" s="1953"/>
      <c r="AE178" s="1953"/>
      <c r="AF178" s="1953"/>
      <c r="AG178" s="1953"/>
      <c r="AH178" s="1953"/>
      <c r="AI178" s="1953"/>
      <c r="AJ178" s="1953"/>
      <c r="AK178" s="1953"/>
      <c r="AL178" s="1953"/>
      <c r="AM178" s="1770"/>
      <c r="AN178" s="90"/>
      <c r="AQ178" s="476"/>
    </row>
    <row r="179" spans="1:47" s="122" customFormat="1" ht="18" hidden="1" customHeight="1">
      <c r="A179" s="95"/>
      <c r="B179" s="2025" t="s">
        <v>680</v>
      </c>
      <c r="C179" s="1877"/>
      <c r="D179" s="1772"/>
      <c r="E179" s="2069"/>
      <c r="F179" s="1869"/>
      <c r="G179" s="1869"/>
      <c r="H179" s="1869"/>
      <c r="I179" s="1869"/>
      <c r="J179" s="1869"/>
      <c r="K179" s="1869"/>
      <c r="L179" s="1869"/>
      <c r="M179" s="1869"/>
      <c r="N179" s="1870"/>
      <c r="O179" s="2018" t="s">
        <v>681</v>
      </c>
      <c r="P179" s="1877"/>
      <c r="Q179" s="1877"/>
      <c r="R179" s="1877"/>
      <c r="S179" s="1877"/>
      <c r="T179" s="1877"/>
      <c r="U179" s="1877"/>
      <c r="V179" s="1877"/>
      <c r="W179" s="1772"/>
      <c r="X179" s="1893"/>
      <c r="Y179" s="1861"/>
      <c r="Z179" s="1861"/>
      <c r="AA179" s="1861"/>
      <c r="AB179" s="1861"/>
      <c r="AC179" s="1861"/>
      <c r="AD179" s="1862"/>
      <c r="AE179" s="984"/>
      <c r="AF179" s="1893"/>
      <c r="AG179" s="1861"/>
      <c r="AH179" s="1861"/>
      <c r="AI179" s="1861"/>
      <c r="AJ179" s="1861"/>
      <c r="AK179" s="1861"/>
      <c r="AL179" s="1861"/>
      <c r="AM179" s="1862"/>
      <c r="AN179" s="215"/>
      <c r="AO179" s="215"/>
      <c r="AP179" s="215"/>
      <c r="AQ179" s="215"/>
      <c r="AR179" s="215"/>
      <c r="AS179" s="215"/>
    </row>
    <row r="180" spans="1:47" ht="18" customHeight="1">
      <c r="B180" s="2358" t="s">
        <v>682</v>
      </c>
      <c r="C180" s="1910"/>
      <c r="D180" s="1910"/>
      <c r="E180" s="1910"/>
      <c r="F180" s="2035"/>
      <c r="G180" s="1861"/>
      <c r="H180" s="1861"/>
      <c r="I180" s="1861"/>
      <c r="J180" s="1861"/>
      <c r="K180" s="1861"/>
      <c r="L180" s="1861"/>
      <c r="M180" s="1861"/>
      <c r="N180" s="1861"/>
      <c r="O180" s="1861"/>
      <c r="P180" s="1861"/>
      <c r="Q180" s="1861"/>
      <c r="R180" s="1861"/>
      <c r="S180" s="1861"/>
      <c r="T180" s="2036"/>
      <c r="U180" s="2124" t="s">
        <v>683</v>
      </c>
      <c r="V180" s="1777"/>
      <c r="W180" s="1777"/>
      <c r="X180" s="1778"/>
      <c r="Y180" s="1893"/>
      <c r="Z180" s="1861"/>
      <c r="AA180" s="1861"/>
      <c r="AB180" s="1861"/>
      <c r="AC180" s="1861"/>
      <c r="AD180" s="1861"/>
      <c r="AE180" s="1861"/>
      <c r="AF180" s="1861"/>
      <c r="AG180" s="1861"/>
      <c r="AH180" s="1861"/>
      <c r="AI180" s="1861"/>
      <c r="AJ180" s="1861"/>
      <c r="AK180" s="1861"/>
      <c r="AL180" s="1861"/>
      <c r="AM180" s="1862"/>
      <c r="AN180" s="15"/>
      <c r="AO180" s="136"/>
      <c r="AP180" s="136"/>
      <c r="AQ180" s="16"/>
      <c r="AR180" s="16"/>
      <c r="AS180" s="16"/>
    </row>
    <row r="181" spans="1:47" ht="18" customHeight="1">
      <c r="B181" s="2236" t="s">
        <v>684</v>
      </c>
      <c r="C181" s="1777"/>
      <c r="D181" s="1777"/>
      <c r="E181" s="1778"/>
      <c r="F181" s="1906"/>
      <c r="G181" s="1907"/>
      <c r="H181" s="1907"/>
      <c r="I181" s="1907"/>
      <c r="J181" s="1908"/>
      <c r="K181" s="2102" t="s">
        <v>685</v>
      </c>
      <c r="L181" s="1877"/>
      <c r="M181" s="1877"/>
      <c r="N181" s="1772"/>
      <c r="O181" s="2069"/>
      <c r="P181" s="1869"/>
      <c r="Q181" s="1869"/>
      <c r="R181" s="1869"/>
      <c r="S181" s="1869"/>
      <c r="T181" s="1869"/>
      <c r="U181" s="1870"/>
      <c r="V181" s="1978" t="s">
        <v>686</v>
      </c>
      <c r="W181" s="1877"/>
      <c r="X181" s="1877"/>
      <c r="Y181" s="2069"/>
      <c r="Z181" s="1869"/>
      <c r="AA181" s="1869"/>
      <c r="AB181" s="1870"/>
      <c r="AC181" s="1922" t="s">
        <v>687</v>
      </c>
      <c r="AD181" s="1777"/>
      <c r="AE181" s="1777"/>
      <c r="AF181" s="1777"/>
      <c r="AG181" s="1777"/>
      <c r="AH181" s="1777"/>
      <c r="AI181" s="2377" t="str">
        <f>IF($F$181&gt;0,VLOOKUP($F$181,Dropdowns!G1:H58,2,FALSE),"")</f>
        <v/>
      </c>
      <c r="AJ181" s="1777"/>
      <c r="AK181" s="1777"/>
      <c r="AL181" s="1777"/>
      <c r="AM181" s="1778"/>
      <c r="AN181" s="15"/>
      <c r="AO181" s="136"/>
      <c r="AP181" s="136"/>
      <c r="AQ181" s="16"/>
      <c r="AR181" s="16"/>
      <c r="AS181" s="16"/>
    </row>
    <row r="182" spans="1:47" s="95" customFormat="1" ht="66" hidden="1" customHeight="1">
      <c r="B182" s="2251" t="s">
        <v>688</v>
      </c>
      <c r="C182" s="1888"/>
      <c r="D182" s="1888"/>
      <c r="E182" s="1888"/>
      <c r="F182" s="1888"/>
      <c r="G182" s="1888"/>
      <c r="H182" s="1888"/>
      <c r="I182" s="1888"/>
      <c r="J182" s="1888"/>
      <c r="K182" s="1888"/>
      <c r="L182" s="1888"/>
      <c r="M182" s="1888"/>
      <c r="N182" s="1888"/>
      <c r="O182" s="1888"/>
      <c r="P182" s="1888"/>
      <c r="Q182" s="1888"/>
      <c r="R182" s="1888"/>
      <c r="S182" s="1888"/>
      <c r="T182" s="1888"/>
      <c r="U182" s="1888"/>
      <c r="V182" s="1888"/>
      <c r="W182" s="1888"/>
      <c r="X182" s="1888"/>
      <c r="Y182" s="1888"/>
      <c r="Z182" s="1888"/>
      <c r="AA182" s="1888"/>
      <c r="AB182" s="1888"/>
      <c r="AC182" s="1888"/>
      <c r="AD182" s="1888"/>
      <c r="AE182" s="1888"/>
      <c r="AF182" s="1888"/>
      <c r="AG182" s="1888"/>
      <c r="AH182" s="1888"/>
      <c r="AI182" s="1888"/>
      <c r="AJ182" s="1888"/>
      <c r="AK182" s="1888"/>
      <c r="AL182" s="1888"/>
      <c r="AM182" s="1889"/>
      <c r="AN182" s="171"/>
      <c r="AO182" s="171"/>
      <c r="AP182" s="171"/>
      <c r="AQ182" s="171"/>
      <c r="AR182" s="171"/>
      <c r="AS182" s="171"/>
      <c r="AU182" s="55"/>
    </row>
    <row r="183" spans="1:47" s="95" customFormat="1" ht="36" hidden="1" customHeight="1">
      <c r="B183" s="1866" t="s">
        <v>689</v>
      </c>
      <c r="C183" s="1777"/>
      <c r="D183" s="1778"/>
      <c r="E183" s="1890" t="str">
        <f>'Document Checklist-Full List'!$E$26</f>
        <v>17. Rehab Description</v>
      </c>
      <c r="F183" s="1777"/>
      <c r="G183" s="1777"/>
      <c r="H183" s="1777"/>
      <c r="I183" s="1777"/>
      <c r="J183" s="1777"/>
      <c r="K183" s="1777"/>
      <c r="L183" s="1777"/>
      <c r="M183" s="1778"/>
      <c r="N183" s="2136" t="str">
        <f>'Document Checklist-Full List'!$N$26</f>
        <v xml:space="preserve">Narrative description of current condition of structure(s) and overall scope of work. </v>
      </c>
      <c r="O183" s="1777"/>
      <c r="P183" s="1777"/>
      <c r="Q183" s="1777"/>
      <c r="R183" s="1777"/>
      <c r="S183" s="1777"/>
      <c r="T183" s="1777"/>
      <c r="U183" s="1777"/>
      <c r="V183" s="1777"/>
      <c r="W183" s="1777"/>
      <c r="X183" s="1777"/>
      <c r="Y183" s="1777"/>
      <c r="Z183" s="1777"/>
      <c r="AA183" s="1777"/>
      <c r="AB183" s="1777"/>
      <c r="AC183" s="1777"/>
      <c r="AD183" s="1777"/>
      <c r="AE183" s="1778"/>
      <c r="AF183" s="1886" t="s">
        <v>559</v>
      </c>
      <c r="AG183" s="1777"/>
      <c r="AH183" s="1777"/>
      <c r="AI183" s="1777"/>
      <c r="AJ183" s="1777"/>
      <c r="AK183" s="1778"/>
      <c r="AL183" s="1958"/>
      <c r="AM183" s="1862"/>
      <c r="AN183" s="171"/>
      <c r="AO183" s="171"/>
      <c r="AP183" s="171"/>
      <c r="AQ183" s="171"/>
      <c r="AR183" s="171"/>
      <c r="AS183" s="171"/>
      <c r="AU183" s="55"/>
    </row>
    <row r="184" spans="1:47" s="95" customFormat="1" ht="18" hidden="1" customHeight="1">
      <c r="B184" s="1887" t="s">
        <v>689</v>
      </c>
      <c r="C184" s="1888"/>
      <c r="D184" s="1889"/>
      <c r="E184" s="2290" t="str">
        <f>'Document Checklist-Full List'!$E$27</f>
        <v>18. PNA or CNA</v>
      </c>
      <c r="F184" s="1888"/>
      <c r="G184" s="1888"/>
      <c r="H184" s="1888"/>
      <c r="I184" s="1888"/>
      <c r="J184" s="1888"/>
      <c r="K184" s="1888"/>
      <c r="L184" s="1888"/>
      <c r="M184" s="1889"/>
      <c r="N184" s="2061" t="str">
        <f>'Document Checklist-Full List'!$N$27</f>
        <v>PNA or CNA prepared by a qualified independent third-party contractor.</v>
      </c>
      <c r="O184" s="1888"/>
      <c r="P184" s="1888"/>
      <c r="Q184" s="1888"/>
      <c r="R184" s="1888"/>
      <c r="S184" s="1888"/>
      <c r="T184" s="1888"/>
      <c r="U184" s="1888"/>
      <c r="V184" s="1888"/>
      <c r="W184" s="1888"/>
      <c r="X184" s="1888"/>
      <c r="Y184" s="1888"/>
      <c r="Z184" s="1888"/>
      <c r="AA184" s="1888"/>
      <c r="AB184" s="1888"/>
      <c r="AC184" s="1888"/>
      <c r="AD184" s="1888"/>
      <c r="AE184" s="1889"/>
      <c r="AF184" s="2324" t="s">
        <v>559</v>
      </c>
      <c r="AG184" s="1953"/>
      <c r="AH184" s="1953"/>
      <c r="AI184" s="1953"/>
      <c r="AJ184" s="1953"/>
      <c r="AK184" s="1770"/>
      <c r="AL184" s="2407"/>
      <c r="AM184" s="1865"/>
      <c r="AN184" s="171"/>
      <c r="AO184" s="171"/>
      <c r="AP184" s="171"/>
      <c r="AQ184" s="171"/>
      <c r="AR184" s="171"/>
      <c r="AS184" s="171"/>
      <c r="AU184" s="55"/>
    </row>
    <row r="185" spans="1:47" s="95" customFormat="1" ht="18" hidden="1" customHeight="1">
      <c r="B185" s="1866" t="s">
        <v>689</v>
      </c>
      <c r="C185" s="1777"/>
      <c r="D185" s="1778"/>
      <c r="E185" s="1890" t="str">
        <f>'Document Checklist-Full List'!$E$28</f>
        <v>19. Rent Roll</v>
      </c>
      <c r="F185" s="1777"/>
      <c r="G185" s="1777"/>
      <c r="H185" s="1777"/>
      <c r="I185" s="1777"/>
      <c r="J185" s="1777"/>
      <c r="K185" s="1777"/>
      <c r="L185" s="1777"/>
      <c r="M185" s="1778"/>
      <c r="N185" s="2136" t="str">
        <f>'Document Checklist-Full List'!$N$28</f>
        <v xml:space="preserve">Current rent roll, including household income &amp; size for each unit. </v>
      </c>
      <c r="O185" s="1777"/>
      <c r="P185" s="1777"/>
      <c r="Q185" s="1777"/>
      <c r="R185" s="1777"/>
      <c r="S185" s="1777"/>
      <c r="T185" s="1777"/>
      <c r="U185" s="1777"/>
      <c r="V185" s="1777"/>
      <c r="W185" s="1777"/>
      <c r="X185" s="1777"/>
      <c r="Y185" s="1777"/>
      <c r="Z185" s="1777"/>
      <c r="AA185" s="1777"/>
      <c r="AB185" s="1777"/>
      <c r="AC185" s="1777"/>
      <c r="AD185" s="1777"/>
      <c r="AE185" s="1778"/>
      <c r="AF185" s="1886" t="s">
        <v>559</v>
      </c>
      <c r="AG185" s="1777"/>
      <c r="AH185" s="1777"/>
      <c r="AI185" s="1777"/>
      <c r="AJ185" s="1777"/>
      <c r="AK185" s="1778"/>
      <c r="AL185" s="1958"/>
      <c r="AM185" s="1862"/>
      <c r="AN185" s="171"/>
      <c r="AO185" s="171"/>
      <c r="AP185" s="171"/>
      <c r="AQ185" s="171"/>
      <c r="AR185" s="171"/>
      <c r="AS185" s="171"/>
      <c r="AU185" s="55"/>
    </row>
    <row r="186" spans="1:47" s="122" customFormat="1" ht="96" hidden="1" customHeight="1">
      <c r="A186" s="95"/>
      <c r="B186" s="1866" t="s">
        <v>689</v>
      </c>
      <c r="C186" s="1777"/>
      <c r="D186" s="1778"/>
      <c r="E186" s="1890" t="str">
        <f>'Document Checklist-Full List'!$E$29</f>
        <v>20. Adaptive Reuse Narrative</v>
      </c>
      <c r="F186" s="1777"/>
      <c r="G186" s="1777"/>
      <c r="H186" s="1777"/>
      <c r="I186" s="1777"/>
      <c r="J186" s="1777"/>
      <c r="K186" s="1777"/>
      <c r="L186" s="1777"/>
      <c r="M186" s="1778"/>
      <c r="N186" s="2136" t="str">
        <f>'Document Checklist-Full List'!$N$29</f>
        <v>Narrative describing Project and area in which Project will be built; must confirm Project will consist of the rehab of a vacant or underused commercial or industrial building(s). Structures such as residential hotels that are currently used for housing will not be considered to be eligible in meeting the adaptive reuse criteria. Narrative must confirm Project site is located within a developed area served with public infrastructure.</v>
      </c>
      <c r="O186" s="1777"/>
      <c r="P186" s="1777"/>
      <c r="Q186" s="1777"/>
      <c r="R186" s="1777"/>
      <c r="S186" s="1777"/>
      <c r="T186" s="1777"/>
      <c r="U186" s="1777"/>
      <c r="V186" s="1777"/>
      <c r="W186" s="1777"/>
      <c r="X186" s="1777"/>
      <c r="Y186" s="1777"/>
      <c r="Z186" s="1777"/>
      <c r="AA186" s="1777"/>
      <c r="AB186" s="1777"/>
      <c r="AC186" s="1777"/>
      <c r="AD186" s="1777"/>
      <c r="AE186" s="1778"/>
      <c r="AF186" s="1886" t="s">
        <v>559</v>
      </c>
      <c r="AG186" s="1777"/>
      <c r="AH186" s="1777"/>
      <c r="AI186" s="1777"/>
      <c r="AJ186" s="1777"/>
      <c r="AK186" s="1778"/>
      <c r="AL186" s="1958"/>
      <c r="AM186" s="1862"/>
      <c r="AN186" s="215"/>
      <c r="AO186" s="215"/>
      <c r="AP186" s="215"/>
      <c r="AQ186" s="215"/>
      <c r="AR186" s="215"/>
      <c r="AS186" s="215"/>
    </row>
    <row r="187" spans="1:47" ht="18" customHeight="1" thickBot="1">
      <c r="A187" s="55"/>
      <c r="B187" s="1979" t="s">
        <v>690</v>
      </c>
      <c r="C187" s="1980"/>
      <c r="D187" s="1980"/>
      <c r="E187" s="1980"/>
      <c r="F187" s="1980"/>
      <c r="G187" s="1980"/>
      <c r="H187" s="1980"/>
      <c r="I187" s="1980"/>
      <c r="J187" s="1980"/>
      <c r="K187" s="1980"/>
      <c r="L187" s="1980"/>
      <c r="M187" s="1980"/>
      <c r="N187" s="1980"/>
      <c r="O187" s="1980"/>
      <c r="P187" s="1980"/>
      <c r="Q187" s="1980"/>
      <c r="R187" s="1980"/>
      <c r="S187" s="1980"/>
      <c r="T187" s="1981"/>
      <c r="U187" s="2010" t="s">
        <v>691</v>
      </c>
      <c r="V187" s="1980"/>
      <c r="W187" s="1980"/>
      <c r="X187" s="1980"/>
      <c r="Y187" s="1980"/>
      <c r="Z187" s="1980"/>
      <c r="AA187" s="1980"/>
      <c r="AB187" s="1980"/>
      <c r="AC187" s="1980"/>
      <c r="AD187" s="1980"/>
      <c r="AE187" s="1980"/>
      <c r="AF187" s="1980"/>
      <c r="AG187" s="1980"/>
      <c r="AH187" s="1980"/>
      <c r="AI187" s="1980"/>
      <c r="AJ187" s="1980"/>
      <c r="AK187" s="1980"/>
      <c r="AL187" s="1980"/>
      <c r="AM187" s="1981"/>
      <c r="AR187" s="476"/>
    </row>
    <row r="188" spans="1:47" ht="18" customHeight="1">
      <c r="A188" s="55"/>
      <c r="B188" s="2193"/>
      <c r="C188" s="1869"/>
      <c r="D188" s="1869"/>
      <c r="E188" s="1869"/>
      <c r="F188" s="1869"/>
      <c r="G188" s="1870"/>
      <c r="H188" s="2193"/>
      <c r="I188" s="1869"/>
      <c r="J188" s="1869"/>
      <c r="K188" s="1869"/>
      <c r="L188" s="1869"/>
      <c r="M188" s="1870"/>
      <c r="N188" s="2069"/>
      <c r="O188" s="1869"/>
      <c r="P188" s="1869"/>
      <c r="Q188" s="1869"/>
      <c r="R188" s="1869"/>
      <c r="S188" s="1869"/>
      <c r="T188" s="1870"/>
      <c r="U188" s="2344"/>
      <c r="V188" s="1869"/>
      <c r="W188" s="1869"/>
      <c r="X188" s="1869"/>
      <c r="Y188" s="1869"/>
      <c r="Z188" s="1869"/>
      <c r="AA188" s="1870"/>
      <c r="AB188" s="2069"/>
      <c r="AC188" s="1869"/>
      <c r="AD188" s="1869"/>
      <c r="AE188" s="1869"/>
      <c r="AF188" s="1869"/>
      <c r="AG188" s="1870"/>
      <c r="AH188" s="2069"/>
      <c r="AI188" s="1869"/>
      <c r="AJ188" s="1869"/>
      <c r="AK188" s="1869"/>
      <c r="AL188" s="1869"/>
      <c r="AM188" s="1870"/>
      <c r="AO188" s="57"/>
      <c r="AR188" s="476"/>
    </row>
    <row r="189" spans="1:47" ht="18" customHeight="1">
      <c r="A189" s="55"/>
      <c r="B189" s="2012"/>
      <c r="C189" s="1861"/>
      <c r="D189" s="1861"/>
      <c r="E189" s="1861"/>
      <c r="F189" s="1861"/>
      <c r="G189" s="1862"/>
      <c r="H189" s="2012"/>
      <c r="I189" s="1861"/>
      <c r="J189" s="1861"/>
      <c r="K189" s="1861"/>
      <c r="L189" s="1861"/>
      <c r="M189" s="1862"/>
      <c r="N189" s="1893"/>
      <c r="O189" s="1861"/>
      <c r="P189" s="1861"/>
      <c r="Q189" s="1861"/>
      <c r="R189" s="1861"/>
      <c r="S189" s="1861"/>
      <c r="T189" s="1862"/>
      <c r="U189" s="1892"/>
      <c r="V189" s="1861"/>
      <c r="W189" s="1861"/>
      <c r="X189" s="1861"/>
      <c r="Y189" s="1861"/>
      <c r="Z189" s="1861"/>
      <c r="AA189" s="1862"/>
      <c r="AB189" s="1893"/>
      <c r="AC189" s="1861"/>
      <c r="AD189" s="1861"/>
      <c r="AE189" s="1861"/>
      <c r="AF189" s="1861"/>
      <c r="AG189" s="1862"/>
      <c r="AH189" s="1893"/>
      <c r="AI189" s="1861"/>
      <c r="AJ189" s="1861"/>
      <c r="AK189" s="1861"/>
      <c r="AL189" s="1861"/>
      <c r="AM189" s="1862"/>
      <c r="AO189" s="57"/>
      <c r="AR189" s="476"/>
    </row>
    <row r="190" spans="1:47" ht="18" customHeight="1" thickBot="1">
      <c r="A190" s="55"/>
      <c r="B190" s="2172"/>
      <c r="C190" s="1864"/>
      <c r="D190" s="1864"/>
      <c r="E190" s="1864"/>
      <c r="F190" s="1864"/>
      <c r="G190" s="1865"/>
      <c r="H190" s="2172"/>
      <c r="I190" s="1864"/>
      <c r="J190" s="1864"/>
      <c r="K190" s="1864"/>
      <c r="L190" s="1864"/>
      <c r="M190" s="1865"/>
      <c r="N190" s="2327"/>
      <c r="O190" s="1864"/>
      <c r="P190" s="1864"/>
      <c r="Q190" s="1864"/>
      <c r="R190" s="1864"/>
      <c r="S190" s="1864"/>
      <c r="T190" s="1865"/>
      <c r="U190" s="2332"/>
      <c r="V190" s="1864"/>
      <c r="W190" s="1864"/>
      <c r="X190" s="1864"/>
      <c r="Y190" s="1864"/>
      <c r="Z190" s="1864"/>
      <c r="AA190" s="1865"/>
      <c r="AB190" s="2327"/>
      <c r="AC190" s="1864"/>
      <c r="AD190" s="1864"/>
      <c r="AE190" s="1864"/>
      <c r="AF190" s="1864"/>
      <c r="AG190" s="1865"/>
      <c r="AH190" s="1893"/>
      <c r="AI190" s="1861"/>
      <c r="AJ190" s="1861"/>
      <c r="AK190" s="1861"/>
      <c r="AL190" s="1861"/>
      <c r="AM190" s="1862"/>
      <c r="AO190" s="57"/>
      <c r="AR190" s="476"/>
    </row>
    <row r="191" spans="1:47" ht="18" customHeight="1" thickBot="1">
      <c r="A191" s="55"/>
      <c r="B191" s="2296" t="s">
        <v>692</v>
      </c>
      <c r="C191" s="2297"/>
      <c r="D191" s="2297"/>
      <c r="E191" s="2297"/>
      <c r="F191" s="2297"/>
      <c r="G191" s="2297"/>
      <c r="H191" s="2297"/>
      <c r="I191" s="2297"/>
      <c r="J191" s="2297"/>
      <c r="K191" s="2297"/>
      <c r="L191" s="2297"/>
      <c r="M191" s="2297"/>
      <c r="N191" s="2297"/>
      <c r="O191" s="2297"/>
      <c r="P191" s="2297"/>
      <c r="Q191" s="2297"/>
      <c r="R191" s="2297"/>
      <c r="S191" s="2297"/>
      <c r="T191" s="2297"/>
      <c r="U191" s="2297"/>
      <c r="V191" s="2297"/>
      <c r="W191" s="2297"/>
      <c r="X191" s="2297"/>
      <c r="Y191" s="2297"/>
      <c r="Z191" s="2297"/>
      <c r="AA191" s="2297"/>
      <c r="AB191" s="2297"/>
      <c r="AC191" s="2297"/>
      <c r="AD191" s="2297"/>
      <c r="AE191" s="2297"/>
      <c r="AF191" s="2297"/>
      <c r="AG191" s="2297"/>
      <c r="AH191" s="2297"/>
      <c r="AI191" s="2297"/>
      <c r="AJ191" s="2297"/>
      <c r="AK191" s="2298"/>
      <c r="AL191" s="2177"/>
      <c r="AM191" s="1862"/>
      <c r="AN191" s="2177"/>
      <c r="AO191" s="1862"/>
      <c r="AP191" s="2177"/>
      <c r="AQ191" s="1862"/>
      <c r="AR191" s="476"/>
      <c r="AS191" s="55" t="s">
        <v>693</v>
      </c>
    </row>
    <row r="192" spans="1:47" ht="18" hidden="1" customHeight="1">
      <c r="A192" s="55"/>
      <c r="B192" s="2026" t="s">
        <v>694</v>
      </c>
      <c r="C192" s="1910"/>
      <c r="D192" s="1910"/>
      <c r="E192" s="1910"/>
      <c r="F192" s="1910"/>
      <c r="G192" s="1910"/>
      <c r="H192" s="1910"/>
      <c r="I192" s="1910"/>
      <c r="J192" s="1910"/>
      <c r="K192" s="1910"/>
      <c r="L192" s="1910"/>
      <c r="M192" s="1910"/>
      <c r="N192" s="1910"/>
      <c r="O192" s="1910"/>
      <c r="P192" s="1910"/>
      <c r="Q192" s="1910"/>
      <c r="R192" s="1910"/>
      <c r="S192" s="1910"/>
      <c r="T192" s="1910"/>
      <c r="U192" s="1910"/>
      <c r="V192" s="1910"/>
      <c r="W192" s="1910"/>
      <c r="X192" s="1910"/>
      <c r="Y192" s="1910"/>
      <c r="Z192" s="1910"/>
      <c r="AA192" s="1910"/>
      <c r="AB192" s="1910"/>
      <c r="AC192" s="1910"/>
      <c r="AD192" s="1910"/>
      <c r="AE192" s="1910"/>
      <c r="AF192" s="1910"/>
      <c r="AG192" s="1910"/>
      <c r="AH192" s="1910"/>
      <c r="AI192" s="1910"/>
      <c r="AJ192" s="1910"/>
      <c r="AK192" s="1910"/>
      <c r="AL192" s="1910"/>
      <c r="AM192" s="1889"/>
      <c r="AO192" s="57"/>
      <c r="AR192" s="476"/>
    </row>
    <row r="193" spans="1:45" ht="36" hidden="1" customHeight="1">
      <c r="A193" s="55"/>
      <c r="B193" s="1899"/>
      <c r="C193" s="1861"/>
      <c r="D193" s="1861"/>
      <c r="E193" s="1861"/>
      <c r="F193" s="1861"/>
      <c r="G193" s="1861"/>
      <c r="H193" s="1861"/>
      <c r="I193" s="1861"/>
      <c r="J193" s="1861"/>
      <c r="K193" s="1861"/>
      <c r="L193" s="1861"/>
      <c r="M193" s="1862"/>
      <c r="N193" s="985"/>
      <c r="O193" s="1899"/>
      <c r="P193" s="1861"/>
      <c r="Q193" s="1861"/>
      <c r="R193" s="1861"/>
      <c r="S193" s="1861"/>
      <c r="T193" s="1861"/>
      <c r="U193" s="1861"/>
      <c r="V193" s="1861"/>
      <c r="W193" s="1861"/>
      <c r="X193" s="1861"/>
      <c r="Y193" s="1861"/>
      <c r="Z193" s="1862"/>
      <c r="AA193" s="985"/>
      <c r="AB193" s="1899"/>
      <c r="AC193" s="1861"/>
      <c r="AD193" s="1861"/>
      <c r="AE193" s="1861"/>
      <c r="AF193" s="1861"/>
      <c r="AG193" s="1861"/>
      <c r="AH193" s="1861"/>
      <c r="AI193" s="1861"/>
      <c r="AJ193" s="1861"/>
      <c r="AK193" s="1861"/>
      <c r="AL193" s="1861"/>
      <c r="AM193" s="1862"/>
      <c r="AR193" s="476"/>
    </row>
    <row r="194" spans="1:45" s="122" customFormat="1" ht="3" hidden="1" customHeight="1">
      <c r="A194" s="95"/>
      <c r="B194" s="1884"/>
      <c r="C194" s="1777"/>
      <c r="D194" s="1777"/>
      <c r="E194" s="1777"/>
      <c r="F194" s="1777"/>
      <c r="G194" s="1777"/>
      <c r="H194" s="1777"/>
      <c r="I194" s="1777"/>
      <c r="J194" s="1777"/>
      <c r="K194" s="1777"/>
      <c r="L194" s="1777"/>
      <c r="M194" s="1777"/>
      <c r="N194" s="1777"/>
      <c r="O194" s="1777"/>
      <c r="P194" s="1777"/>
      <c r="Q194" s="1777"/>
      <c r="R194" s="1777"/>
      <c r="S194" s="1777"/>
      <c r="T194" s="1777"/>
      <c r="U194" s="1777"/>
      <c r="V194" s="1777"/>
      <c r="W194" s="1777"/>
      <c r="X194" s="1777"/>
      <c r="Y194" s="1777"/>
      <c r="Z194" s="1777"/>
      <c r="AA194" s="1777"/>
      <c r="AB194" s="1777"/>
      <c r="AC194" s="1777"/>
      <c r="AD194" s="1777"/>
      <c r="AE194" s="1777"/>
      <c r="AF194" s="1777"/>
      <c r="AG194" s="1777"/>
      <c r="AH194" s="1777"/>
      <c r="AI194" s="1777"/>
      <c r="AJ194" s="1777"/>
      <c r="AK194" s="1777"/>
      <c r="AL194" s="1777"/>
      <c r="AM194" s="1778"/>
      <c r="AN194" s="171"/>
      <c r="AO194" s="215"/>
      <c r="AP194" s="215"/>
      <c r="AQ194" s="215"/>
      <c r="AR194" s="215"/>
      <c r="AS194" s="215"/>
    </row>
    <row r="195" spans="1:45" ht="36" hidden="1" customHeight="1">
      <c r="A195" s="55"/>
      <c r="B195" s="2322" t="s">
        <v>695</v>
      </c>
      <c r="C195" s="1777"/>
      <c r="D195" s="1777"/>
      <c r="E195" s="1777"/>
      <c r="F195" s="1777"/>
      <c r="G195" s="1777"/>
      <c r="H195" s="1777"/>
      <c r="I195" s="1777"/>
      <c r="J195" s="1777"/>
      <c r="K195" s="1777"/>
      <c r="L195" s="1777"/>
      <c r="M195" s="1777"/>
      <c r="N195" s="1778"/>
      <c r="O195" s="986"/>
      <c r="P195" s="2328"/>
      <c r="Q195" s="1778"/>
      <c r="R195" s="2318" t="s">
        <v>696</v>
      </c>
      <c r="S195" s="1777"/>
      <c r="T195" s="1777"/>
      <c r="U195" s="1777"/>
      <c r="V195" s="1778"/>
      <c r="W195" s="2318" t="s">
        <v>697</v>
      </c>
      <c r="X195" s="1777"/>
      <c r="Y195" s="1777"/>
      <c r="Z195" s="1778"/>
      <c r="AA195" s="2345" t="s">
        <v>698</v>
      </c>
      <c r="AB195" s="1777"/>
      <c r="AC195" s="1778"/>
      <c r="AD195" s="2310" t="s">
        <v>699</v>
      </c>
      <c r="AE195" s="1777"/>
      <c r="AF195" s="1777"/>
      <c r="AG195" s="1777"/>
      <c r="AH195" s="1777"/>
      <c r="AI195" s="1778"/>
      <c r="AJ195" s="2328" t="s">
        <v>700</v>
      </c>
      <c r="AK195" s="1777"/>
      <c r="AL195" s="1777"/>
      <c r="AM195" s="1778"/>
      <c r="AR195" s="476"/>
    </row>
    <row r="196" spans="1:45" ht="33" hidden="1" customHeight="1">
      <c r="B196" s="1899"/>
      <c r="C196" s="1900"/>
      <c r="D196" s="1900"/>
      <c r="E196" s="1900"/>
      <c r="F196" s="1900"/>
      <c r="G196" s="1900"/>
      <c r="H196" s="1900"/>
      <c r="I196" s="1900"/>
      <c r="J196" s="1900"/>
      <c r="K196" s="1900"/>
      <c r="L196" s="1900"/>
      <c r="M196" s="1900"/>
      <c r="N196" s="1901"/>
      <c r="O196" s="1638"/>
      <c r="P196" s="2002"/>
      <c r="Q196" s="1778"/>
      <c r="R196" s="1863"/>
      <c r="S196" s="1864"/>
      <c r="T196" s="1864"/>
      <c r="U196" s="1864"/>
      <c r="V196" s="1865"/>
      <c r="W196" s="1898"/>
      <c r="X196" s="1861"/>
      <c r="Y196" s="1861"/>
      <c r="Z196" s="1862"/>
      <c r="AA196" s="1898"/>
      <c r="AB196" s="1861"/>
      <c r="AC196" s="1862"/>
      <c r="AD196" s="2032"/>
      <c r="AE196" s="1861"/>
      <c r="AF196" s="1861"/>
      <c r="AG196" s="1861"/>
      <c r="AH196" s="1861"/>
      <c r="AI196" s="1862"/>
      <c r="AJ196" s="2032"/>
      <c r="AK196" s="1861"/>
      <c r="AL196" s="1861"/>
      <c r="AM196" s="1862"/>
      <c r="AR196" s="476"/>
    </row>
    <row r="197" spans="1:45" ht="33" hidden="1" customHeight="1">
      <c r="B197" s="1899"/>
      <c r="C197" s="1900"/>
      <c r="D197" s="1900"/>
      <c r="E197" s="1900"/>
      <c r="F197" s="1900"/>
      <c r="G197" s="1900"/>
      <c r="H197" s="1900"/>
      <c r="I197" s="1900"/>
      <c r="J197" s="1900"/>
      <c r="K197" s="1900"/>
      <c r="L197" s="1900"/>
      <c r="M197" s="1900"/>
      <c r="N197" s="1901"/>
      <c r="O197" s="1638"/>
      <c r="P197" s="2002"/>
      <c r="Q197" s="1778"/>
      <c r="R197" s="1863"/>
      <c r="S197" s="1864"/>
      <c r="T197" s="1864"/>
      <c r="U197" s="1864"/>
      <c r="V197" s="1865"/>
      <c r="W197" s="1898"/>
      <c r="X197" s="1861"/>
      <c r="Y197" s="1861"/>
      <c r="Z197" s="1862"/>
      <c r="AA197" s="1898"/>
      <c r="AB197" s="1861"/>
      <c r="AC197" s="1862"/>
      <c r="AD197" s="2032"/>
      <c r="AE197" s="1861"/>
      <c r="AF197" s="1861"/>
      <c r="AG197" s="1861"/>
      <c r="AH197" s="1861"/>
      <c r="AI197" s="1862"/>
      <c r="AJ197" s="2032"/>
      <c r="AK197" s="1861"/>
      <c r="AL197" s="1861"/>
      <c r="AM197" s="1862"/>
      <c r="AR197" s="476"/>
    </row>
    <row r="198" spans="1:45" ht="33" hidden="1" customHeight="1">
      <c r="B198" s="1899"/>
      <c r="C198" s="1900"/>
      <c r="D198" s="1900"/>
      <c r="E198" s="1900"/>
      <c r="F198" s="1900"/>
      <c r="G198" s="1900"/>
      <c r="H198" s="1900"/>
      <c r="I198" s="1900"/>
      <c r="J198" s="1900"/>
      <c r="K198" s="1900"/>
      <c r="L198" s="1900"/>
      <c r="M198" s="1900"/>
      <c r="N198" s="1901"/>
      <c r="O198" s="1638"/>
      <c r="P198" s="2002"/>
      <c r="Q198" s="1778"/>
      <c r="R198" s="1898"/>
      <c r="S198" s="1861"/>
      <c r="T198" s="1861"/>
      <c r="U198" s="1861"/>
      <c r="V198" s="1862"/>
      <c r="W198" s="1898"/>
      <c r="X198" s="1861"/>
      <c r="Y198" s="1861"/>
      <c r="Z198" s="1862"/>
      <c r="AA198" s="1898"/>
      <c r="AB198" s="1861"/>
      <c r="AC198" s="1862"/>
      <c r="AD198" s="2032"/>
      <c r="AE198" s="1861"/>
      <c r="AF198" s="1861"/>
      <c r="AG198" s="1861"/>
      <c r="AH198" s="1861"/>
      <c r="AI198" s="1862"/>
      <c r="AJ198" s="2032"/>
      <c r="AK198" s="1861"/>
      <c r="AL198" s="1861"/>
      <c r="AM198" s="1862"/>
      <c r="AR198" s="476"/>
    </row>
    <row r="199" spans="1:45" s="95" customFormat="1" ht="33" hidden="1" customHeight="1">
      <c r="B199" s="1899"/>
      <c r="C199" s="1900"/>
      <c r="D199" s="1900"/>
      <c r="E199" s="1900"/>
      <c r="F199" s="1900"/>
      <c r="G199" s="1900"/>
      <c r="H199" s="1900"/>
      <c r="I199" s="1900"/>
      <c r="J199" s="1900"/>
      <c r="K199" s="1900"/>
      <c r="L199" s="1900"/>
      <c r="M199" s="1900"/>
      <c r="N199" s="1901"/>
      <c r="O199" s="1638"/>
      <c r="P199" s="2002"/>
      <c r="Q199" s="1778"/>
      <c r="R199" s="1898"/>
      <c r="S199" s="1861"/>
      <c r="T199" s="1861"/>
      <c r="U199" s="1861"/>
      <c r="V199" s="1862"/>
      <c r="W199" s="1898"/>
      <c r="X199" s="1861"/>
      <c r="Y199" s="1861"/>
      <c r="Z199" s="1862"/>
      <c r="AA199" s="1898"/>
      <c r="AB199" s="1861"/>
      <c r="AC199" s="1862"/>
      <c r="AD199" s="2032"/>
      <c r="AE199" s="1861"/>
      <c r="AF199" s="1861"/>
      <c r="AG199" s="1861"/>
      <c r="AH199" s="1861"/>
      <c r="AI199" s="1862"/>
      <c r="AJ199" s="2032"/>
      <c r="AK199" s="1861"/>
      <c r="AL199" s="1861"/>
      <c r="AM199" s="1862"/>
    </row>
    <row r="200" spans="1:45" s="95" customFormat="1" ht="33" hidden="1" customHeight="1">
      <c r="B200" s="1899"/>
      <c r="C200" s="1900"/>
      <c r="D200" s="1900"/>
      <c r="E200" s="1900"/>
      <c r="F200" s="1900"/>
      <c r="G200" s="1900"/>
      <c r="H200" s="1900"/>
      <c r="I200" s="1900"/>
      <c r="J200" s="1900"/>
      <c r="K200" s="1900"/>
      <c r="L200" s="1900"/>
      <c r="M200" s="1900"/>
      <c r="N200" s="1901"/>
      <c r="O200" s="1638"/>
      <c r="P200" s="2002"/>
      <c r="Q200" s="1778"/>
      <c r="R200" s="1898"/>
      <c r="S200" s="1861"/>
      <c r="T200" s="1861"/>
      <c r="U200" s="1861"/>
      <c r="V200" s="1862"/>
      <c r="W200" s="1898"/>
      <c r="X200" s="1861"/>
      <c r="Y200" s="1861"/>
      <c r="Z200" s="1862"/>
      <c r="AA200" s="1898"/>
      <c r="AB200" s="1861"/>
      <c r="AC200" s="1862"/>
      <c r="AD200" s="2032"/>
      <c r="AE200" s="1861"/>
      <c r="AF200" s="1861"/>
      <c r="AG200" s="1861"/>
      <c r="AH200" s="1861"/>
      <c r="AI200" s="1862"/>
      <c r="AJ200" s="2032"/>
      <c r="AK200" s="1861"/>
      <c r="AL200" s="1861"/>
      <c r="AM200" s="1862"/>
    </row>
    <row r="201" spans="1:45" s="95" customFormat="1" ht="33" hidden="1" customHeight="1">
      <c r="B201" s="1899"/>
      <c r="C201" s="1900"/>
      <c r="D201" s="1900"/>
      <c r="E201" s="1900"/>
      <c r="F201" s="1900"/>
      <c r="G201" s="1900"/>
      <c r="H201" s="1900"/>
      <c r="I201" s="1900"/>
      <c r="J201" s="1900"/>
      <c r="K201" s="1900"/>
      <c r="L201" s="1900"/>
      <c r="M201" s="1900"/>
      <c r="N201" s="1901"/>
      <c r="O201" s="1638"/>
      <c r="P201" s="2053"/>
      <c r="Q201" s="2054"/>
      <c r="R201" s="1898"/>
      <c r="S201" s="1861"/>
      <c r="T201" s="1861"/>
      <c r="U201" s="1861"/>
      <c r="V201" s="1862"/>
      <c r="W201" s="1898"/>
      <c r="X201" s="1861"/>
      <c r="Y201" s="1861"/>
      <c r="Z201" s="1862"/>
      <c r="AA201" s="1898"/>
      <c r="AB201" s="1861"/>
      <c r="AC201" s="1862"/>
      <c r="AD201" s="2032"/>
      <c r="AE201" s="1861"/>
      <c r="AF201" s="1861"/>
      <c r="AG201" s="1861"/>
      <c r="AH201" s="1861"/>
      <c r="AI201" s="1862"/>
      <c r="AJ201" s="2032"/>
      <c r="AK201" s="1861"/>
      <c r="AL201" s="1861"/>
      <c r="AM201" s="1862"/>
    </row>
    <row r="202" spans="1:45" s="95" customFormat="1" ht="33" hidden="1" customHeight="1">
      <c r="B202" s="1899"/>
      <c r="C202" s="1900"/>
      <c r="D202" s="1900"/>
      <c r="E202" s="1900"/>
      <c r="F202" s="1900"/>
      <c r="G202" s="1900"/>
      <c r="H202" s="1900"/>
      <c r="I202" s="1900"/>
      <c r="J202" s="1900"/>
      <c r="K202" s="1900"/>
      <c r="L202" s="1900"/>
      <c r="M202" s="1900"/>
      <c r="N202" s="1901"/>
      <c r="O202" s="1638"/>
      <c r="P202" s="2002"/>
      <c r="Q202" s="1778"/>
      <c r="R202" s="1898"/>
      <c r="S202" s="1861"/>
      <c r="T202" s="1861"/>
      <c r="U202" s="1861"/>
      <c r="V202" s="1862"/>
      <c r="W202" s="1898"/>
      <c r="X202" s="1861"/>
      <c r="Y202" s="1861"/>
      <c r="Z202" s="1862"/>
      <c r="AA202" s="1898"/>
      <c r="AB202" s="1861"/>
      <c r="AC202" s="1862"/>
      <c r="AD202" s="2032"/>
      <c r="AE202" s="1861"/>
      <c r="AF202" s="1861"/>
      <c r="AG202" s="1861"/>
      <c r="AH202" s="1861"/>
      <c r="AI202" s="1862"/>
      <c r="AJ202" s="2032"/>
      <c r="AK202" s="1861"/>
      <c r="AL202" s="1861"/>
      <c r="AM202" s="1862"/>
    </row>
    <row r="203" spans="1:45" s="95" customFormat="1" ht="33" hidden="1" customHeight="1">
      <c r="B203" s="1899"/>
      <c r="C203" s="1900"/>
      <c r="D203" s="1900"/>
      <c r="E203" s="1900"/>
      <c r="F203" s="1900"/>
      <c r="G203" s="1900"/>
      <c r="H203" s="1900"/>
      <c r="I203" s="1900"/>
      <c r="J203" s="1900"/>
      <c r="K203" s="1900"/>
      <c r="L203" s="1900"/>
      <c r="M203" s="1900"/>
      <c r="N203" s="1901"/>
      <c r="O203" s="1631"/>
      <c r="P203" s="1883"/>
      <c r="Q203" s="1770"/>
      <c r="R203" s="1863"/>
      <c r="S203" s="1864"/>
      <c r="T203" s="1864"/>
      <c r="U203" s="1864"/>
      <c r="V203" s="1865"/>
      <c r="W203" s="1863"/>
      <c r="X203" s="1864"/>
      <c r="Y203" s="1864"/>
      <c r="Z203" s="1865"/>
      <c r="AA203" s="1863"/>
      <c r="AB203" s="1864"/>
      <c r="AC203" s="1865"/>
      <c r="AD203" s="2348"/>
      <c r="AE203" s="1864"/>
      <c r="AF203" s="1864"/>
      <c r="AG203" s="1864"/>
      <c r="AH203" s="1864"/>
      <c r="AI203" s="1865"/>
      <c r="AJ203" s="2348"/>
      <c r="AK203" s="1864"/>
      <c r="AL203" s="1864"/>
      <c r="AM203" s="1865"/>
    </row>
    <row r="204" spans="1:45" ht="31.5" customHeight="1">
      <c r="B204" s="2147" t="s">
        <v>673</v>
      </c>
      <c r="C204" s="1777"/>
      <c r="D204" s="1777"/>
      <c r="E204" s="1777"/>
      <c r="F204" s="1777"/>
      <c r="G204" s="1777"/>
      <c r="H204" s="1777"/>
      <c r="I204" s="1777"/>
      <c r="J204" s="1777"/>
      <c r="K204" s="1777"/>
      <c r="L204" s="1777"/>
      <c r="M204" s="1777"/>
      <c r="N204" s="1777"/>
      <c r="O204" s="1777"/>
      <c r="P204" s="1777"/>
      <c r="Q204" s="1777"/>
      <c r="R204" s="1777"/>
      <c r="S204" s="1777"/>
      <c r="T204" s="1777"/>
      <c r="U204" s="1777"/>
      <c r="V204" s="1777"/>
      <c r="W204" s="1777"/>
      <c r="X204" s="1777"/>
      <c r="Y204" s="1777"/>
      <c r="Z204" s="1777"/>
      <c r="AA204" s="1777"/>
      <c r="AB204" s="1777"/>
      <c r="AC204" s="1777"/>
      <c r="AD204" s="1777"/>
      <c r="AE204" s="1777"/>
      <c r="AF204" s="1777"/>
      <c r="AG204" s="1777"/>
      <c r="AH204" s="1777"/>
      <c r="AI204" s="1777"/>
      <c r="AJ204" s="1777"/>
      <c r="AK204" s="1777"/>
      <c r="AL204" s="1777"/>
      <c r="AM204" s="1777"/>
      <c r="AR204" s="476"/>
    </row>
    <row r="205" spans="1:45" s="95" customFormat="1" ht="119.25" customHeight="1">
      <c r="B205" s="1874"/>
      <c r="C205" s="1869"/>
      <c r="D205" s="1869"/>
      <c r="E205" s="1869"/>
      <c r="F205" s="1869"/>
      <c r="G205" s="1869"/>
      <c r="H205" s="1869"/>
      <c r="I205" s="1869"/>
      <c r="J205" s="1869"/>
      <c r="K205" s="1869"/>
      <c r="L205" s="1869"/>
      <c r="M205" s="1869"/>
      <c r="N205" s="1869"/>
      <c r="O205" s="1869"/>
      <c r="P205" s="1869"/>
      <c r="Q205" s="1869"/>
      <c r="R205" s="1869"/>
      <c r="S205" s="1869"/>
      <c r="T205" s="1869"/>
      <c r="U205" s="1869"/>
      <c r="V205" s="1869"/>
      <c r="W205" s="1869"/>
      <c r="X205" s="1869"/>
      <c r="Y205" s="1869"/>
      <c r="Z205" s="1869"/>
      <c r="AA205" s="1869"/>
      <c r="AB205" s="1869"/>
      <c r="AC205" s="1869"/>
      <c r="AD205" s="1869"/>
      <c r="AE205" s="1869"/>
      <c r="AF205" s="1869"/>
      <c r="AG205" s="1869"/>
      <c r="AH205" s="1869"/>
      <c r="AI205" s="1869"/>
      <c r="AJ205" s="1869"/>
      <c r="AK205" s="1869"/>
      <c r="AL205" s="1869"/>
      <c r="AM205" s="1870"/>
    </row>
    <row r="206" spans="1:45" s="95" customFormat="1" ht="18" customHeight="1"/>
    <row r="207" spans="1:45" ht="21.75" customHeight="1">
      <c r="B207" s="2137" t="s">
        <v>701</v>
      </c>
      <c r="C207" s="1777"/>
      <c r="D207" s="1777"/>
      <c r="E207" s="1777"/>
      <c r="F207" s="1777"/>
      <c r="G207" s="1778"/>
      <c r="H207" s="2259"/>
      <c r="I207" s="1862"/>
      <c r="J207" s="978"/>
      <c r="K207" s="978"/>
      <c r="L207" s="978"/>
      <c r="M207" s="2107" t="s">
        <v>702</v>
      </c>
      <c r="N207" s="2107"/>
      <c r="O207" s="2107"/>
      <c r="P207" s="2107"/>
      <c r="Q207" s="2107"/>
      <c r="R207" s="2107"/>
      <c r="S207" s="2107"/>
      <c r="T207" s="2107"/>
      <c r="U207" s="2107"/>
      <c r="V207" s="2107"/>
      <c r="W207" s="2107"/>
      <c r="X207" s="2107"/>
      <c r="Y207" s="2107"/>
      <c r="Z207" s="2107"/>
      <c r="AA207" s="2107"/>
      <c r="AB207" s="2107"/>
      <c r="AC207" s="2107"/>
      <c r="AD207" s="2107"/>
      <c r="AE207" s="2107"/>
      <c r="AF207" s="2107"/>
      <c r="AG207" s="2108"/>
      <c r="AH207" s="2351"/>
      <c r="AI207" s="2352"/>
      <c r="AJ207" s="2352"/>
      <c r="AK207" s="2352"/>
      <c r="AL207" s="2352"/>
      <c r="AM207" s="2353"/>
      <c r="AN207" s="1672"/>
      <c r="AR207" s="476"/>
    </row>
    <row r="208" spans="1:45" ht="18" customHeight="1">
      <c r="B208" s="2033" t="s">
        <v>92</v>
      </c>
      <c r="C208" s="1910"/>
      <c r="D208" s="1910"/>
      <c r="E208" s="2347"/>
      <c r="F208" s="1870"/>
      <c r="G208" s="2195" t="s">
        <v>703</v>
      </c>
      <c r="H208" s="1910"/>
      <c r="I208" s="1910"/>
      <c r="J208" s="1910"/>
      <c r="K208" s="1910"/>
      <c r="L208" s="1910"/>
      <c r="M208" s="1910"/>
      <c r="N208" s="1910"/>
      <c r="O208" s="1910"/>
      <c r="P208" s="1910"/>
      <c r="Q208" s="1910"/>
      <c r="R208" s="1910"/>
      <c r="S208" s="1910"/>
      <c r="T208" s="2350"/>
      <c r="U208" s="1861"/>
      <c r="V208" s="1861"/>
      <c r="W208" s="1862"/>
      <c r="X208" s="2039" t="s">
        <v>704</v>
      </c>
      <c r="Y208" s="1777"/>
      <c r="Z208" s="1777"/>
      <c r="AA208" s="1777"/>
      <c r="AB208" s="1777"/>
      <c r="AC208" s="1777"/>
      <c r="AD208" s="1777"/>
      <c r="AE208" s="1778"/>
      <c r="AF208" s="2058"/>
      <c r="AG208" s="1861"/>
      <c r="AH208" s="1870"/>
      <c r="AI208" s="2309"/>
      <c r="AJ208" s="1910"/>
      <c r="AK208" s="1910"/>
      <c r="AL208" s="1910"/>
      <c r="AM208" s="1889"/>
      <c r="AN208" s="1672"/>
      <c r="AR208" s="476"/>
    </row>
    <row r="209" spans="1:62" ht="18" hidden="1" customHeight="1">
      <c r="B209" s="2033" t="s">
        <v>705</v>
      </c>
      <c r="C209" s="1910"/>
      <c r="D209" s="1910"/>
      <c r="E209" s="2090"/>
      <c r="F209" s="1862"/>
      <c r="G209" s="2195" t="s">
        <v>703</v>
      </c>
      <c r="H209" s="1910"/>
      <c r="I209" s="1910"/>
      <c r="J209" s="1910"/>
      <c r="K209" s="1910"/>
      <c r="L209" s="1910"/>
      <c r="M209" s="1910"/>
      <c r="N209" s="1910"/>
      <c r="O209" s="1910"/>
      <c r="P209" s="1910"/>
      <c r="Q209" s="1910"/>
      <c r="R209" s="1910"/>
      <c r="S209" s="1910"/>
      <c r="T209" s="2350"/>
      <c r="U209" s="1861"/>
      <c r="V209" s="1861"/>
      <c r="W209" s="1862"/>
      <c r="X209" s="2039" t="s">
        <v>704</v>
      </c>
      <c r="Y209" s="1777"/>
      <c r="Z209" s="1777"/>
      <c r="AA209" s="1777"/>
      <c r="AB209" s="1777"/>
      <c r="AC209" s="1777"/>
      <c r="AD209" s="1777"/>
      <c r="AE209" s="1778"/>
      <c r="AF209" s="2058"/>
      <c r="AG209" s="1861"/>
      <c r="AH209" s="1862"/>
      <c r="AI209" s="1910"/>
      <c r="AJ209" s="1910"/>
      <c r="AK209" s="1910"/>
      <c r="AL209" s="1910"/>
      <c r="AM209" s="1889"/>
      <c r="AN209" s="1672"/>
      <c r="AR209" s="476"/>
    </row>
    <row r="210" spans="1:62" ht="25.5" customHeight="1">
      <c r="A210" s="1753"/>
      <c r="B210" s="2236" t="str">
        <f>IF(Taxcredit=4%,"Timeframe for applying for 4%Tax Credits",IF(Taxcredit=9%,"Timeframe for applying for 9%Tax Credits",""))</f>
        <v/>
      </c>
      <c r="C210" s="1777"/>
      <c r="D210" s="1777"/>
      <c r="E210" s="1777"/>
      <c r="F210" s="1777"/>
      <c r="G210" s="1777"/>
      <c r="H210" s="1777"/>
      <c r="I210" s="1777"/>
      <c r="J210" s="1777"/>
      <c r="K210" s="1777"/>
      <c r="L210" s="1778"/>
      <c r="M210" s="2039" t="s">
        <v>706</v>
      </c>
      <c r="N210" s="1777"/>
      <c r="O210" s="1777"/>
      <c r="P210" s="1777"/>
      <c r="Q210" s="1778"/>
      <c r="R210" s="2301" t="s">
        <v>707</v>
      </c>
      <c r="S210" s="1777"/>
      <c r="T210" s="1777"/>
      <c r="U210" s="1778"/>
      <c r="V210" s="2039" t="s">
        <v>708</v>
      </c>
      <c r="W210" s="1777"/>
      <c r="X210" s="1777"/>
      <c r="Y210" s="1777"/>
      <c r="Z210" s="1778"/>
      <c r="AA210" s="1902">
        <v>2026</v>
      </c>
      <c r="AB210" s="1778"/>
      <c r="AC210" s="2376" t="s">
        <v>709</v>
      </c>
      <c r="AD210" s="1777"/>
      <c r="AE210" s="1777"/>
      <c r="AF210" s="1777"/>
      <c r="AG210" s="1777"/>
      <c r="AH210" s="1777"/>
      <c r="AI210" s="1777"/>
      <c r="AJ210" s="1778"/>
      <c r="AK210" s="2321"/>
      <c r="AL210" s="1861"/>
      <c r="AM210" s="1862"/>
      <c r="AN210" s="1672"/>
      <c r="AR210" s="476"/>
    </row>
    <row r="211" spans="1:62" s="732" customFormat="1" ht="34.5" hidden="1" customHeight="1">
      <c r="A211" s="95"/>
      <c r="B211" s="1866" t="s">
        <v>689</v>
      </c>
      <c r="C211" s="1777"/>
      <c r="D211" s="1778"/>
      <c r="E211" s="1890" t="str">
        <f>'Document Checklist-Full List'!$E$30</f>
        <v>4. Tax Credit Reservation</v>
      </c>
      <c r="F211" s="1777"/>
      <c r="G211" s="1777"/>
      <c r="H211" s="1777"/>
      <c r="I211" s="1777"/>
      <c r="J211" s="1777"/>
      <c r="K211" s="1777"/>
      <c r="L211" s="1778"/>
      <c r="M211" s="1885" t="str">
        <f>'Document Checklist-Full List'!$N$30</f>
        <v>If the Project has already received a tax credit reservation, upload documentation.</v>
      </c>
      <c r="N211" s="1777"/>
      <c r="O211" s="1777"/>
      <c r="P211" s="1777"/>
      <c r="Q211" s="1777"/>
      <c r="R211" s="1777"/>
      <c r="S211" s="1777"/>
      <c r="T211" s="1777"/>
      <c r="U211" s="1777"/>
      <c r="V211" s="1777"/>
      <c r="W211" s="1777"/>
      <c r="X211" s="1777"/>
      <c r="Y211" s="1777"/>
      <c r="Z211" s="1777"/>
      <c r="AA211" s="1777"/>
      <c r="AB211" s="1777"/>
      <c r="AC211" s="1777"/>
      <c r="AD211" s="1777"/>
      <c r="AE211" s="1778"/>
      <c r="AF211" s="1886" t="s">
        <v>559</v>
      </c>
      <c r="AG211" s="1777"/>
      <c r="AH211" s="1777"/>
      <c r="AI211" s="1777"/>
      <c r="AJ211" s="1777"/>
      <c r="AK211" s="1778"/>
      <c r="AL211" s="1946"/>
      <c r="AM211" s="1947"/>
      <c r="AN211" s="1619"/>
      <c r="AO211" s="1620"/>
      <c r="AP211" s="215"/>
      <c r="AQ211" s="215"/>
      <c r="AR211" s="957"/>
      <c r="AS211" s="171"/>
      <c r="AT211" s="122"/>
      <c r="AU211" s="122"/>
      <c r="AV211" s="122"/>
      <c r="AW211" s="122"/>
      <c r="AX211" s="122"/>
      <c r="AY211" s="122"/>
      <c r="AZ211" s="122"/>
      <c r="BA211" s="122"/>
      <c r="BB211" s="122"/>
      <c r="BC211" s="122"/>
      <c r="BD211" s="122"/>
      <c r="BE211" s="122"/>
      <c r="BF211" s="122"/>
      <c r="BG211" s="122"/>
      <c r="BH211" s="122"/>
      <c r="BI211" s="122"/>
      <c r="BJ211" s="122"/>
    </row>
    <row r="212" spans="1:62" s="95" customFormat="1" ht="31.5" hidden="1" customHeight="1">
      <c r="B212" s="1866" t="s">
        <v>689</v>
      </c>
      <c r="C212" s="1777"/>
      <c r="D212" s="1778"/>
      <c r="E212" s="1890" t="str">
        <f>'Document Checklist-Full List'!E31</f>
        <v>5. Bond Allocation Award</v>
      </c>
      <c r="F212" s="1777"/>
      <c r="G212" s="1777"/>
      <c r="H212" s="1777"/>
      <c r="I212" s="1777"/>
      <c r="J212" s="1777"/>
      <c r="K212" s="1777"/>
      <c r="L212" s="1778"/>
      <c r="M212" s="1885">
        <f>'Document Checklist-Full List'!$N$31</f>
        <v>0</v>
      </c>
      <c r="N212" s="1777"/>
      <c r="O212" s="1777"/>
      <c r="P212" s="1777"/>
      <c r="Q212" s="1777"/>
      <c r="R212" s="1777"/>
      <c r="S212" s="1777"/>
      <c r="T212" s="1777"/>
      <c r="U212" s="1777"/>
      <c r="V212" s="1777"/>
      <c r="W212" s="1777"/>
      <c r="X212" s="1777"/>
      <c r="Y212" s="1777"/>
      <c r="Z212" s="1777"/>
      <c r="AA212" s="1777"/>
      <c r="AB212" s="1777"/>
      <c r="AC212" s="1777"/>
      <c r="AD212" s="1777"/>
      <c r="AE212" s="1778"/>
      <c r="AF212" s="1886" t="s">
        <v>559</v>
      </c>
      <c r="AG212" s="1777"/>
      <c r="AH212" s="1777"/>
      <c r="AI212" s="1777"/>
      <c r="AJ212" s="1777"/>
      <c r="AK212" s="1778"/>
      <c r="AL212" s="1946"/>
      <c r="AM212" s="1947"/>
      <c r="AN212" s="1619"/>
      <c r="AO212" s="1620"/>
    </row>
    <row r="213" spans="1:62" ht="30" hidden="1" customHeight="1">
      <c r="A213" s="1753"/>
      <c r="B213" s="1866" t="s">
        <v>689</v>
      </c>
      <c r="C213" s="1777"/>
      <c r="D213" s="1778"/>
      <c r="E213" s="1890" t="str">
        <f>'Document Checklist-Full List'!E32</f>
        <v>6. CDLAC Bond Resolution</v>
      </c>
      <c r="F213" s="1777"/>
      <c r="G213" s="1777"/>
      <c r="H213" s="1777"/>
      <c r="I213" s="1777"/>
      <c r="J213" s="1777"/>
      <c r="K213" s="1777"/>
      <c r="L213" s="1778"/>
      <c r="M213" s="1885">
        <f>'Document Checklist-Full List'!$N$32</f>
        <v>0</v>
      </c>
      <c r="N213" s="1777"/>
      <c r="O213" s="1777"/>
      <c r="P213" s="1777"/>
      <c r="Q213" s="1777"/>
      <c r="R213" s="1777"/>
      <c r="S213" s="1777"/>
      <c r="T213" s="1777"/>
      <c r="U213" s="1777"/>
      <c r="V213" s="1777"/>
      <c r="W213" s="1777"/>
      <c r="X213" s="1777"/>
      <c r="Y213" s="1777"/>
      <c r="Z213" s="1777"/>
      <c r="AA213" s="1777"/>
      <c r="AB213" s="1777"/>
      <c r="AC213" s="1777"/>
      <c r="AD213" s="1777"/>
      <c r="AE213" s="1778"/>
      <c r="AF213" s="1886" t="s">
        <v>559</v>
      </c>
      <c r="AG213" s="1777"/>
      <c r="AH213" s="1777"/>
      <c r="AI213" s="1777"/>
      <c r="AJ213" s="1777"/>
      <c r="AK213" s="1778"/>
      <c r="AL213" s="1946"/>
      <c r="AM213" s="1947"/>
      <c r="AN213" s="1619"/>
      <c r="AO213" s="1620"/>
      <c r="AP213" s="55"/>
      <c r="AQ213" s="55"/>
      <c r="AR213" s="55"/>
      <c r="AS213" s="55"/>
    </row>
    <row r="214" spans="1:62" ht="18" hidden="1" customHeight="1">
      <c r="A214" s="1753"/>
      <c r="B214" s="2398" t="s">
        <v>710</v>
      </c>
      <c r="C214" s="1910"/>
      <c r="D214" s="1910"/>
      <c r="E214" s="1910"/>
      <c r="F214" s="1910"/>
      <c r="G214" s="1910"/>
      <c r="H214" s="1910"/>
      <c r="I214" s="1910"/>
      <c r="J214" s="1910"/>
      <c r="K214" s="1910"/>
      <c r="L214" s="1910"/>
      <c r="M214" s="1910"/>
      <c r="N214" s="1910"/>
      <c r="O214" s="1910"/>
      <c r="P214" s="1910"/>
      <c r="Q214" s="1910"/>
      <c r="R214" s="1910"/>
      <c r="S214" s="1910"/>
      <c r="T214" s="1910"/>
      <c r="U214" s="1910"/>
      <c r="V214" s="1910"/>
      <c r="W214" s="1910"/>
      <c r="X214" s="1910"/>
      <c r="Y214" s="1910"/>
      <c r="Z214" s="1910"/>
      <c r="AA214" s="1910"/>
      <c r="AB214" s="1910"/>
      <c r="AC214" s="1910"/>
      <c r="AD214" s="1910"/>
      <c r="AE214" s="1910"/>
      <c r="AF214" s="1910"/>
      <c r="AG214" s="1910"/>
      <c r="AH214" s="1910"/>
      <c r="AI214" s="1910"/>
      <c r="AJ214" s="1910"/>
      <c r="AK214" s="1889"/>
      <c r="AL214" s="1904"/>
      <c r="AM214" s="1862"/>
      <c r="AP214" s="55"/>
      <c r="AQ214" s="55"/>
      <c r="AR214" s="55"/>
      <c r="AS214" s="55"/>
    </row>
    <row r="215" spans="1:62" s="95" customFormat="1" ht="18" hidden="1" customHeight="1">
      <c r="B215" s="2299" t="s">
        <v>711</v>
      </c>
      <c r="C215" s="1877"/>
      <c r="D215" s="1877"/>
      <c r="E215" s="1877"/>
      <c r="F215" s="1877"/>
      <c r="G215" s="1877"/>
      <c r="H215" s="1877"/>
      <c r="I215" s="1877"/>
      <c r="J215" s="1877"/>
      <c r="K215" s="1877"/>
      <c r="L215" s="1877"/>
      <c r="M215" s="1877"/>
      <c r="N215" s="1877"/>
      <c r="O215" s="1877"/>
      <c r="P215" s="1877"/>
      <c r="Q215" s="1877"/>
      <c r="R215" s="1877"/>
      <c r="U215" s="733"/>
      <c r="AL215" s="2339"/>
      <c r="AM215" s="1865"/>
      <c r="AN215" s="171"/>
      <c r="AO215" s="171"/>
      <c r="AP215" s="171"/>
      <c r="AQ215" s="171"/>
      <c r="AR215" s="171"/>
      <c r="AS215" s="171"/>
      <c r="AU215" s="55"/>
    </row>
    <row r="216" spans="1:62" s="95" customFormat="1" ht="18" hidden="1" customHeight="1">
      <c r="B216" s="1902" t="s">
        <v>712</v>
      </c>
      <c r="C216" s="1777"/>
      <c r="D216" s="1777"/>
      <c r="E216" s="1777"/>
      <c r="F216" s="1777"/>
      <c r="G216" s="1777"/>
      <c r="H216" s="1777"/>
      <c r="I216" s="1777"/>
      <c r="J216" s="1777"/>
      <c r="K216" s="1777"/>
      <c r="L216" s="1777"/>
      <c r="M216" s="1777"/>
      <c r="N216" s="1777"/>
      <c r="O216" s="1777"/>
      <c r="P216" s="1777"/>
      <c r="Q216" s="1777"/>
      <c r="R216" s="1777"/>
      <c r="S216" s="1777"/>
      <c r="T216" s="1778"/>
      <c r="U216" s="1902" t="s">
        <v>712</v>
      </c>
      <c r="V216" s="1777"/>
      <c r="W216" s="1777"/>
      <c r="X216" s="1777"/>
      <c r="Y216" s="1777"/>
      <c r="Z216" s="1777"/>
      <c r="AA216" s="1777"/>
      <c r="AB216" s="1777"/>
      <c r="AC216" s="1777"/>
      <c r="AD216" s="1777"/>
      <c r="AE216" s="1777"/>
      <c r="AF216" s="1777"/>
      <c r="AG216" s="1777"/>
      <c r="AH216" s="1777"/>
      <c r="AI216" s="1777"/>
      <c r="AJ216" s="1777"/>
      <c r="AK216" s="1777"/>
      <c r="AL216" s="1777"/>
      <c r="AM216" s="1778"/>
      <c r="AN216" s="171"/>
      <c r="AO216" s="171"/>
      <c r="AP216" s="171"/>
      <c r="AQ216" s="171"/>
      <c r="AR216" s="171"/>
      <c r="AS216" s="171"/>
      <c r="AU216" s="55"/>
    </row>
    <row r="217" spans="1:62" s="95" customFormat="1" ht="18" hidden="1" customHeight="1">
      <c r="B217" s="1971"/>
      <c r="C217" s="1861"/>
      <c r="D217" s="1861"/>
      <c r="E217" s="1861"/>
      <c r="F217" s="1861"/>
      <c r="G217" s="1861"/>
      <c r="H217" s="1861"/>
      <c r="I217" s="1861"/>
      <c r="J217" s="1861"/>
      <c r="K217" s="1861"/>
      <c r="L217" s="1861"/>
      <c r="M217" s="1861"/>
      <c r="N217" s="1861"/>
      <c r="O217" s="1861"/>
      <c r="P217" s="1861"/>
      <c r="Q217" s="1861"/>
      <c r="R217" s="1861"/>
      <c r="S217" s="1861"/>
      <c r="T217" s="1862"/>
      <c r="U217" s="1971"/>
      <c r="V217" s="1861"/>
      <c r="W217" s="1861"/>
      <c r="X217" s="1861"/>
      <c r="Y217" s="1861"/>
      <c r="Z217" s="1861"/>
      <c r="AA217" s="1861"/>
      <c r="AB217" s="1861"/>
      <c r="AC217" s="1861"/>
      <c r="AD217" s="1861"/>
      <c r="AE217" s="1861"/>
      <c r="AF217" s="1861"/>
      <c r="AG217" s="1861"/>
      <c r="AH217" s="1861"/>
      <c r="AI217" s="1861"/>
      <c r="AJ217" s="1861"/>
      <c r="AK217" s="1861"/>
      <c r="AL217" s="1861"/>
      <c r="AM217" s="1862"/>
      <c r="AN217" s="171"/>
      <c r="AO217" s="171"/>
      <c r="AP217" s="171"/>
      <c r="AQ217" s="171"/>
      <c r="AR217" s="171"/>
      <c r="AS217" s="171"/>
      <c r="AU217" s="55"/>
    </row>
    <row r="218" spans="1:62" s="95" customFormat="1" ht="18" hidden="1" customHeight="1">
      <c r="B218" s="2091"/>
      <c r="C218" s="1861"/>
      <c r="D218" s="1861"/>
      <c r="E218" s="1861"/>
      <c r="F218" s="1861"/>
      <c r="G218" s="1861"/>
      <c r="H218" s="1861"/>
      <c r="I218" s="1861"/>
      <c r="J218" s="1861"/>
      <c r="K218" s="1861"/>
      <c r="L218" s="1861"/>
      <c r="M218" s="1861"/>
      <c r="N218" s="1861"/>
      <c r="O218" s="1861"/>
      <c r="P218" s="1861"/>
      <c r="Q218" s="1861"/>
      <c r="R218" s="1861"/>
      <c r="S218" s="1861"/>
      <c r="T218" s="1861"/>
      <c r="U218" s="1971"/>
      <c r="V218" s="1861"/>
      <c r="W218" s="1861"/>
      <c r="X218" s="1861"/>
      <c r="Y218" s="1861"/>
      <c r="Z218" s="1861"/>
      <c r="AA218" s="1861"/>
      <c r="AB218" s="1861"/>
      <c r="AC218" s="1861"/>
      <c r="AD218" s="1861"/>
      <c r="AE218" s="1861"/>
      <c r="AF218" s="1861"/>
      <c r="AG218" s="1861"/>
      <c r="AH218" s="1861"/>
      <c r="AI218" s="1861"/>
      <c r="AJ218" s="1861"/>
      <c r="AK218" s="1861"/>
      <c r="AL218" s="1861"/>
      <c r="AM218" s="1862"/>
      <c r="AN218" s="171"/>
      <c r="AO218" s="171"/>
      <c r="AP218" s="171"/>
      <c r="AQ218" s="171"/>
      <c r="AR218" s="171"/>
      <c r="AS218" s="171"/>
      <c r="AU218" s="55"/>
    </row>
    <row r="219" spans="1:62" s="122" customFormat="1" ht="18" hidden="1" customHeight="1">
      <c r="A219" s="95"/>
      <c r="B219" s="1884" t="s">
        <v>713</v>
      </c>
      <c r="C219" s="1777"/>
      <c r="D219" s="1777"/>
      <c r="E219" s="1777"/>
      <c r="F219" s="1777"/>
      <c r="G219" s="1777"/>
      <c r="H219" s="1777"/>
      <c r="I219" s="1778"/>
      <c r="J219" s="2196"/>
      <c r="K219" s="1862"/>
      <c r="L219" s="987"/>
      <c r="M219" s="2316" t="s">
        <v>714</v>
      </c>
      <c r="N219" s="1777"/>
      <c r="O219" s="1777"/>
      <c r="P219" s="1777"/>
      <c r="Q219" s="1953"/>
      <c r="R219" s="1953"/>
      <c r="S219" s="1953"/>
      <c r="T219" s="1953"/>
      <c r="U219" s="1923"/>
      <c r="V219" s="1865"/>
      <c r="W219" s="2400"/>
      <c r="X219" s="1953"/>
      <c r="Y219" s="1953"/>
      <c r="Z219" s="1953"/>
      <c r="AA219" s="1953"/>
      <c r="AB219" s="1953"/>
      <c r="AC219" s="1953"/>
      <c r="AD219" s="1953"/>
      <c r="AE219" s="1953"/>
      <c r="AF219" s="1953"/>
      <c r="AG219" s="1953"/>
      <c r="AH219" s="1953"/>
      <c r="AI219" s="1953"/>
      <c r="AJ219" s="1953"/>
      <c r="AK219" s="1953"/>
      <c r="AL219" s="1953"/>
      <c r="AM219" s="1770"/>
      <c r="AN219" s="215"/>
      <c r="AO219" s="215"/>
      <c r="AP219" s="215"/>
      <c r="AQ219" s="215"/>
      <c r="AR219" s="215"/>
      <c r="AS219" s="215"/>
    </row>
    <row r="220" spans="1:62" ht="32.25" customHeight="1">
      <c r="B220" s="2320" t="s">
        <v>276</v>
      </c>
      <c r="C220" s="1777"/>
      <c r="D220" s="1777"/>
      <c r="E220" s="1778"/>
      <c r="F220" s="2320" t="s">
        <v>715</v>
      </c>
      <c r="G220" s="1778"/>
      <c r="H220" s="2244" t="s">
        <v>716</v>
      </c>
      <c r="I220" s="1777"/>
      <c r="J220" s="1777"/>
      <c r="K220" s="1777"/>
      <c r="L220" s="2124" t="s">
        <v>717</v>
      </c>
      <c r="M220" s="1777"/>
      <c r="N220" s="1777"/>
      <c r="O220" s="1777"/>
      <c r="P220" s="1777"/>
      <c r="Q220" s="2346"/>
      <c r="R220" s="1953"/>
      <c r="S220" s="1953"/>
      <c r="T220" s="1953"/>
      <c r="U220" s="1953"/>
      <c r="V220" s="1987"/>
      <c r="W220" s="1953"/>
      <c r="X220" s="1953"/>
      <c r="Y220" s="1953"/>
      <c r="Z220" s="2359"/>
      <c r="AA220" s="1953"/>
      <c r="AB220" s="1953"/>
      <c r="AC220" s="1953"/>
      <c r="AD220" s="1987"/>
      <c r="AE220" s="1953"/>
      <c r="AF220" s="1953"/>
      <c r="AG220" s="1987"/>
      <c r="AH220" s="1953"/>
      <c r="AI220" s="1953"/>
      <c r="AJ220" s="1987"/>
      <c r="AK220" s="1953"/>
      <c r="AL220" s="1953"/>
      <c r="AM220" s="1770"/>
      <c r="AO220" s="57"/>
    </row>
    <row r="221" spans="1:62" ht="18" customHeight="1">
      <c r="B221" s="2375">
        <f>'Unit Mix'!$D$8</f>
        <v>0</v>
      </c>
      <c r="C221" s="1777"/>
      <c r="D221" s="1777"/>
      <c r="E221" s="1778"/>
      <c r="F221" s="2063"/>
      <c r="G221" s="1862"/>
      <c r="H221" s="2196"/>
      <c r="I221" s="1862"/>
      <c r="J221" s="2074" t="s">
        <v>718</v>
      </c>
      <c r="K221" s="1778"/>
      <c r="L221" s="2357">
        <f>IFERROR(IF(B221&gt;0,$B$221/$H$221,0),0)</f>
        <v>0</v>
      </c>
      <c r="M221" s="1778"/>
      <c r="N221" s="1973" t="s">
        <v>719</v>
      </c>
      <c r="O221" s="1777"/>
      <c r="P221" s="1777"/>
      <c r="Q221" s="2071"/>
      <c r="R221" s="1869"/>
      <c r="S221" s="1869"/>
      <c r="T221" s="1869"/>
      <c r="U221" s="1869"/>
      <c r="V221" s="2311"/>
      <c r="W221" s="1869"/>
      <c r="X221" s="1869"/>
      <c r="Y221" s="1869"/>
      <c r="Z221" s="2311"/>
      <c r="AA221" s="1869"/>
      <c r="AB221" s="1869"/>
      <c r="AC221" s="1869"/>
      <c r="AD221" s="2311"/>
      <c r="AE221" s="1869"/>
      <c r="AF221" s="1869"/>
      <c r="AG221" s="2311"/>
      <c r="AH221" s="1869"/>
      <c r="AI221" s="1869"/>
      <c r="AJ221" s="943"/>
      <c r="AK221" s="1621"/>
      <c r="AL221" s="913"/>
      <c r="AM221" s="1622"/>
      <c r="AO221" s="57"/>
    </row>
    <row r="222" spans="1:62" ht="18" hidden="1" customHeight="1">
      <c r="B222" s="1954" t="s">
        <v>720</v>
      </c>
      <c r="C222" s="1953"/>
      <c r="D222" s="1953"/>
      <c r="E222" s="1953"/>
      <c r="F222" s="1953"/>
      <c r="G222" s="1953"/>
      <c r="H222" s="1953"/>
      <c r="I222" s="1953"/>
      <c r="J222" s="2092"/>
      <c r="K222" s="1862"/>
      <c r="L222" s="988"/>
      <c r="M222" s="988"/>
      <c r="N222" s="988"/>
      <c r="O222" s="988"/>
      <c r="P222" s="988"/>
      <c r="Q222" s="1662"/>
      <c r="R222" s="1662"/>
      <c r="S222" s="1662"/>
      <c r="T222" s="1662"/>
      <c r="U222" s="1662"/>
      <c r="V222" s="1662"/>
      <c r="W222" s="1662"/>
      <c r="X222" s="1662"/>
      <c r="Y222" s="1662"/>
      <c r="Z222" s="1662"/>
      <c r="AA222" s="1662"/>
      <c r="AB222" s="1662"/>
      <c r="AC222" s="1662"/>
      <c r="AF222" s="95"/>
      <c r="AG222" s="95"/>
      <c r="AH222" s="95"/>
      <c r="AI222" s="95"/>
      <c r="AJ222" s="95"/>
      <c r="AK222" s="95"/>
      <c r="AL222" s="95"/>
      <c r="AM222" s="846"/>
    </row>
    <row r="223" spans="1:62" s="474" customFormat="1" ht="18" hidden="1" customHeight="1">
      <c r="A223" s="138"/>
      <c r="B223" s="2300" t="s">
        <v>721</v>
      </c>
      <c r="C223" s="1877"/>
      <c r="D223" s="1877"/>
      <c r="E223" s="1877"/>
      <c r="F223" s="1877"/>
      <c r="G223" s="1877"/>
      <c r="H223" s="1877"/>
      <c r="I223" s="1877"/>
      <c r="J223" s="1877"/>
      <c r="K223" s="1877"/>
      <c r="L223" s="1877"/>
      <c r="M223" s="1877"/>
      <c r="N223" s="1877"/>
      <c r="O223" s="1877"/>
      <c r="P223" s="1877"/>
      <c r="Q223" s="1877"/>
      <c r="R223" s="1877"/>
      <c r="S223" s="1877"/>
      <c r="T223" s="1877"/>
      <c r="U223" s="1877"/>
      <c r="V223" s="1877"/>
      <c r="W223" s="1877"/>
      <c r="X223" s="1877"/>
      <c r="Y223" s="1877"/>
      <c r="Z223" s="1877"/>
      <c r="AA223" s="1877"/>
      <c r="AB223" s="1877"/>
      <c r="AC223" s="1877"/>
      <c r="AD223" s="1877"/>
      <c r="AE223" s="1877"/>
      <c r="AF223" s="1877"/>
      <c r="AG223" s="1877"/>
      <c r="AH223" s="1877"/>
      <c r="AI223" s="1877"/>
      <c r="AJ223" s="1877"/>
      <c r="AK223" s="1877"/>
      <c r="AL223" s="1877"/>
      <c r="AM223" s="1772"/>
      <c r="AN223" s="57"/>
      <c r="AO223" s="716"/>
      <c r="AP223" s="123"/>
      <c r="AQ223" s="123"/>
      <c r="AR223" s="123"/>
      <c r="AS223" s="57"/>
    </row>
    <row r="224" spans="1:62" s="474" customFormat="1" ht="53.1" hidden="1" customHeight="1">
      <c r="A224" s="138"/>
      <c r="B224" s="2086"/>
      <c r="C224" s="1861"/>
      <c r="D224" s="1861"/>
      <c r="E224" s="1861"/>
      <c r="F224" s="1861"/>
      <c r="G224" s="1861"/>
      <c r="H224" s="1861"/>
      <c r="I224" s="1861"/>
      <c r="J224" s="1861"/>
      <c r="K224" s="1861"/>
      <c r="L224" s="1861"/>
      <c r="M224" s="1861"/>
      <c r="N224" s="1861"/>
      <c r="O224" s="1861"/>
      <c r="P224" s="1861"/>
      <c r="Q224" s="1861"/>
      <c r="R224" s="1861"/>
      <c r="S224" s="1861"/>
      <c r="T224" s="1861"/>
      <c r="U224" s="1861"/>
      <c r="V224" s="1861"/>
      <c r="W224" s="1861"/>
      <c r="X224" s="1861"/>
      <c r="Y224" s="1861"/>
      <c r="Z224" s="1861"/>
      <c r="AA224" s="1861"/>
      <c r="AB224" s="1861"/>
      <c r="AC224" s="1861"/>
      <c r="AD224" s="1861"/>
      <c r="AE224" s="1861"/>
      <c r="AF224" s="1861"/>
      <c r="AG224" s="1861"/>
      <c r="AH224" s="1861"/>
      <c r="AI224" s="1861"/>
      <c r="AJ224" s="1861"/>
      <c r="AK224" s="1861"/>
      <c r="AL224" s="1861"/>
      <c r="AM224" s="1862"/>
      <c r="AN224" s="57"/>
      <c r="AO224" s="716"/>
      <c r="AP224" s="123"/>
      <c r="AQ224" s="123"/>
      <c r="AR224" s="123"/>
      <c r="AS224" s="57"/>
    </row>
    <row r="225" spans="1:62" s="474" customFormat="1" ht="30.75" customHeight="1">
      <c r="A225" s="138"/>
      <c r="B225" s="2317" t="s">
        <v>722</v>
      </c>
      <c r="C225" s="1777"/>
      <c r="D225" s="1777"/>
      <c r="E225" s="1777"/>
      <c r="F225" s="1777"/>
      <c r="G225" s="1777"/>
      <c r="H225" s="1777"/>
      <c r="I225" s="1777"/>
      <c r="J225" s="1777"/>
      <c r="K225" s="1777"/>
      <c r="L225" s="1777"/>
      <c r="M225" s="1777"/>
      <c r="N225" s="1777"/>
      <c r="O225" s="1777"/>
      <c r="P225" s="1777"/>
      <c r="Q225" s="1777"/>
      <c r="R225" s="1777"/>
      <c r="S225" s="1777"/>
      <c r="T225" s="1777"/>
      <c r="U225" s="1777"/>
      <c r="V225" s="1777"/>
      <c r="W225" s="1777"/>
      <c r="X225" s="1777"/>
      <c r="Y225" s="1777"/>
      <c r="Z225" s="1777"/>
      <c r="AA225" s="1777"/>
      <c r="AB225" s="1777"/>
      <c r="AC225" s="2288" t="s">
        <v>723</v>
      </c>
      <c r="AD225" s="2288"/>
      <c r="AE225" s="2288"/>
      <c r="AF225" s="2288"/>
      <c r="AG225" s="2288"/>
      <c r="AH225" s="2288"/>
      <c r="AI225" s="2288"/>
      <c r="AJ225" s="2288"/>
      <c r="AK225" s="2288"/>
      <c r="AL225" s="1904"/>
      <c r="AM225" s="1862"/>
      <c r="AN225" s="57"/>
      <c r="AO225" s="1671" t="str">
        <f ca="1">IFERROR(OFFSET($AO$229,1,MATCH($AL$229,$AO$229:$AP$229,0)-1,COUNTA(OFFSET($AO$229,1,MATCH($AL$229,$AO$229:$AP$229,0)-1,8,1)),1),"Do ot remove this formula")</f>
        <v>Do ot remove this formula</v>
      </c>
      <c r="AP225" s="989"/>
      <c r="AQ225" s="57"/>
      <c r="AR225" s="57"/>
      <c r="AS225" s="123"/>
      <c r="AT225" s="55"/>
      <c r="AU225" s="55"/>
      <c r="AV225" s="55"/>
      <c r="AW225" s="55"/>
      <c r="AX225" s="55"/>
      <c r="AY225" s="55"/>
      <c r="AZ225" s="55"/>
      <c r="BA225" s="55"/>
      <c r="BB225" s="55"/>
      <c r="BC225" s="55"/>
      <c r="BD225" s="55"/>
      <c r="BE225" s="55"/>
      <c r="BF225" s="55"/>
      <c r="BG225" s="55"/>
      <c r="BH225" s="55"/>
      <c r="BI225" s="55"/>
      <c r="BJ225" s="55"/>
    </row>
    <row r="226" spans="1:62" ht="18" hidden="1" customHeight="1">
      <c r="B226" s="2336" t="s">
        <v>724</v>
      </c>
      <c r="C226" s="1910"/>
      <c r="D226" s="1910"/>
      <c r="E226" s="1910"/>
      <c r="F226" s="1910"/>
      <c r="G226" s="1910"/>
      <c r="H226" s="1910"/>
      <c r="I226" s="1910"/>
      <c r="J226" s="1910"/>
      <c r="K226" s="1910"/>
      <c r="L226" s="1910"/>
      <c r="M226" s="1910"/>
      <c r="N226" s="1910"/>
      <c r="O226" s="1910"/>
      <c r="P226" s="1910"/>
      <c r="Q226" s="1910"/>
      <c r="R226" s="1910"/>
      <c r="S226" s="1910"/>
      <c r="T226" s="1910"/>
      <c r="U226" s="1910"/>
      <c r="V226" s="1910"/>
      <c r="W226" s="1910"/>
      <c r="X226" s="1910"/>
      <c r="Y226" s="1910"/>
      <c r="Z226" s="1910"/>
      <c r="AA226" s="1910"/>
      <c r="AB226" s="2106"/>
      <c r="AC226" s="2022"/>
      <c r="AD226" s="2022"/>
      <c r="AE226" s="2022"/>
      <c r="AF226" s="1869"/>
      <c r="AG226" s="1869"/>
      <c r="AH226" s="1869"/>
      <c r="AI226" s="1869"/>
      <c r="AJ226" s="1869"/>
      <c r="AK226" s="1869"/>
      <c r="AL226" s="1869"/>
      <c r="AM226" s="1870"/>
      <c r="AO226" s="734"/>
      <c r="AS226" s="476"/>
      <c r="AT226" s="476"/>
      <c r="AU226" s="476"/>
      <c r="AV226" s="476"/>
      <c r="AW226" s="476"/>
      <c r="AX226" s="476"/>
    </row>
    <row r="227" spans="1:62" ht="76.5" hidden="1" customHeight="1">
      <c r="B227" s="2163" t="s">
        <v>558</v>
      </c>
      <c r="C227" s="2164"/>
      <c r="D227" s="2165"/>
      <c r="E227" s="2235" t="str">
        <f>'Document Checklist-Full List'!$E$33</f>
        <v>3. Rural Status Determination</v>
      </c>
      <c r="F227" s="2164"/>
      <c r="G227" s="2164"/>
      <c r="H227" s="2164"/>
      <c r="I227" s="2164"/>
      <c r="J227" s="2164"/>
      <c r="K227" s="2164"/>
      <c r="L227" s="2164"/>
      <c r="M227" s="2165"/>
      <c r="N227" s="2355" t="str">
        <f>'Document Checklist-Full List'!N33</f>
        <v>The California Tax Credit Allocation Committee (TCAC) uses a statutory definition of “rural area” under Health and Safety Code § 50199.21 to determine whether a project site qualifies as rural.</v>
      </c>
      <c r="O227" s="2356"/>
      <c r="P227" s="2356"/>
      <c r="Q227" s="2356"/>
      <c r="R227" s="2356"/>
      <c r="S227" s="2356"/>
      <c r="T227" s="2356"/>
      <c r="U227" s="2356"/>
      <c r="V227" s="2356"/>
      <c r="W227" s="2356"/>
      <c r="X227" s="1608"/>
      <c r="Y227" s="2050" t="str">
        <f>'Document Checklist-Full List'!Y33</f>
        <v>Documentation of rural status</v>
      </c>
      <c r="Z227" s="2051"/>
      <c r="AA227" s="2051"/>
      <c r="AB227" s="2051"/>
      <c r="AC227" s="2051"/>
      <c r="AD227" s="2051"/>
      <c r="AE227" s="2052"/>
      <c r="AF227" s="2038" t="s">
        <v>559</v>
      </c>
      <c r="AG227" s="2101"/>
      <c r="AH227" s="2101"/>
      <c r="AI227" s="2101"/>
      <c r="AJ227" s="2101"/>
      <c r="AK227" s="2142"/>
      <c r="AL227" s="1946"/>
      <c r="AM227" s="1947"/>
      <c r="AN227" s="1619"/>
      <c r="AO227" s="1620"/>
      <c r="AS227" s="476"/>
      <c r="AT227" s="476"/>
      <c r="AU227" s="476"/>
      <c r="AV227" s="476"/>
      <c r="AW227" s="476"/>
      <c r="AX227" s="476"/>
    </row>
    <row r="228" spans="1:62" s="122" customFormat="1" ht="54" hidden="1" customHeight="1">
      <c r="A228" s="95"/>
      <c r="B228" s="2303" t="s">
        <v>725</v>
      </c>
      <c r="C228" s="1777"/>
      <c r="D228" s="1777"/>
      <c r="E228" s="1777"/>
      <c r="F228" s="1777"/>
      <c r="G228" s="1777"/>
      <c r="H228" s="1777"/>
      <c r="I228" s="1777"/>
      <c r="J228" s="1777"/>
      <c r="K228" s="1777"/>
      <c r="L228" s="1777"/>
      <c r="M228" s="1777"/>
      <c r="N228" s="1777"/>
      <c r="O228" s="1777"/>
      <c r="P228" s="1777"/>
      <c r="Q228" s="1777"/>
      <c r="R228" s="1777"/>
      <c r="S228" s="1777"/>
      <c r="T228" s="1777"/>
      <c r="U228" s="1777"/>
      <c r="V228" s="1777"/>
      <c r="W228" s="1777"/>
      <c r="X228" s="1777"/>
      <c r="Y228" s="1777"/>
      <c r="Z228" s="1777"/>
      <c r="AA228" s="1777"/>
      <c r="AB228" s="1777"/>
      <c r="AC228" s="1777"/>
      <c r="AD228" s="1777"/>
      <c r="AE228" s="1777"/>
      <c r="AF228" s="1778"/>
      <c r="AG228" s="2399" t="s">
        <v>726</v>
      </c>
      <c r="AH228" s="1777"/>
      <c r="AI228" s="1777"/>
      <c r="AJ228" s="1777"/>
      <c r="AK228" s="1777"/>
      <c r="AL228" s="1777"/>
      <c r="AM228" s="1778"/>
      <c r="AN228" s="215"/>
      <c r="AO228" s="255"/>
      <c r="AP228" s="215"/>
      <c r="AQ228" s="215"/>
      <c r="AR228" s="215"/>
      <c r="AS228" s="215"/>
    </row>
    <row r="229" spans="1:62" ht="18" hidden="1" customHeight="1">
      <c r="A229" s="1752"/>
      <c r="B229" s="2406" t="s">
        <v>727</v>
      </c>
      <c r="C229" s="1910"/>
      <c r="D229" s="1910"/>
      <c r="E229" s="1910"/>
      <c r="F229" s="1910"/>
      <c r="G229" s="1910"/>
      <c r="H229" s="1910"/>
      <c r="I229" s="1910"/>
      <c r="J229" s="1910"/>
      <c r="K229" s="1910"/>
      <c r="L229" s="1910"/>
      <c r="M229" s="1910"/>
      <c r="N229" s="1910"/>
      <c r="O229" s="1910"/>
      <c r="P229" s="1910"/>
      <c r="Q229" s="1910"/>
      <c r="R229" s="1910"/>
      <c r="S229" s="1910"/>
      <c r="T229" s="1910"/>
      <c r="U229" s="1910"/>
      <c r="V229" s="1910"/>
      <c r="W229" s="1910"/>
      <c r="X229" s="1910"/>
      <c r="Y229" s="1910"/>
      <c r="Z229" s="1910"/>
      <c r="AA229" s="1910"/>
      <c r="AB229" s="1910"/>
      <c r="AC229" s="1910"/>
      <c r="AD229" s="1910"/>
      <c r="AE229" s="1910"/>
      <c r="AF229" s="1910"/>
      <c r="AG229" s="1910"/>
      <c r="AH229" s="1910"/>
      <c r="AI229" s="1910"/>
      <c r="AJ229" s="1910"/>
      <c r="AK229" s="1889"/>
      <c r="AL229" s="2302"/>
      <c r="AM229" s="1870"/>
      <c r="AN229" s="735"/>
      <c r="AO229" s="736" t="s">
        <v>201</v>
      </c>
      <c r="AP229" s="735" t="s">
        <v>198</v>
      </c>
      <c r="AQ229" s="735"/>
      <c r="AR229" s="735"/>
      <c r="AS229" s="58"/>
      <c r="AT229" s="58"/>
      <c r="AU229" s="476"/>
      <c r="AV229" s="58"/>
      <c r="AW229" s="58"/>
      <c r="AX229" s="58"/>
      <c r="AY229" s="1653"/>
      <c r="AZ229" s="1653"/>
      <c r="BA229" s="1653"/>
      <c r="BB229" s="1653"/>
      <c r="BC229" s="1653"/>
      <c r="BD229" s="1653"/>
      <c r="BE229" s="1653"/>
      <c r="BF229" s="1653"/>
      <c r="BG229" s="1653"/>
      <c r="BH229" s="1653"/>
      <c r="BI229" s="1653"/>
      <c r="BJ229" s="1653"/>
    </row>
    <row r="230" spans="1:62" s="737" customFormat="1" ht="18" hidden="1" customHeight="1">
      <c r="A230" s="1752"/>
      <c r="B230" s="2034" t="s">
        <v>728</v>
      </c>
      <c r="C230" s="1877"/>
      <c r="D230" s="1877"/>
      <c r="E230" s="1877"/>
      <c r="F230" s="1877"/>
      <c r="G230" s="1877"/>
      <c r="H230" s="1877"/>
      <c r="I230" s="1877"/>
      <c r="J230" s="1877"/>
      <c r="K230" s="1877"/>
      <c r="L230" s="1877"/>
      <c r="M230" s="1877"/>
      <c r="N230" s="1877"/>
      <c r="O230" s="1877"/>
      <c r="P230" s="1877"/>
      <c r="Q230" s="2323"/>
      <c r="R230" s="1861"/>
      <c r="S230" s="1861"/>
      <c r="T230" s="1861"/>
      <c r="U230" s="1861"/>
      <c r="V230" s="1862"/>
      <c r="W230" s="2089" t="s">
        <v>729</v>
      </c>
      <c r="X230" s="1877"/>
      <c r="Y230" s="1877"/>
      <c r="Z230" s="1877"/>
      <c r="AA230" s="1877"/>
      <c r="AB230" s="1877"/>
      <c r="AC230" s="1877"/>
      <c r="AD230" s="1877"/>
      <c r="AE230" s="1893"/>
      <c r="AF230" s="1861"/>
      <c r="AG230" s="1861"/>
      <c r="AH230" s="1861"/>
      <c r="AI230" s="1861"/>
      <c r="AJ230" s="1861"/>
      <c r="AK230" s="1861"/>
      <c r="AL230" s="1861"/>
      <c r="AM230" s="1862"/>
      <c r="AN230" s="735"/>
      <c r="AO230" s="1647" t="s">
        <v>91</v>
      </c>
      <c r="AP230" s="478" t="s">
        <v>101</v>
      </c>
      <c r="AQ230" s="735"/>
      <c r="AR230" s="735"/>
      <c r="AS230" s="58"/>
      <c r="AT230" s="58"/>
      <c r="AU230" s="476"/>
      <c r="AV230" s="58"/>
      <c r="AW230" s="58"/>
      <c r="AX230" s="58"/>
      <c r="AY230" s="1653"/>
      <c r="AZ230" s="1653"/>
      <c r="BA230" s="1653"/>
      <c r="BB230" s="1653"/>
      <c r="BC230" s="1653"/>
      <c r="BD230" s="1653"/>
      <c r="BE230" s="1653"/>
      <c r="BF230" s="1653"/>
      <c r="BG230" s="1653"/>
      <c r="BH230" s="1653"/>
      <c r="BI230" s="1653"/>
      <c r="BJ230" s="1653"/>
    </row>
    <row r="231" spans="1:62" s="737" customFormat="1" ht="54" hidden="1" customHeight="1">
      <c r="A231" s="138"/>
      <c r="B231" s="1866" t="s">
        <v>558</v>
      </c>
      <c r="C231" s="1777"/>
      <c r="D231" s="1778"/>
      <c r="E231" s="1890" t="str">
        <f>'Document Checklist-Full List'!$E$32</f>
        <v>6. CDLAC Bond Resolution</v>
      </c>
      <c r="F231" s="1777"/>
      <c r="G231" s="1777"/>
      <c r="H231" s="1777"/>
      <c r="I231" s="1777"/>
      <c r="J231" s="1777"/>
      <c r="K231" s="1777"/>
      <c r="L231" s="1777"/>
      <c r="M231" s="1778"/>
      <c r="N231" s="2136">
        <f>'Document Checklist-Full List'!$N$32</f>
        <v>0</v>
      </c>
      <c r="O231" s="1777"/>
      <c r="P231" s="1777"/>
      <c r="Q231" s="1777"/>
      <c r="R231" s="1777"/>
      <c r="S231" s="1777"/>
      <c r="T231" s="1777"/>
      <c r="U231" s="1777"/>
      <c r="V231" s="1777"/>
      <c r="W231" s="1777"/>
      <c r="X231" s="1777"/>
      <c r="Y231" s="1777"/>
      <c r="Z231" s="1777"/>
      <c r="AA231" s="1777"/>
      <c r="AB231" s="1777"/>
      <c r="AC231" s="1777"/>
      <c r="AD231" s="1777"/>
      <c r="AE231" s="1778"/>
      <c r="AF231" s="1886" t="s">
        <v>559</v>
      </c>
      <c r="AG231" s="1777"/>
      <c r="AH231" s="1777"/>
      <c r="AI231" s="1777"/>
      <c r="AJ231" s="1777"/>
      <c r="AK231" s="1778"/>
      <c r="AL231" s="1958"/>
      <c r="AM231" s="1862"/>
      <c r="AN231" s="58"/>
      <c r="AO231" s="1647" t="s">
        <v>95</v>
      </c>
      <c r="AP231" s="478" t="s">
        <v>107</v>
      </c>
      <c r="AQ231" s="57"/>
      <c r="AR231" s="57"/>
      <c r="AS231" s="58"/>
      <c r="AT231" s="58"/>
      <c r="AU231" s="476"/>
      <c r="AV231" s="58"/>
      <c r="AW231" s="58"/>
      <c r="AX231" s="58"/>
      <c r="AY231" s="58"/>
      <c r="AZ231" s="58"/>
      <c r="BA231" s="58"/>
      <c r="BB231" s="58"/>
      <c r="BC231" s="58"/>
      <c r="BD231" s="426"/>
      <c r="BE231" s="426"/>
      <c r="BF231" s="55"/>
      <c r="BG231" s="55"/>
      <c r="BH231" s="55"/>
      <c r="BI231" s="55"/>
      <c r="BJ231" s="55"/>
    </row>
    <row r="232" spans="1:62" ht="18" customHeight="1">
      <c r="A232" s="1744"/>
      <c r="B232" s="990"/>
      <c r="C232" s="990"/>
      <c r="D232" s="990"/>
      <c r="E232" s="991"/>
      <c r="F232" s="991"/>
      <c r="G232" s="991"/>
      <c r="H232" s="991"/>
      <c r="I232" s="991"/>
      <c r="J232" s="991"/>
      <c r="K232" s="991"/>
      <c r="L232" s="991"/>
      <c r="M232" s="991"/>
      <c r="N232" s="992"/>
      <c r="O232" s="992"/>
      <c r="P232" s="992"/>
      <c r="Q232" s="992"/>
      <c r="R232" s="992"/>
      <c r="S232" s="992"/>
      <c r="T232" s="992"/>
      <c r="U232" s="992"/>
      <c r="V232" s="992"/>
      <c r="W232" s="992"/>
      <c r="X232" s="992"/>
      <c r="Y232" s="992"/>
      <c r="Z232" s="992"/>
      <c r="AA232" s="992"/>
      <c r="AB232" s="992"/>
      <c r="AC232" s="992"/>
      <c r="AD232" s="992"/>
      <c r="AE232" s="992"/>
      <c r="AF232" s="993"/>
      <c r="AG232" s="994"/>
      <c r="AH232" s="994"/>
      <c r="AI232" s="994"/>
      <c r="AJ232" s="994"/>
      <c r="AK232" s="994"/>
      <c r="AL232" s="994"/>
      <c r="AM232" s="994"/>
      <c r="AN232" s="58"/>
      <c r="AO232" s="1750"/>
      <c r="AP232" s="476" t="s">
        <v>111</v>
      </c>
      <c r="AS232" s="58"/>
      <c r="AT232" s="58"/>
      <c r="AU232" s="476"/>
      <c r="AV232" s="58"/>
      <c r="AW232" s="58"/>
      <c r="AX232" s="58"/>
      <c r="AY232" s="58"/>
      <c r="AZ232" s="58"/>
      <c r="BA232" s="58"/>
      <c r="BB232" s="58"/>
      <c r="BC232" s="58"/>
      <c r="BD232" s="426"/>
      <c r="BE232" s="426"/>
    </row>
    <row r="233" spans="1:62" ht="18" customHeight="1">
      <c r="A233" s="426"/>
      <c r="B233" s="2138" t="s">
        <v>730</v>
      </c>
      <c r="C233" s="2138"/>
      <c r="D233" s="2138"/>
      <c r="E233" s="2138"/>
      <c r="F233" s="2138"/>
      <c r="G233" s="2138"/>
      <c r="H233" s="2138"/>
      <c r="I233" s="1925" t="s">
        <v>731</v>
      </c>
      <c r="J233" s="1925"/>
      <c r="K233" s="1925"/>
      <c r="L233" s="1925"/>
      <c r="O233" s="953"/>
      <c r="P233" s="953"/>
      <c r="Q233" s="95"/>
      <c r="R233" s="95"/>
      <c r="S233" s="95"/>
      <c r="T233" s="95"/>
      <c r="U233" s="1924" t="s">
        <v>732</v>
      </c>
      <c r="V233" s="1924"/>
      <c r="W233" s="1924"/>
      <c r="X233" s="1924"/>
      <c r="Y233" s="1924"/>
      <c r="Z233" s="1924"/>
      <c r="AA233" s="1924"/>
      <c r="AB233" s="1924"/>
      <c r="AC233" s="1924"/>
      <c r="AD233" s="1924"/>
      <c r="AE233" s="1924"/>
      <c r="AF233" s="1924"/>
      <c r="AG233" s="1924"/>
      <c r="AH233" s="1924"/>
      <c r="AI233" s="1924"/>
      <c r="AJ233" s="1924"/>
      <c r="AK233" s="1924"/>
      <c r="AL233" s="2042"/>
      <c r="AM233" s="2043"/>
      <c r="AN233" s="2402"/>
      <c r="AO233" s="2403"/>
      <c r="AP233" s="2402"/>
      <c r="AQ233" s="2403"/>
      <c r="AR233" s="58"/>
      <c r="AS233" s="58"/>
      <c r="AT233" s="58"/>
      <c r="AU233" s="476"/>
      <c r="AV233" s="58"/>
      <c r="AW233" s="58"/>
      <c r="AX233" s="58"/>
      <c r="AY233" s="58"/>
      <c r="AZ233" s="58"/>
      <c r="BA233" s="58"/>
      <c r="BB233" s="426"/>
      <c r="BC233" s="426"/>
    </row>
    <row r="234" spans="1:62" s="57" customFormat="1" ht="88.5" hidden="1" customHeight="1">
      <c r="A234" s="426"/>
      <c r="B234" s="2075" t="s">
        <v>733</v>
      </c>
      <c r="C234" s="1950"/>
      <c r="D234" s="1950"/>
      <c r="E234" s="1950"/>
      <c r="F234" s="1950"/>
      <c r="G234" s="1950"/>
      <c r="H234" s="1950"/>
      <c r="I234" s="1950"/>
      <c r="J234" s="1950"/>
      <c r="K234" s="1950"/>
      <c r="L234" s="1950"/>
      <c r="M234" s="1950"/>
      <c r="N234" s="1950"/>
      <c r="O234" s="1950"/>
      <c r="P234" s="1950"/>
      <c r="Q234" s="1950"/>
      <c r="R234" s="1950"/>
      <c r="S234" s="1950"/>
      <c r="T234" s="1950"/>
      <c r="U234" s="1950"/>
      <c r="V234" s="1950"/>
      <c r="W234" s="1950"/>
      <c r="X234" s="1950"/>
      <c r="Y234" s="1950"/>
      <c r="Z234" s="1950"/>
      <c r="AA234" s="1950"/>
      <c r="AB234" s="1950"/>
      <c r="AC234" s="1950"/>
      <c r="AD234" s="1950"/>
      <c r="AE234" s="1950"/>
      <c r="AF234" s="1950"/>
      <c r="AG234" s="1950"/>
      <c r="AH234" s="1950"/>
      <c r="AI234" s="1950"/>
      <c r="AJ234" s="1950"/>
      <c r="AK234" s="1950"/>
      <c r="AL234" s="1950"/>
      <c r="AM234" s="1950"/>
      <c r="AN234" s="58"/>
      <c r="AO234" s="1656"/>
      <c r="AP234" s="476" t="s">
        <v>116</v>
      </c>
      <c r="AR234" s="58"/>
      <c r="AS234" s="58"/>
      <c r="AT234" s="58"/>
      <c r="AU234" s="476"/>
      <c r="AV234" s="58"/>
      <c r="AW234" s="58"/>
      <c r="AX234" s="58"/>
      <c r="AY234" s="58"/>
      <c r="AZ234" s="58"/>
      <c r="BA234" s="58"/>
      <c r="BB234" s="58"/>
      <c r="BC234" s="58"/>
      <c r="BD234" s="426"/>
      <c r="BE234" s="426"/>
      <c r="BF234" s="476"/>
      <c r="BG234" s="476"/>
      <c r="BH234" s="476"/>
      <c r="BI234" s="476"/>
      <c r="BJ234" s="476"/>
    </row>
    <row r="235" spans="1:62" s="57" customFormat="1" ht="18" hidden="1" customHeight="1">
      <c r="A235" s="426"/>
      <c r="B235" s="1949" t="s">
        <v>734</v>
      </c>
      <c r="C235" s="1950"/>
      <c r="D235" s="1950"/>
      <c r="E235" s="1950"/>
      <c r="F235" s="1950"/>
      <c r="G235" s="1950"/>
      <c r="H235" s="1950"/>
      <c r="I235" s="1950"/>
      <c r="J235" s="1950"/>
      <c r="K235" s="1950"/>
      <c r="L235" s="1950"/>
      <c r="M235" s="1950"/>
      <c r="N235" s="1950"/>
      <c r="O235" s="1950"/>
      <c r="P235" s="1950"/>
      <c r="Q235" s="1950"/>
      <c r="R235" s="1950"/>
      <c r="S235" s="1950"/>
      <c r="T235" s="1950"/>
      <c r="U235" s="1950"/>
      <c r="V235" s="1950"/>
      <c r="W235" s="1950"/>
      <c r="X235" s="1950"/>
      <c r="Y235" s="1950"/>
      <c r="Z235" s="1950"/>
      <c r="AA235" s="1950"/>
      <c r="AB235" s="1950"/>
      <c r="AC235" s="1950"/>
      <c r="AD235" s="1950"/>
      <c r="AE235" s="1950"/>
      <c r="AF235" s="1950"/>
      <c r="AG235" s="1950"/>
      <c r="AH235" s="1950"/>
      <c r="AI235" s="1950"/>
      <c r="AJ235" s="1950"/>
      <c r="AK235" s="1950"/>
      <c r="AL235" s="781"/>
      <c r="AM235" s="781"/>
      <c r="AN235" s="58"/>
      <c r="AO235" s="1656"/>
      <c r="AP235" s="476"/>
      <c r="AR235" s="58"/>
      <c r="AS235" s="58"/>
      <c r="AT235" s="58"/>
      <c r="AU235" s="476"/>
      <c r="AV235" s="58"/>
      <c r="AW235" s="58"/>
      <c r="AX235" s="58"/>
      <c r="AY235" s="58"/>
      <c r="AZ235" s="58"/>
      <c r="BA235" s="58"/>
      <c r="BB235" s="58"/>
      <c r="BC235" s="58"/>
      <c r="BD235" s="426"/>
      <c r="BE235" s="426"/>
      <c r="BF235" s="476"/>
      <c r="BG235" s="476"/>
      <c r="BH235" s="476"/>
      <c r="BI235" s="476"/>
      <c r="BJ235" s="476"/>
    </row>
    <row r="236" spans="1:62" s="58" customFormat="1" ht="18" hidden="1" customHeight="1">
      <c r="B236" s="2180" t="s">
        <v>735</v>
      </c>
      <c r="C236" s="1945"/>
      <c r="D236" s="1945"/>
      <c r="E236" s="1945"/>
      <c r="F236" s="1945"/>
      <c r="G236" s="1945"/>
      <c r="H236" s="1945"/>
      <c r="I236" s="1945"/>
      <c r="J236" s="1945"/>
      <c r="K236" s="1945"/>
      <c r="L236" s="1945"/>
      <c r="M236" s="1945"/>
      <c r="N236" s="1945"/>
      <c r="O236" s="1945"/>
      <c r="P236" s="1945"/>
      <c r="Q236" s="1945"/>
      <c r="R236" s="1945"/>
      <c r="S236" s="1945"/>
      <c r="T236" s="1945"/>
      <c r="U236" s="1945"/>
      <c r="V236" s="1945"/>
      <c r="W236" s="1945"/>
      <c r="X236" s="1945"/>
      <c r="Y236" s="1945"/>
      <c r="Z236" s="1945"/>
      <c r="AA236" s="1945"/>
      <c r="AB236" s="1945"/>
      <c r="AC236" s="1945"/>
      <c r="AD236" s="1945"/>
      <c r="AE236" s="1945"/>
      <c r="AF236" s="1945"/>
      <c r="AG236" s="1945"/>
      <c r="AH236" s="1945"/>
      <c r="AI236" s="1945"/>
      <c r="AJ236" s="1945"/>
      <c r="AK236" s="1945"/>
      <c r="AL236" s="1945"/>
      <c r="AM236" s="1945"/>
      <c r="AO236" s="983"/>
      <c r="AP236" s="1732" t="s">
        <v>119</v>
      </c>
    </row>
    <row r="237" spans="1:62" s="57" customFormat="1" ht="54" hidden="1" customHeight="1">
      <c r="A237" s="426"/>
      <c r="B237" s="1949" t="s">
        <v>736</v>
      </c>
      <c r="C237" s="1950"/>
      <c r="D237" s="1950"/>
      <c r="E237" s="1950"/>
      <c r="F237" s="1950"/>
      <c r="G237" s="1950"/>
      <c r="H237" s="1950"/>
      <c r="I237" s="1950"/>
      <c r="J237" s="1950"/>
      <c r="K237" s="1950"/>
      <c r="L237" s="1950"/>
      <c r="M237" s="1950"/>
      <c r="N237" s="1950"/>
      <c r="O237" s="1950"/>
      <c r="P237" s="1950"/>
      <c r="Q237" s="1950"/>
      <c r="R237" s="1950"/>
      <c r="S237" s="1950"/>
      <c r="T237" s="1950"/>
      <c r="U237" s="1950"/>
      <c r="V237" s="1950"/>
      <c r="W237" s="1950"/>
      <c r="X237" s="1950"/>
      <c r="Y237" s="1950"/>
      <c r="Z237" s="1950"/>
      <c r="AA237" s="1950"/>
      <c r="AB237" s="1950"/>
      <c r="AC237" s="1950"/>
      <c r="AD237" s="1950"/>
      <c r="AE237" s="1950"/>
      <c r="AF237" s="1950"/>
      <c r="AG237" s="1950"/>
      <c r="AH237" s="1950"/>
      <c r="AI237" s="1950"/>
      <c r="AJ237" s="1950"/>
      <c r="AK237" s="1950"/>
      <c r="AL237" s="1950"/>
      <c r="AM237" s="1950"/>
      <c r="AN237" s="58"/>
      <c r="AO237" s="426"/>
      <c r="AR237" s="58"/>
      <c r="AS237" s="58"/>
      <c r="AT237" s="58"/>
      <c r="AU237" s="476"/>
      <c r="AV237" s="58"/>
      <c r="AW237" s="58"/>
      <c r="AX237" s="58"/>
      <c r="AY237" s="58"/>
      <c r="AZ237" s="58"/>
      <c r="BA237" s="58"/>
      <c r="BB237" s="58"/>
      <c r="BC237" s="58"/>
      <c r="BD237" s="426"/>
      <c r="BE237" s="426"/>
      <c r="BF237" s="476"/>
      <c r="BG237" s="476"/>
      <c r="BH237" s="476"/>
      <c r="BI237" s="476"/>
      <c r="BJ237" s="476"/>
    </row>
    <row r="238" spans="1:62" s="58" customFormat="1" ht="67.349999999999994" hidden="1" customHeight="1">
      <c r="A238" s="136"/>
      <c r="B238" s="1802" t="s">
        <v>737</v>
      </c>
      <c r="C238" s="1945"/>
      <c r="D238" s="1945"/>
      <c r="E238" s="1945"/>
      <c r="F238" s="1945"/>
      <c r="G238" s="1945"/>
      <c r="H238" s="1945"/>
      <c r="I238" s="1945"/>
      <c r="J238" s="1945"/>
      <c r="K238" s="1945"/>
      <c r="L238" s="1945"/>
      <c r="M238" s="1945"/>
      <c r="N238" s="1945"/>
      <c r="O238" s="1945"/>
      <c r="P238" s="1945"/>
      <c r="Q238" s="1945"/>
      <c r="R238" s="1945"/>
      <c r="S238" s="1945"/>
      <c r="T238" s="1945"/>
      <c r="U238" s="1945"/>
      <c r="V238" s="1945"/>
      <c r="W238" s="1945"/>
      <c r="X238" s="1945"/>
      <c r="Y238" s="1945"/>
      <c r="Z238" s="1945"/>
      <c r="AA238" s="1945"/>
      <c r="AB238" s="1945"/>
      <c r="AC238" s="1945"/>
      <c r="AD238" s="1945"/>
      <c r="AE238" s="1945"/>
      <c r="AF238" s="1945"/>
      <c r="AG238" s="1945"/>
      <c r="AH238" s="1945"/>
      <c r="AI238" s="1945"/>
      <c r="AJ238" s="1945"/>
      <c r="AK238" s="1945"/>
      <c r="AL238" s="1945"/>
      <c r="AM238" s="1945"/>
    </row>
    <row r="239" spans="1:62" s="58" customFormat="1" ht="21" hidden="1" customHeight="1">
      <c r="B239" s="2154" t="s">
        <v>738</v>
      </c>
      <c r="C239" s="1777"/>
      <c r="D239" s="1777"/>
      <c r="E239" s="1777"/>
      <c r="F239" s="1777"/>
      <c r="G239" s="1777"/>
      <c r="H239" s="1777"/>
      <c r="I239" s="1777"/>
      <c r="J239" s="1777"/>
      <c r="K239" s="1777"/>
      <c r="L239" s="1777"/>
      <c r="M239" s="1777"/>
      <c r="N239" s="1777"/>
      <c r="O239" s="1777"/>
      <c r="P239" s="1777"/>
      <c r="Q239" s="1777"/>
      <c r="R239" s="1777"/>
      <c r="S239" s="1777"/>
      <c r="T239" s="1777"/>
      <c r="U239" s="1777"/>
      <c r="V239" s="1777"/>
      <c r="W239" s="1777"/>
      <c r="X239" s="1777"/>
      <c r="Y239" s="1777"/>
      <c r="Z239" s="1777"/>
      <c r="AA239" s="1777"/>
      <c r="AB239" s="1777"/>
      <c r="AC239" s="1777"/>
      <c r="AD239" s="1777"/>
      <c r="AE239" s="1777"/>
      <c r="AF239" s="1777"/>
      <c r="AG239" s="1777"/>
      <c r="AH239" s="1777"/>
      <c r="AI239" s="1777"/>
      <c r="AJ239" s="1777"/>
      <c r="AK239" s="1777"/>
      <c r="AL239" s="1777"/>
      <c r="AM239" s="1778"/>
    </row>
    <row r="240" spans="1:62" s="58" customFormat="1" ht="54" hidden="1" customHeight="1">
      <c r="B240" s="2064" t="s">
        <v>739</v>
      </c>
      <c r="C240" s="1777"/>
      <c r="D240" s="1777"/>
      <c r="E240" s="1777"/>
      <c r="F240" s="1777"/>
      <c r="G240" s="1777"/>
      <c r="H240" s="1777"/>
      <c r="I240" s="1777"/>
      <c r="J240" s="1777"/>
      <c r="K240" s="1777"/>
      <c r="L240" s="1777"/>
      <c r="M240" s="1777"/>
      <c r="N240" s="1778"/>
      <c r="O240" s="1973" t="s">
        <v>740</v>
      </c>
      <c r="P240" s="1777"/>
      <c r="Q240" s="1777"/>
      <c r="R240" s="1777"/>
      <c r="S240" s="1777"/>
      <c r="T240" s="1777"/>
      <c r="U240" s="1777"/>
      <c r="V240" s="1777"/>
      <c r="W240" s="1777"/>
      <c r="X240" s="1777"/>
      <c r="Y240" s="1777"/>
      <c r="Z240" s="1777"/>
      <c r="AA240" s="1777"/>
      <c r="AB240" s="1777"/>
      <c r="AC240" s="1777"/>
      <c r="AD240" s="1777"/>
      <c r="AE240" s="1778"/>
      <c r="AF240" s="2064" t="s">
        <v>741</v>
      </c>
      <c r="AG240" s="1777"/>
      <c r="AH240" s="1778"/>
      <c r="AI240" s="2173" t="s">
        <v>742</v>
      </c>
      <c r="AJ240" s="1777"/>
      <c r="AK240" s="1777"/>
      <c r="AL240" s="1777"/>
      <c r="AM240" s="1778"/>
    </row>
    <row r="241" spans="1:62" s="58" customFormat="1" ht="18" hidden="1" customHeight="1">
      <c r="B241" s="1921"/>
      <c r="C241" s="1861"/>
      <c r="D241" s="1861"/>
      <c r="E241" s="1861"/>
      <c r="F241" s="1861"/>
      <c r="G241" s="1861"/>
      <c r="H241" s="1861"/>
      <c r="I241" s="1861"/>
      <c r="J241" s="1861"/>
      <c r="K241" s="1861"/>
      <c r="L241" s="1861"/>
      <c r="M241" s="1861"/>
      <c r="N241" s="1862"/>
      <c r="O241" s="1921"/>
      <c r="P241" s="1861"/>
      <c r="Q241" s="1861"/>
      <c r="R241" s="1861"/>
      <c r="S241" s="1861"/>
      <c r="T241" s="1861"/>
      <c r="U241" s="1861"/>
      <c r="V241" s="1861"/>
      <c r="W241" s="1861"/>
      <c r="X241" s="1861"/>
      <c r="Y241" s="1861"/>
      <c r="Z241" s="1861"/>
      <c r="AA241" s="1861"/>
      <c r="AB241" s="1861"/>
      <c r="AC241" s="1861"/>
      <c r="AD241" s="1861"/>
      <c r="AE241" s="1862"/>
      <c r="AF241" s="1873"/>
      <c r="AG241" s="1861"/>
      <c r="AH241" s="1862"/>
      <c r="AI241" s="2045"/>
      <c r="AJ241" s="1861"/>
      <c r="AK241" s="1861"/>
      <c r="AL241" s="1861"/>
      <c r="AM241" s="1862"/>
    </row>
    <row r="242" spans="1:62" s="58" customFormat="1" ht="18" hidden="1" customHeight="1">
      <c r="B242" s="1921"/>
      <c r="C242" s="1861"/>
      <c r="D242" s="1861"/>
      <c r="E242" s="1861"/>
      <c r="F242" s="1861"/>
      <c r="G242" s="1861"/>
      <c r="H242" s="1861"/>
      <c r="I242" s="1861"/>
      <c r="J242" s="1861"/>
      <c r="K242" s="1861"/>
      <c r="L242" s="1861"/>
      <c r="M242" s="1861"/>
      <c r="N242" s="1862"/>
      <c r="O242" s="1921"/>
      <c r="P242" s="1861"/>
      <c r="Q242" s="1861"/>
      <c r="R242" s="1861"/>
      <c r="S242" s="1861"/>
      <c r="T242" s="1861"/>
      <c r="U242" s="1861"/>
      <c r="V242" s="1861"/>
      <c r="W242" s="1861"/>
      <c r="X242" s="1861"/>
      <c r="Y242" s="1861"/>
      <c r="Z242" s="1861"/>
      <c r="AA242" s="1861"/>
      <c r="AB242" s="1861"/>
      <c r="AC242" s="1861"/>
      <c r="AD242" s="1861"/>
      <c r="AE242" s="1862"/>
      <c r="AF242" s="1873"/>
      <c r="AG242" s="1861"/>
      <c r="AH242" s="1862"/>
      <c r="AI242" s="2045"/>
      <c r="AJ242" s="1861"/>
      <c r="AK242" s="1861"/>
      <c r="AL242" s="1861"/>
      <c r="AM242" s="1862"/>
    </row>
    <row r="243" spans="1:62" s="58" customFormat="1" ht="18" hidden="1" customHeight="1">
      <c r="B243" s="1921"/>
      <c r="C243" s="1861"/>
      <c r="D243" s="1861"/>
      <c r="E243" s="1861"/>
      <c r="F243" s="1861"/>
      <c r="G243" s="1861"/>
      <c r="H243" s="1861"/>
      <c r="I243" s="1861"/>
      <c r="J243" s="1861"/>
      <c r="K243" s="1861"/>
      <c r="L243" s="1861"/>
      <c r="M243" s="1861"/>
      <c r="N243" s="1862"/>
      <c r="O243" s="1921"/>
      <c r="P243" s="1861"/>
      <c r="Q243" s="1861"/>
      <c r="R243" s="1861"/>
      <c r="S243" s="1861"/>
      <c r="T243" s="1861"/>
      <c r="U243" s="1861"/>
      <c r="V243" s="1861"/>
      <c r="W243" s="1861"/>
      <c r="X243" s="1861"/>
      <c r="Y243" s="1861"/>
      <c r="Z243" s="1861"/>
      <c r="AA243" s="1861"/>
      <c r="AB243" s="1861"/>
      <c r="AC243" s="1861"/>
      <c r="AD243" s="1861"/>
      <c r="AE243" s="1862"/>
      <c r="AF243" s="1873"/>
      <c r="AG243" s="1861"/>
      <c r="AH243" s="1862"/>
      <c r="AI243" s="2045"/>
      <c r="AJ243" s="1861"/>
      <c r="AK243" s="1861"/>
      <c r="AL243" s="1861"/>
      <c r="AM243" s="1862"/>
    </row>
    <row r="244" spans="1:62" s="58" customFormat="1" ht="18" hidden="1" customHeight="1">
      <c r="B244" s="1921"/>
      <c r="C244" s="1861"/>
      <c r="D244" s="1861"/>
      <c r="E244" s="1861"/>
      <c r="F244" s="1861"/>
      <c r="G244" s="1861"/>
      <c r="H244" s="1861"/>
      <c r="I244" s="1861"/>
      <c r="J244" s="1861"/>
      <c r="K244" s="1861"/>
      <c r="L244" s="1861"/>
      <c r="M244" s="1861"/>
      <c r="N244" s="1862"/>
      <c r="O244" s="1921"/>
      <c r="P244" s="1861"/>
      <c r="Q244" s="1861"/>
      <c r="R244" s="1861"/>
      <c r="S244" s="1861"/>
      <c r="T244" s="1861"/>
      <c r="U244" s="1861"/>
      <c r="V244" s="1861"/>
      <c r="W244" s="1861"/>
      <c r="X244" s="1861"/>
      <c r="Y244" s="1861"/>
      <c r="Z244" s="1861"/>
      <c r="AA244" s="1861"/>
      <c r="AB244" s="1861"/>
      <c r="AC244" s="1861"/>
      <c r="AD244" s="1861"/>
      <c r="AE244" s="1862"/>
      <c r="AF244" s="1873"/>
      <c r="AG244" s="1861"/>
      <c r="AH244" s="1862"/>
      <c r="AI244" s="2045"/>
      <c r="AJ244" s="1861"/>
      <c r="AK244" s="1861"/>
      <c r="AL244" s="1861"/>
      <c r="AM244" s="1862"/>
    </row>
    <row r="245" spans="1:62" s="58" customFormat="1" ht="18" hidden="1" customHeight="1">
      <c r="B245" s="1921"/>
      <c r="C245" s="1861"/>
      <c r="D245" s="1861"/>
      <c r="E245" s="1861"/>
      <c r="F245" s="1861"/>
      <c r="G245" s="1861"/>
      <c r="H245" s="1861"/>
      <c r="I245" s="1861"/>
      <c r="J245" s="1861"/>
      <c r="K245" s="1861"/>
      <c r="L245" s="1861"/>
      <c r="M245" s="1861"/>
      <c r="N245" s="1862"/>
      <c r="O245" s="1921"/>
      <c r="P245" s="1861"/>
      <c r="Q245" s="1861"/>
      <c r="R245" s="1861"/>
      <c r="S245" s="1861"/>
      <c r="T245" s="1861"/>
      <c r="U245" s="1861"/>
      <c r="V245" s="1861"/>
      <c r="W245" s="1861"/>
      <c r="X245" s="1861"/>
      <c r="Y245" s="1861"/>
      <c r="Z245" s="1861"/>
      <c r="AA245" s="1861"/>
      <c r="AB245" s="1861"/>
      <c r="AC245" s="1861"/>
      <c r="AD245" s="1861"/>
      <c r="AE245" s="1862"/>
      <c r="AF245" s="1873"/>
      <c r="AG245" s="1861"/>
      <c r="AH245" s="1862"/>
      <c r="AI245" s="2045"/>
      <c r="AJ245" s="1861"/>
      <c r="AK245" s="1861"/>
      <c r="AL245" s="1861"/>
      <c r="AM245" s="1862"/>
    </row>
    <row r="246" spans="1:62" s="58" customFormat="1" ht="18" hidden="1" customHeight="1">
      <c r="B246" s="1921"/>
      <c r="C246" s="1861"/>
      <c r="D246" s="1861"/>
      <c r="E246" s="1861"/>
      <c r="F246" s="1861"/>
      <c r="G246" s="1861"/>
      <c r="H246" s="1861"/>
      <c r="I246" s="1861"/>
      <c r="J246" s="1861"/>
      <c r="K246" s="1861"/>
      <c r="L246" s="1861"/>
      <c r="M246" s="1861"/>
      <c r="N246" s="1862"/>
      <c r="O246" s="1921"/>
      <c r="P246" s="1861"/>
      <c r="Q246" s="1861"/>
      <c r="R246" s="1861"/>
      <c r="S246" s="1861"/>
      <c r="T246" s="1861"/>
      <c r="U246" s="1861"/>
      <c r="V246" s="1861"/>
      <c r="W246" s="1861"/>
      <c r="X246" s="1861"/>
      <c r="Y246" s="1861"/>
      <c r="Z246" s="1861"/>
      <c r="AA246" s="1861"/>
      <c r="AB246" s="1861"/>
      <c r="AC246" s="1861"/>
      <c r="AD246" s="1861"/>
      <c r="AE246" s="1862"/>
      <c r="AF246" s="1873"/>
      <c r="AG246" s="1861"/>
      <c r="AH246" s="1862"/>
      <c r="AI246" s="2045"/>
      <c r="AJ246" s="1861"/>
      <c r="AK246" s="1861"/>
      <c r="AL246" s="1861"/>
      <c r="AM246" s="1862"/>
    </row>
    <row r="247" spans="1:62" s="58" customFormat="1" ht="18" hidden="1" customHeight="1">
      <c r="B247" s="1921"/>
      <c r="C247" s="1861"/>
      <c r="D247" s="1861"/>
      <c r="E247" s="1861"/>
      <c r="F247" s="1861"/>
      <c r="G247" s="1861"/>
      <c r="H247" s="1861"/>
      <c r="I247" s="1861"/>
      <c r="J247" s="1861"/>
      <c r="K247" s="1861"/>
      <c r="L247" s="1861"/>
      <c r="M247" s="1861"/>
      <c r="N247" s="1862"/>
      <c r="O247" s="1921"/>
      <c r="P247" s="1861"/>
      <c r="Q247" s="1861"/>
      <c r="R247" s="1861"/>
      <c r="S247" s="1861"/>
      <c r="T247" s="1861"/>
      <c r="U247" s="1861"/>
      <c r="V247" s="1861"/>
      <c r="W247" s="1861"/>
      <c r="X247" s="1861"/>
      <c r="Y247" s="1861"/>
      <c r="Z247" s="1861"/>
      <c r="AA247" s="1861"/>
      <c r="AB247" s="1861"/>
      <c r="AC247" s="1861"/>
      <c r="AD247" s="1861"/>
      <c r="AE247" s="1862"/>
      <c r="AF247" s="1873"/>
      <c r="AG247" s="1861"/>
      <c r="AH247" s="1862"/>
      <c r="AI247" s="2045"/>
      <c r="AJ247" s="1861"/>
      <c r="AK247" s="1861"/>
      <c r="AL247" s="1861"/>
      <c r="AM247" s="1862"/>
    </row>
    <row r="248" spans="1:62" s="58" customFormat="1" ht="18" hidden="1" customHeight="1">
      <c r="B248" s="1921"/>
      <c r="C248" s="1861"/>
      <c r="D248" s="1861"/>
      <c r="E248" s="1861"/>
      <c r="F248" s="1861"/>
      <c r="G248" s="1861"/>
      <c r="H248" s="1861"/>
      <c r="I248" s="1861"/>
      <c r="J248" s="1861"/>
      <c r="K248" s="1861"/>
      <c r="L248" s="1861"/>
      <c r="M248" s="1861"/>
      <c r="N248" s="1862"/>
      <c r="O248" s="1921"/>
      <c r="P248" s="1861"/>
      <c r="Q248" s="1861"/>
      <c r="R248" s="1861"/>
      <c r="S248" s="1861"/>
      <c r="T248" s="1861"/>
      <c r="U248" s="1861"/>
      <c r="V248" s="1861"/>
      <c r="W248" s="1861"/>
      <c r="X248" s="1861"/>
      <c r="Y248" s="1861"/>
      <c r="Z248" s="1861"/>
      <c r="AA248" s="1861"/>
      <c r="AB248" s="1861"/>
      <c r="AC248" s="1861"/>
      <c r="AD248" s="1861"/>
      <c r="AE248" s="1862"/>
      <c r="AF248" s="1873"/>
      <c r="AG248" s="1861"/>
      <c r="AH248" s="1862"/>
      <c r="AI248" s="2045"/>
      <c r="AJ248" s="1861"/>
      <c r="AK248" s="1861"/>
      <c r="AL248" s="1861"/>
      <c r="AM248" s="1862"/>
    </row>
    <row r="249" spans="1:62" s="58" customFormat="1" ht="18" hidden="1" customHeight="1">
      <c r="B249" s="1921"/>
      <c r="C249" s="1861"/>
      <c r="D249" s="1861"/>
      <c r="E249" s="1861"/>
      <c r="F249" s="1861"/>
      <c r="G249" s="1861"/>
      <c r="H249" s="1861"/>
      <c r="I249" s="1861"/>
      <c r="J249" s="1861"/>
      <c r="K249" s="1861"/>
      <c r="L249" s="1861"/>
      <c r="M249" s="1861"/>
      <c r="N249" s="1862"/>
      <c r="O249" s="1921"/>
      <c r="P249" s="1861"/>
      <c r="Q249" s="1861"/>
      <c r="R249" s="1861"/>
      <c r="S249" s="1861"/>
      <c r="T249" s="1861"/>
      <c r="U249" s="1861"/>
      <c r="V249" s="1861"/>
      <c r="W249" s="1861"/>
      <c r="X249" s="1861"/>
      <c r="Y249" s="1861"/>
      <c r="Z249" s="1861"/>
      <c r="AA249" s="1861"/>
      <c r="AB249" s="1861"/>
      <c r="AC249" s="1861"/>
      <c r="AD249" s="1861"/>
      <c r="AE249" s="1862"/>
      <c r="AF249" s="1873"/>
      <c r="AG249" s="1861"/>
      <c r="AH249" s="1862"/>
      <c r="AI249" s="2045"/>
      <c r="AJ249" s="1861"/>
      <c r="AK249" s="1861"/>
      <c r="AL249" s="1861"/>
      <c r="AM249" s="1862"/>
    </row>
    <row r="250" spans="1:62" s="58" customFormat="1" ht="18" hidden="1" customHeight="1">
      <c r="B250" s="1921"/>
      <c r="C250" s="1861"/>
      <c r="D250" s="1861"/>
      <c r="E250" s="1861"/>
      <c r="F250" s="1861"/>
      <c r="G250" s="1861"/>
      <c r="H250" s="1861"/>
      <c r="I250" s="1861"/>
      <c r="J250" s="1861"/>
      <c r="K250" s="1861"/>
      <c r="L250" s="1861"/>
      <c r="M250" s="1861"/>
      <c r="N250" s="1862"/>
      <c r="O250" s="1921"/>
      <c r="P250" s="1861"/>
      <c r="Q250" s="1861"/>
      <c r="R250" s="1861"/>
      <c r="S250" s="1861"/>
      <c r="T250" s="1861"/>
      <c r="U250" s="1861"/>
      <c r="V250" s="1861"/>
      <c r="W250" s="1861"/>
      <c r="X250" s="1861"/>
      <c r="Y250" s="1861"/>
      <c r="Z250" s="1861"/>
      <c r="AA250" s="1861"/>
      <c r="AB250" s="1861"/>
      <c r="AC250" s="1861"/>
      <c r="AD250" s="1861"/>
      <c r="AE250" s="1862"/>
      <c r="AF250" s="1873"/>
      <c r="AG250" s="1861"/>
      <c r="AH250" s="1862"/>
      <c r="AI250" s="2045"/>
      <c r="AJ250" s="1861"/>
      <c r="AK250" s="1861"/>
      <c r="AL250" s="1861"/>
      <c r="AM250" s="1862"/>
    </row>
    <row r="251" spans="1:62" s="58" customFormat="1" ht="18" hidden="1" customHeight="1">
      <c r="B251" s="1921"/>
      <c r="C251" s="1861"/>
      <c r="D251" s="1861"/>
      <c r="E251" s="1861"/>
      <c r="F251" s="1861"/>
      <c r="G251" s="1861"/>
      <c r="H251" s="1861"/>
      <c r="I251" s="1861"/>
      <c r="J251" s="1861"/>
      <c r="K251" s="1861"/>
      <c r="L251" s="1861"/>
      <c r="M251" s="1861"/>
      <c r="N251" s="1862"/>
      <c r="O251" s="1921"/>
      <c r="P251" s="1861"/>
      <c r="Q251" s="1861"/>
      <c r="R251" s="1861"/>
      <c r="S251" s="1861"/>
      <c r="T251" s="1861"/>
      <c r="U251" s="1861"/>
      <c r="V251" s="1861"/>
      <c r="W251" s="1861"/>
      <c r="X251" s="1861"/>
      <c r="Y251" s="1861"/>
      <c r="Z251" s="1861"/>
      <c r="AA251" s="1861"/>
      <c r="AB251" s="1861"/>
      <c r="AC251" s="1861"/>
      <c r="AD251" s="1861"/>
      <c r="AE251" s="1862"/>
      <c r="AF251" s="1873"/>
      <c r="AG251" s="1861"/>
      <c r="AH251" s="1862"/>
      <c r="AI251" s="2045"/>
      <c r="AJ251" s="1861"/>
      <c r="AK251" s="1861"/>
      <c r="AL251" s="1861"/>
      <c r="AM251" s="1862"/>
    </row>
    <row r="252" spans="1:62" s="58" customFormat="1" ht="6" hidden="1" customHeight="1"/>
    <row r="253" spans="1:62" s="58" customFormat="1" ht="119.25" hidden="1" customHeight="1">
      <c r="B253" s="1867" t="s">
        <v>558</v>
      </c>
      <c r="C253" s="1777"/>
      <c r="D253" s="1778"/>
      <c r="E253" s="1882" t="str">
        <f>'Document Checklist-Full List'!$E$33</f>
        <v>3. Rural Status Determination</v>
      </c>
      <c r="F253" s="1777"/>
      <c r="G253" s="1777"/>
      <c r="H253" s="1777"/>
      <c r="I253" s="1777"/>
      <c r="J253" s="1777"/>
      <c r="K253" s="1777"/>
      <c r="L253" s="1777"/>
      <c r="M253" s="1778"/>
      <c r="N253" s="1962" t="str">
        <f>'Document Checklist-Full List'!$N$33</f>
        <v>The California Tax Credit Allocation Committee (TCAC) uses a statutory definition of “rural area” under Health and Safety Code § 50199.21 to determine whether a project site qualifies as rural.</v>
      </c>
      <c r="O253" s="1777"/>
      <c r="P253" s="1777"/>
      <c r="Q253" s="1777"/>
      <c r="R253" s="1777"/>
      <c r="S253" s="1777"/>
      <c r="T253" s="1777"/>
      <c r="U253" s="1777"/>
      <c r="V253" s="1777"/>
      <c r="W253" s="1777"/>
      <c r="X253" s="1777"/>
      <c r="Y253" s="1777"/>
      <c r="Z253" s="1777"/>
      <c r="AA253" s="1777"/>
      <c r="AB253" s="1777"/>
      <c r="AC253" s="1777"/>
      <c r="AD253" s="1777"/>
      <c r="AE253" s="1778"/>
      <c r="AF253" s="1982" t="s">
        <v>559</v>
      </c>
      <c r="AG253" s="1777"/>
      <c r="AH253" s="1777"/>
      <c r="AI253" s="1777"/>
      <c r="AJ253" s="1777"/>
      <c r="AK253" s="1778"/>
      <c r="AL253" s="1872"/>
      <c r="AM253" s="1862"/>
    </row>
    <row r="254" spans="1:62" s="58" customFormat="1" ht="54" hidden="1" customHeight="1">
      <c r="B254" s="1977" t="s">
        <v>743</v>
      </c>
      <c r="C254" s="1953"/>
      <c r="D254" s="1953"/>
      <c r="E254" s="1953"/>
      <c r="F254" s="1953"/>
      <c r="G254" s="1953"/>
      <c r="H254" s="1953"/>
      <c r="I254" s="1953"/>
      <c r="J254" s="1953"/>
      <c r="K254" s="1953"/>
      <c r="L254" s="1953"/>
      <c r="M254" s="1953"/>
      <c r="N254" s="1953"/>
      <c r="O254" s="1953"/>
      <c r="P254" s="1953"/>
      <c r="Q254" s="1953"/>
      <c r="R254" s="1953"/>
      <c r="S254" s="1953"/>
      <c r="T254" s="1953"/>
      <c r="U254" s="1953"/>
      <c r="V254" s="1953"/>
      <c r="W254" s="1953"/>
      <c r="X254" s="1953"/>
      <c r="Y254" s="1953"/>
      <c r="Z254" s="1953"/>
      <c r="AA254" s="1953"/>
      <c r="AB254" s="1953"/>
      <c r="AC254" s="1953"/>
      <c r="AD254" s="1953"/>
      <c r="AE254" s="1953"/>
      <c r="AF254" s="1953"/>
      <c r="AG254" s="1953"/>
      <c r="AH254" s="1953"/>
      <c r="AI254" s="1953"/>
      <c r="AJ254" s="1953"/>
      <c r="AK254" s="1953"/>
      <c r="AL254" s="1953"/>
      <c r="AM254" s="1953"/>
    </row>
    <row r="255" spans="1:62" s="58" customFormat="1" ht="18" hidden="1" customHeight="1"/>
    <row r="256" spans="1:62" s="476" customFormat="1" ht="18" hidden="1" customHeight="1">
      <c r="A256" s="426"/>
      <c r="B256" s="2401" t="s">
        <v>744</v>
      </c>
      <c r="C256" s="1953"/>
      <c r="D256" s="1953"/>
      <c r="E256" s="1953"/>
      <c r="F256" s="1953"/>
      <c r="G256" s="1953"/>
      <c r="H256" s="1953"/>
      <c r="I256" s="2408" t="s">
        <v>745</v>
      </c>
      <c r="J256" s="1777"/>
      <c r="K256" s="1777"/>
      <c r="L256" s="1777"/>
      <c r="M256" s="1777"/>
      <c r="N256" s="1777"/>
      <c r="O256" s="1778"/>
      <c r="P256" s="1893"/>
      <c r="Q256" s="1861"/>
      <c r="R256" s="1861"/>
      <c r="S256" s="1861"/>
      <c r="T256" s="1861"/>
      <c r="U256" s="1861"/>
      <c r="V256" s="1861"/>
      <c r="W256" s="1861"/>
      <c r="X256" s="1861"/>
      <c r="Y256" s="1861"/>
      <c r="Z256" s="1861"/>
      <c r="AA256" s="1861"/>
      <c r="AB256" s="1861"/>
      <c r="AC256" s="1861"/>
      <c r="AD256" s="1861"/>
      <c r="AE256" s="1861"/>
      <c r="AF256" s="1861"/>
      <c r="AG256" s="1861"/>
      <c r="AH256" s="1861"/>
      <c r="AI256" s="1861"/>
      <c r="AJ256" s="1861"/>
      <c r="AK256" s="1861"/>
      <c r="AL256" s="1861"/>
      <c r="AM256" s="1862"/>
      <c r="AN256" s="58"/>
      <c r="AO256" s="426"/>
      <c r="AQ256" s="57"/>
      <c r="AR256" s="57"/>
      <c r="AS256" s="57"/>
      <c r="AT256" s="57"/>
      <c r="AU256" s="57"/>
      <c r="AV256" s="57"/>
      <c r="AW256" s="57"/>
      <c r="AX256" s="57"/>
      <c r="AY256" s="57"/>
      <c r="AZ256" s="57"/>
      <c r="BA256" s="57"/>
      <c r="BB256" s="57"/>
      <c r="BC256" s="57"/>
      <c r="BD256" s="57"/>
      <c r="BE256" s="57"/>
      <c r="BF256" s="57"/>
      <c r="BG256" s="57"/>
      <c r="BH256" s="57"/>
      <c r="BI256" s="57"/>
      <c r="BJ256" s="57"/>
    </row>
    <row r="257" spans="1:62" s="476" customFormat="1" ht="18" hidden="1" customHeight="1">
      <c r="A257" s="1650"/>
      <c r="B257" s="2354" t="s">
        <v>746</v>
      </c>
      <c r="C257" s="2180"/>
      <c r="D257" s="2180"/>
      <c r="E257" s="2180"/>
      <c r="F257" s="2180"/>
      <c r="G257" s="2180"/>
      <c r="H257" s="2180"/>
      <c r="I257" s="2180"/>
      <c r="J257" s="2027"/>
      <c r="K257" s="1861"/>
      <c r="L257" s="1861"/>
      <c r="M257" s="1861"/>
      <c r="N257" s="1861"/>
      <c r="O257" s="1861"/>
      <c r="P257" s="1861"/>
      <c r="Q257" s="1861"/>
      <c r="R257" s="1861"/>
      <c r="S257" s="1861"/>
      <c r="T257" s="1861"/>
      <c r="U257" s="1861"/>
      <c r="V257" s="1861"/>
      <c r="W257" s="1861"/>
      <c r="X257" s="1861"/>
      <c r="Y257" s="1862"/>
      <c r="Z257" s="2293" t="s">
        <v>747</v>
      </c>
      <c r="AA257" s="1777"/>
      <c r="AB257" s="1777"/>
      <c r="AC257" s="1777"/>
      <c r="AD257" s="1778"/>
      <c r="AE257" s="2082"/>
      <c r="AF257" s="1861"/>
      <c r="AG257" s="1861"/>
      <c r="AH257" s="1861"/>
      <c r="AI257" s="1861"/>
      <c r="AJ257" s="1861"/>
      <c r="AK257" s="1861"/>
      <c r="AL257" s="1861"/>
      <c r="AM257" s="1862"/>
      <c r="AN257" s="58"/>
      <c r="AQ257" s="57"/>
      <c r="AR257" s="57"/>
      <c r="AS257" s="57"/>
      <c r="AT257" s="57"/>
      <c r="AU257" s="57"/>
      <c r="AV257" s="57"/>
      <c r="AW257" s="57"/>
      <c r="AX257" s="57"/>
      <c r="AY257" s="57"/>
      <c r="AZ257" s="57"/>
      <c r="BA257" s="57"/>
      <c r="BB257" s="57"/>
      <c r="BC257" s="57"/>
      <c r="BD257" s="57"/>
      <c r="BE257" s="57"/>
      <c r="BF257" s="57"/>
      <c r="BG257" s="57"/>
      <c r="BH257" s="57"/>
      <c r="BI257" s="57"/>
      <c r="BJ257" s="57"/>
    </row>
    <row r="258" spans="1:62" s="476" customFormat="1" ht="54" hidden="1" customHeight="1">
      <c r="A258" s="426"/>
      <c r="B258" s="2260" t="s">
        <v>748</v>
      </c>
      <c r="C258" s="2180"/>
      <c r="D258" s="2180"/>
      <c r="E258" s="2180"/>
      <c r="F258" s="2180"/>
      <c r="G258" s="2180"/>
      <c r="H258" s="2180"/>
      <c r="I258" s="2180"/>
      <c r="J258" s="2180"/>
      <c r="K258" s="2180"/>
      <c r="L258" s="2180"/>
      <c r="M258" s="2180"/>
      <c r="N258" s="2180"/>
      <c r="O258" s="2180"/>
      <c r="P258" s="2180"/>
      <c r="Q258" s="2180"/>
      <c r="R258" s="2180"/>
      <c r="S258" s="2180"/>
      <c r="T258" s="2180"/>
      <c r="U258" s="2180"/>
      <c r="V258" s="2180"/>
      <c r="W258" s="2180"/>
      <c r="X258" s="2180"/>
      <c r="Y258" s="2180"/>
      <c r="Z258" s="2180"/>
      <c r="AA258" s="2180"/>
      <c r="AB258" s="2180"/>
      <c r="AC258" s="2180"/>
      <c r="AD258" s="2180"/>
      <c r="AE258" s="2180"/>
      <c r="AF258" s="2180"/>
      <c r="AG258" s="2180"/>
      <c r="AH258" s="2180"/>
      <c r="AI258" s="2180"/>
      <c r="AJ258" s="2180"/>
      <c r="AK258" s="1889"/>
      <c r="AL258" s="1872"/>
      <c r="AM258" s="1862"/>
      <c r="AN258" s="58"/>
      <c r="AO258" s="426"/>
      <c r="AQ258" s="57"/>
      <c r="AT258" s="57"/>
      <c r="AU258" s="57"/>
      <c r="AV258" s="57"/>
      <c r="AW258" s="57"/>
      <c r="AX258" s="57"/>
      <c r="AY258" s="57"/>
      <c r="AZ258" s="57"/>
      <c r="BA258" s="57"/>
      <c r="BB258" s="57"/>
      <c r="BC258" s="57"/>
      <c r="BD258" s="57"/>
      <c r="BE258" s="57"/>
      <c r="BF258" s="57"/>
      <c r="BG258" s="57"/>
      <c r="BH258" s="57"/>
      <c r="BI258" s="57"/>
      <c r="BJ258" s="57"/>
    </row>
    <row r="259" spans="1:62" s="58" customFormat="1" ht="54" hidden="1" customHeight="1">
      <c r="B259" s="2173" t="s">
        <v>749</v>
      </c>
      <c r="C259" s="1777"/>
      <c r="D259" s="1777"/>
      <c r="E259" s="1777"/>
      <c r="F259" s="1777"/>
      <c r="G259" s="1777"/>
      <c r="H259" s="1777"/>
      <c r="I259" s="1777"/>
      <c r="J259" s="1777"/>
      <c r="K259" s="1777"/>
      <c r="L259" s="1777"/>
      <c r="M259" s="1777"/>
      <c r="N259" s="1777"/>
      <c r="O259" s="1777"/>
      <c r="P259" s="1777"/>
      <c r="Q259" s="1777"/>
      <c r="R259" s="1777"/>
      <c r="S259" s="1777"/>
      <c r="T259" s="1777"/>
      <c r="U259" s="1777"/>
      <c r="V259" s="1777"/>
      <c r="W259" s="1777"/>
      <c r="X259" s="1777"/>
      <c r="Y259" s="1777"/>
      <c r="Z259" s="1777"/>
      <c r="AA259" s="1777"/>
      <c r="AB259" s="1777"/>
      <c r="AC259" s="1777"/>
      <c r="AD259" s="1777"/>
      <c r="AE259" s="1777"/>
      <c r="AF259" s="1777"/>
      <c r="AG259" s="1777"/>
      <c r="AH259" s="1777"/>
      <c r="AI259" s="1777"/>
      <c r="AJ259" s="1777"/>
      <c r="AK259" s="1778"/>
      <c r="AL259" s="1872"/>
      <c r="AM259" s="1862"/>
      <c r="AO259" s="136"/>
    </row>
    <row r="260" spans="1:62" s="58" customFormat="1" ht="18" hidden="1" customHeight="1">
      <c r="B260" s="2029" t="s">
        <v>750</v>
      </c>
      <c r="C260" s="1777"/>
      <c r="D260" s="1777"/>
      <c r="E260" s="1777"/>
      <c r="F260" s="1777"/>
      <c r="G260" s="1777"/>
      <c r="H260" s="1777"/>
      <c r="I260" s="1778"/>
      <c r="J260" s="2306"/>
      <c r="K260" s="1861"/>
      <c r="L260" s="1861"/>
      <c r="M260" s="1861"/>
      <c r="N260" s="1861"/>
      <c r="O260" s="1861"/>
      <c r="P260" s="1861"/>
      <c r="Q260" s="1861"/>
      <c r="R260" s="1861"/>
      <c r="S260" s="1861"/>
      <c r="T260" s="1861"/>
      <c r="U260" s="1861"/>
      <c r="V260" s="1861"/>
      <c r="W260" s="1861"/>
      <c r="X260" s="1861"/>
      <c r="Y260" s="1861"/>
      <c r="Z260" s="1861"/>
      <c r="AA260" s="1861"/>
      <c r="AB260" s="1861"/>
      <c r="AC260" s="1861"/>
      <c r="AD260" s="1861"/>
      <c r="AE260" s="1861"/>
      <c r="AF260" s="1861"/>
      <c r="AG260" s="1861"/>
      <c r="AH260" s="1861"/>
      <c r="AI260" s="1861"/>
      <c r="AJ260" s="1861"/>
      <c r="AK260" s="1861"/>
      <c r="AL260" s="1861"/>
      <c r="AM260" s="1862"/>
    </row>
    <row r="261" spans="1:62" s="58" customFormat="1" ht="54" hidden="1" customHeight="1">
      <c r="B261" s="2173" t="s">
        <v>751</v>
      </c>
      <c r="C261" s="1777"/>
      <c r="D261" s="1777"/>
      <c r="E261" s="1777"/>
      <c r="F261" s="1777"/>
      <c r="G261" s="1777"/>
      <c r="H261" s="1777"/>
      <c r="I261" s="1777"/>
      <c r="J261" s="1777"/>
      <c r="K261" s="1777"/>
      <c r="L261" s="1777"/>
      <c r="M261" s="1777"/>
      <c r="N261" s="1777"/>
      <c r="O261" s="1777"/>
      <c r="P261" s="1777"/>
      <c r="Q261" s="1777"/>
      <c r="R261" s="1777"/>
      <c r="S261" s="1777"/>
      <c r="T261" s="1777"/>
      <c r="U261" s="1777"/>
      <c r="V261" s="1777"/>
      <c r="W261" s="1777"/>
      <c r="X261" s="1777"/>
      <c r="Y261" s="1777"/>
      <c r="Z261" s="1777"/>
      <c r="AA261" s="1777"/>
      <c r="AB261" s="1777"/>
      <c r="AC261" s="1777"/>
      <c r="AD261" s="1777"/>
      <c r="AE261" s="1777"/>
      <c r="AF261" s="1777"/>
      <c r="AG261" s="1777"/>
      <c r="AH261" s="1777"/>
      <c r="AI261" s="1777"/>
      <c r="AJ261" s="1777"/>
      <c r="AK261" s="1778"/>
      <c r="AL261" s="1872"/>
      <c r="AM261" s="1862"/>
    </row>
    <row r="262" spans="1:62" s="58" customFormat="1" ht="18" hidden="1" customHeight="1">
      <c r="B262" s="2029" t="s">
        <v>752</v>
      </c>
      <c r="C262" s="1777"/>
      <c r="D262" s="1777"/>
      <c r="E262" s="1777"/>
      <c r="F262" s="1777"/>
      <c r="G262" s="1777"/>
      <c r="H262" s="1777"/>
      <c r="I262" s="1778"/>
      <c r="J262" s="2306"/>
      <c r="K262" s="1861"/>
      <c r="L262" s="1861"/>
      <c r="M262" s="1861"/>
      <c r="N262" s="1861"/>
      <c r="O262" s="1861"/>
      <c r="P262" s="1861"/>
      <c r="Q262" s="1861"/>
      <c r="R262" s="1861"/>
      <c r="S262" s="1861"/>
      <c r="T262" s="1861"/>
      <c r="U262" s="1861"/>
      <c r="V262" s="1861"/>
      <c r="W262" s="1861"/>
      <c r="X262" s="1861"/>
      <c r="Y262" s="1861"/>
      <c r="Z262" s="1861"/>
      <c r="AA262" s="1861"/>
      <c r="AB262" s="1861"/>
      <c r="AC262" s="1861"/>
      <c r="AD262" s="1861"/>
      <c r="AE262" s="1861"/>
      <c r="AF262" s="1861"/>
      <c r="AG262" s="1861"/>
      <c r="AH262" s="1861"/>
      <c r="AI262" s="1861"/>
      <c r="AJ262" s="1861"/>
      <c r="AK262" s="1861"/>
      <c r="AL262" s="1861"/>
      <c r="AM262" s="1862"/>
    </row>
    <row r="263" spans="1:62" s="58" customFormat="1" ht="18" hidden="1" customHeight="1">
      <c r="B263" s="1942" t="s">
        <v>558</v>
      </c>
      <c r="C263" s="1777"/>
      <c r="D263" s="1778"/>
      <c r="E263" s="2013" t="str">
        <f>'Document Checklist-Full List'!$E$35</f>
        <v>25. Resume Principal</v>
      </c>
      <c r="F263" s="1777"/>
      <c r="G263" s="1777"/>
      <c r="H263" s="1777"/>
      <c r="I263" s="1777"/>
      <c r="J263" s="1777"/>
      <c r="K263" s="1777"/>
      <c r="L263" s="1777"/>
      <c r="M263" s="1778"/>
      <c r="N263" s="2013" t="str">
        <f>'Document Checklist-Full List'!$N$35</f>
        <v>Resume of Principal.</v>
      </c>
      <c r="O263" s="1777"/>
      <c r="P263" s="1777"/>
      <c r="Q263" s="1777"/>
      <c r="R263" s="1777"/>
      <c r="S263" s="1777"/>
      <c r="T263" s="1777"/>
      <c r="U263" s="1777"/>
      <c r="V263" s="1777"/>
      <c r="W263" s="1777"/>
      <c r="X263" s="1777"/>
      <c r="Y263" s="1777"/>
      <c r="Z263" s="1777"/>
      <c r="AA263" s="1777"/>
      <c r="AB263" s="1777"/>
      <c r="AC263" s="1777"/>
      <c r="AD263" s="1777"/>
      <c r="AE263" s="1778"/>
      <c r="AF263" s="1886" t="s">
        <v>559</v>
      </c>
      <c r="AG263" s="1777"/>
      <c r="AH263" s="1777"/>
      <c r="AI263" s="1777"/>
      <c r="AJ263" s="1777"/>
      <c r="AK263" s="1778"/>
      <c r="AL263" s="1911"/>
      <c r="AM263" s="1862"/>
    </row>
    <row r="264" spans="1:62" s="58" customFormat="1" ht="18" hidden="1" customHeight="1">
      <c r="B264" s="1942" t="s">
        <v>558</v>
      </c>
      <c r="C264" s="1777"/>
      <c r="D264" s="1778"/>
      <c r="E264" s="2013" t="str">
        <f>'Document Checklist-Full List'!$E$36</f>
        <v>26. SOQ Principal</v>
      </c>
      <c r="F264" s="1777"/>
      <c r="G264" s="1777"/>
      <c r="H264" s="1777"/>
      <c r="I264" s="1777"/>
      <c r="J264" s="1777"/>
      <c r="K264" s="1777"/>
      <c r="L264" s="1777"/>
      <c r="M264" s="1778"/>
      <c r="N264" s="2013" t="str">
        <f>'Document Checklist-Full List'!$N$36</f>
        <v>Statement of Qualifications of Principal.</v>
      </c>
      <c r="O264" s="1777"/>
      <c r="P264" s="1777"/>
      <c r="Q264" s="1777"/>
      <c r="R264" s="1777"/>
      <c r="S264" s="1777"/>
      <c r="T264" s="1777"/>
      <c r="U264" s="1777"/>
      <c r="V264" s="1777"/>
      <c r="W264" s="1777"/>
      <c r="X264" s="1777"/>
      <c r="Y264" s="1777"/>
      <c r="Z264" s="1777"/>
      <c r="AA264" s="1777"/>
      <c r="AB264" s="1777"/>
      <c r="AC264" s="1777"/>
      <c r="AD264" s="1777"/>
      <c r="AE264" s="1778"/>
      <c r="AF264" s="1886" t="s">
        <v>559</v>
      </c>
      <c r="AG264" s="1777"/>
      <c r="AH264" s="1777"/>
      <c r="AI264" s="1777"/>
      <c r="AJ264" s="1777"/>
      <c r="AK264" s="1778"/>
      <c r="AL264" s="1911"/>
      <c r="AM264" s="1862"/>
    </row>
    <row r="265" spans="1:62" s="58" customFormat="1" ht="54" hidden="1" customHeight="1">
      <c r="B265" s="1942" t="s">
        <v>558</v>
      </c>
      <c r="C265" s="1777"/>
      <c r="D265" s="1778"/>
      <c r="E265" s="2013" t="str">
        <f>'Document Checklist-Full List'!$E$37</f>
        <v>27. Cert of Employment</v>
      </c>
      <c r="F265" s="1777"/>
      <c r="G265" s="1777"/>
      <c r="H265" s="1777"/>
      <c r="I265" s="1777"/>
      <c r="J265" s="1777"/>
      <c r="K265" s="1777"/>
      <c r="L265" s="1777"/>
      <c r="M265" s="1778"/>
      <c r="N265" s="2013" t="str">
        <f>'Document Checklist-Full List'!$N$37</f>
        <v>Certification of Prior Employment Executed by Previous Employer(s), the certification of prior employment must include verification of the projects listed in this section and the corresponding dates of experience.</v>
      </c>
      <c r="O265" s="1777"/>
      <c r="P265" s="1777"/>
      <c r="Q265" s="1777"/>
      <c r="R265" s="1777"/>
      <c r="S265" s="1777"/>
      <c r="T265" s="1777"/>
      <c r="U265" s="1777"/>
      <c r="V265" s="1777"/>
      <c r="W265" s="1777"/>
      <c r="X265" s="1777"/>
      <c r="Y265" s="1777"/>
      <c r="Z265" s="1777"/>
      <c r="AA265" s="1777"/>
      <c r="AB265" s="1777"/>
      <c r="AC265" s="1777"/>
      <c r="AD265" s="1777"/>
      <c r="AE265" s="1778"/>
      <c r="AF265" s="1886" t="s">
        <v>559</v>
      </c>
      <c r="AG265" s="1777"/>
      <c r="AH265" s="1777"/>
      <c r="AI265" s="1777"/>
      <c r="AJ265" s="1777"/>
      <c r="AK265" s="1778"/>
      <c r="AL265" s="1911"/>
      <c r="AM265" s="1862"/>
    </row>
    <row r="266" spans="1:62" s="58" customFormat="1" ht="18" hidden="1" customHeight="1">
      <c r="B266" s="2049" t="s">
        <v>753</v>
      </c>
      <c r="C266" s="1777"/>
      <c r="D266" s="1777"/>
      <c r="E266" s="1777"/>
      <c r="F266" s="1777"/>
      <c r="G266" s="1778"/>
      <c r="H266" s="995"/>
      <c r="I266" s="995"/>
      <c r="J266" s="995"/>
      <c r="K266" s="995"/>
      <c r="L266" s="995"/>
      <c r="M266" s="995"/>
      <c r="N266" s="766"/>
      <c r="O266" s="766"/>
      <c r="P266" s="766"/>
      <c r="Q266" s="766"/>
      <c r="R266" s="766"/>
      <c r="S266" s="766"/>
      <c r="T266" s="766"/>
      <c r="U266" s="766"/>
      <c r="V266" s="766"/>
      <c r="AL266" s="766"/>
      <c r="AM266" s="766"/>
    </row>
    <row r="267" spans="1:62" s="58" customFormat="1" ht="36" hidden="1" customHeight="1">
      <c r="B267" s="2404" t="s">
        <v>754</v>
      </c>
      <c r="C267" s="1777"/>
      <c r="D267" s="1777"/>
      <c r="E267" s="1777"/>
      <c r="F267" s="1777"/>
      <c r="G267" s="1777"/>
      <c r="H267" s="1777"/>
      <c r="I267" s="1777"/>
      <c r="J267" s="1777"/>
      <c r="K267" s="1777"/>
      <c r="L267" s="1777"/>
      <c r="M267" s="1973" t="s">
        <v>597</v>
      </c>
      <c r="N267" s="1777"/>
      <c r="O267" s="1777"/>
      <c r="P267" s="1777"/>
      <c r="Q267" s="1777"/>
      <c r="R267" s="1777"/>
      <c r="S267" s="1778"/>
      <c r="T267" s="1973" t="s">
        <v>598</v>
      </c>
      <c r="U267" s="1777"/>
      <c r="V267" s="1777"/>
      <c r="W267" s="1778"/>
      <c r="X267" s="1973" t="s">
        <v>599</v>
      </c>
      <c r="Y267" s="1777"/>
      <c r="Z267" s="1777"/>
      <c r="AA267" s="1777"/>
      <c r="AB267" s="1778"/>
      <c r="AC267" s="1973" t="s">
        <v>600</v>
      </c>
      <c r="AD267" s="1777"/>
      <c r="AE267" s="1778"/>
      <c r="AF267" s="2064" t="s">
        <v>755</v>
      </c>
      <c r="AG267" s="1777"/>
      <c r="AH267" s="1777"/>
      <c r="AI267" s="1778"/>
      <c r="AJ267" s="2064" t="s">
        <v>602</v>
      </c>
      <c r="AK267" s="1777"/>
      <c r="AL267" s="1777"/>
      <c r="AM267" s="1778"/>
    </row>
    <row r="268" spans="1:62" s="58" customFormat="1" ht="18" hidden="1" customHeight="1">
      <c r="B268" s="1941"/>
      <c r="C268" s="1861"/>
      <c r="D268" s="1861"/>
      <c r="E268" s="1861"/>
      <c r="F268" s="1861"/>
      <c r="G268" s="1861"/>
      <c r="H268" s="1861"/>
      <c r="I268" s="1861"/>
      <c r="J268" s="1861"/>
      <c r="K268" s="1861"/>
      <c r="L268" s="1862"/>
      <c r="M268" s="1941"/>
      <c r="N268" s="1861"/>
      <c r="O268" s="1861"/>
      <c r="P268" s="1861"/>
      <c r="Q268" s="1861"/>
      <c r="R268" s="1861"/>
      <c r="S268" s="1862"/>
      <c r="T268" s="1873"/>
      <c r="U268" s="1861"/>
      <c r="V268" s="1861"/>
      <c r="W268" s="1862"/>
      <c r="X268" s="1873"/>
      <c r="Y268" s="1861"/>
      <c r="Z268" s="1861"/>
      <c r="AA268" s="1861"/>
      <c r="AB268" s="1862"/>
      <c r="AC268" s="1873"/>
      <c r="AD268" s="1861"/>
      <c r="AE268" s="1862"/>
      <c r="AF268" s="2121"/>
      <c r="AG268" s="1861"/>
      <c r="AH268" s="1861"/>
      <c r="AI268" s="1862"/>
      <c r="AJ268" s="2121"/>
      <c r="AK268" s="1861"/>
      <c r="AL268" s="1861"/>
      <c r="AM268" s="1862"/>
    </row>
    <row r="269" spans="1:62" s="58" customFormat="1" ht="18" hidden="1" customHeight="1">
      <c r="B269" s="1941"/>
      <c r="C269" s="1861"/>
      <c r="D269" s="1861"/>
      <c r="E269" s="1861"/>
      <c r="F269" s="1861"/>
      <c r="G269" s="1861"/>
      <c r="H269" s="1861"/>
      <c r="I269" s="1861"/>
      <c r="J269" s="1861"/>
      <c r="K269" s="1861"/>
      <c r="L269" s="1862"/>
      <c r="M269" s="1941"/>
      <c r="N269" s="1861"/>
      <c r="O269" s="1861"/>
      <c r="P269" s="1861"/>
      <c r="Q269" s="1861"/>
      <c r="R269" s="1861"/>
      <c r="S269" s="1862"/>
      <c r="T269" s="1873"/>
      <c r="U269" s="1861"/>
      <c r="V269" s="1861"/>
      <c r="W269" s="1862"/>
      <c r="X269" s="1873"/>
      <c r="Y269" s="1861"/>
      <c r="Z269" s="1861"/>
      <c r="AA269" s="1861"/>
      <c r="AB269" s="1862"/>
      <c r="AC269" s="1873"/>
      <c r="AD269" s="1861"/>
      <c r="AE269" s="1862"/>
      <c r="AF269" s="2121"/>
      <c r="AG269" s="1861"/>
      <c r="AH269" s="1861"/>
      <c r="AI269" s="1862"/>
      <c r="AJ269" s="2121"/>
      <c r="AK269" s="1861"/>
      <c r="AL269" s="1861"/>
      <c r="AM269" s="1862"/>
    </row>
    <row r="270" spans="1:62" s="58" customFormat="1" ht="18" hidden="1" customHeight="1">
      <c r="B270" s="1941"/>
      <c r="C270" s="1861"/>
      <c r="D270" s="1861"/>
      <c r="E270" s="1861"/>
      <c r="F270" s="1861"/>
      <c r="G270" s="1861"/>
      <c r="H270" s="1861"/>
      <c r="I270" s="1861"/>
      <c r="J270" s="1861"/>
      <c r="K270" s="1861"/>
      <c r="L270" s="1862"/>
      <c r="M270" s="1941"/>
      <c r="N270" s="1861"/>
      <c r="O270" s="1861"/>
      <c r="P270" s="1861"/>
      <c r="Q270" s="1861"/>
      <c r="R270" s="1861"/>
      <c r="S270" s="1862"/>
      <c r="T270" s="1873"/>
      <c r="U270" s="1861"/>
      <c r="V270" s="1861"/>
      <c r="W270" s="1862"/>
      <c r="X270" s="1873"/>
      <c r="Y270" s="1861"/>
      <c r="Z270" s="1861"/>
      <c r="AA270" s="1861"/>
      <c r="AB270" s="1862"/>
      <c r="AC270" s="1873"/>
      <c r="AD270" s="1861"/>
      <c r="AE270" s="1862"/>
      <c r="AF270" s="2121"/>
      <c r="AG270" s="1861"/>
      <c r="AH270" s="1861"/>
      <c r="AI270" s="1862"/>
      <c r="AJ270" s="2121"/>
      <c r="AK270" s="1861"/>
      <c r="AL270" s="1861"/>
      <c r="AM270" s="1862"/>
    </row>
    <row r="271" spans="1:62" s="476" customFormat="1" ht="18" hidden="1" customHeight="1">
      <c r="A271" s="426"/>
      <c r="B271" s="2134" t="s">
        <v>756</v>
      </c>
      <c r="C271" s="1953"/>
      <c r="D271" s="1953"/>
      <c r="E271" s="1953"/>
      <c r="F271" s="1953"/>
      <c r="G271" s="1953"/>
      <c r="H271" s="1953"/>
      <c r="I271" s="1953"/>
      <c r="J271" s="1953"/>
      <c r="K271" s="1953"/>
      <c r="L271" s="1953"/>
      <c r="M271" s="1953"/>
      <c r="N271" s="1953"/>
      <c r="O271" s="1953"/>
      <c r="P271" s="1953"/>
      <c r="Q271" s="1953"/>
      <c r="R271" s="1953"/>
      <c r="S271" s="1953"/>
      <c r="T271" s="1953"/>
      <c r="U271" s="1953"/>
      <c r="V271" s="1953"/>
      <c r="W271" s="1953"/>
      <c r="X271" s="1953"/>
      <c r="Y271" s="1953"/>
      <c r="Z271" s="1953"/>
      <c r="AA271" s="1953"/>
      <c r="AB271" s="1953"/>
      <c r="AC271" s="1953"/>
      <c r="AD271" s="1953"/>
      <c r="AE271" s="1953"/>
      <c r="AF271" s="1953"/>
      <c r="AG271" s="1953"/>
      <c r="AH271" s="1953"/>
      <c r="AI271" s="1953"/>
      <c r="AJ271" s="1953"/>
      <c r="AK271" s="1770"/>
      <c r="AL271" s="1904"/>
      <c r="AM271" s="1862"/>
      <c r="AN271" s="58"/>
      <c r="AO271" s="426"/>
      <c r="AQ271" s="57"/>
      <c r="AR271" s="57"/>
      <c r="AS271" s="57"/>
      <c r="AT271" s="57"/>
      <c r="AU271" s="57"/>
      <c r="AV271" s="57"/>
      <c r="AW271" s="57"/>
      <c r="AX271" s="57"/>
      <c r="AY271" s="57"/>
      <c r="AZ271" s="57"/>
      <c r="BA271" s="57"/>
      <c r="BB271" s="57"/>
      <c r="BC271" s="57"/>
      <c r="BD271" s="57"/>
      <c r="BE271" s="57"/>
      <c r="BF271" s="57"/>
      <c r="BG271" s="57"/>
      <c r="BH271" s="57"/>
      <c r="BI271" s="57"/>
      <c r="BJ271" s="57"/>
    </row>
    <row r="272" spans="1:62" s="476" customFormat="1" ht="18" hidden="1" customHeight="1">
      <c r="A272" s="426"/>
      <c r="B272" s="2187" t="s">
        <v>757</v>
      </c>
      <c r="C272" s="1877"/>
      <c r="D272" s="1877"/>
      <c r="E272" s="1877"/>
      <c r="F272" s="1877"/>
      <c r="G272" s="1877"/>
      <c r="H272" s="1877"/>
      <c r="I272" s="1877"/>
      <c r="J272" s="1877"/>
      <c r="K272" s="1877"/>
      <c r="L272" s="1877"/>
      <c r="M272" s="1877"/>
      <c r="N272" s="1877"/>
      <c r="O272" s="1877"/>
      <c r="P272" s="1877"/>
      <c r="Q272" s="1877"/>
      <c r="R272" s="1877"/>
      <c r="S272" s="1877"/>
      <c r="T272" s="1877"/>
      <c r="U272" s="1877"/>
      <c r="V272" s="1877"/>
      <c r="W272" s="1877"/>
      <c r="X272" s="1877"/>
      <c r="Y272" s="1877"/>
      <c r="Z272" s="1877"/>
      <c r="AA272" s="1877"/>
      <c r="AB272" s="1877"/>
      <c r="AC272" s="1877"/>
      <c r="AD272" s="1877"/>
      <c r="AE272" s="1877"/>
      <c r="AF272" s="1877"/>
      <c r="AG272" s="1877"/>
      <c r="AH272" s="1877"/>
      <c r="AI272" s="1877"/>
      <c r="AJ272" s="1877"/>
      <c r="AK272" s="1772"/>
      <c r="AL272" s="1904"/>
      <c r="AM272" s="1862"/>
      <c r="AN272" s="58"/>
      <c r="AO272" s="426"/>
      <c r="AQ272" s="57"/>
      <c r="AR272" s="57"/>
      <c r="AS272" s="57"/>
      <c r="AT272" s="57"/>
      <c r="AU272" s="57"/>
      <c r="AV272" s="57"/>
      <c r="AW272" s="57"/>
      <c r="AX272" s="57"/>
      <c r="AY272" s="57"/>
      <c r="AZ272" s="57"/>
      <c r="BA272" s="57"/>
      <c r="BB272" s="57"/>
      <c r="BC272" s="57"/>
      <c r="BD272" s="57"/>
      <c r="BE272" s="57"/>
      <c r="BF272" s="57"/>
      <c r="BG272" s="57"/>
      <c r="BH272" s="57"/>
      <c r="BI272" s="57"/>
      <c r="BJ272" s="57"/>
    </row>
    <row r="273" spans="1:62" s="476" customFormat="1" ht="32.25" customHeight="1">
      <c r="A273" s="426"/>
      <c r="B273" s="2197" t="s">
        <v>558</v>
      </c>
      <c r="C273" s="1966"/>
      <c r="D273" s="2060"/>
      <c r="E273" s="2059" t="str">
        <f>'Document Checklist-Full List'!$E$38</f>
        <v>4. Sponsor 1 Certification &amp; Legal Status Disclosure</v>
      </c>
      <c r="F273" s="1966"/>
      <c r="G273" s="1966"/>
      <c r="H273" s="1966"/>
      <c r="I273" s="1966"/>
      <c r="J273" s="1966"/>
      <c r="K273" s="1966"/>
      <c r="L273" s="1966"/>
      <c r="M273" s="2060"/>
      <c r="N273" s="2148" t="str">
        <f>'Document Checklist-Full List'!N38</f>
        <v>Complete, sign and upload questionnaire.</v>
      </c>
      <c r="O273" s="2149"/>
      <c r="P273" s="2149"/>
      <c r="Q273" s="2149"/>
      <c r="R273" s="2149"/>
      <c r="S273" s="2149"/>
      <c r="T273" s="2149"/>
      <c r="U273" s="2149"/>
      <c r="V273" s="2149"/>
      <c r="W273" s="2149"/>
      <c r="X273" s="2150" t="s">
        <v>758</v>
      </c>
      <c r="Y273" s="2151"/>
      <c r="Z273" s="2151"/>
      <c r="AA273" s="2151"/>
      <c r="AB273" s="2151"/>
      <c r="AC273" s="2151"/>
      <c r="AD273" s="2151"/>
      <c r="AE273" s="2152"/>
      <c r="AF273" s="1982" t="s">
        <v>559</v>
      </c>
      <c r="AG273" s="1777"/>
      <c r="AH273" s="1777"/>
      <c r="AI273" s="1777"/>
      <c r="AJ273" s="1777"/>
      <c r="AK273" s="1778"/>
      <c r="AL273" s="1946"/>
      <c r="AM273" s="1947"/>
      <c r="AN273" s="1619"/>
      <c r="AO273" s="1620"/>
      <c r="AQ273" s="57"/>
      <c r="AR273" s="57"/>
      <c r="AS273" s="57"/>
      <c r="AT273" s="57"/>
      <c r="AU273" s="57"/>
      <c r="AV273" s="57"/>
      <c r="AW273" s="57"/>
      <c r="AX273" s="57"/>
      <c r="AY273" s="57"/>
      <c r="AZ273" s="57"/>
      <c r="BA273" s="57"/>
      <c r="BB273" s="57"/>
      <c r="BC273" s="57"/>
      <c r="BD273" s="57"/>
      <c r="BE273" s="57"/>
      <c r="BF273" s="57"/>
      <c r="BG273" s="57"/>
      <c r="BH273" s="57"/>
      <c r="BI273" s="57"/>
      <c r="BJ273" s="57"/>
    </row>
    <row r="274" spans="1:62" s="476" customFormat="1" ht="36" hidden="1" customHeight="1">
      <c r="A274" s="138"/>
      <c r="B274" s="1867" t="s">
        <v>558</v>
      </c>
      <c r="C274" s="1777"/>
      <c r="D274" s="1778"/>
      <c r="E274" s="1882" t="str">
        <f>'Document Checklist-Full List'!$E$39</f>
        <v>28b. Spon1 OrgDoc1, Spon1 OrgDoc2, etc.</v>
      </c>
      <c r="F274" s="1777"/>
      <c r="G274" s="1777"/>
      <c r="H274" s="1777"/>
      <c r="I274" s="1777"/>
      <c r="J274" s="1777"/>
      <c r="K274" s="1777"/>
      <c r="L274" s="1777"/>
      <c r="M274" s="1778"/>
      <c r="N274" s="1975" t="str">
        <f>'Document Checklist-Full List'!$N$39</f>
        <v>Reference: Entity Org Docs Worksheet.</v>
      </c>
      <c r="O274" s="1777"/>
      <c r="P274" s="1777"/>
      <c r="Q274" s="1777"/>
      <c r="R274" s="1777"/>
      <c r="S274" s="1777"/>
      <c r="T274" s="1777"/>
      <c r="U274" s="1777"/>
      <c r="V274" s="1777"/>
      <c r="W274" s="1777"/>
      <c r="X274" s="1777"/>
      <c r="Y274" s="1777"/>
      <c r="Z274" s="1777"/>
      <c r="AA274" s="1777"/>
      <c r="AB274" s="1777"/>
      <c r="AC274" s="1777"/>
      <c r="AD274" s="1777"/>
      <c r="AE274" s="1778"/>
      <c r="AF274" s="1982" t="s">
        <v>559</v>
      </c>
      <c r="AG274" s="1777"/>
      <c r="AH274" s="1777"/>
      <c r="AI274" s="1777"/>
      <c r="AJ274" s="1777"/>
      <c r="AK274" s="1778"/>
      <c r="AL274" s="1904"/>
      <c r="AM274" s="1862"/>
      <c r="AN274" s="57"/>
      <c r="AO274" s="426"/>
      <c r="AQ274" s="57"/>
      <c r="AR274" s="57"/>
      <c r="AS274" s="57"/>
      <c r="AT274" s="57"/>
      <c r="AU274" s="57"/>
      <c r="AV274" s="57"/>
      <c r="AW274" s="57"/>
      <c r="AX274" s="57"/>
      <c r="AY274" s="57"/>
      <c r="AZ274" s="57"/>
      <c r="BA274" s="57"/>
      <c r="BB274" s="57"/>
      <c r="BC274" s="57"/>
      <c r="BD274" s="57"/>
      <c r="BE274" s="57"/>
      <c r="BF274" s="57"/>
      <c r="BG274" s="57"/>
      <c r="BH274" s="57"/>
      <c r="BI274" s="57"/>
      <c r="BJ274" s="57"/>
    </row>
    <row r="275" spans="1:62" s="476" customFormat="1" ht="18" hidden="1" customHeight="1">
      <c r="A275" s="138"/>
      <c r="B275" s="1867" t="s">
        <v>558</v>
      </c>
      <c r="C275" s="1777"/>
      <c r="D275" s="1778"/>
      <c r="E275" s="1882" t="str">
        <f>'Document Checklist-Full List'!$E$40</f>
        <v>28c. Spon1 OrgChart</v>
      </c>
      <c r="F275" s="1777"/>
      <c r="G275" s="1777"/>
      <c r="H275" s="1777"/>
      <c r="I275" s="1777"/>
      <c r="J275" s="1777"/>
      <c r="K275" s="1777"/>
      <c r="L275" s="1777"/>
      <c r="M275" s="1778"/>
      <c r="N275" s="1962" t="str">
        <f>'Document Checklist-Full List'!$N$40</f>
        <v>Sponsor/Applicant Organization Chart.</v>
      </c>
      <c r="O275" s="1777"/>
      <c r="P275" s="1777"/>
      <c r="Q275" s="1777"/>
      <c r="R275" s="1777"/>
      <c r="S275" s="1777"/>
      <c r="T275" s="1777"/>
      <c r="U275" s="1777"/>
      <c r="V275" s="1777"/>
      <c r="W275" s="1777"/>
      <c r="X275" s="1777"/>
      <c r="Y275" s="1777"/>
      <c r="Z275" s="1777"/>
      <c r="AA275" s="1777"/>
      <c r="AB275" s="1777"/>
      <c r="AC275" s="1777"/>
      <c r="AD275" s="1777"/>
      <c r="AE275" s="1778"/>
      <c r="AF275" s="1982" t="s">
        <v>559</v>
      </c>
      <c r="AG275" s="1777"/>
      <c r="AH275" s="1777"/>
      <c r="AI275" s="1777"/>
      <c r="AJ275" s="1777"/>
      <c r="AK275" s="1778"/>
      <c r="AL275" s="1904"/>
      <c r="AM275" s="1862"/>
      <c r="AN275" s="57"/>
      <c r="AO275" s="426"/>
      <c r="AQ275" s="57"/>
      <c r="AR275" s="57"/>
      <c r="AS275" s="57"/>
      <c r="AT275" s="57"/>
      <c r="AU275" s="57"/>
      <c r="AV275" s="57"/>
      <c r="AW275" s="57"/>
      <c r="AX275" s="57"/>
      <c r="AY275" s="57"/>
      <c r="AZ275" s="57"/>
      <c r="BA275" s="57"/>
      <c r="BB275" s="57"/>
      <c r="BC275" s="57"/>
      <c r="BD275" s="57"/>
      <c r="BE275" s="57"/>
      <c r="BF275" s="57"/>
      <c r="BG275" s="57"/>
      <c r="BH275" s="57"/>
      <c r="BI275" s="57"/>
      <c r="BJ275" s="57"/>
    </row>
    <row r="276" spans="1:62" s="476" customFormat="1" ht="18" hidden="1" customHeight="1">
      <c r="A276" s="138"/>
      <c r="B276" s="1867" t="s">
        <v>558</v>
      </c>
      <c r="C276" s="1777"/>
      <c r="D276" s="1778"/>
      <c r="E276" s="1882" t="str">
        <f>'Document Checklist-Full List'!$E$41</f>
        <v>28d. Spon1 Signature Block</v>
      </c>
      <c r="F276" s="1777"/>
      <c r="G276" s="1777"/>
      <c r="H276" s="1777"/>
      <c r="I276" s="1777"/>
      <c r="J276" s="1777"/>
      <c r="K276" s="1777"/>
      <c r="L276" s="1777"/>
      <c r="M276" s="1778"/>
      <c r="N276" s="1962" t="str">
        <f>'Document Checklist-Full List'!$N$41</f>
        <v>Signature Block - upload in Microsoft Word Document.</v>
      </c>
      <c r="O276" s="1777"/>
      <c r="P276" s="1777"/>
      <c r="Q276" s="1777"/>
      <c r="R276" s="1777"/>
      <c r="S276" s="1777"/>
      <c r="T276" s="1777"/>
      <c r="U276" s="1777"/>
      <c r="V276" s="1777"/>
      <c r="W276" s="1777"/>
      <c r="X276" s="1777"/>
      <c r="Y276" s="1777"/>
      <c r="Z276" s="1777"/>
      <c r="AA276" s="1777"/>
      <c r="AB276" s="1777"/>
      <c r="AC276" s="1777"/>
      <c r="AD276" s="1777"/>
      <c r="AE276" s="1778"/>
      <c r="AF276" s="1982" t="s">
        <v>559</v>
      </c>
      <c r="AG276" s="1777"/>
      <c r="AH276" s="1777"/>
      <c r="AI276" s="1777"/>
      <c r="AJ276" s="1777"/>
      <c r="AK276" s="1778"/>
      <c r="AL276" s="1904"/>
      <c r="AM276" s="1862"/>
      <c r="AN276" s="57"/>
      <c r="AO276" s="426"/>
      <c r="AQ276" s="57"/>
      <c r="AR276" s="57"/>
      <c r="AS276" s="57"/>
      <c r="AT276" s="57"/>
      <c r="AU276" s="57"/>
      <c r="AV276" s="57"/>
      <c r="AW276" s="57"/>
      <c r="AX276" s="57"/>
      <c r="AY276" s="57"/>
      <c r="AZ276" s="57"/>
      <c r="BA276" s="57"/>
      <c r="BB276" s="57"/>
      <c r="BC276" s="57"/>
      <c r="BD276" s="57"/>
      <c r="BE276" s="57"/>
      <c r="BF276" s="57"/>
      <c r="BG276" s="57"/>
      <c r="BH276" s="57"/>
      <c r="BI276" s="57"/>
      <c r="BJ276" s="57"/>
    </row>
    <row r="277" spans="1:62" s="476" customFormat="1" ht="18" hidden="1" customHeight="1">
      <c r="A277" s="138"/>
      <c r="B277" s="1867" t="s">
        <v>558</v>
      </c>
      <c r="C277" s="1777"/>
      <c r="D277" s="1778"/>
      <c r="E277" s="1882" t="str">
        <f>'Document Checklist-Full List'!$E$42</f>
        <v xml:space="preserve">28e. Spon1 Cert of Good Standing </v>
      </c>
      <c r="F277" s="1777"/>
      <c r="G277" s="1777"/>
      <c r="H277" s="1777"/>
      <c r="I277" s="1777"/>
      <c r="J277" s="1777"/>
      <c r="K277" s="1777"/>
      <c r="L277" s="1777"/>
      <c r="M277" s="1778"/>
      <c r="N277" s="1962" t="str">
        <f>'Document Checklist-Full List'!$N$42</f>
        <v>Certificate of Good Standing dated within 30 days of the application due date.</v>
      </c>
      <c r="O277" s="1777"/>
      <c r="P277" s="1777"/>
      <c r="Q277" s="1777"/>
      <c r="R277" s="1777"/>
      <c r="S277" s="1777"/>
      <c r="T277" s="1777"/>
      <c r="U277" s="1777"/>
      <c r="V277" s="1777"/>
      <c r="W277" s="1777"/>
      <c r="X277" s="1777"/>
      <c r="Y277" s="1777"/>
      <c r="Z277" s="1777"/>
      <c r="AA277" s="1777"/>
      <c r="AB277" s="1777"/>
      <c r="AC277" s="1777"/>
      <c r="AD277" s="1777"/>
      <c r="AE277" s="1778"/>
      <c r="AF277" s="1982" t="s">
        <v>559</v>
      </c>
      <c r="AG277" s="1777"/>
      <c r="AH277" s="1777"/>
      <c r="AI277" s="1777"/>
      <c r="AJ277" s="1777"/>
      <c r="AK277" s="1778"/>
      <c r="AL277" s="1904"/>
      <c r="AM277" s="1862"/>
      <c r="AN277" s="57"/>
      <c r="AO277" s="426"/>
      <c r="AQ277" s="57"/>
      <c r="AR277" s="57"/>
      <c r="AS277" s="57"/>
      <c r="AT277" s="57"/>
      <c r="AU277" s="57"/>
      <c r="AV277" s="57"/>
      <c r="AW277" s="57"/>
      <c r="AX277" s="57"/>
      <c r="AY277" s="57"/>
      <c r="AZ277" s="57"/>
      <c r="BA277" s="57"/>
      <c r="BB277" s="57"/>
      <c r="BC277" s="57"/>
      <c r="BD277" s="57"/>
      <c r="BE277" s="57"/>
      <c r="BF277" s="57"/>
      <c r="BG277" s="57"/>
      <c r="BH277" s="57"/>
      <c r="BI277" s="57"/>
      <c r="BJ277" s="57"/>
    </row>
    <row r="278" spans="1:62" s="57" customFormat="1" ht="36" hidden="1" customHeight="1">
      <c r="A278" s="138"/>
      <c r="B278" s="1867" t="s">
        <v>558</v>
      </c>
      <c r="C278" s="1777"/>
      <c r="D278" s="1778"/>
      <c r="E278" s="1882" t="str">
        <f>'Document Checklist-Full List'!$E$43</f>
        <v>28f. Spon1 Tax-Exempt Status</v>
      </c>
      <c r="F278" s="1777"/>
      <c r="G278" s="1777"/>
      <c r="H278" s="1777"/>
      <c r="I278" s="1777"/>
      <c r="J278" s="1777"/>
      <c r="K278" s="1777"/>
      <c r="L278" s="1777"/>
      <c r="M278" s="1778"/>
      <c r="N278" s="1962" t="str">
        <f>'Document Checklist-Full List'!$N$43</f>
        <v>Evidence of tax-exempt status from IRS and FTB for Corporations (Non-Profits Only).</v>
      </c>
      <c r="O278" s="1777"/>
      <c r="P278" s="1777"/>
      <c r="Q278" s="1777"/>
      <c r="R278" s="1777"/>
      <c r="S278" s="1777"/>
      <c r="T278" s="1777"/>
      <c r="U278" s="1777"/>
      <c r="V278" s="1777"/>
      <c r="W278" s="1777"/>
      <c r="X278" s="1777"/>
      <c r="Y278" s="1777"/>
      <c r="Z278" s="1777"/>
      <c r="AA278" s="1777"/>
      <c r="AB278" s="1777"/>
      <c r="AC278" s="1777"/>
      <c r="AD278" s="1777"/>
      <c r="AE278" s="1778"/>
      <c r="AF278" s="1982" t="s">
        <v>559</v>
      </c>
      <c r="AG278" s="1777"/>
      <c r="AH278" s="1777"/>
      <c r="AI278" s="1777"/>
      <c r="AJ278" s="1777"/>
      <c r="AK278" s="1778"/>
      <c r="AL278" s="1904"/>
      <c r="AM278" s="1862"/>
      <c r="AO278" s="426"/>
      <c r="AP278" s="476"/>
    </row>
    <row r="279" spans="1:62" ht="18" hidden="1" customHeight="1">
      <c r="B279" s="845"/>
      <c r="C279" s="845"/>
      <c r="D279" s="845"/>
      <c r="E279" s="845"/>
      <c r="F279" s="845"/>
      <c r="G279" s="845"/>
      <c r="H279" s="845"/>
      <c r="I279" s="845"/>
      <c r="J279" s="845"/>
      <c r="K279" s="845"/>
      <c r="L279" s="845"/>
      <c r="M279" s="845"/>
      <c r="N279" s="845"/>
      <c r="O279" s="845"/>
      <c r="P279" s="845"/>
      <c r="Q279" s="845"/>
      <c r="R279" s="845"/>
      <c r="S279" s="845"/>
      <c r="T279" s="845"/>
      <c r="U279" s="845"/>
      <c r="V279" s="845"/>
      <c r="W279" s="845"/>
      <c r="X279" s="845"/>
      <c r="Y279" s="845"/>
      <c r="Z279" s="845"/>
      <c r="AA279" s="845"/>
      <c r="AB279" s="845"/>
      <c r="AC279" s="845"/>
      <c r="AD279" s="845"/>
      <c r="AE279" s="845"/>
      <c r="AF279" s="845"/>
      <c r="AG279" s="845"/>
      <c r="AH279" s="845"/>
      <c r="AI279" s="845"/>
      <c r="AJ279" s="845"/>
      <c r="AK279" s="845"/>
      <c r="AL279" s="845"/>
      <c r="AM279" s="949"/>
      <c r="AO279" s="426"/>
      <c r="AP279" s="476"/>
    </row>
    <row r="280" spans="1:62" ht="18" hidden="1" customHeight="1">
      <c r="B280" s="2198" t="s">
        <v>759</v>
      </c>
      <c r="C280" s="1777"/>
      <c r="D280" s="1777"/>
      <c r="E280" s="1777"/>
      <c r="F280" s="1777"/>
      <c r="G280" s="1777"/>
      <c r="H280" s="1777"/>
      <c r="I280" s="1777"/>
      <c r="J280" s="1777"/>
      <c r="K280" s="1778"/>
      <c r="L280" s="2093" t="s">
        <v>745</v>
      </c>
      <c r="M280" s="1777"/>
      <c r="N280" s="1777"/>
      <c r="O280" s="1778"/>
      <c r="P280" s="1893"/>
      <c r="Q280" s="1861"/>
      <c r="R280" s="1861"/>
      <c r="S280" s="1861"/>
      <c r="T280" s="1861"/>
      <c r="U280" s="1861"/>
      <c r="V280" s="1861"/>
      <c r="W280" s="1861"/>
      <c r="X280" s="1861"/>
      <c r="Y280" s="1861"/>
      <c r="Z280" s="1861"/>
      <c r="AA280" s="1861"/>
      <c r="AB280" s="1861"/>
      <c r="AC280" s="1861"/>
      <c r="AD280" s="1861"/>
      <c r="AE280" s="1861"/>
      <c r="AF280" s="1861"/>
      <c r="AG280" s="1861"/>
      <c r="AH280" s="1861"/>
      <c r="AI280" s="1861"/>
      <c r="AJ280" s="1861"/>
      <c r="AK280" s="1861"/>
      <c r="AL280" s="1861"/>
      <c r="AM280" s="1862"/>
      <c r="AO280" s="426"/>
      <c r="AP280" s="476"/>
    </row>
    <row r="281" spans="1:62" ht="18" hidden="1" customHeight="1">
      <c r="B281" s="1927" t="s">
        <v>760</v>
      </c>
      <c r="C281" s="1777"/>
      <c r="D281" s="1777"/>
      <c r="E281" s="1777"/>
      <c r="F281" s="1777"/>
      <c r="G281" s="1777"/>
      <c r="H281" s="1777"/>
      <c r="I281" s="1777"/>
      <c r="J281" s="1777"/>
      <c r="K281" s="1778"/>
      <c r="L281" s="2082"/>
      <c r="M281" s="1861"/>
      <c r="N281" s="1861"/>
      <c r="O281" s="1861"/>
      <c r="P281" s="1861"/>
      <c r="Q281" s="1861"/>
      <c r="R281" s="1861"/>
      <c r="S281" s="1861"/>
      <c r="T281" s="1861"/>
      <c r="U281" s="1861"/>
      <c r="V281" s="1861"/>
      <c r="W281" s="1861"/>
      <c r="X281" s="1861"/>
      <c r="Y281" s="1862"/>
      <c r="Z281" s="2093" t="s">
        <v>761</v>
      </c>
      <c r="AA281" s="1777"/>
      <c r="AB281" s="1777"/>
      <c r="AC281" s="1777"/>
      <c r="AD281" s="1777"/>
      <c r="AE281" s="1778"/>
      <c r="AF281" s="2056"/>
      <c r="AG281" s="1861"/>
      <c r="AH281" s="1861"/>
      <c r="AI281" s="1861"/>
      <c r="AJ281" s="1861"/>
      <c r="AK281" s="1861"/>
      <c r="AL281" s="1861"/>
      <c r="AM281" s="1862"/>
    </row>
    <row r="282" spans="1:62" ht="33" hidden="1" customHeight="1">
      <c r="B282" s="2055" t="s">
        <v>558</v>
      </c>
      <c r="C282" s="1895"/>
      <c r="D282" s="1896"/>
      <c r="E282" s="1894" t="str">
        <f>'Document Checklist-Full List'!$E$45</f>
        <v>5. Sponsor 2 Certification &amp; Legal Status Disclosure</v>
      </c>
      <c r="F282" s="1895"/>
      <c r="G282" s="1895"/>
      <c r="H282" s="1895"/>
      <c r="I282" s="1895"/>
      <c r="J282" s="1895"/>
      <c r="K282" s="1895"/>
      <c r="L282" s="1895"/>
      <c r="M282" s="1896"/>
      <c r="N282" s="2109" t="str">
        <f>'Document Checklist-Full List'!N45</f>
        <v>Complete, sign and upload questionnaire.</v>
      </c>
      <c r="O282" s="2110"/>
      <c r="P282" s="2110"/>
      <c r="Q282" s="2110"/>
      <c r="R282" s="2110"/>
      <c r="S282" s="2110"/>
      <c r="T282" s="2110"/>
      <c r="U282" s="2110"/>
      <c r="V282" s="2110"/>
      <c r="W282" s="2110"/>
      <c r="X282" s="2237" t="s">
        <v>758</v>
      </c>
      <c r="Y282" s="2238"/>
      <c r="Z282" s="2238"/>
      <c r="AA282" s="2238"/>
      <c r="AB282" s="2238"/>
      <c r="AC282" s="2238"/>
      <c r="AD282" s="2238"/>
      <c r="AE282" s="2239"/>
      <c r="AF282" s="1982" t="s">
        <v>559</v>
      </c>
      <c r="AG282" s="1777"/>
      <c r="AH282" s="1777"/>
      <c r="AI282" s="1777"/>
      <c r="AJ282" s="1777"/>
      <c r="AK282" s="1778"/>
      <c r="AL282" s="1946"/>
      <c r="AM282" s="1947"/>
      <c r="AN282" s="1619"/>
      <c r="AO282" s="1620"/>
    </row>
    <row r="283" spans="1:62" ht="36" hidden="1" customHeight="1">
      <c r="B283" s="1867" t="s">
        <v>558</v>
      </c>
      <c r="C283" s="1777"/>
      <c r="D283" s="1778"/>
      <c r="E283" s="1882" t="str">
        <f>'Document Checklist-Full List'!$E$46</f>
        <v>29b. Spon2 OrgDoc1, Spon2 OrgDoc2, etc.</v>
      </c>
      <c r="F283" s="1777"/>
      <c r="G283" s="1777"/>
      <c r="H283" s="1777"/>
      <c r="I283" s="1777"/>
      <c r="J283" s="1777"/>
      <c r="K283" s="1777"/>
      <c r="L283" s="1777"/>
      <c r="M283" s="1778"/>
      <c r="N283" s="1975" t="str">
        <f>'Document Checklist-Full List'!N46</f>
        <v>Reference: Entity Org Docs Worksheet.</v>
      </c>
      <c r="O283" s="1777"/>
      <c r="P283" s="1777"/>
      <c r="Q283" s="1777"/>
      <c r="R283" s="1777"/>
      <c r="S283" s="1777"/>
      <c r="T283" s="1777"/>
      <c r="U283" s="1777"/>
      <c r="V283" s="1777"/>
      <c r="W283" s="1777"/>
      <c r="X283" s="1777"/>
      <c r="Y283" s="1777"/>
      <c r="Z283" s="1777"/>
      <c r="AA283" s="1777"/>
      <c r="AB283" s="1777"/>
      <c r="AC283" s="1777"/>
      <c r="AD283" s="1777"/>
      <c r="AE283" s="1778"/>
      <c r="AF283" s="1982" t="s">
        <v>559</v>
      </c>
      <c r="AG283" s="1777"/>
      <c r="AH283" s="1777"/>
      <c r="AI283" s="1777"/>
      <c r="AJ283" s="1777"/>
      <c r="AK283" s="1778"/>
      <c r="AL283" s="1904"/>
      <c r="AM283" s="1862"/>
    </row>
    <row r="284" spans="1:62" ht="18" hidden="1" customHeight="1">
      <c r="B284" s="1867" t="s">
        <v>558</v>
      </c>
      <c r="C284" s="1777"/>
      <c r="D284" s="1778"/>
      <c r="E284" s="1882" t="str">
        <f>'Document Checklist-Full List'!$E$47</f>
        <v>29c. Spon2 OrgChart</v>
      </c>
      <c r="F284" s="1777"/>
      <c r="G284" s="1777"/>
      <c r="H284" s="1777"/>
      <c r="I284" s="1777"/>
      <c r="J284" s="1777"/>
      <c r="K284" s="1777"/>
      <c r="L284" s="1777"/>
      <c r="M284" s="1778"/>
      <c r="N284" s="1962" t="str">
        <f>'Document Checklist-Full List'!$N$47</f>
        <v>Sponsor/Applicant Organization Chart.</v>
      </c>
      <c r="O284" s="1777"/>
      <c r="P284" s="1777"/>
      <c r="Q284" s="1777"/>
      <c r="R284" s="1777"/>
      <c r="S284" s="1777"/>
      <c r="T284" s="1777"/>
      <c r="U284" s="1777"/>
      <c r="V284" s="1777"/>
      <c r="W284" s="1777"/>
      <c r="X284" s="1777"/>
      <c r="Y284" s="1777"/>
      <c r="Z284" s="1777"/>
      <c r="AA284" s="1777"/>
      <c r="AB284" s="1777"/>
      <c r="AC284" s="1777"/>
      <c r="AD284" s="1777"/>
      <c r="AE284" s="1778"/>
      <c r="AF284" s="1982" t="s">
        <v>559</v>
      </c>
      <c r="AG284" s="1777"/>
      <c r="AH284" s="1777"/>
      <c r="AI284" s="1777"/>
      <c r="AJ284" s="1777"/>
      <c r="AK284" s="1778"/>
      <c r="AL284" s="1904"/>
      <c r="AM284" s="1862"/>
      <c r="AO284" s="426"/>
      <c r="AP284" s="58"/>
      <c r="AQ284" s="58"/>
    </row>
    <row r="285" spans="1:62" ht="18" hidden="1" customHeight="1">
      <c r="B285" s="1867" t="s">
        <v>558</v>
      </c>
      <c r="C285" s="1777"/>
      <c r="D285" s="1778"/>
      <c r="E285" s="1882" t="str">
        <f>'Document Checklist-Full List'!$E$48</f>
        <v>29d. Spon2 Signature Block</v>
      </c>
      <c r="F285" s="1777"/>
      <c r="G285" s="1777"/>
      <c r="H285" s="1777"/>
      <c r="I285" s="1777"/>
      <c r="J285" s="1777"/>
      <c r="K285" s="1777"/>
      <c r="L285" s="1777"/>
      <c r="M285" s="1778"/>
      <c r="N285" s="1962" t="str">
        <f>'Document Checklist-Full List'!$N$48</f>
        <v>Signature Block - upload in Microsoft Word Document.</v>
      </c>
      <c r="O285" s="1777"/>
      <c r="P285" s="1777"/>
      <c r="Q285" s="1777"/>
      <c r="R285" s="1777"/>
      <c r="S285" s="1777"/>
      <c r="T285" s="1777"/>
      <c r="U285" s="1777"/>
      <c r="V285" s="1777"/>
      <c r="W285" s="1777"/>
      <c r="X285" s="1777"/>
      <c r="Y285" s="1777"/>
      <c r="Z285" s="1777"/>
      <c r="AA285" s="1777"/>
      <c r="AB285" s="1777"/>
      <c r="AC285" s="1777"/>
      <c r="AD285" s="1777"/>
      <c r="AE285" s="1778"/>
      <c r="AF285" s="1982" t="s">
        <v>559</v>
      </c>
      <c r="AG285" s="1777"/>
      <c r="AH285" s="1777"/>
      <c r="AI285" s="1777"/>
      <c r="AJ285" s="1777"/>
      <c r="AK285" s="1778"/>
      <c r="AL285" s="1904"/>
      <c r="AM285" s="1862"/>
      <c r="AO285" s="426"/>
      <c r="AP285" s="58"/>
      <c r="AQ285" s="58"/>
      <c r="AR285" s="58"/>
      <c r="AS285" s="58"/>
      <c r="AT285" s="120"/>
      <c r="AU285" s="241"/>
      <c r="AV285" s="120"/>
      <c r="AW285" s="120"/>
      <c r="AX285" s="120"/>
      <c r="AY285" s="120"/>
      <c r="AZ285" s="120"/>
      <c r="BA285" s="120"/>
      <c r="BB285" s="120"/>
      <c r="BC285" s="120"/>
      <c r="BD285" s="120"/>
      <c r="BE285" s="120"/>
      <c r="BF285" s="120"/>
      <c r="BG285" s="120"/>
      <c r="BH285" s="120"/>
      <c r="BI285" s="120"/>
      <c r="BJ285" s="120"/>
    </row>
    <row r="286" spans="1:62" s="120" customFormat="1" ht="36.75" hidden="1" customHeight="1">
      <c r="A286" s="138"/>
      <c r="B286" s="1867" t="s">
        <v>558</v>
      </c>
      <c r="C286" s="1777"/>
      <c r="D286" s="1778"/>
      <c r="E286" s="1882" t="str">
        <f>'Document Checklist-Full List'!$E$49</f>
        <v xml:space="preserve">29e. Spon2 Cert of Good Standing </v>
      </c>
      <c r="F286" s="1777"/>
      <c r="G286" s="1777"/>
      <c r="H286" s="1777"/>
      <c r="I286" s="1777"/>
      <c r="J286" s="1777"/>
      <c r="K286" s="1777"/>
      <c r="L286" s="1777"/>
      <c r="M286" s="1778"/>
      <c r="N286" s="1962" t="str">
        <f>'Document Checklist-Full List'!$N$49</f>
        <v>Certificate of Good Standing must be dated 30 days or less from the application due date.</v>
      </c>
      <c r="O286" s="1777"/>
      <c r="P286" s="1777"/>
      <c r="Q286" s="1777"/>
      <c r="R286" s="1777"/>
      <c r="S286" s="1777"/>
      <c r="T286" s="1777"/>
      <c r="U286" s="1777"/>
      <c r="V286" s="1777"/>
      <c r="W286" s="1777"/>
      <c r="X286" s="1777"/>
      <c r="Y286" s="1777"/>
      <c r="Z286" s="1777"/>
      <c r="AA286" s="1777"/>
      <c r="AB286" s="1777"/>
      <c r="AC286" s="1777"/>
      <c r="AD286" s="1777"/>
      <c r="AE286" s="1778"/>
      <c r="AF286" s="1982" t="s">
        <v>559</v>
      </c>
      <c r="AG286" s="1777"/>
      <c r="AH286" s="1777"/>
      <c r="AI286" s="1777"/>
      <c r="AJ286" s="1777"/>
      <c r="AK286" s="1778"/>
      <c r="AL286" s="1904"/>
      <c r="AM286" s="1862"/>
      <c r="AN286" s="57"/>
      <c r="AO286" s="90"/>
      <c r="AP286" s="57"/>
      <c r="AQ286" s="57"/>
      <c r="AR286" s="735"/>
      <c r="AS286" s="735"/>
      <c r="AU286" s="1653"/>
      <c r="AV286" s="1653"/>
      <c r="AW286" s="1653"/>
      <c r="AX286" s="1653"/>
      <c r="AY286" s="1653"/>
      <c r="AZ286" s="1653"/>
      <c r="BA286" s="1653"/>
      <c r="BB286" s="1653"/>
      <c r="BC286" s="1653"/>
      <c r="BD286" s="1653"/>
      <c r="BE286" s="1653"/>
      <c r="BF286" s="1653"/>
      <c r="BG286" s="1653"/>
      <c r="BH286" s="1653"/>
      <c r="BI286" s="1653"/>
      <c r="BJ286" s="1653"/>
    </row>
    <row r="287" spans="1:62" s="737" customFormat="1" ht="36.75" hidden="1" customHeight="1">
      <c r="A287" s="138"/>
      <c r="B287" s="1867" t="s">
        <v>558</v>
      </c>
      <c r="C287" s="1777"/>
      <c r="D287" s="1778"/>
      <c r="E287" s="1882" t="str">
        <f>'Document Checklist-Full List'!$E$50</f>
        <v>29f. Spon2 Tax-Exempt Status</v>
      </c>
      <c r="F287" s="1777"/>
      <c r="G287" s="1777"/>
      <c r="H287" s="1777"/>
      <c r="I287" s="1777"/>
      <c r="J287" s="1777"/>
      <c r="K287" s="1777"/>
      <c r="L287" s="1777"/>
      <c r="M287" s="1778"/>
      <c r="N287" s="1962" t="str">
        <f>'Document Checklist-Full List'!$N$50</f>
        <v>Evidence of tax-exempt status from IRS and FTB for Corporations (Non-Profits Only).</v>
      </c>
      <c r="O287" s="1777"/>
      <c r="P287" s="1777"/>
      <c r="Q287" s="1777"/>
      <c r="R287" s="1777"/>
      <c r="S287" s="1777"/>
      <c r="T287" s="1777"/>
      <c r="U287" s="1777"/>
      <c r="V287" s="1777"/>
      <c r="W287" s="1777"/>
      <c r="X287" s="1777"/>
      <c r="Y287" s="1777"/>
      <c r="Z287" s="1777"/>
      <c r="AA287" s="1777"/>
      <c r="AB287" s="1777"/>
      <c r="AC287" s="1777"/>
      <c r="AD287" s="1777"/>
      <c r="AE287" s="1778"/>
      <c r="AF287" s="1982" t="s">
        <v>559</v>
      </c>
      <c r="AG287" s="1777"/>
      <c r="AH287" s="1777"/>
      <c r="AI287" s="1777"/>
      <c r="AJ287" s="1777"/>
      <c r="AK287" s="1778"/>
      <c r="AL287" s="1904"/>
      <c r="AM287" s="1862"/>
      <c r="AN287" s="57"/>
      <c r="AO287" s="426"/>
      <c r="AP287" s="58"/>
      <c r="AQ287" s="58"/>
      <c r="AR287" s="58"/>
      <c r="AS287" s="58"/>
      <c r="AT287" s="120"/>
      <c r="AU287" s="241"/>
      <c r="AV287" s="120"/>
      <c r="AW287" s="120"/>
      <c r="AX287" s="120"/>
      <c r="AY287" s="120"/>
      <c r="AZ287" s="120"/>
      <c r="BA287" s="120"/>
      <c r="BB287" s="120"/>
      <c r="BC287" s="120"/>
      <c r="BD287" s="120"/>
      <c r="BE287" s="120"/>
      <c r="BF287" s="120"/>
      <c r="BG287" s="120"/>
      <c r="BH287" s="120"/>
      <c r="BI287" s="120"/>
      <c r="BJ287" s="120"/>
    </row>
    <row r="288" spans="1:62" s="122" customFormat="1" ht="18" hidden="1" customHeight="1">
      <c r="A288" s="95"/>
      <c r="AM288" s="950"/>
      <c r="AN288" s="215"/>
      <c r="AO288" s="215"/>
      <c r="AP288" s="215"/>
      <c r="AQ288" s="215"/>
      <c r="AR288" s="215"/>
      <c r="AS288" s="215"/>
      <c r="AU288" s="474"/>
    </row>
    <row r="289" spans="1:62" s="122" customFormat="1" ht="18" hidden="1" customHeight="1">
      <c r="A289" s="95"/>
      <c r="B289" s="2198" t="s">
        <v>762</v>
      </c>
      <c r="C289" s="1777"/>
      <c r="D289" s="1777"/>
      <c r="E289" s="1777"/>
      <c r="F289" s="1777"/>
      <c r="G289" s="1777"/>
      <c r="H289" s="1777"/>
      <c r="I289" s="1777"/>
      <c r="J289" s="1777"/>
      <c r="K289" s="1778"/>
      <c r="L289" s="2093" t="s">
        <v>745</v>
      </c>
      <c r="M289" s="1777"/>
      <c r="N289" s="1777"/>
      <c r="O289" s="1778"/>
      <c r="P289" s="1893"/>
      <c r="Q289" s="1861"/>
      <c r="R289" s="1861"/>
      <c r="S289" s="1861"/>
      <c r="T289" s="1861"/>
      <c r="U289" s="1861"/>
      <c r="V289" s="1861"/>
      <c r="W289" s="1861"/>
      <c r="X289" s="1861"/>
      <c r="Y289" s="1861"/>
      <c r="Z289" s="1861"/>
      <c r="AA289" s="1861"/>
      <c r="AB289" s="1861"/>
      <c r="AC289" s="1861"/>
      <c r="AD289" s="1861"/>
      <c r="AE289" s="1861"/>
      <c r="AF289" s="1861"/>
      <c r="AG289" s="1861"/>
      <c r="AH289" s="1861"/>
      <c r="AI289" s="1861"/>
      <c r="AJ289" s="1861"/>
      <c r="AK289" s="1861"/>
      <c r="AL289" s="1861"/>
      <c r="AM289" s="1862"/>
      <c r="AN289" s="215"/>
      <c r="AO289" s="215"/>
      <c r="AP289" s="215"/>
      <c r="AQ289" s="215"/>
      <c r="AR289" s="215"/>
      <c r="AS289" s="215"/>
      <c r="AU289" s="474"/>
    </row>
    <row r="290" spans="1:62" s="122" customFormat="1" ht="18" hidden="1" customHeight="1">
      <c r="A290" s="95"/>
      <c r="B290" s="2304" t="s">
        <v>763</v>
      </c>
      <c r="C290" s="1777"/>
      <c r="D290" s="1777"/>
      <c r="E290" s="1777"/>
      <c r="F290" s="1777"/>
      <c r="G290" s="1777"/>
      <c r="H290" s="1777"/>
      <c r="I290" s="1778"/>
      <c r="J290" s="2082"/>
      <c r="K290" s="1861"/>
      <c r="L290" s="1861"/>
      <c r="M290" s="1861"/>
      <c r="N290" s="1861"/>
      <c r="O290" s="1861"/>
      <c r="P290" s="1861"/>
      <c r="Q290" s="1861"/>
      <c r="R290" s="1861"/>
      <c r="S290" s="1861"/>
      <c r="T290" s="1861"/>
      <c r="U290" s="1861"/>
      <c r="V290" s="1861"/>
      <c r="W290" s="1861"/>
      <c r="X290" s="1861"/>
      <c r="Y290" s="1862"/>
      <c r="Z290" s="2093" t="s">
        <v>761</v>
      </c>
      <c r="AA290" s="1777"/>
      <c r="AB290" s="1777"/>
      <c r="AC290" s="1777"/>
      <c r="AD290" s="1777"/>
      <c r="AE290" s="1778"/>
      <c r="AF290" s="2175"/>
      <c r="AG290" s="1861"/>
      <c r="AH290" s="1861"/>
      <c r="AI290" s="1861"/>
      <c r="AJ290" s="1861"/>
      <c r="AK290" s="1861"/>
      <c r="AL290" s="1861"/>
      <c r="AM290" s="1862"/>
      <c r="AN290" s="215"/>
      <c r="AO290" s="215"/>
      <c r="AP290" s="215"/>
      <c r="AQ290" s="215"/>
      <c r="AR290" s="215"/>
      <c r="AS290" s="215"/>
      <c r="AU290" s="474"/>
    </row>
    <row r="291" spans="1:62" s="122" customFormat="1" ht="32.25" hidden="1" customHeight="1">
      <c r="A291" s="95"/>
      <c r="B291" s="2055" t="s">
        <v>558</v>
      </c>
      <c r="C291" s="1895"/>
      <c r="D291" s="1896"/>
      <c r="E291" s="1894" t="str">
        <f>'Document Checklist-Full List'!$E$52</f>
        <v>6. Sponsor 3 Certification &amp; Legal Status Disclosure</v>
      </c>
      <c r="F291" s="1895"/>
      <c r="G291" s="1895"/>
      <c r="H291" s="1895"/>
      <c r="I291" s="1895"/>
      <c r="J291" s="1895"/>
      <c r="K291" s="1895"/>
      <c r="L291" s="1895"/>
      <c r="M291" s="1896"/>
      <c r="N291" s="2109" t="str">
        <f>'Document Checklist-Full List'!N52</f>
        <v>Complete, sign and upload questionnaire.</v>
      </c>
      <c r="O291" s="2110"/>
      <c r="P291" s="2110"/>
      <c r="Q291" s="2110"/>
      <c r="R291" s="2110"/>
      <c r="S291" s="2110"/>
      <c r="T291" s="2110"/>
      <c r="U291" s="2110"/>
      <c r="V291" s="2110"/>
      <c r="W291" s="2110"/>
      <c r="X291" s="2237" t="s">
        <v>758</v>
      </c>
      <c r="Y291" s="2238"/>
      <c r="Z291" s="2238"/>
      <c r="AA291" s="2238"/>
      <c r="AB291" s="2238"/>
      <c r="AC291" s="2238"/>
      <c r="AD291" s="2238"/>
      <c r="AE291" s="2239"/>
      <c r="AF291" s="1982" t="s">
        <v>559</v>
      </c>
      <c r="AG291" s="1777"/>
      <c r="AH291" s="1777"/>
      <c r="AI291" s="1777"/>
      <c r="AJ291" s="1777"/>
      <c r="AK291" s="1778"/>
      <c r="AL291" s="1946"/>
      <c r="AM291" s="1947"/>
      <c r="AN291" s="1619"/>
      <c r="AO291" s="1620"/>
      <c r="AP291" s="215"/>
      <c r="AQ291" s="215"/>
      <c r="AR291" s="215"/>
      <c r="AS291" s="215"/>
      <c r="AU291" s="474"/>
    </row>
    <row r="292" spans="1:62" s="122" customFormat="1" ht="36" hidden="1" customHeight="1">
      <c r="A292" s="95"/>
      <c r="B292" s="1867" t="s">
        <v>558</v>
      </c>
      <c r="C292" s="1777"/>
      <c r="D292" s="1778"/>
      <c r="E292" s="2096" t="str">
        <f>'Document Checklist-Full List'!$E$53</f>
        <v>30b. Spon3 OrgDoc1, Spon3 OrgDoc2, etc.</v>
      </c>
      <c r="F292" s="1877"/>
      <c r="G292" s="1877"/>
      <c r="H292" s="1877"/>
      <c r="I292" s="1877"/>
      <c r="J292" s="1877"/>
      <c r="K292" s="1877"/>
      <c r="L292" s="1877"/>
      <c r="M292" s="1772"/>
      <c r="N292" s="1975" t="str">
        <f>'Document Checklist-Full List'!$N$53</f>
        <v>Reference: Entity Org Docs Worksheet.</v>
      </c>
      <c r="O292" s="1777"/>
      <c r="P292" s="1777"/>
      <c r="Q292" s="1777"/>
      <c r="R292" s="1777"/>
      <c r="S292" s="1777"/>
      <c r="T292" s="1777"/>
      <c r="U292" s="1777"/>
      <c r="V292" s="1777"/>
      <c r="W292" s="1777"/>
      <c r="X292" s="1777"/>
      <c r="Y292" s="1777"/>
      <c r="Z292" s="1777"/>
      <c r="AA292" s="1777"/>
      <c r="AB292" s="1777"/>
      <c r="AC292" s="1777"/>
      <c r="AD292" s="1777"/>
      <c r="AE292" s="1778"/>
      <c r="AF292" s="1951" t="s">
        <v>559</v>
      </c>
      <c r="AG292" s="1777"/>
      <c r="AH292" s="1777"/>
      <c r="AI292" s="1777"/>
      <c r="AJ292" s="1777"/>
      <c r="AK292" s="1778"/>
      <c r="AL292" s="1872"/>
      <c r="AM292" s="1862"/>
      <c r="AN292" s="215"/>
      <c r="AO292" s="215"/>
      <c r="AP292" s="215"/>
      <c r="AQ292" s="215"/>
      <c r="AR292" s="215"/>
      <c r="AS292" s="215"/>
      <c r="AU292" s="474"/>
    </row>
    <row r="293" spans="1:62" s="122" customFormat="1" ht="18" hidden="1" customHeight="1">
      <c r="A293" s="95"/>
      <c r="B293" s="1867" t="s">
        <v>558</v>
      </c>
      <c r="C293" s="1777"/>
      <c r="D293" s="1778"/>
      <c r="E293" s="2096" t="str">
        <f>'Document Checklist-Full List'!$E$54</f>
        <v>30c. Spon3 OrgChart</v>
      </c>
      <c r="F293" s="1877"/>
      <c r="G293" s="1877"/>
      <c r="H293" s="1877"/>
      <c r="I293" s="1877"/>
      <c r="J293" s="1877"/>
      <c r="K293" s="1877"/>
      <c r="L293" s="1877"/>
      <c r="M293" s="1772"/>
      <c r="N293" s="1962" t="str">
        <f>'Document Checklist-Full List'!$N$54</f>
        <v>Sponsor/Applicant Organization Chart.</v>
      </c>
      <c r="O293" s="1777"/>
      <c r="P293" s="1777"/>
      <c r="Q293" s="1777"/>
      <c r="R293" s="1777"/>
      <c r="S293" s="1777"/>
      <c r="T293" s="1777"/>
      <c r="U293" s="1777"/>
      <c r="V293" s="1777"/>
      <c r="W293" s="1777"/>
      <c r="X293" s="1777"/>
      <c r="Y293" s="1777"/>
      <c r="Z293" s="1777"/>
      <c r="AA293" s="1777"/>
      <c r="AB293" s="1777"/>
      <c r="AC293" s="1777"/>
      <c r="AD293" s="1777"/>
      <c r="AE293" s="1778"/>
      <c r="AF293" s="1951" t="s">
        <v>559</v>
      </c>
      <c r="AG293" s="1777"/>
      <c r="AH293" s="1777"/>
      <c r="AI293" s="1777"/>
      <c r="AJ293" s="1777"/>
      <c r="AK293" s="1778"/>
      <c r="AL293" s="1872"/>
      <c r="AM293" s="1862"/>
      <c r="AN293" s="215"/>
      <c r="AO293" s="215"/>
      <c r="AP293" s="215"/>
      <c r="AQ293" s="215"/>
      <c r="AR293" s="215"/>
      <c r="AS293" s="215"/>
      <c r="AU293" s="474"/>
    </row>
    <row r="294" spans="1:62" s="122" customFormat="1" ht="18" hidden="1" customHeight="1">
      <c r="A294" s="95"/>
      <c r="B294" s="1867" t="s">
        <v>558</v>
      </c>
      <c r="C294" s="1777"/>
      <c r="D294" s="1778"/>
      <c r="E294" s="2096" t="str">
        <f>'Document Checklist-Full List'!$E$55</f>
        <v>30d. Spon3 Signature Block</v>
      </c>
      <c r="F294" s="1877"/>
      <c r="G294" s="1877"/>
      <c r="H294" s="1877"/>
      <c r="I294" s="1877"/>
      <c r="J294" s="1877"/>
      <c r="K294" s="1877"/>
      <c r="L294" s="1877"/>
      <c r="M294" s="1772"/>
      <c r="N294" s="1962" t="str">
        <f>'Document Checklist-Full List'!$N$55</f>
        <v>Signature Block - upload in Microsoft Word Document.</v>
      </c>
      <c r="O294" s="1777"/>
      <c r="P294" s="1777"/>
      <c r="Q294" s="1777"/>
      <c r="R294" s="1777"/>
      <c r="S294" s="1777"/>
      <c r="T294" s="1777"/>
      <c r="U294" s="1777"/>
      <c r="V294" s="1777"/>
      <c r="W294" s="1777"/>
      <c r="X294" s="1777"/>
      <c r="Y294" s="1777"/>
      <c r="Z294" s="1777"/>
      <c r="AA294" s="1777"/>
      <c r="AB294" s="1777"/>
      <c r="AC294" s="1777"/>
      <c r="AD294" s="1777"/>
      <c r="AE294" s="1778"/>
      <c r="AF294" s="1951" t="s">
        <v>559</v>
      </c>
      <c r="AG294" s="1777"/>
      <c r="AH294" s="1777"/>
      <c r="AI294" s="1777"/>
      <c r="AJ294" s="1777"/>
      <c r="AK294" s="1778"/>
      <c r="AL294" s="1872"/>
      <c r="AM294" s="1862"/>
      <c r="AN294" s="215"/>
      <c r="AO294" s="215"/>
      <c r="AP294" s="215"/>
      <c r="AQ294" s="215"/>
      <c r="AR294" s="215"/>
      <c r="AS294" s="215"/>
      <c r="AU294" s="474"/>
    </row>
    <row r="295" spans="1:62" s="122" customFormat="1" ht="36" hidden="1" customHeight="1">
      <c r="A295" s="95"/>
      <c r="B295" s="1867" t="s">
        <v>558</v>
      </c>
      <c r="C295" s="1777"/>
      <c r="D295" s="1778"/>
      <c r="E295" s="2096" t="str">
        <f>'Document Checklist-Full List'!$E$56</f>
        <v xml:space="preserve">30e. Spon3 Cert of Good Standing </v>
      </c>
      <c r="F295" s="1877"/>
      <c r="G295" s="1877"/>
      <c r="H295" s="1877"/>
      <c r="I295" s="1877"/>
      <c r="J295" s="1877"/>
      <c r="K295" s="1877"/>
      <c r="L295" s="1877"/>
      <c r="M295" s="1772"/>
      <c r="N295" s="1962" t="str">
        <f>'Document Checklist-Full List'!$N$56</f>
        <v>Certificate of Good Standing must be dated 30 days or less from the application due date.</v>
      </c>
      <c r="O295" s="1777"/>
      <c r="P295" s="1777"/>
      <c r="Q295" s="1777"/>
      <c r="R295" s="1777"/>
      <c r="S295" s="1777"/>
      <c r="T295" s="1777"/>
      <c r="U295" s="1777"/>
      <c r="V295" s="1777"/>
      <c r="W295" s="1777"/>
      <c r="X295" s="1777"/>
      <c r="Y295" s="1777"/>
      <c r="Z295" s="1777"/>
      <c r="AA295" s="1777"/>
      <c r="AB295" s="1777"/>
      <c r="AC295" s="1777"/>
      <c r="AD295" s="1777"/>
      <c r="AE295" s="1778"/>
      <c r="AF295" s="1951" t="s">
        <v>559</v>
      </c>
      <c r="AG295" s="1777"/>
      <c r="AH295" s="1777"/>
      <c r="AI295" s="1777"/>
      <c r="AJ295" s="1777"/>
      <c r="AK295" s="1778"/>
      <c r="AL295" s="1872"/>
      <c r="AM295" s="1862"/>
      <c r="AN295" s="215"/>
      <c r="AO295" s="215"/>
      <c r="AP295" s="215"/>
      <c r="AQ295" s="215"/>
      <c r="AR295" s="215"/>
      <c r="AS295" s="215"/>
      <c r="AU295" s="474"/>
    </row>
    <row r="296" spans="1:62" s="122" customFormat="1" ht="36" hidden="1" customHeight="1">
      <c r="A296" s="95"/>
      <c r="B296" s="1867" t="s">
        <v>558</v>
      </c>
      <c r="C296" s="1777"/>
      <c r="D296" s="1778"/>
      <c r="E296" s="2096" t="str">
        <f>'Document Checklist-Full List'!$E$57</f>
        <v>30f. Spon3 Tax-Exempt Status</v>
      </c>
      <c r="F296" s="1877"/>
      <c r="G296" s="1877"/>
      <c r="H296" s="1877"/>
      <c r="I296" s="1877"/>
      <c r="J296" s="1877"/>
      <c r="K296" s="1877"/>
      <c r="L296" s="1877"/>
      <c r="M296" s="1772"/>
      <c r="N296" s="1962" t="str">
        <f>'Document Checklist-Full List'!$N$57</f>
        <v>Evidence of tax-exempt status from IRS and FTB for Corporations (Non-Profits Only).</v>
      </c>
      <c r="O296" s="1777"/>
      <c r="P296" s="1777"/>
      <c r="Q296" s="1777"/>
      <c r="R296" s="1777"/>
      <c r="S296" s="1777"/>
      <c r="T296" s="1777"/>
      <c r="U296" s="1777"/>
      <c r="V296" s="1777"/>
      <c r="W296" s="1777"/>
      <c r="X296" s="1777"/>
      <c r="Y296" s="1777"/>
      <c r="Z296" s="1777"/>
      <c r="AA296" s="1777"/>
      <c r="AB296" s="1777"/>
      <c r="AC296" s="1777"/>
      <c r="AD296" s="1777"/>
      <c r="AE296" s="1778"/>
      <c r="AF296" s="1951" t="s">
        <v>559</v>
      </c>
      <c r="AG296" s="1777"/>
      <c r="AH296" s="1777"/>
      <c r="AI296" s="1777"/>
      <c r="AJ296" s="1777"/>
      <c r="AK296" s="1778"/>
      <c r="AL296" s="1872"/>
      <c r="AM296" s="1862"/>
      <c r="AN296" s="215"/>
      <c r="AO296" s="215"/>
      <c r="AP296" s="215"/>
      <c r="AQ296" s="215"/>
      <c r="AR296" s="215"/>
      <c r="AS296" s="215"/>
      <c r="AU296" s="474"/>
    </row>
    <row r="297" spans="1:62" ht="18" hidden="1" customHeight="1">
      <c r="B297" s="738"/>
      <c r="C297" s="738"/>
      <c r="D297" s="738"/>
      <c r="E297" s="738"/>
      <c r="F297" s="738"/>
      <c r="G297" s="738"/>
      <c r="H297" s="738"/>
      <c r="I297" s="738"/>
      <c r="J297" s="738"/>
      <c r="K297" s="738"/>
      <c r="L297" s="738"/>
      <c r="M297" s="738"/>
      <c r="N297" s="738"/>
      <c r="O297" s="738"/>
      <c r="P297" s="738"/>
      <c r="Q297" s="738"/>
      <c r="R297" s="738"/>
      <c r="S297" s="738"/>
      <c r="T297" s="738"/>
      <c r="U297" s="738"/>
      <c r="V297" s="738"/>
      <c r="W297" s="738"/>
      <c r="X297" s="738"/>
      <c r="Y297" s="738"/>
      <c r="Z297" s="738"/>
      <c r="AA297" s="738"/>
      <c r="AB297" s="738"/>
      <c r="AC297" s="738"/>
      <c r="AD297" s="738"/>
      <c r="AE297" s="738"/>
      <c r="AF297" s="738"/>
      <c r="AG297" s="738"/>
      <c r="AH297" s="738"/>
      <c r="AI297" s="738"/>
      <c r="AJ297" s="738"/>
      <c r="AK297" s="738"/>
      <c r="AL297" s="738"/>
      <c r="AM297" s="738"/>
      <c r="AT297" s="2206"/>
    </row>
    <row r="298" spans="1:62" ht="18" hidden="1" customHeight="1">
      <c r="B298" s="1957" t="s">
        <v>764</v>
      </c>
      <c r="C298" s="1877"/>
      <c r="D298" s="1877"/>
      <c r="E298" s="1877"/>
      <c r="F298" s="1877"/>
      <c r="G298" s="1877"/>
      <c r="H298" s="1877"/>
      <c r="I298" s="1877"/>
      <c r="J298" s="1877"/>
      <c r="K298" s="1877"/>
      <c r="L298" s="1877"/>
      <c r="M298" s="1877"/>
      <c r="N298" s="996"/>
      <c r="O298" s="996"/>
      <c r="P298" s="996"/>
      <c r="Q298" s="996"/>
      <c r="R298" s="996"/>
      <c r="S298" s="996"/>
      <c r="T298" s="996"/>
      <c r="U298" s="996"/>
      <c r="V298" s="996"/>
      <c r="W298" s="996"/>
      <c r="X298" s="996"/>
      <c r="Y298" s="996"/>
      <c r="Z298" s="996"/>
      <c r="AA298" s="996"/>
      <c r="AB298" s="996"/>
      <c r="AC298" s="996"/>
      <c r="AD298" s="996"/>
      <c r="AE298" s="996"/>
      <c r="AF298" s="996"/>
      <c r="AG298" s="996"/>
      <c r="AH298" s="996"/>
      <c r="AI298" s="996"/>
      <c r="AJ298" s="996"/>
      <c r="AK298" s="996"/>
      <c r="AL298" s="996"/>
      <c r="AM298" s="996"/>
      <c r="AT298" s="1910"/>
    </row>
    <row r="299" spans="1:62" ht="18" hidden="1" customHeight="1">
      <c r="B299" s="2070" t="s">
        <v>765</v>
      </c>
      <c r="C299" s="1877"/>
      <c r="D299" s="1877"/>
      <c r="E299" s="1877"/>
      <c r="F299" s="1772"/>
      <c r="G299" s="2211"/>
      <c r="H299" s="1869"/>
      <c r="I299" s="1869"/>
      <c r="J299" s="1869"/>
      <c r="K299" s="1869"/>
      <c r="L299" s="1869"/>
      <c r="M299" s="1869"/>
      <c r="N299" s="1869"/>
      <c r="O299" s="1869"/>
      <c r="P299" s="1869"/>
      <c r="Q299" s="1869"/>
      <c r="R299" s="1869"/>
      <c r="S299" s="1869"/>
      <c r="T299" s="1869"/>
      <c r="U299" s="1869"/>
      <c r="V299" s="1869"/>
      <c r="W299" s="1869"/>
      <c r="X299" s="1869"/>
      <c r="Y299" s="1869"/>
      <c r="Z299" s="1869"/>
      <c r="AA299" s="1869"/>
      <c r="AB299" s="1869"/>
      <c r="AC299" s="1869"/>
      <c r="AD299" s="1869"/>
      <c r="AE299" s="1869"/>
      <c r="AF299" s="1869"/>
      <c r="AG299" s="1869"/>
      <c r="AH299" s="1869"/>
      <c r="AI299" s="1869"/>
      <c r="AJ299" s="1869"/>
      <c r="AK299" s="1869"/>
      <c r="AL299" s="1869"/>
      <c r="AM299" s="1870"/>
      <c r="AN299" s="471"/>
      <c r="AT299" s="1910"/>
    </row>
    <row r="300" spans="1:62" ht="18" hidden="1" customHeight="1">
      <c r="A300" s="1744"/>
      <c r="B300" s="1867" t="s">
        <v>558</v>
      </c>
      <c r="C300" s="1777"/>
      <c r="D300" s="1778"/>
      <c r="E300" s="1882" t="str">
        <f>'Document Checklist-Full List'!$E$59</f>
        <v>31a. BWR Cert &amp; Legal Disclosure</v>
      </c>
      <c r="F300" s="1777"/>
      <c r="G300" s="1777"/>
      <c r="H300" s="1777"/>
      <c r="I300" s="1777"/>
      <c r="J300" s="1777"/>
      <c r="K300" s="1777"/>
      <c r="L300" s="1777"/>
      <c r="M300" s="1778"/>
      <c r="N300" s="1975" t="str">
        <f>'Document Checklist-Full List'!$N$59</f>
        <v>Reference: Sponsor/Applicant Certification Worksheet.</v>
      </c>
      <c r="O300" s="1777"/>
      <c r="P300" s="1777"/>
      <c r="Q300" s="1777"/>
      <c r="R300" s="1777"/>
      <c r="S300" s="1777"/>
      <c r="T300" s="1777"/>
      <c r="U300" s="1777"/>
      <c r="V300" s="1777"/>
      <c r="W300" s="1777"/>
      <c r="X300" s="1777"/>
      <c r="Y300" s="1777"/>
      <c r="Z300" s="1777"/>
      <c r="AA300" s="1777"/>
      <c r="AB300" s="1777"/>
      <c r="AC300" s="1777"/>
      <c r="AD300" s="1777"/>
      <c r="AE300" s="1778"/>
      <c r="AF300" s="1951" t="s">
        <v>559</v>
      </c>
      <c r="AG300" s="1777"/>
      <c r="AH300" s="1777"/>
      <c r="AI300" s="1777"/>
      <c r="AJ300" s="1777"/>
      <c r="AK300" s="1778"/>
      <c r="AL300" s="1872"/>
      <c r="AM300" s="1862"/>
      <c r="AN300" s="471"/>
      <c r="AT300" s="1910"/>
    </row>
    <row r="301" spans="1:62" ht="36" hidden="1" customHeight="1">
      <c r="A301" s="1744"/>
      <c r="B301" s="1867" t="s">
        <v>558</v>
      </c>
      <c r="C301" s="1777"/>
      <c r="D301" s="1778"/>
      <c r="E301" s="1882" t="str">
        <f>'Document Checklist-Full List'!$E$60</f>
        <v>31b. BWR OrgDoc1, BWR OrgDoc2, etc.</v>
      </c>
      <c r="F301" s="1777"/>
      <c r="G301" s="1777"/>
      <c r="H301" s="1777"/>
      <c r="I301" s="1777"/>
      <c r="J301" s="1777"/>
      <c r="K301" s="1777"/>
      <c r="L301" s="1777"/>
      <c r="M301" s="1778"/>
      <c r="N301" s="1975" t="str">
        <f>'Document Checklist-Full List'!$N$60</f>
        <v>Reference: Entity Org Docs Worksheet.</v>
      </c>
      <c r="O301" s="1777"/>
      <c r="P301" s="1777"/>
      <c r="Q301" s="1777"/>
      <c r="R301" s="1777"/>
      <c r="S301" s="1777"/>
      <c r="T301" s="1777"/>
      <c r="U301" s="1777"/>
      <c r="V301" s="1777"/>
      <c r="W301" s="1777"/>
      <c r="X301" s="1777"/>
      <c r="Y301" s="1777"/>
      <c r="Z301" s="1777"/>
      <c r="AA301" s="1777"/>
      <c r="AB301" s="1777"/>
      <c r="AC301" s="1777"/>
      <c r="AD301" s="1777"/>
      <c r="AE301" s="1778"/>
      <c r="AF301" s="1951" t="s">
        <v>559</v>
      </c>
      <c r="AG301" s="1777"/>
      <c r="AH301" s="1777"/>
      <c r="AI301" s="1777"/>
      <c r="AJ301" s="1777"/>
      <c r="AK301" s="1778"/>
      <c r="AL301" s="1872"/>
      <c r="AM301" s="1862"/>
      <c r="AN301" s="471"/>
      <c r="AT301" s="1910"/>
    </row>
    <row r="302" spans="1:62" ht="36" hidden="1" customHeight="1">
      <c r="A302" s="1744"/>
      <c r="B302" s="1867" t="s">
        <v>558</v>
      </c>
      <c r="C302" s="1777"/>
      <c r="D302" s="1778"/>
      <c r="E302" s="1882" t="str">
        <f>'Document Checklist-Full List'!$E$61</f>
        <v>31c. BWR OrgChart</v>
      </c>
      <c r="F302" s="1777"/>
      <c r="G302" s="1777"/>
      <c r="H302" s="1777"/>
      <c r="I302" s="1777"/>
      <c r="J302" s="1777"/>
      <c r="K302" s="1777"/>
      <c r="L302" s="1777"/>
      <c r="M302" s="1778"/>
      <c r="N302" s="1881" t="str">
        <f>'Document Checklist-Full List'!$N$61</f>
        <v>Must demonstrate Sponsor/Applicant control of the Borrower consistent with UMR §8313.2.</v>
      </c>
      <c r="O302" s="1777"/>
      <c r="P302" s="1777"/>
      <c r="Q302" s="1777"/>
      <c r="R302" s="1777"/>
      <c r="S302" s="1777"/>
      <c r="T302" s="1777"/>
      <c r="U302" s="1777"/>
      <c r="V302" s="1777"/>
      <c r="W302" s="1777"/>
      <c r="X302" s="1777"/>
      <c r="Y302" s="1777"/>
      <c r="Z302" s="1777"/>
      <c r="AA302" s="1777"/>
      <c r="AB302" s="1777"/>
      <c r="AC302" s="1777"/>
      <c r="AD302" s="1777"/>
      <c r="AE302" s="1778"/>
      <c r="AF302" s="1951" t="s">
        <v>559</v>
      </c>
      <c r="AG302" s="1777"/>
      <c r="AH302" s="1777"/>
      <c r="AI302" s="1777"/>
      <c r="AJ302" s="1777"/>
      <c r="AK302" s="1778"/>
      <c r="AL302" s="1872"/>
      <c r="AM302" s="1862"/>
      <c r="AN302" s="471"/>
      <c r="AT302" s="739"/>
    </row>
    <row r="303" spans="1:62" ht="18" hidden="1" customHeight="1">
      <c r="A303" s="1744"/>
      <c r="B303" s="1867" t="s">
        <v>558</v>
      </c>
      <c r="C303" s="1777"/>
      <c r="D303" s="1778"/>
      <c r="E303" s="1882" t="str">
        <f>'Document Checklist-Full List'!$E$62</f>
        <v>31d. BWR Signature Block</v>
      </c>
      <c r="F303" s="1777"/>
      <c r="G303" s="1777"/>
      <c r="H303" s="1777"/>
      <c r="I303" s="1777"/>
      <c r="J303" s="1777"/>
      <c r="K303" s="1777"/>
      <c r="L303" s="1777"/>
      <c r="M303" s="1778"/>
      <c r="N303" s="1881" t="str">
        <f>'Document Checklist-Full List'!$N$62</f>
        <v>Signature Block - upload in Microsoft Word Document.</v>
      </c>
      <c r="O303" s="1777"/>
      <c r="P303" s="1777"/>
      <c r="Q303" s="1777"/>
      <c r="R303" s="1777"/>
      <c r="S303" s="1777"/>
      <c r="T303" s="1777"/>
      <c r="U303" s="1777"/>
      <c r="V303" s="1777"/>
      <c r="W303" s="1777"/>
      <c r="X303" s="1777"/>
      <c r="Y303" s="1777"/>
      <c r="Z303" s="1777"/>
      <c r="AA303" s="1777"/>
      <c r="AB303" s="1777"/>
      <c r="AC303" s="1777"/>
      <c r="AD303" s="1777"/>
      <c r="AE303" s="1778"/>
      <c r="AF303" s="1951" t="s">
        <v>559</v>
      </c>
      <c r="AG303" s="1777"/>
      <c r="AH303" s="1777"/>
      <c r="AI303" s="1777"/>
      <c r="AJ303" s="1777"/>
      <c r="AK303" s="1778"/>
      <c r="AL303" s="1872"/>
      <c r="AM303" s="1862"/>
      <c r="AN303" s="471"/>
      <c r="AO303" s="426"/>
      <c r="AP303" s="58"/>
      <c r="AQ303" s="58"/>
      <c r="AS303" s="123"/>
    </row>
    <row r="304" spans="1:62" ht="36" hidden="1" customHeight="1">
      <c r="A304" s="1744"/>
      <c r="B304" s="1867" t="s">
        <v>558</v>
      </c>
      <c r="C304" s="1777"/>
      <c r="D304" s="1778"/>
      <c r="E304" s="1882" t="str">
        <f>'Document Checklist-Full List'!$E$63</f>
        <v>31e. BWR STD-204 Payee Data Record</v>
      </c>
      <c r="F304" s="1777"/>
      <c r="G304" s="1777"/>
      <c r="H304" s="1777"/>
      <c r="I304" s="1777"/>
      <c r="J304" s="1777"/>
      <c r="K304" s="1777"/>
      <c r="L304" s="1777"/>
      <c r="M304" s="1778"/>
      <c r="N304" s="1975" t="str">
        <f>'Document Checklist-Full List'!$N$63</f>
        <v xml:space="preserve">Reference: AB434 webpage for Payee Data record STD204. </v>
      </c>
      <c r="O304" s="1777"/>
      <c r="P304" s="1777"/>
      <c r="Q304" s="1777"/>
      <c r="R304" s="1777"/>
      <c r="S304" s="1777"/>
      <c r="T304" s="1777"/>
      <c r="U304" s="1777"/>
      <c r="V304" s="1777"/>
      <c r="W304" s="1777"/>
      <c r="X304" s="1777"/>
      <c r="Y304" s="1777"/>
      <c r="Z304" s="1777"/>
      <c r="AA304" s="1777"/>
      <c r="AB304" s="1777"/>
      <c r="AC304" s="1777"/>
      <c r="AD304" s="1777"/>
      <c r="AE304" s="1778"/>
      <c r="AF304" s="1951" t="s">
        <v>559</v>
      </c>
      <c r="AG304" s="1777"/>
      <c r="AH304" s="1777"/>
      <c r="AI304" s="1777"/>
      <c r="AJ304" s="1777"/>
      <c r="AK304" s="1778"/>
      <c r="AL304" s="1872"/>
      <c r="AM304" s="1862"/>
      <c r="AN304" s="58"/>
      <c r="AO304" s="1629"/>
      <c r="AP304" s="136"/>
      <c r="AQ304" s="136"/>
      <c r="AR304" s="123"/>
      <c r="AS304" s="123"/>
      <c r="AT304" s="474"/>
      <c r="AU304" s="474"/>
      <c r="AV304" s="474"/>
      <c r="AW304" s="474"/>
      <c r="AX304" s="474"/>
      <c r="AY304" s="474"/>
      <c r="AZ304" s="474"/>
      <c r="BA304" s="474"/>
      <c r="BB304" s="474"/>
      <c r="BC304" s="474"/>
      <c r="BD304" s="474"/>
      <c r="BE304" s="474"/>
      <c r="BF304" s="474"/>
      <c r="BG304" s="474"/>
      <c r="BH304" s="474"/>
      <c r="BI304" s="474"/>
      <c r="BJ304" s="474"/>
    </row>
    <row r="305" spans="1:62" s="474" customFormat="1" ht="18" hidden="1" customHeight="1">
      <c r="A305" s="1744"/>
      <c r="B305" s="1867" t="s">
        <v>558</v>
      </c>
      <c r="C305" s="1777"/>
      <c r="D305" s="1778"/>
      <c r="E305" s="1882" t="str">
        <f>'Document Checklist-Full List'!$E$64</f>
        <v>31f. BWR Fi$Cal TIN Form</v>
      </c>
      <c r="F305" s="1777"/>
      <c r="G305" s="1777"/>
      <c r="H305" s="1777"/>
      <c r="I305" s="1777"/>
      <c r="J305" s="1777"/>
      <c r="K305" s="1777"/>
      <c r="L305" s="1777"/>
      <c r="M305" s="1778"/>
      <c r="N305" s="1975" t="str">
        <f>'Document Checklist-Full List'!$N$64</f>
        <v>Reference: Taxpayer Identification Number (TIN) (public entities ONLY).</v>
      </c>
      <c r="O305" s="1777"/>
      <c r="P305" s="1777"/>
      <c r="Q305" s="1777"/>
      <c r="R305" s="1777"/>
      <c r="S305" s="1777"/>
      <c r="T305" s="1777"/>
      <c r="U305" s="1777"/>
      <c r="V305" s="1777"/>
      <c r="W305" s="1777"/>
      <c r="X305" s="1777"/>
      <c r="Y305" s="1777"/>
      <c r="Z305" s="1777"/>
      <c r="AA305" s="1777"/>
      <c r="AB305" s="1777"/>
      <c r="AC305" s="1777"/>
      <c r="AD305" s="1777"/>
      <c r="AE305" s="1778"/>
      <c r="AF305" s="1951" t="s">
        <v>559</v>
      </c>
      <c r="AG305" s="1777"/>
      <c r="AH305" s="1777"/>
      <c r="AI305" s="1777"/>
      <c r="AJ305" s="1777"/>
      <c r="AK305" s="1778"/>
      <c r="AL305" s="1872"/>
      <c r="AM305" s="1862"/>
      <c r="AN305" s="58"/>
      <c r="AO305" s="426"/>
      <c r="AP305" s="476"/>
      <c r="AQ305" s="58"/>
      <c r="AR305" s="57"/>
      <c r="AS305" s="123"/>
      <c r="AT305" s="55"/>
      <c r="AU305" s="55"/>
      <c r="AV305" s="55"/>
      <c r="AW305" s="55"/>
      <c r="AX305" s="55"/>
      <c r="AY305" s="55"/>
      <c r="AZ305" s="55"/>
      <c r="BA305" s="55"/>
      <c r="BB305" s="55"/>
      <c r="BC305" s="55"/>
      <c r="BD305" s="55"/>
      <c r="BE305" s="55"/>
      <c r="BF305" s="55"/>
      <c r="BG305" s="55"/>
      <c r="BH305" s="55"/>
      <c r="BI305" s="55"/>
      <c r="BJ305" s="55"/>
    </row>
    <row r="306" spans="1:62" ht="18" hidden="1" customHeight="1">
      <c r="A306" s="1744"/>
      <c r="B306" s="1867" t="s">
        <v>558</v>
      </c>
      <c r="C306" s="1777"/>
      <c r="D306" s="1778"/>
      <c r="E306" s="1882" t="str">
        <f>'Document Checklist-Full List'!$E$65</f>
        <v>31g. BWR EIN Verification</v>
      </c>
      <c r="F306" s="1777"/>
      <c r="G306" s="1777"/>
      <c r="H306" s="1777"/>
      <c r="I306" s="1777"/>
      <c r="J306" s="1777"/>
      <c r="K306" s="1777"/>
      <c r="L306" s="1777"/>
      <c r="M306" s="1778"/>
      <c r="N306" s="1881" t="str">
        <f>'Document Checklist-Full List'!$N$65</f>
        <v>IRS Form SS-4.</v>
      </c>
      <c r="O306" s="1777"/>
      <c r="P306" s="1777"/>
      <c r="Q306" s="1777"/>
      <c r="R306" s="1777"/>
      <c r="S306" s="1777"/>
      <c r="T306" s="1777"/>
      <c r="U306" s="1777"/>
      <c r="V306" s="1777"/>
      <c r="W306" s="1777"/>
      <c r="X306" s="1777"/>
      <c r="Y306" s="1777"/>
      <c r="Z306" s="1777"/>
      <c r="AA306" s="1777"/>
      <c r="AB306" s="1777"/>
      <c r="AC306" s="1777"/>
      <c r="AD306" s="1777"/>
      <c r="AE306" s="1778"/>
      <c r="AF306" s="1951" t="s">
        <v>559</v>
      </c>
      <c r="AG306" s="1777"/>
      <c r="AH306" s="1777"/>
      <c r="AI306" s="1777"/>
      <c r="AJ306" s="1777"/>
      <c r="AK306" s="1778"/>
      <c r="AL306" s="1872"/>
      <c r="AM306" s="1862"/>
      <c r="AN306" s="58"/>
      <c r="AO306" s="426"/>
      <c r="AP306" s="58"/>
      <c r="AQ306" s="58"/>
      <c r="AS306" s="123"/>
    </row>
    <row r="307" spans="1:62" ht="36" hidden="1" customHeight="1">
      <c r="A307" s="1744"/>
      <c r="B307" s="1867" t="s">
        <v>558</v>
      </c>
      <c r="C307" s="1777"/>
      <c r="D307" s="1778"/>
      <c r="E307" s="1882" t="str">
        <f>'Document Checklist-Full List'!$E$66</f>
        <v xml:space="preserve">31h. BWR Cert of Good Standing </v>
      </c>
      <c r="F307" s="1777"/>
      <c r="G307" s="1777"/>
      <c r="H307" s="1777"/>
      <c r="I307" s="1777"/>
      <c r="J307" s="1777"/>
      <c r="K307" s="1777"/>
      <c r="L307" s="1777"/>
      <c r="M307" s="1778"/>
      <c r="N307" s="1881" t="str">
        <f>'Document Checklist-Full List'!$N$66</f>
        <v>Certificate of Good Standing must be dated 30 days or less from the application due date.</v>
      </c>
      <c r="O307" s="1777"/>
      <c r="P307" s="1777"/>
      <c r="Q307" s="1777"/>
      <c r="R307" s="1777"/>
      <c r="S307" s="1777"/>
      <c r="T307" s="1777"/>
      <c r="U307" s="1777"/>
      <c r="V307" s="1777"/>
      <c r="W307" s="1777"/>
      <c r="X307" s="1777"/>
      <c r="Y307" s="1777"/>
      <c r="Z307" s="1777"/>
      <c r="AA307" s="1777"/>
      <c r="AB307" s="1777"/>
      <c r="AC307" s="1777"/>
      <c r="AD307" s="1777"/>
      <c r="AE307" s="1778"/>
      <c r="AF307" s="1951" t="s">
        <v>559</v>
      </c>
      <c r="AG307" s="1777"/>
      <c r="AH307" s="1777"/>
      <c r="AI307" s="1777"/>
      <c r="AJ307" s="1777"/>
      <c r="AK307" s="1778"/>
      <c r="AL307" s="1872"/>
      <c r="AM307" s="1862"/>
      <c r="AN307" s="58"/>
      <c r="AO307" s="426"/>
      <c r="AP307" s="58"/>
      <c r="AQ307" s="58"/>
      <c r="AS307" s="123"/>
    </row>
    <row r="308" spans="1:62" ht="36" hidden="1" customHeight="1">
      <c r="A308" s="1744"/>
      <c r="B308" s="1867" t="s">
        <v>558</v>
      </c>
      <c r="C308" s="1777"/>
      <c r="D308" s="1778"/>
      <c r="E308" s="1882" t="str">
        <f>'Document Checklist-Full List'!$E$67</f>
        <v>31i. BWR Tax-Exempt Status</v>
      </c>
      <c r="F308" s="1777"/>
      <c r="G308" s="1777"/>
      <c r="H308" s="1777"/>
      <c r="I308" s="1777"/>
      <c r="J308" s="1777"/>
      <c r="K308" s="1777"/>
      <c r="L308" s="1777"/>
      <c r="M308" s="1778"/>
      <c r="N308" s="1881" t="str">
        <f>'Document Checklist-Full List'!$N$67</f>
        <v>Evidence of tax-exempt status from IRS and FTB for Corporations (Non-Profits Only).</v>
      </c>
      <c r="O308" s="1777"/>
      <c r="P308" s="1777"/>
      <c r="Q308" s="1777"/>
      <c r="R308" s="1777"/>
      <c r="S308" s="1777"/>
      <c r="T308" s="1777"/>
      <c r="U308" s="1777"/>
      <c r="V308" s="1777"/>
      <c r="W308" s="1777"/>
      <c r="X308" s="1777"/>
      <c r="Y308" s="1777"/>
      <c r="Z308" s="1777"/>
      <c r="AA308" s="1777"/>
      <c r="AB308" s="1777"/>
      <c r="AC308" s="1777"/>
      <c r="AD308" s="1777"/>
      <c r="AE308" s="1778"/>
      <c r="AF308" s="1951" t="s">
        <v>559</v>
      </c>
      <c r="AG308" s="1777"/>
      <c r="AH308" s="1777"/>
      <c r="AI308" s="1777"/>
      <c r="AJ308" s="1777"/>
      <c r="AK308" s="1778"/>
      <c r="AL308" s="1872"/>
      <c r="AM308" s="1862"/>
      <c r="AN308" s="58"/>
      <c r="AO308" s="426"/>
      <c r="AP308" s="58"/>
      <c r="AQ308" s="58"/>
      <c r="AS308" s="123"/>
    </row>
    <row r="309" spans="1:62" ht="19.5" hidden="1" customHeight="1">
      <c r="A309" s="1744"/>
      <c r="B309" s="137"/>
      <c r="C309" s="137"/>
      <c r="D309" s="137"/>
      <c r="E309" s="137"/>
      <c r="F309" s="137"/>
      <c r="G309" s="137"/>
      <c r="H309" s="137"/>
      <c r="I309" s="137"/>
      <c r="J309" s="137"/>
      <c r="K309" s="137"/>
      <c r="L309" s="137"/>
      <c r="M309" s="137"/>
      <c r="N309" s="137"/>
      <c r="O309" s="137"/>
      <c r="P309" s="137"/>
      <c r="Q309" s="137"/>
      <c r="R309" s="137"/>
      <c r="S309" s="137"/>
      <c r="T309" s="137"/>
      <c r="U309" s="137"/>
      <c r="V309" s="137"/>
      <c r="W309" s="137"/>
      <c r="X309" s="137"/>
      <c r="Y309" s="137"/>
      <c r="Z309" s="137"/>
      <c r="AA309" s="137"/>
      <c r="AB309" s="137"/>
      <c r="AC309" s="137"/>
      <c r="AD309" s="137"/>
      <c r="AE309" s="137"/>
      <c r="AF309" s="137"/>
      <c r="AG309" s="137"/>
      <c r="AH309" s="137"/>
      <c r="AI309" s="137"/>
      <c r="AJ309" s="137"/>
      <c r="AK309" s="137"/>
      <c r="AL309" s="137"/>
      <c r="AM309" s="137"/>
      <c r="AN309" s="58"/>
      <c r="AO309" s="426"/>
      <c r="AP309" s="58"/>
      <c r="AQ309" s="58"/>
    </row>
    <row r="310" spans="1:62" ht="18" hidden="1" customHeight="1">
      <c r="A310" s="1744"/>
      <c r="B310" s="2198" t="s">
        <v>766</v>
      </c>
      <c r="C310" s="1777"/>
      <c r="D310" s="1777"/>
      <c r="E310" s="1777"/>
      <c r="F310" s="1777"/>
      <c r="G310" s="1777"/>
      <c r="H310" s="1777"/>
      <c r="I310" s="1777"/>
      <c r="J310" s="1777"/>
      <c r="K310" s="1778"/>
      <c r="L310" s="2011" t="s">
        <v>745</v>
      </c>
      <c r="M310" s="1777"/>
      <c r="N310" s="1777"/>
      <c r="O310" s="1778"/>
      <c r="P310" s="2056"/>
      <c r="Q310" s="1861"/>
      <c r="R310" s="1861"/>
      <c r="S310" s="1861"/>
      <c r="T310" s="1861"/>
      <c r="U310" s="1861"/>
      <c r="V310" s="1861"/>
      <c r="W310" s="1861"/>
      <c r="X310" s="1861"/>
      <c r="Y310" s="1861"/>
      <c r="Z310" s="1861"/>
      <c r="AA310" s="1861"/>
      <c r="AB310" s="1861"/>
      <c r="AC310" s="1861"/>
      <c r="AD310" s="1861"/>
      <c r="AE310" s="1861"/>
      <c r="AF310" s="1861"/>
      <c r="AG310" s="1861"/>
      <c r="AH310" s="1861"/>
      <c r="AI310" s="1861"/>
      <c r="AJ310" s="1861"/>
      <c r="AK310" s="1861"/>
      <c r="AL310" s="1861"/>
      <c r="AM310" s="1862"/>
      <c r="AN310" s="382"/>
      <c r="AO310" s="426"/>
      <c r="AP310" s="58"/>
      <c r="AQ310" s="58"/>
    </row>
    <row r="311" spans="1:62" ht="18" hidden="1" customHeight="1">
      <c r="B311" s="1867" t="s">
        <v>558</v>
      </c>
      <c r="C311" s="1777"/>
      <c r="D311" s="1778"/>
      <c r="E311" s="1882" t="str">
        <f>'Document Checklist-Full List'!$E$69</f>
        <v>32a. MGP Cert &amp; Legal Disclosure</v>
      </c>
      <c r="F311" s="1777"/>
      <c r="G311" s="1777"/>
      <c r="H311" s="1777"/>
      <c r="I311" s="1777"/>
      <c r="J311" s="1777"/>
      <c r="K311" s="1777"/>
      <c r="L311" s="1777"/>
      <c r="M311" s="1778"/>
      <c r="N311" s="1975" t="str">
        <f>'Document Checklist-Full List'!$N$69</f>
        <v>Reference: Sponsor/Applicant Certification Worksheet.</v>
      </c>
      <c r="O311" s="1777"/>
      <c r="P311" s="1777"/>
      <c r="Q311" s="1777"/>
      <c r="R311" s="1777"/>
      <c r="S311" s="1777"/>
      <c r="T311" s="1777"/>
      <c r="U311" s="1777"/>
      <c r="V311" s="1777"/>
      <c r="W311" s="1777"/>
      <c r="X311" s="1777"/>
      <c r="Y311" s="1777"/>
      <c r="Z311" s="1777"/>
      <c r="AA311" s="1777"/>
      <c r="AB311" s="1777"/>
      <c r="AC311" s="1777"/>
      <c r="AD311" s="1777"/>
      <c r="AE311" s="1778"/>
      <c r="AF311" s="1951" t="s">
        <v>559</v>
      </c>
      <c r="AG311" s="1777"/>
      <c r="AH311" s="1777"/>
      <c r="AI311" s="1777"/>
      <c r="AJ311" s="1777"/>
      <c r="AK311" s="1778"/>
      <c r="AL311" s="1872"/>
      <c r="AM311" s="1862"/>
      <c r="AO311" s="58"/>
      <c r="AP311" s="58"/>
    </row>
    <row r="312" spans="1:62" ht="36" hidden="1" customHeight="1">
      <c r="B312" s="1867" t="s">
        <v>558</v>
      </c>
      <c r="C312" s="1777"/>
      <c r="D312" s="1778"/>
      <c r="E312" s="1882" t="str">
        <f>'Document Checklist-Full List'!$E$70</f>
        <v>32b. MGP OrgDoc1, MGP OrgDoc2, etc.</v>
      </c>
      <c r="F312" s="1777"/>
      <c r="G312" s="1777"/>
      <c r="H312" s="1777"/>
      <c r="I312" s="1777"/>
      <c r="J312" s="1777"/>
      <c r="K312" s="1777"/>
      <c r="L312" s="1777"/>
      <c r="M312" s="1778"/>
      <c r="N312" s="1975" t="str">
        <f>'Document Checklist-Full List'!$N$70</f>
        <v>Reference: Entity Org Docs Worksheet.</v>
      </c>
      <c r="O312" s="1777"/>
      <c r="P312" s="1777"/>
      <c r="Q312" s="1777"/>
      <c r="R312" s="1777"/>
      <c r="S312" s="1777"/>
      <c r="T312" s="1777"/>
      <c r="U312" s="1777"/>
      <c r="V312" s="1777"/>
      <c r="W312" s="1777"/>
      <c r="X312" s="1777"/>
      <c r="Y312" s="1777"/>
      <c r="Z312" s="1777"/>
      <c r="AA312" s="1777"/>
      <c r="AB312" s="1777"/>
      <c r="AC312" s="1777"/>
      <c r="AD312" s="1777"/>
      <c r="AE312" s="1778"/>
      <c r="AF312" s="1951" t="s">
        <v>559</v>
      </c>
      <c r="AG312" s="1777"/>
      <c r="AH312" s="1777"/>
      <c r="AI312" s="1777"/>
      <c r="AJ312" s="1777"/>
      <c r="AK312" s="1778"/>
      <c r="AL312" s="1872"/>
      <c r="AM312" s="1862"/>
      <c r="AO312" s="58"/>
      <c r="AP312" s="58"/>
    </row>
    <row r="313" spans="1:62" ht="18" hidden="1" customHeight="1">
      <c r="B313" s="1867" t="s">
        <v>558</v>
      </c>
      <c r="C313" s="1777"/>
      <c r="D313" s="1778"/>
      <c r="E313" s="1882" t="str">
        <f>'Document Checklist-Full List'!$E$71</f>
        <v>32c. MGP OrgChart</v>
      </c>
      <c r="F313" s="1777"/>
      <c r="G313" s="1777"/>
      <c r="H313" s="1777"/>
      <c r="I313" s="1777"/>
      <c r="J313" s="1777"/>
      <c r="K313" s="1777"/>
      <c r="L313" s="1777"/>
      <c r="M313" s="1778"/>
      <c r="N313" s="1881" t="str">
        <f>'Document Checklist-Full List'!$N$71</f>
        <v>MGP Organization Chart.</v>
      </c>
      <c r="O313" s="1777"/>
      <c r="P313" s="1777"/>
      <c r="Q313" s="1777"/>
      <c r="R313" s="1777"/>
      <c r="S313" s="1777"/>
      <c r="T313" s="1777"/>
      <c r="U313" s="1777"/>
      <c r="V313" s="1777"/>
      <c r="W313" s="1777"/>
      <c r="X313" s="1777"/>
      <c r="Y313" s="1777"/>
      <c r="Z313" s="1777"/>
      <c r="AA313" s="1777"/>
      <c r="AB313" s="1777"/>
      <c r="AC313" s="1777"/>
      <c r="AD313" s="1777"/>
      <c r="AE313" s="1778"/>
      <c r="AF313" s="1951" t="s">
        <v>559</v>
      </c>
      <c r="AG313" s="1777"/>
      <c r="AH313" s="1777"/>
      <c r="AI313" s="1777"/>
      <c r="AJ313" s="1777"/>
      <c r="AK313" s="1778"/>
      <c r="AL313" s="1872"/>
      <c r="AM313" s="1862"/>
      <c r="AO313" s="58"/>
      <c r="AP313" s="58"/>
    </row>
    <row r="314" spans="1:62" ht="18" hidden="1" customHeight="1">
      <c r="B314" s="1867" t="s">
        <v>558</v>
      </c>
      <c r="C314" s="1777"/>
      <c r="D314" s="1778"/>
      <c r="E314" s="1882" t="str">
        <f>'Document Checklist-Full List'!$E$72</f>
        <v>32d. MGP Signature Block</v>
      </c>
      <c r="F314" s="1777"/>
      <c r="G314" s="1777"/>
      <c r="H314" s="1777"/>
      <c r="I314" s="1777"/>
      <c r="J314" s="1777"/>
      <c r="K314" s="1777"/>
      <c r="L314" s="1777"/>
      <c r="M314" s="1778"/>
      <c r="N314" s="1881" t="str">
        <f>'Document Checklist-Full List'!$N$72</f>
        <v>Signature Block - upload in Microsoft Word Document.</v>
      </c>
      <c r="O314" s="1777"/>
      <c r="P314" s="1777"/>
      <c r="Q314" s="1777"/>
      <c r="R314" s="1777"/>
      <c r="S314" s="1777"/>
      <c r="T314" s="1777"/>
      <c r="U314" s="1777"/>
      <c r="V314" s="1777"/>
      <c r="W314" s="1777"/>
      <c r="X314" s="1777"/>
      <c r="Y314" s="1777"/>
      <c r="Z314" s="1777"/>
      <c r="AA314" s="1777"/>
      <c r="AB314" s="1777"/>
      <c r="AC314" s="1777"/>
      <c r="AD314" s="1777"/>
      <c r="AE314" s="1778"/>
      <c r="AF314" s="1951" t="s">
        <v>559</v>
      </c>
      <c r="AG314" s="1777"/>
      <c r="AH314" s="1777"/>
      <c r="AI314" s="1777"/>
      <c r="AJ314" s="1777"/>
      <c r="AK314" s="1778"/>
      <c r="AL314" s="1872"/>
      <c r="AM314" s="1862"/>
      <c r="AO314" s="58"/>
      <c r="AP314" s="58"/>
    </row>
    <row r="315" spans="1:62" ht="36" hidden="1" customHeight="1">
      <c r="B315" s="1867" t="s">
        <v>558</v>
      </c>
      <c r="C315" s="1777"/>
      <c r="D315" s="1778"/>
      <c r="E315" s="1882" t="str">
        <f>'Document Checklist-Full List'!$E$73</f>
        <v xml:space="preserve">32e. MGP Cert of Good Standing </v>
      </c>
      <c r="F315" s="1777"/>
      <c r="G315" s="1777"/>
      <c r="H315" s="1777"/>
      <c r="I315" s="1777"/>
      <c r="J315" s="1777"/>
      <c r="K315" s="1777"/>
      <c r="L315" s="1777"/>
      <c r="M315" s="1778"/>
      <c r="N315" s="1881" t="str">
        <f>'Document Checklist-Full List'!$N$73</f>
        <v>Certificate of Good Standing must be dated 30 days or less from the application due date.</v>
      </c>
      <c r="O315" s="1777"/>
      <c r="P315" s="1777"/>
      <c r="Q315" s="1777"/>
      <c r="R315" s="1777"/>
      <c r="S315" s="1777"/>
      <c r="T315" s="1777"/>
      <c r="U315" s="1777"/>
      <c r="V315" s="1777"/>
      <c r="W315" s="1777"/>
      <c r="X315" s="1777"/>
      <c r="Y315" s="1777"/>
      <c r="Z315" s="1777"/>
      <c r="AA315" s="1777"/>
      <c r="AB315" s="1777"/>
      <c r="AC315" s="1777"/>
      <c r="AD315" s="1777"/>
      <c r="AE315" s="1778"/>
      <c r="AF315" s="1951" t="s">
        <v>559</v>
      </c>
      <c r="AG315" s="1777"/>
      <c r="AH315" s="1777"/>
      <c r="AI315" s="1777"/>
      <c r="AJ315" s="1777"/>
      <c r="AK315" s="1778"/>
      <c r="AL315" s="1872"/>
      <c r="AM315" s="1862"/>
      <c r="AO315" s="58"/>
      <c r="AP315" s="58"/>
    </row>
    <row r="316" spans="1:62" ht="36" hidden="1" customHeight="1">
      <c r="B316" s="1867" t="s">
        <v>558</v>
      </c>
      <c r="C316" s="1777"/>
      <c r="D316" s="1778"/>
      <c r="E316" s="1882" t="str">
        <f>'Document Checklist-Full List'!$E$74</f>
        <v>32f. MGP Tax-Exempt Status</v>
      </c>
      <c r="F316" s="1777"/>
      <c r="G316" s="1777"/>
      <c r="H316" s="1777"/>
      <c r="I316" s="1777"/>
      <c r="J316" s="1777"/>
      <c r="K316" s="1777"/>
      <c r="L316" s="1777"/>
      <c r="M316" s="1778"/>
      <c r="N316" s="1881" t="str">
        <f>'Document Checklist-Full List'!$N$74</f>
        <v>Evidence of tax-exempt status from IRS and FTB for Corporations (Non-Profits Only).</v>
      </c>
      <c r="O316" s="1777"/>
      <c r="P316" s="1777"/>
      <c r="Q316" s="1777"/>
      <c r="R316" s="1777"/>
      <c r="S316" s="1777"/>
      <c r="T316" s="1777"/>
      <c r="U316" s="1777"/>
      <c r="V316" s="1777"/>
      <c r="W316" s="1777"/>
      <c r="X316" s="1777"/>
      <c r="Y316" s="1777"/>
      <c r="Z316" s="1777"/>
      <c r="AA316" s="1777"/>
      <c r="AB316" s="1777"/>
      <c r="AC316" s="1777"/>
      <c r="AD316" s="1777"/>
      <c r="AE316" s="1778"/>
      <c r="AF316" s="1951" t="s">
        <v>559</v>
      </c>
      <c r="AG316" s="1777"/>
      <c r="AH316" s="1777"/>
      <c r="AI316" s="1777"/>
      <c r="AJ316" s="1777"/>
      <c r="AK316" s="1778"/>
      <c r="AL316" s="1872"/>
      <c r="AM316" s="1862"/>
      <c r="AO316" s="58"/>
      <c r="AP316" s="58"/>
    </row>
    <row r="317" spans="1:62" ht="18" hidden="1" customHeight="1">
      <c r="B317" s="95"/>
      <c r="C317" s="95"/>
      <c r="D317" s="95"/>
      <c r="E317" s="95"/>
      <c r="F317" s="95"/>
      <c r="G317" s="95"/>
      <c r="H317" s="95"/>
      <c r="I317" s="95"/>
      <c r="J317" s="95"/>
      <c r="K317" s="95"/>
      <c r="L317" s="95"/>
      <c r="M317" s="95"/>
      <c r="N317" s="95"/>
      <c r="O317" s="95"/>
      <c r="P317" s="95"/>
      <c r="Q317" s="95"/>
      <c r="R317" s="95"/>
      <c r="S317" s="95"/>
      <c r="T317" s="95"/>
      <c r="U317" s="95"/>
      <c r="V317" s="95"/>
      <c r="W317" s="95"/>
      <c r="X317" s="95"/>
      <c r="Y317" s="95"/>
      <c r="Z317" s="95"/>
      <c r="AA317" s="95"/>
      <c r="AB317" s="95"/>
      <c r="AC317" s="95"/>
      <c r="AD317" s="95"/>
      <c r="AE317" s="95"/>
      <c r="AF317" s="95"/>
      <c r="AG317" s="95"/>
      <c r="AH317" s="95"/>
      <c r="AI317" s="95"/>
      <c r="AJ317" s="95"/>
      <c r="AK317" s="95"/>
      <c r="AL317" s="95"/>
      <c r="AN317" s="171"/>
      <c r="AO317" s="58"/>
      <c r="AP317" s="58"/>
    </row>
    <row r="318" spans="1:62" ht="18" hidden="1" customHeight="1">
      <c r="B318" s="2198" t="s">
        <v>767</v>
      </c>
      <c r="C318" s="1777"/>
      <c r="D318" s="1777"/>
      <c r="E318" s="1777"/>
      <c r="F318" s="1777"/>
      <c r="G318" s="1777"/>
      <c r="H318" s="1777"/>
      <c r="I318" s="1777"/>
      <c r="J318" s="1777"/>
      <c r="K318" s="1778"/>
      <c r="L318" s="2011" t="s">
        <v>745</v>
      </c>
      <c r="M318" s="1777"/>
      <c r="N318" s="1777"/>
      <c r="O318" s="1778"/>
      <c r="P318" s="2056"/>
      <c r="Q318" s="1861"/>
      <c r="R318" s="1861"/>
      <c r="S318" s="1861"/>
      <c r="T318" s="1861"/>
      <c r="U318" s="1861"/>
      <c r="V318" s="1861"/>
      <c r="W318" s="1861"/>
      <c r="X318" s="1861"/>
      <c r="Y318" s="1861"/>
      <c r="Z318" s="1861"/>
      <c r="AA318" s="1861"/>
      <c r="AB318" s="1861"/>
      <c r="AC318" s="1861"/>
      <c r="AD318" s="1861"/>
      <c r="AE318" s="1861"/>
      <c r="AF318" s="1861"/>
      <c r="AG318" s="1861"/>
      <c r="AH318" s="1861"/>
      <c r="AI318" s="1861"/>
      <c r="AJ318" s="1861"/>
      <c r="AK318" s="1861"/>
      <c r="AL318" s="1861"/>
      <c r="AM318" s="1862"/>
      <c r="AO318" s="1629"/>
      <c r="AP318" s="136"/>
      <c r="AQ318" s="136"/>
      <c r="AR318" s="123"/>
      <c r="AS318" s="123"/>
      <c r="AT318" s="474"/>
      <c r="AU318" s="474"/>
      <c r="AV318" s="474"/>
      <c r="AW318" s="474"/>
      <c r="AX318" s="474"/>
      <c r="AY318" s="474"/>
      <c r="AZ318" s="474"/>
      <c r="BA318" s="474"/>
      <c r="BB318" s="474"/>
      <c r="BC318" s="474"/>
      <c r="BD318" s="474"/>
      <c r="BE318" s="474"/>
      <c r="BF318" s="474"/>
      <c r="BG318" s="474"/>
      <c r="BH318" s="474"/>
      <c r="BI318" s="474"/>
      <c r="BJ318" s="474"/>
    </row>
    <row r="319" spans="1:62" ht="18" hidden="1" customHeight="1">
      <c r="B319" s="1867" t="s">
        <v>558</v>
      </c>
      <c r="C319" s="1777"/>
      <c r="D319" s="1778"/>
      <c r="E319" s="1882" t="str">
        <f>'Document Checklist-Full List'!$E$76</f>
        <v>33a. AGP1 Cert &amp; Legal Disclosure</v>
      </c>
      <c r="F319" s="1777"/>
      <c r="G319" s="1777"/>
      <c r="H319" s="1777"/>
      <c r="I319" s="1777"/>
      <c r="J319" s="1777"/>
      <c r="K319" s="1777"/>
      <c r="L319" s="1777"/>
      <c r="M319" s="1778"/>
      <c r="N319" s="1975" t="str">
        <f>'Document Checklist-Full List'!$N$76</f>
        <v>Reference: Sponsor/Applicant Certification Worksheet.</v>
      </c>
      <c r="O319" s="1777"/>
      <c r="P319" s="1777"/>
      <c r="Q319" s="1777"/>
      <c r="R319" s="1777"/>
      <c r="S319" s="1777"/>
      <c r="T319" s="1777"/>
      <c r="U319" s="1777"/>
      <c r="V319" s="1777"/>
      <c r="W319" s="1777"/>
      <c r="X319" s="1777"/>
      <c r="Y319" s="1777"/>
      <c r="Z319" s="1777"/>
      <c r="AA319" s="1777"/>
      <c r="AB319" s="1777"/>
      <c r="AC319" s="1777"/>
      <c r="AD319" s="1777"/>
      <c r="AE319" s="1778"/>
      <c r="AF319" s="1982" t="s">
        <v>559</v>
      </c>
      <c r="AG319" s="1777"/>
      <c r="AH319" s="1777"/>
      <c r="AI319" s="1777"/>
      <c r="AJ319" s="1777"/>
      <c r="AK319" s="1778"/>
      <c r="AL319" s="1872"/>
      <c r="AM319" s="1862"/>
      <c r="AO319" s="426"/>
      <c r="AP319" s="58"/>
      <c r="AQ319" s="58"/>
    </row>
    <row r="320" spans="1:62" ht="36" hidden="1" customHeight="1">
      <c r="B320" s="1867" t="s">
        <v>558</v>
      </c>
      <c r="C320" s="1777"/>
      <c r="D320" s="1778"/>
      <c r="E320" s="1882" t="str">
        <f>'Document Checklist-Full List'!$E$77</f>
        <v>33b. AGP1 OrgDoc1, AGP1 OrgDoc2, etc.</v>
      </c>
      <c r="F320" s="1777"/>
      <c r="G320" s="1777"/>
      <c r="H320" s="1777"/>
      <c r="I320" s="1777"/>
      <c r="J320" s="1777"/>
      <c r="K320" s="1777"/>
      <c r="L320" s="1777"/>
      <c r="M320" s="1778"/>
      <c r="N320" s="1975" t="str">
        <f>'Document Checklist-Full List'!$N$77</f>
        <v>Reference: Entity Org Docs Worksheet.</v>
      </c>
      <c r="O320" s="1777"/>
      <c r="P320" s="1777"/>
      <c r="Q320" s="1777"/>
      <c r="R320" s="1777"/>
      <c r="S320" s="1777"/>
      <c r="T320" s="1777"/>
      <c r="U320" s="1777"/>
      <c r="V320" s="1777"/>
      <c r="W320" s="1777"/>
      <c r="X320" s="1777"/>
      <c r="Y320" s="1777"/>
      <c r="Z320" s="1777"/>
      <c r="AA320" s="1777"/>
      <c r="AB320" s="1777"/>
      <c r="AC320" s="1777"/>
      <c r="AD320" s="1777"/>
      <c r="AE320" s="1778"/>
      <c r="AF320" s="1982" t="s">
        <v>559</v>
      </c>
      <c r="AG320" s="1777"/>
      <c r="AH320" s="1777"/>
      <c r="AI320" s="1777"/>
      <c r="AJ320" s="1777"/>
      <c r="AK320" s="1778"/>
      <c r="AL320" s="1872"/>
      <c r="AM320" s="1862"/>
      <c r="AO320" s="426"/>
      <c r="AP320" s="58"/>
      <c r="AQ320" s="58"/>
    </row>
    <row r="321" spans="1:62" ht="18" hidden="1" customHeight="1">
      <c r="B321" s="1867" t="s">
        <v>558</v>
      </c>
      <c r="C321" s="1777"/>
      <c r="D321" s="1778"/>
      <c r="E321" s="1882" t="str">
        <f>'Document Checklist-Full List'!$E$78</f>
        <v>33c. AGP1 OrgChart</v>
      </c>
      <c r="F321" s="1777"/>
      <c r="G321" s="1777"/>
      <c r="H321" s="1777"/>
      <c r="I321" s="1777"/>
      <c r="J321" s="1777"/>
      <c r="K321" s="1777"/>
      <c r="L321" s="1777"/>
      <c r="M321" s="1778"/>
      <c r="N321" s="1881" t="str">
        <f>'Document Checklist-Full List'!$N$78</f>
        <v>AGP1 Organization Chart.</v>
      </c>
      <c r="O321" s="1777"/>
      <c r="P321" s="1777"/>
      <c r="Q321" s="1777"/>
      <c r="R321" s="1777"/>
      <c r="S321" s="1777"/>
      <c r="T321" s="1777"/>
      <c r="U321" s="1777"/>
      <c r="V321" s="1777"/>
      <c r="W321" s="1777"/>
      <c r="X321" s="1777"/>
      <c r="Y321" s="1777"/>
      <c r="Z321" s="1777"/>
      <c r="AA321" s="1777"/>
      <c r="AB321" s="1777"/>
      <c r="AC321" s="1777"/>
      <c r="AD321" s="1777"/>
      <c r="AE321" s="1778"/>
      <c r="AF321" s="1982" t="s">
        <v>559</v>
      </c>
      <c r="AG321" s="1777"/>
      <c r="AH321" s="1777"/>
      <c r="AI321" s="1777"/>
      <c r="AJ321" s="1777"/>
      <c r="AK321" s="1778"/>
      <c r="AL321" s="1872"/>
      <c r="AM321" s="1862"/>
      <c r="AO321" s="426"/>
      <c r="AP321" s="58"/>
      <c r="AQ321" s="58"/>
      <c r="AR321" s="58"/>
      <c r="AS321" s="58"/>
      <c r="AT321" s="120"/>
      <c r="AU321" s="241"/>
      <c r="AV321" s="120"/>
      <c r="AW321" s="120"/>
      <c r="AX321" s="120"/>
      <c r="AY321" s="120"/>
      <c r="AZ321" s="120"/>
      <c r="BA321" s="120"/>
      <c r="BB321" s="120"/>
      <c r="BC321" s="120"/>
      <c r="BD321" s="120"/>
      <c r="BE321" s="120"/>
      <c r="BF321" s="120"/>
      <c r="BG321" s="120"/>
      <c r="BH321" s="120"/>
      <c r="BI321" s="120"/>
      <c r="BJ321" s="120"/>
    </row>
    <row r="322" spans="1:62" s="120" customFormat="1" ht="18" hidden="1" customHeight="1">
      <c r="A322" s="138"/>
      <c r="B322" s="1867" t="s">
        <v>558</v>
      </c>
      <c r="C322" s="1777"/>
      <c r="D322" s="1778"/>
      <c r="E322" s="1882" t="str">
        <f>'Document Checklist-Full List'!$E$79</f>
        <v>33d. AGP1 Signature Block</v>
      </c>
      <c r="F322" s="1777"/>
      <c r="G322" s="1777"/>
      <c r="H322" s="1777"/>
      <c r="I322" s="1777"/>
      <c r="J322" s="1777"/>
      <c r="K322" s="1777"/>
      <c r="L322" s="1777"/>
      <c r="M322" s="1778"/>
      <c r="N322" s="1881" t="str">
        <f>'Document Checklist-Full List'!$N$79</f>
        <v>Signature Block - upload in Microsoft Word Document.</v>
      </c>
      <c r="O322" s="1777"/>
      <c r="P322" s="1777"/>
      <c r="Q322" s="1777"/>
      <c r="R322" s="1777"/>
      <c r="S322" s="1777"/>
      <c r="T322" s="1777"/>
      <c r="U322" s="1777"/>
      <c r="V322" s="1777"/>
      <c r="W322" s="1777"/>
      <c r="X322" s="1777"/>
      <c r="Y322" s="1777"/>
      <c r="Z322" s="1777"/>
      <c r="AA322" s="1777"/>
      <c r="AB322" s="1777"/>
      <c r="AC322" s="1777"/>
      <c r="AD322" s="1777"/>
      <c r="AE322" s="1778"/>
      <c r="AF322" s="1951" t="s">
        <v>559</v>
      </c>
      <c r="AG322" s="1777"/>
      <c r="AH322" s="1777"/>
      <c r="AI322" s="1777"/>
      <c r="AJ322" s="1777"/>
      <c r="AK322" s="1778"/>
      <c r="AL322" s="1872"/>
      <c r="AM322" s="1862"/>
      <c r="AN322" s="57"/>
      <c r="AO322" s="426"/>
      <c r="AP322" s="58"/>
      <c r="AQ322" s="58"/>
      <c r="AR322" s="58"/>
      <c r="AS322" s="58"/>
      <c r="AU322" s="241"/>
    </row>
    <row r="323" spans="1:62" s="120" customFormat="1" ht="28.5" hidden="1" customHeight="1">
      <c r="A323" s="138"/>
      <c r="B323" s="1867" t="s">
        <v>558</v>
      </c>
      <c r="C323" s="1777"/>
      <c r="D323" s="1778"/>
      <c r="E323" s="1882" t="str">
        <f>'Document Checklist-Full List'!$E$80</f>
        <v xml:space="preserve">33e. AGP1 Cert of Good Standing </v>
      </c>
      <c r="F323" s="1777"/>
      <c r="G323" s="1777"/>
      <c r="H323" s="1777"/>
      <c r="I323" s="1777"/>
      <c r="J323" s="1777"/>
      <c r="K323" s="1777"/>
      <c r="L323" s="1777"/>
      <c r="M323" s="1778"/>
      <c r="N323" s="1881" t="str">
        <f>'Document Checklist-Full List'!$N$80</f>
        <v>Certificate of Good Standing must be dated 30 days or less from the application due date.</v>
      </c>
      <c r="O323" s="1777"/>
      <c r="P323" s="1777"/>
      <c r="Q323" s="1777"/>
      <c r="R323" s="1777"/>
      <c r="S323" s="1777"/>
      <c r="T323" s="1777"/>
      <c r="U323" s="1777"/>
      <c r="V323" s="1777"/>
      <c r="W323" s="1777"/>
      <c r="X323" s="1777"/>
      <c r="Y323" s="1777"/>
      <c r="Z323" s="1777"/>
      <c r="AA323" s="1777"/>
      <c r="AB323" s="1777"/>
      <c r="AC323" s="1777"/>
      <c r="AD323" s="1777"/>
      <c r="AE323" s="1778"/>
      <c r="AF323" s="1951" t="s">
        <v>559</v>
      </c>
      <c r="AG323" s="1777"/>
      <c r="AH323" s="1777"/>
      <c r="AI323" s="1777"/>
      <c r="AJ323" s="1777"/>
      <c r="AK323" s="1778"/>
      <c r="AL323" s="1872"/>
      <c r="AM323" s="1862"/>
      <c r="AN323" s="57"/>
      <c r="AO323" s="426"/>
      <c r="AP323" s="58"/>
      <c r="AQ323" s="58"/>
      <c r="AR323" s="58"/>
      <c r="AS323" s="58"/>
      <c r="AU323" s="241"/>
    </row>
    <row r="324" spans="1:62" s="120" customFormat="1" ht="36" hidden="1" customHeight="1">
      <c r="A324" s="138"/>
      <c r="B324" s="1867" t="s">
        <v>558</v>
      </c>
      <c r="C324" s="1777"/>
      <c r="D324" s="1778"/>
      <c r="E324" s="1882" t="str">
        <f>'Document Checklist-Full List'!$E$81</f>
        <v>33f. AGP1 Tax-Exempt Status</v>
      </c>
      <c r="F324" s="1777"/>
      <c r="G324" s="1777"/>
      <c r="H324" s="1777"/>
      <c r="I324" s="1777"/>
      <c r="J324" s="1777"/>
      <c r="K324" s="1777"/>
      <c r="L324" s="1777"/>
      <c r="M324" s="1778"/>
      <c r="N324" s="1881" t="str">
        <f>'Document Checklist-Full List'!$N$81</f>
        <v>Evidence of tax-exempt status from IRS and FTB for Corporations (Non-Profits Only).</v>
      </c>
      <c r="O324" s="1777"/>
      <c r="P324" s="1777"/>
      <c r="Q324" s="1777"/>
      <c r="R324" s="1777"/>
      <c r="S324" s="1777"/>
      <c r="T324" s="1777"/>
      <c r="U324" s="1777"/>
      <c r="V324" s="1777"/>
      <c r="W324" s="1777"/>
      <c r="X324" s="1777"/>
      <c r="Y324" s="1777"/>
      <c r="Z324" s="1777"/>
      <c r="AA324" s="1777"/>
      <c r="AB324" s="1777"/>
      <c r="AC324" s="1777"/>
      <c r="AD324" s="1777"/>
      <c r="AE324" s="1778"/>
      <c r="AF324" s="1951" t="s">
        <v>559</v>
      </c>
      <c r="AG324" s="1777"/>
      <c r="AH324" s="1777"/>
      <c r="AI324" s="1777"/>
      <c r="AJ324" s="1777"/>
      <c r="AK324" s="1778"/>
      <c r="AL324" s="1872"/>
      <c r="AM324" s="1862"/>
      <c r="AN324" s="57"/>
      <c r="AO324" s="1629"/>
      <c r="AP324" s="136"/>
      <c r="AQ324" s="136"/>
      <c r="AR324" s="58"/>
      <c r="AS324" s="58"/>
      <c r="AU324" s="241"/>
    </row>
    <row r="325" spans="1:62" s="120" customFormat="1" ht="18" hidden="1" customHeight="1">
      <c r="A325" s="138"/>
      <c r="B325" s="95"/>
      <c r="C325" s="95"/>
      <c r="D325" s="95"/>
      <c r="E325" s="95"/>
      <c r="F325" s="95"/>
      <c r="G325" s="95"/>
      <c r="H325" s="95"/>
      <c r="I325" s="95"/>
      <c r="J325" s="95"/>
      <c r="K325" s="95"/>
      <c r="L325" s="95"/>
      <c r="M325" s="95"/>
      <c r="N325" s="95"/>
      <c r="O325" s="95"/>
      <c r="P325" s="95"/>
      <c r="Q325" s="95"/>
      <c r="R325" s="95"/>
      <c r="S325" s="95"/>
      <c r="T325" s="95"/>
      <c r="U325" s="95"/>
      <c r="V325" s="95"/>
      <c r="W325" s="95"/>
      <c r="X325" s="95"/>
      <c r="Y325" s="95"/>
      <c r="Z325" s="95"/>
      <c r="AA325" s="95"/>
      <c r="AB325" s="95"/>
      <c r="AC325" s="95"/>
      <c r="AD325" s="95"/>
      <c r="AE325" s="95"/>
      <c r="AF325" s="95"/>
      <c r="AG325" s="95"/>
      <c r="AH325" s="95"/>
      <c r="AI325" s="95"/>
      <c r="AJ325" s="95"/>
      <c r="AK325" s="95"/>
      <c r="AL325" s="95"/>
      <c r="AM325" s="95"/>
      <c r="AN325" s="171"/>
      <c r="AO325" s="426"/>
      <c r="AP325" s="58"/>
      <c r="AQ325" s="58"/>
      <c r="AR325" s="136"/>
      <c r="AS325" s="136"/>
      <c r="AT325" s="137"/>
      <c r="AU325" s="346"/>
      <c r="AV325" s="137"/>
      <c r="AW325" s="137"/>
      <c r="AX325" s="137"/>
      <c r="AY325" s="137"/>
      <c r="AZ325" s="137"/>
      <c r="BA325" s="137"/>
      <c r="BB325" s="137"/>
      <c r="BC325" s="137"/>
      <c r="BD325" s="137"/>
      <c r="BE325" s="137"/>
      <c r="BF325" s="137"/>
      <c r="BG325" s="137"/>
      <c r="BH325" s="137"/>
      <c r="BI325" s="137"/>
      <c r="BJ325" s="137"/>
    </row>
    <row r="326" spans="1:62" s="137" customFormat="1" ht="18" hidden="1" customHeight="1">
      <c r="A326" s="138"/>
      <c r="B326" s="2198" t="s">
        <v>768</v>
      </c>
      <c r="C326" s="1777"/>
      <c r="D326" s="1777"/>
      <c r="E326" s="1777"/>
      <c r="F326" s="1777"/>
      <c r="G326" s="1777"/>
      <c r="H326" s="1777"/>
      <c r="I326" s="1777"/>
      <c r="J326" s="1777"/>
      <c r="K326" s="1778"/>
      <c r="L326" s="2011" t="s">
        <v>745</v>
      </c>
      <c r="M326" s="1777"/>
      <c r="N326" s="1777"/>
      <c r="O326" s="1778"/>
      <c r="P326" s="2056"/>
      <c r="Q326" s="1861"/>
      <c r="R326" s="1861"/>
      <c r="S326" s="1861"/>
      <c r="T326" s="1861"/>
      <c r="U326" s="1861"/>
      <c r="V326" s="1861"/>
      <c r="W326" s="1861"/>
      <c r="X326" s="1861"/>
      <c r="Y326" s="1861"/>
      <c r="Z326" s="1861"/>
      <c r="AA326" s="1861"/>
      <c r="AB326" s="1861"/>
      <c r="AC326" s="1861"/>
      <c r="AD326" s="1861"/>
      <c r="AE326" s="1861"/>
      <c r="AF326" s="1861"/>
      <c r="AG326" s="1861"/>
      <c r="AH326" s="1861"/>
      <c r="AI326" s="1861"/>
      <c r="AJ326" s="1861"/>
      <c r="AK326" s="1861"/>
      <c r="AL326" s="1861"/>
      <c r="AM326" s="1862"/>
      <c r="AN326" s="57"/>
      <c r="AO326" s="426"/>
      <c r="AP326" s="58"/>
      <c r="AQ326" s="58"/>
      <c r="AR326" s="136"/>
      <c r="AS326" s="136"/>
      <c r="AU326" s="346"/>
    </row>
    <row r="327" spans="1:62" s="137" customFormat="1" ht="18" hidden="1" customHeight="1">
      <c r="A327" s="138"/>
      <c r="B327" s="1867" t="s">
        <v>558</v>
      </c>
      <c r="C327" s="1777"/>
      <c r="D327" s="1778"/>
      <c r="E327" s="1882" t="str">
        <f>'Document Checklist-Full List'!$E$83</f>
        <v>34a. AGP2 Cert &amp; Legal Disclosure</v>
      </c>
      <c r="F327" s="1777"/>
      <c r="G327" s="1777"/>
      <c r="H327" s="1777"/>
      <c r="I327" s="1777"/>
      <c r="J327" s="1777"/>
      <c r="K327" s="1777"/>
      <c r="L327" s="1777"/>
      <c r="M327" s="1778"/>
      <c r="N327" s="1975" t="str">
        <f>'Document Checklist-Full List'!$N$83</f>
        <v>Reference: Sponsor/Applicant Certification Worksheet.</v>
      </c>
      <c r="O327" s="1777"/>
      <c r="P327" s="1777"/>
      <c r="Q327" s="1777"/>
      <c r="R327" s="1777"/>
      <c r="S327" s="1777"/>
      <c r="T327" s="1777"/>
      <c r="U327" s="1777"/>
      <c r="V327" s="1777"/>
      <c r="W327" s="1777"/>
      <c r="X327" s="1777"/>
      <c r="Y327" s="1777"/>
      <c r="Z327" s="1777"/>
      <c r="AA327" s="1777"/>
      <c r="AB327" s="1777"/>
      <c r="AC327" s="1777"/>
      <c r="AD327" s="1777"/>
      <c r="AE327" s="1778"/>
      <c r="AF327" s="2062" t="s">
        <v>559</v>
      </c>
      <c r="AG327" s="1777"/>
      <c r="AH327" s="1777"/>
      <c r="AI327" s="1777"/>
      <c r="AJ327" s="1777"/>
      <c r="AK327" s="1777"/>
      <c r="AL327" s="1872"/>
      <c r="AM327" s="1862"/>
      <c r="AN327" s="57"/>
      <c r="AO327" s="426"/>
      <c r="AP327" s="58"/>
      <c r="AQ327" s="58"/>
      <c r="AR327" s="136"/>
      <c r="AS327" s="136"/>
      <c r="AU327" s="346"/>
    </row>
    <row r="328" spans="1:62" s="137" customFormat="1" ht="36" hidden="1" customHeight="1">
      <c r="A328" s="138"/>
      <c r="B328" s="1867" t="s">
        <v>558</v>
      </c>
      <c r="C328" s="1777"/>
      <c r="D328" s="1778"/>
      <c r="E328" s="1882" t="str">
        <f>'Document Checklist-Full List'!$E$84</f>
        <v>34b. AGP2 OrgDoc1, AGP2 OrgDoc2, etc.</v>
      </c>
      <c r="F328" s="1777"/>
      <c r="G328" s="1777"/>
      <c r="H328" s="1777"/>
      <c r="I328" s="1777"/>
      <c r="J328" s="1777"/>
      <c r="K328" s="1777"/>
      <c r="L328" s="1777"/>
      <c r="M328" s="1778"/>
      <c r="N328" s="1975" t="str">
        <f>'Document Checklist-Full List'!$N$84</f>
        <v>Reference: Entity Org Docs Worksheet.</v>
      </c>
      <c r="O328" s="1777"/>
      <c r="P328" s="1777"/>
      <c r="Q328" s="1777"/>
      <c r="R328" s="1777"/>
      <c r="S328" s="1777"/>
      <c r="T328" s="1777"/>
      <c r="U328" s="1777"/>
      <c r="V328" s="1777"/>
      <c r="W328" s="1777"/>
      <c r="X328" s="1777"/>
      <c r="Y328" s="1777"/>
      <c r="Z328" s="1777"/>
      <c r="AA328" s="1777"/>
      <c r="AB328" s="1777"/>
      <c r="AC328" s="1777"/>
      <c r="AD328" s="1777"/>
      <c r="AE328" s="1778"/>
      <c r="AF328" s="1982" t="s">
        <v>559</v>
      </c>
      <c r="AG328" s="1777"/>
      <c r="AH328" s="1777"/>
      <c r="AI328" s="1777"/>
      <c r="AJ328" s="1777"/>
      <c r="AK328" s="1778"/>
      <c r="AL328" s="1872"/>
      <c r="AM328" s="1862"/>
      <c r="AN328" s="57"/>
      <c r="AO328" s="426"/>
      <c r="AP328" s="58"/>
      <c r="AQ328" s="58"/>
      <c r="AR328" s="136"/>
      <c r="AS328" s="136"/>
      <c r="AU328" s="346"/>
    </row>
    <row r="329" spans="1:62" s="137" customFormat="1" ht="18" hidden="1" customHeight="1">
      <c r="A329" s="138"/>
      <c r="B329" s="1867" t="s">
        <v>558</v>
      </c>
      <c r="C329" s="1777"/>
      <c r="D329" s="1778"/>
      <c r="E329" s="1882" t="str">
        <f>'Document Checklist-Full List'!$E$85</f>
        <v>34c. AGP2 OrgChart</v>
      </c>
      <c r="F329" s="1777"/>
      <c r="G329" s="1777"/>
      <c r="H329" s="1777"/>
      <c r="I329" s="1777"/>
      <c r="J329" s="1777"/>
      <c r="K329" s="1777"/>
      <c r="L329" s="1777"/>
      <c r="M329" s="1778"/>
      <c r="N329" s="1881" t="str">
        <f>'Document Checklist-Full List'!$N$85</f>
        <v>AGP2 Organization Chart.</v>
      </c>
      <c r="O329" s="1777"/>
      <c r="P329" s="1777"/>
      <c r="Q329" s="1777"/>
      <c r="R329" s="1777"/>
      <c r="S329" s="1777"/>
      <c r="T329" s="1777"/>
      <c r="U329" s="1777"/>
      <c r="V329" s="1777"/>
      <c r="W329" s="1777"/>
      <c r="X329" s="1777"/>
      <c r="Y329" s="1777"/>
      <c r="Z329" s="1777"/>
      <c r="AA329" s="1777"/>
      <c r="AB329" s="1777"/>
      <c r="AC329" s="1777"/>
      <c r="AD329" s="1777"/>
      <c r="AE329" s="1778"/>
      <c r="AF329" s="1982" t="s">
        <v>559</v>
      </c>
      <c r="AG329" s="1777"/>
      <c r="AH329" s="1777"/>
      <c r="AI329" s="1777"/>
      <c r="AJ329" s="1777"/>
      <c r="AK329" s="1778"/>
      <c r="AL329" s="1872"/>
      <c r="AM329" s="1862"/>
      <c r="AN329" s="57"/>
      <c r="AO329" s="136"/>
      <c r="AP329" s="136"/>
      <c r="AQ329" s="136"/>
      <c r="AR329" s="136"/>
      <c r="AS329" s="136"/>
      <c r="AU329" s="346"/>
    </row>
    <row r="330" spans="1:62" s="137" customFormat="1" ht="18" hidden="1" customHeight="1">
      <c r="A330" s="138"/>
      <c r="B330" s="1867" t="s">
        <v>558</v>
      </c>
      <c r="C330" s="1777"/>
      <c r="D330" s="1778"/>
      <c r="E330" s="1882" t="str">
        <f>'Document Checklist-Full List'!$E$86</f>
        <v>34d. AGP2 Signature Block</v>
      </c>
      <c r="F330" s="1777"/>
      <c r="G330" s="1777"/>
      <c r="H330" s="1777"/>
      <c r="I330" s="1777"/>
      <c r="J330" s="1777"/>
      <c r="K330" s="1777"/>
      <c r="L330" s="1777"/>
      <c r="M330" s="1778"/>
      <c r="N330" s="1881" t="str">
        <f>'Document Checklist-Full List'!$N$86</f>
        <v>Signature Block - upload in Microsoft Word Document.</v>
      </c>
      <c r="O330" s="1777"/>
      <c r="P330" s="1777"/>
      <c r="Q330" s="1777"/>
      <c r="R330" s="1777"/>
      <c r="S330" s="1777"/>
      <c r="T330" s="1777"/>
      <c r="U330" s="1777"/>
      <c r="V330" s="1777"/>
      <c r="W330" s="1777"/>
      <c r="X330" s="1777"/>
      <c r="Y330" s="1777"/>
      <c r="Z330" s="1777"/>
      <c r="AA330" s="1777"/>
      <c r="AB330" s="1777"/>
      <c r="AC330" s="1777"/>
      <c r="AD330" s="1777"/>
      <c r="AE330" s="1778"/>
      <c r="AF330" s="1982" t="s">
        <v>559</v>
      </c>
      <c r="AG330" s="1777"/>
      <c r="AH330" s="1777"/>
      <c r="AI330" s="1777"/>
      <c r="AJ330" s="1777"/>
      <c r="AK330" s="1778"/>
      <c r="AL330" s="1872"/>
      <c r="AM330" s="1862"/>
      <c r="AN330" s="57"/>
      <c r="AO330" s="426"/>
      <c r="AP330" s="476"/>
      <c r="AQ330" s="476"/>
      <c r="AR330" s="58"/>
      <c r="AS330" s="58"/>
      <c r="AT330" s="120"/>
      <c r="AU330" s="241"/>
      <c r="AV330" s="120"/>
      <c r="AW330" s="120"/>
      <c r="AX330" s="120"/>
      <c r="AY330" s="120"/>
      <c r="AZ330" s="120"/>
      <c r="BA330" s="120"/>
      <c r="BB330" s="120"/>
      <c r="BC330" s="120"/>
      <c r="BD330" s="120"/>
      <c r="BE330" s="120"/>
      <c r="BF330" s="120"/>
      <c r="BG330" s="120"/>
      <c r="BH330" s="120"/>
      <c r="BI330" s="120"/>
      <c r="BJ330" s="120"/>
    </row>
    <row r="331" spans="1:62" s="120" customFormat="1" ht="35.25" hidden="1" customHeight="1">
      <c r="A331" s="138"/>
      <c r="B331" s="1867" t="s">
        <v>558</v>
      </c>
      <c r="C331" s="1777"/>
      <c r="D331" s="1778"/>
      <c r="E331" s="1882" t="str">
        <f>'Document Checklist-Full List'!$E$87</f>
        <v xml:space="preserve">34e. AGP2 Cert of Good Standing </v>
      </c>
      <c r="F331" s="1777"/>
      <c r="G331" s="1777"/>
      <c r="H331" s="1777"/>
      <c r="I331" s="1777"/>
      <c r="J331" s="1777"/>
      <c r="K331" s="1777"/>
      <c r="L331" s="1777"/>
      <c r="M331" s="1778"/>
      <c r="N331" s="1881" t="str">
        <f>'Document Checklist-Full List'!$N$87</f>
        <v>Certificate of Good Standing must be dated 30 days or less from the application due date.</v>
      </c>
      <c r="O331" s="1777"/>
      <c r="P331" s="1777"/>
      <c r="Q331" s="1777"/>
      <c r="R331" s="1777"/>
      <c r="S331" s="1777"/>
      <c r="T331" s="1777"/>
      <c r="U331" s="1777"/>
      <c r="V331" s="1777"/>
      <c r="W331" s="1777"/>
      <c r="X331" s="1777"/>
      <c r="Y331" s="1777"/>
      <c r="Z331" s="1777"/>
      <c r="AA331" s="1777"/>
      <c r="AB331" s="1777"/>
      <c r="AC331" s="1777"/>
      <c r="AD331" s="1777"/>
      <c r="AE331" s="1778"/>
      <c r="AF331" s="1982" t="s">
        <v>559</v>
      </c>
      <c r="AG331" s="1777"/>
      <c r="AH331" s="1777"/>
      <c r="AI331" s="1777"/>
      <c r="AJ331" s="1777"/>
      <c r="AK331" s="1778"/>
      <c r="AL331" s="1872"/>
      <c r="AM331" s="1862"/>
      <c r="AN331" s="57"/>
      <c r="AO331" s="90"/>
      <c r="AP331" s="57"/>
      <c r="AQ331" s="57"/>
      <c r="AR331" s="57"/>
      <c r="AS331" s="57"/>
      <c r="AT331" s="55"/>
      <c r="AU331" s="55"/>
      <c r="AV331" s="55"/>
      <c r="AW331" s="55"/>
      <c r="AX331" s="55"/>
      <c r="AY331" s="55"/>
      <c r="AZ331" s="55"/>
      <c r="BA331" s="55"/>
      <c r="BB331" s="55"/>
      <c r="BC331" s="55"/>
      <c r="BD331" s="55"/>
      <c r="BE331" s="55"/>
      <c r="BF331" s="55"/>
      <c r="BG331" s="55"/>
      <c r="BH331" s="55"/>
      <c r="BI331" s="55"/>
      <c r="BJ331" s="55"/>
    </row>
    <row r="332" spans="1:62" ht="35.25" hidden="1" customHeight="1">
      <c r="B332" s="1867" t="s">
        <v>558</v>
      </c>
      <c r="C332" s="1777"/>
      <c r="D332" s="1778"/>
      <c r="E332" s="1882" t="str">
        <f>'Document Checklist-Full List'!$E$88</f>
        <v>34f. AGP2 Tax-Exempt Status</v>
      </c>
      <c r="F332" s="1777"/>
      <c r="G332" s="1777"/>
      <c r="H332" s="1777"/>
      <c r="I332" s="1777"/>
      <c r="J332" s="1777"/>
      <c r="K332" s="1777"/>
      <c r="L332" s="1777"/>
      <c r="M332" s="1778"/>
      <c r="N332" s="1881" t="str">
        <f>'Document Checklist-Full List'!$N$88</f>
        <v>Evidence of tax-exempt status from IRS and FTB for Corporations (Non-Profits Only).</v>
      </c>
      <c r="O332" s="1777"/>
      <c r="P332" s="1777"/>
      <c r="Q332" s="1777"/>
      <c r="R332" s="1777"/>
      <c r="S332" s="1777"/>
      <c r="T332" s="1777"/>
      <c r="U332" s="1777"/>
      <c r="V332" s="1777"/>
      <c r="W332" s="1777"/>
      <c r="X332" s="1777"/>
      <c r="Y332" s="1777"/>
      <c r="Z332" s="1777"/>
      <c r="AA332" s="1777"/>
      <c r="AB332" s="1777"/>
      <c r="AC332" s="1777"/>
      <c r="AD332" s="1777"/>
      <c r="AE332" s="1778"/>
      <c r="AF332" s="1951" t="s">
        <v>559</v>
      </c>
      <c r="AG332" s="1777"/>
      <c r="AH332" s="1777"/>
      <c r="AI332" s="1777"/>
      <c r="AJ332" s="1777"/>
      <c r="AK332" s="1778"/>
      <c r="AL332" s="1872"/>
      <c r="AM332" s="1862"/>
      <c r="AU332" s="474"/>
    </row>
    <row r="333" spans="1:62" ht="18" hidden="1" customHeight="1">
      <c r="B333" s="91"/>
      <c r="C333" s="91"/>
      <c r="D333" s="91"/>
      <c r="E333" s="12"/>
      <c r="F333" s="12"/>
      <c r="G333" s="12"/>
      <c r="H333" s="12"/>
      <c r="I333" s="12"/>
      <c r="J333" s="12"/>
      <c r="K333" s="12"/>
      <c r="L333" s="12"/>
      <c r="M333" s="12"/>
      <c r="N333" s="740"/>
      <c r="O333" s="740"/>
      <c r="P333" s="740"/>
      <c r="Q333" s="740"/>
      <c r="R333" s="740"/>
      <c r="S333" s="740"/>
      <c r="T333" s="740"/>
      <c r="U333" s="740"/>
      <c r="V333" s="740"/>
      <c r="W333" s="740"/>
      <c r="X333" s="740"/>
      <c r="Y333" s="740"/>
      <c r="Z333" s="740"/>
      <c r="AA333" s="740"/>
      <c r="AB333" s="740"/>
      <c r="AC333" s="740"/>
      <c r="AD333" s="740"/>
      <c r="AE333" s="740"/>
      <c r="AF333" s="741"/>
      <c r="AG333" s="742"/>
      <c r="AH333" s="742"/>
      <c r="AI333" s="742"/>
      <c r="AJ333" s="742"/>
      <c r="AK333" s="742"/>
      <c r="AL333" s="227"/>
      <c r="AM333" s="227"/>
    </row>
    <row r="334" spans="1:62" s="122" customFormat="1" ht="18" hidden="1" customHeight="1">
      <c r="A334" s="95"/>
      <c r="B334" s="2198" t="s">
        <v>769</v>
      </c>
      <c r="C334" s="1777"/>
      <c r="D334" s="1777"/>
      <c r="E334" s="1777"/>
      <c r="F334" s="1777"/>
      <c r="G334" s="1777"/>
      <c r="H334" s="1777"/>
      <c r="I334" s="1777"/>
      <c r="J334" s="1777"/>
      <c r="K334" s="1778"/>
      <c r="L334" s="2011" t="s">
        <v>745</v>
      </c>
      <c r="M334" s="1777"/>
      <c r="N334" s="1777"/>
      <c r="O334" s="1778"/>
      <c r="P334" s="2056"/>
      <c r="Q334" s="1861"/>
      <c r="R334" s="1861"/>
      <c r="S334" s="1861"/>
      <c r="T334" s="1861"/>
      <c r="U334" s="1861"/>
      <c r="V334" s="1861"/>
      <c r="W334" s="1861"/>
      <c r="X334" s="1861"/>
      <c r="Y334" s="1861"/>
      <c r="Z334" s="1861"/>
      <c r="AA334" s="1861"/>
      <c r="AB334" s="1861"/>
      <c r="AC334" s="1861"/>
      <c r="AD334" s="1861"/>
      <c r="AE334" s="1861"/>
      <c r="AF334" s="1861"/>
      <c r="AG334" s="1861"/>
      <c r="AH334" s="1861"/>
      <c r="AI334" s="1861"/>
      <c r="AJ334" s="1861"/>
      <c r="AK334" s="1861"/>
      <c r="AL334" s="1861"/>
      <c r="AM334" s="1862"/>
      <c r="AN334" s="215"/>
      <c r="AO334" s="215"/>
      <c r="AP334" s="215"/>
      <c r="AQ334" s="215"/>
      <c r="AR334" s="215"/>
      <c r="AS334" s="215"/>
    </row>
    <row r="335" spans="1:62" ht="18" hidden="1" customHeight="1">
      <c r="B335" s="1867" t="s">
        <v>689</v>
      </c>
      <c r="C335" s="1777"/>
      <c r="D335" s="1778"/>
      <c r="E335" s="1882" t="str">
        <f>'Document Checklist-Full List'!$E$90</f>
        <v>35a. MLLC Cert &amp; Legal Disclosure</v>
      </c>
      <c r="F335" s="1777"/>
      <c r="G335" s="1777"/>
      <c r="H335" s="1777"/>
      <c r="I335" s="1777"/>
      <c r="J335" s="1777"/>
      <c r="K335" s="1777"/>
      <c r="L335" s="1777"/>
      <c r="M335" s="1778"/>
      <c r="N335" s="1975" t="str">
        <f>'Document Checklist-Full List'!$N$90</f>
        <v>Reference: Sponsor/Applicant Certification Worksheet.</v>
      </c>
      <c r="O335" s="1777"/>
      <c r="P335" s="1777"/>
      <c r="Q335" s="1777"/>
      <c r="R335" s="1777"/>
      <c r="S335" s="1777"/>
      <c r="T335" s="1777"/>
      <c r="U335" s="1777"/>
      <c r="V335" s="1777"/>
      <c r="W335" s="1777"/>
      <c r="X335" s="1777"/>
      <c r="Y335" s="1777"/>
      <c r="Z335" s="1777"/>
      <c r="AA335" s="1777"/>
      <c r="AB335" s="1777"/>
      <c r="AC335" s="1777"/>
      <c r="AD335" s="1777"/>
      <c r="AE335" s="1778"/>
      <c r="AF335" s="1943" t="s">
        <v>559</v>
      </c>
      <c r="AG335" s="1777"/>
      <c r="AH335" s="1777"/>
      <c r="AI335" s="1777"/>
      <c r="AJ335" s="1777"/>
      <c r="AK335" s="1778"/>
      <c r="AL335" s="1872"/>
      <c r="AM335" s="1862"/>
    </row>
    <row r="336" spans="1:62" ht="36" hidden="1" customHeight="1">
      <c r="B336" s="1867" t="s">
        <v>689</v>
      </c>
      <c r="C336" s="1777"/>
      <c r="D336" s="1778"/>
      <c r="E336" s="1882" t="str">
        <f>'Document Checklist-Full List'!$E$91</f>
        <v xml:space="preserve">35b. MLLC Cert of Good Standing </v>
      </c>
      <c r="F336" s="1777"/>
      <c r="G336" s="1777"/>
      <c r="H336" s="1777"/>
      <c r="I336" s="1777"/>
      <c r="J336" s="1777"/>
      <c r="K336" s="1777"/>
      <c r="L336" s="1777"/>
      <c r="M336" s="1778"/>
      <c r="N336" s="1962" t="str">
        <f>'Document Checklist-Full List'!$N$91</f>
        <v>Certificate of Good Standing must be dated 30 days or less from the application due date.</v>
      </c>
      <c r="O336" s="1777"/>
      <c r="P336" s="1777"/>
      <c r="Q336" s="1777"/>
      <c r="R336" s="1777"/>
      <c r="S336" s="1777"/>
      <c r="T336" s="1777"/>
      <c r="U336" s="1777"/>
      <c r="V336" s="1777"/>
      <c r="W336" s="1777"/>
      <c r="X336" s="1777"/>
      <c r="Y336" s="1777"/>
      <c r="Z336" s="1777"/>
      <c r="AA336" s="1777"/>
      <c r="AB336" s="1777"/>
      <c r="AC336" s="1777"/>
      <c r="AD336" s="1777"/>
      <c r="AE336" s="1778"/>
      <c r="AF336" s="1943" t="s">
        <v>559</v>
      </c>
      <c r="AG336" s="1777"/>
      <c r="AH336" s="1777"/>
      <c r="AI336" s="1777"/>
      <c r="AJ336" s="1777"/>
      <c r="AK336" s="1778"/>
      <c r="AL336" s="1872"/>
      <c r="AM336" s="1862"/>
    </row>
    <row r="337" spans="1:62" ht="18" hidden="1" customHeight="1">
      <c r="B337" s="1867" t="s">
        <v>689</v>
      </c>
      <c r="C337" s="1777"/>
      <c r="D337" s="1778"/>
      <c r="E337" s="1882" t="str">
        <f>'Document Checklist-Full List'!$E$92</f>
        <v>35c. MLLC OrgChart</v>
      </c>
      <c r="F337" s="1777"/>
      <c r="G337" s="1777"/>
      <c r="H337" s="1777"/>
      <c r="I337" s="1777"/>
      <c r="J337" s="1777"/>
      <c r="K337" s="1777"/>
      <c r="L337" s="1777"/>
      <c r="M337" s="1778"/>
      <c r="N337" s="1962" t="str">
        <f>'Document Checklist-Full List'!$N$92</f>
        <v>MLLC Organization Chart.</v>
      </c>
      <c r="O337" s="1777"/>
      <c r="P337" s="1777"/>
      <c r="Q337" s="1777"/>
      <c r="R337" s="1777"/>
      <c r="S337" s="1777"/>
      <c r="T337" s="1777"/>
      <c r="U337" s="1777"/>
      <c r="V337" s="1777"/>
      <c r="W337" s="1777"/>
      <c r="X337" s="1777"/>
      <c r="Y337" s="1777"/>
      <c r="Z337" s="1777"/>
      <c r="AA337" s="1777"/>
      <c r="AB337" s="1777"/>
      <c r="AC337" s="1777"/>
      <c r="AD337" s="1777"/>
      <c r="AE337" s="1778"/>
      <c r="AF337" s="1943" t="s">
        <v>559</v>
      </c>
      <c r="AG337" s="1777"/>
      <c r="AH337" s="1777"/>
      <c r="AI337" s="1777"/>
      <c r="AJ337" s="1777"/>
      <c r="AK337" s="1778"/>
      <c r="AL337" s="1872"/>
      <c r="AM337" s="1862"/>
    </row>
    <row r="338" spans="1:62" ht="36" hidden="1" customHeight="1">
      <c r="B338" s="1867" t="s">
        <v>689</v>
      </c>
      <c r="C338" s="1777"/>
      <c r="D338" s="1778"/>
      <c r="E338" s="1882" t="str">
        <f>'Document Checklist-Full List'!$E$93</f>
        <v>35d. MLLC OrgDoc1, MLLC OrgDoc2, etc.</v>
      </c>
      <c r="F338" s="1777"/>
      <c r="G338" s="1777"/>
      <c r="H338" s="1777"/>
      <c r="I338" s="1777"/>
      <c r="J338" s="1777"/>
      <c r="K338" s="1777"/>
      <c r="L338" s="1777"/>
      <c r="M338" s="1778"/>
      <c r="N338" s="1975" t="str">
        <f>'Document Checklist-Full List'!$N$93</f>
        <v>Reference: Entity Org Docs Worksheet.</v>
      </c>
      <c r="O338" s="1777"/>
      <c r="P338" s="1777"/>
      <c r="Q338" s="1777"/>
      <c r="R338" s="1777"/>
      <c r="S338" s="1777"/>
      <c r="T338" s="1777"/>
      <c r="U338" s="1777"/>
      <c r="V338" s="1777"/>
      <c r="W338" s="1777"/>
      <c r="X338" s="1777"/>
      <c r="Y338" s="1777"/>
      <c r="Z338" s="1777"/>
      <c r="AA338" s="1777"/>
      <c r="AB338" s="1777"/>
      <c r="AC338" s="1777"/>
      <c r="AD338" s="1777"/>
      <c r="AE338" s="1778"/>
      <c r="AF338" s="1943" t="s">
        <v>559</v>
      </c>
      <c r="AG338" s="1777"/>
      <c r="AH338" s="1777"/>
      <c r="AI338" s="1777"/>
      <c r="AJ338" s="1777"/>
      <c r="AK338" s="1778"/>
      <c r="AL338" s="1872"/>
      <c r="AM338" s="1862"/>
    </row>
    <row r="339" spans="1:62" ht="18" hidden="1" customHeight="1">
      <c r="B339" s="1867" t="s">
        <v>689</v>
      </c>
      <c r="C339" s="1777"/>
      <c r="D339" s="1778"/>
      <c r="E339" s="1882" t="str">
        <f>'Document Checklist-Full List'!$E$94</f>
        <v>35e. MLLC Signature Block</v>
      </c>
      <c r="F339" s="1777"/>
      <c r="G339" s="1777"/>
      <c r="H339" s="1777"/>
      <c r="I339" s="1777"/>
      <c r="J339" s="1777"/>
      <c r="K339" s="1777"/>
      <c r="L339" s="1777"/>
      <c r="M339" s="1778"/>
      <c r="N339" s="1962" t="str">
        <f>'Document Checklist-Full List'!$N$94</f>
        <v>Signature Block - upload in Microsoft Word Document.</v>
      </c>
      <c r="O339" s="1777"/>
      <c r="P339" s="1777"/>
      <c r="Q339" s="1777"/>
      <c r="R339" s="1777"/>
      <c r="S339" s="1777"/>
      <c r="T339" s="1777"/>
      <c r="U339" s="1777"/>
      <c r="V339" s="1777"/>
      <c r="W339" s="1777"/>
      <c r="X339" s="1777"/>
      <c r="Y339" s="1777"/>
      <c r="Z339" s="1777"/>
      <c r="AA339" s="1777"/>
      <c r="AB339" s="1777"/>
      <c r="AC339" s="1777"/>
      <c r="AD339" s="1777"/>
      <c r="AE339" s="1778"/>
      <c r="AF339" s="1943" t="s">
        <v>559</v>
      </c>
      <c r="AG339" s="1777"/>
      <c r="AH339" s="1777"/>
      <c r="AI339" s="1777"/>
      <c r="AJ339" s="1777"/>
      <c r="AK339" s="1778"/>
      <c r="AL339" s="1872"/>
      <c r="AM339" s="1862"/>
    </row>
    <row r="340" spans="1:62" ht="36" hidden="1" customHeight="1">
      <c r="B340" s="1867" t="s">
        <v>689</v>
      </c>
      <c r="C340" s="1777"/>
      <c r="D340" s="1778"/>
      <c r="E340" s="1882" t="str">
        <f>'Document Checklist-Full List'!$E$95</f>
        <v>35f. MLLC Tax-Exempt Status</v>
      </c>
      <c r="F340" s="1777"/>
      <c r="G340" s="1777"/>
      <c r="H340" s="1777"/>
      <c r="I340" s="1777"/>
      <c r="J340" s="1777"/>
      <c r="K340" s="1777"/>
      <c r="L340" s="1777"/>
      <c r="M340" s="1778"/>
      <c r="N340" s="1962" t="str">
        <f>'Document Checklist-Full List'!$N$95</f>
        <v>Evidence of tax-exempt status from IRS and FTB for Corporations (Non-Profits Only).</v>
      </c>
      <c r="O340" s="1777"/>
      <c r="P340" s="1777"/>
      <c r="Q340" s="1777"/>
      <c r="R340" s="1777"/>
      <c r="S340" s="1777"/>
      <c r="T340" s="1777"/>
      <c r="U340" s="1777"/>
      <c r="V340" s="1777"/>
      <c r="W340" s="1777"/>
      <c r="X340" s="1777"/>
      <c r="Y340" s="1777"/>
      <c r="Z340" s="1777"/>
      <c r="AA340" s="1777"/>
      <c r="AB340" s="1777"/>
      <c r="AC340" s="1777"/>
      <c r="AD340" s="1777"/>
      <c r="AE340" s="1778"/>
      <c r="AF340" s="1943" t="s">
        <v>559</v>
      </c>
      <c r="AG340" s="1777"/>
      <c r="AH340" s="1777"/>
      <c r="AI340" s="1777"/>
      <c r="AJ340" s="1777"/>
      <c r="AK340" s="1778"/>
      <c r="AL340" s="1872"/>
      <c r="AM340" s="1862"/>
    </row>
    <row r="341" spans="1:62" ht="18" customHeight="1">
      <c r="B341" s="91"/>
      <c r="C341" s="91"/>
      <c r="D341" s="91"/>
      <c r="E341" s="12"/>
      <c r="F341" s="12"/>
      <c r="G341" s="12"/>
      <c r="H341" s="12"/>
      <c r="I341" s="12"/>
      <c r="J341" s="12"/>
      <c r="K341" s="12"/>
      <c r="L341" s="12"/>
      <c r="M341" s="12"/>
      <c r="N341" s="740"/>
      <c r="O341" s="740"/>
      <c r="P341" s="740"/>
      <c r="Q341" s="740"/>
      <c r="R341" s="740"/>
      <c r="S341" s="740"/>
      <c r="T341" s="740"/>
      <c r="U341" s="740"/>
      <c r="V341" s="740"/>
      <c r="W341" s="740"/>
      <c r="X341" s="740"/>
      <c r="Y341" s="740"/>
      <c r="Z341" s="740"/>
      <c r="AA341" s="740"/>
      <c r="AB341" s="740"/>
      <c r="AC341" s="740"/>
      <c r="AD341" s="740"/>
      <c r="AE341" s="740"/>
      <c r="AF341" s="741"/>
      <c r="AG341" s="742"/>
      <c r="AH341" s="742"/>
      <c r="AI341" s="742"/>
      <c r="AJ341" s="742"/>
      <c r="AK341" s="742"/>
      <c r="AL341" s="227"/>
      <c r="AM341" s="227"/>
    </row>
    <row r="342" spans="1:62" ht="18" customHeight="1">
      <c r="B342" s="2204" t="s">
        <v>770</v>
      </c>
      <c r="C342" s="1877"/>
      <c r="D342" s="1877"/>
      <c r="E342" s="1877"/>
      <c r="F342" s="2248" t="s">
        <v>771</v>
      </c>
      <c r="G342" s="1877"/>
      <c r="H342" s="1877"/>
      <c r="I342" s="1877"/>
      <c r="J342" s="1877"/>
      <c r="K342" s="1877"/>
      <c r="L342" s="1877"/>
      <c r="M342" s="1877"/>
      <c r="N342" s="1877"/>
      <c r="O342" s="1877"/>
      <c r="P342" s="1877"/>
      <c r="Q342" s="1877"/>
      <c r="R342" s="1877"/>
      <c r="S342" s="1877"/>
      <c r="T342" s="1877"/>
      <c r="U342" s="1877"/>
      <c r="V342" s="1877"/>
      <c r="W342" s="1877"/>
      <c r="X342" s="1877"/>
      <c r="Y342" s="1877"/>
      <c r="Z342" s="1877"/>
      <c r="AA342" s="1877"/>
      <c r="AB342" s="1877"/>
      <c r="AC342" s="1877"/>
      <c r="AD342" s="1877"/>
      <c r="AE342" s="1877"/>
      <c r="AF342" s="1877"/>
      <c r="AG342" s="1877"/>
      <c r="AH342" s="1877"/>
      <c r="AI342" s="1877"/>
      <c r="AJ342" s="1877"/>
      <c r="AK342" s="1877"/>
      <c r="AL342" s="1877"/>
      <c r="AM342" s="1877"/>
    </row>
    <row r="343" spans="1:62" s="95" customFormat="1" ht="18" hidden="1" customHeight="1">
      <c r="B343" s="2229" t="s">
        <v>772</v>
      </c>
      <c r="C343" s="1953"/>
      <c r="D343" s="1953"/>
      <c r="E343" s="1953"/>
      <c r="F343" s="1953"/>
      <c r="G343" s="1953"/>
      <c r="H343" s="1953"/>
      <c r="I343" s="1953"/>
      <c r="J343" s="1953"/>
      <c r="K343" s="1953"/>
      <c r="L343" s="1953"/>
      <c r="M343" s="1953"/>
      <c r="N343" s="1953"/>
      <c r="O343" s="1953"/>
      <c r="P343" s="1953"/>
      <c r="Q343" s="1953"/>
      <c r="R343" s="1953"/>
      <c r="S343" s="1953"/>
      <c r="T343" s="1953"/>
      <c r="U343" s="1953"/>
      <c r="V343" s="1953"/>
      <c r="W343" s="1953"/>
      <c r="X343" s="1953"/>
      <c r="Y343" s="1953"/>
      <c r="Z343" s="1953"/>
      <c r="AA343" s="1953"/>
      <c r="AB343" s="1953"/>
      <c r="AC343" s="1953"/>
      <c r="AD343" s="1953"/>
      <c r="AE343" s="1953"/>
      <c r="AF343" s="1953"/>
      <c r="AG343" s="1953"/>
      <c r="AH343" s="1953"/>
      <c r="AI343" s="1953"/>
      <c r="AJ343" s="1953"/>
      <c r="AK343" s="1953"/>
      <c r="AL343" s="1953"/>
      <c r="AM343" s="1770"/>
      <c r="AN343" s="171"/>
      <c r="AO343" s="171"/>
      <c r="AP343" s="171"/>
      <c r="AQ343" s="171"/>
      <c r="AR343" s="171"/>
      <c r="AS343" s="171"/>
      <c r="AU343" s="55"/>
    </row>
    <row r="344" spans="1:62" s="95" customFormat="1" ht="36" hidden="1" customHeight="1">
      <c r="B344" s="2251" t="s">
        <v>773</v>
      </c>
      <c r="C344" s="1888"/>
      <c r="D344" s="1888"/>
      <c r="E344" s="1888"/>
      <c r="F344" s="1888"/>
      <c r="G344" s="1888"/>
      <c r="H344" s="1888"/>
      <c r="I344" s="1888"/>
      <c r="J344" s="1888"/>
      <c r="K344" s="1888"/>
      <c r="L344" s="1888"/>
      <c r="M344" s="1888"/>
      <c r="N344" s="1888"/>
      <c r="O344" s="1888"/>
      <c r="P344" s="1888"/>
      <c r="Q344" s="1888"/>
      <c r="R344" s="1888"/>
      <c r="S344" s="1888"/>
      <c r="T344" s="1888"/>
      <c r="U344" s="1888"/>
      <c r="V344" s="1888"/>
      <c r="W344" s="1888"/>
      <c r="X344" s="1888"/>
      <c r="Y344" s="1888"/>
      <c r="Z344" s="1888"/>
      <c r="AA344" s="1888"/>
      <c r="AB344" s="1888"/>
      <c r="AC344" s="1888"/>
      <c r="AD344" s="1888"/>
      <c r="AE344" s="1888"/>
      <c r="AF344" s="1888"/>
      <c r="AG344" s="1888"/>
      <c r="AH344" s="1888"/>
      <c r="AI344" s="1888"/>
      <c r="AJ344" s="1888"/>
      <c r="AK344" s="1888"/>
      <c r="AL344" s="1888"/>
      <c r="AM344" s="1889"/>
      <c r="AN344" s="171"/>
      <c r="AO344" s="171"/>
      <c r="AP344" s="171"/>
      <c r="AQ344" s="171"/>
      <c r="AR344" s="171"/>
      <c r="AS344" s="171"/>
      <c r="AU344" s="55"/>
    </row>
    <row r="345" spans="1:62" ht="18" hidden="1" customHeight="1">
      <c r="B345" s="2226" t="s">
        <v>774</v>
      </c>
      <c r="C345" s="1910"/>
      <c r="D345" s="1910"/>
      <c r="E345" s="1910"/>
      <c r="F345" s="1910"/>
      <c r="G345" s="1910"/>
      <c r="H345" s="1910"/>
      <c r="I345" s="1910"/>
      <c r="J345" s="1910"/>
      <c r="K345" s="1910"/>
      <c r="L345" s="1910"/>
      <c r="M345" s="1910"/>
      <c r="N345" s="1910"/>
      <c r="O345" s="1910"/>
      <c r="P345" s="1910"/>
      <c r="Q345" s="1910"/>
      <c r="R345" s="1910"/>
      <c r="S345" s="1910"/>
      <c r="T345" s="1910"/>
      <c r="U345" s="1910"/>
      <c r="V345" s="1910"/>
      <c r="W345" s="1910"/>
      <c r="X345" s="1910"/>
      <c r="Y345" s="1910"/>
      <c r="Z345" s="1910"/>
      <c r="AA345" s="1910"/>
      <c r="AB345" s="1910"/>
      <c r="AC345" s="1910"/>
      <c r="AD345" s="1910"/>
      <c r="AE345" s="1910"/>
      <c r="AF345" s="1910"/>
      <c r="AG345" s="1910"/>
      <c r="AH345" s="1910"/>
      <c r="AI345" s="1910"/>
      <c r="AJ345" s="1910"/>
      <c r="AK345" s="1889"/>
      <c r="AL345" s="1872"/>
      <c r="AM345" s="1862"/>
    </row>
    <row r="346" spans="1:62" ht="18" hidden="1" customHeight="1">
      <c r="B346" s="2258" t="s">
        <v>775</v>
      </c>
      <c r="C346" s="1877"/>
      <c r="D346" s="1877"/>
      <c r="E346" s="1877"/>
      <c r="F346" s="1877"/>
      <c r="G346" s="1877"/>
      <c r="H346" s="1877"/>
      <c r="I346" s="1877"/>
      <c r="J346" s="1877"/>
      <c r="K346" s="1877"/>
      <c r="L346" s="1877"/>
      <c r="M346" s="1877"/>
      <c r="N346" s="1877"/>
      <c r="O346" s="1877"/>
      <c r="P346" s="1877"/>
      <c r="Q346" s="2228" t="s">
        <v>776</v>
      </c>
      <c r="R346" s="1877"/>
      <c r="S346" s="1877"/>
      <c r="T346" s="2228" t="s">
        <v>777</v>
      </c>
      <c r="U346" s="1877"/>
      <c r="V346" s="1877"/>
      <c r="W346" s="2335" t="s">
        <v>778</v>
      </c>
      <c r="X346" s="1877"/>
      <c r="Y346" s="1877"/>
      <c r="Z346" s="1877"/>
      <c r="AA346" s="1877"/>
      <c r="AB346" s="1877"/>
      <c r="AC346" s="1877"/>
      <c r="AD346" s="2225" t="s">
        <v>779</v>
      </c>
      <c r="AE346" s="1877"/>
      <c r="AF346" s="1877"/>
      <c r="AG346" s="1877"/>
      <c r="AH346" s="1877"/>
      <c r="AI346" s="2295" t="s">
        <v>780</v>
      </c>
      <c r="AJ346" s="1877"/>
      <c r="AK346" s="1877"/>
      <c r="AL346" s="1877"/>
      <c r="AM346" s="1772"/>
    </row>
    <row r="347" spans="1:62" ht="18" hidden="1" customHeight="1">
      <c r="A347" s="831">
        <v>1</v>
      </c>
      <c r="B347" s="1971"/>
      <c r="C347" s="1861"/>
      <c r="D347" s="1861"/>
      <c r="E347" s="1861"/>
      <c r="F347" s="1861"/>
      <c r="G347" s="1861"/>
      <c r="H347" s="1861"/>
      <c r="I347" s="1861"/>
      <c r="J347" s="1861"/>
      <c r="K347" s="1861"/>
      <c r="L347" s="1861"/>
      <c r="M347" s="1861"/>
      <c r="N347" s="1861"/>
      <c r="O347" s="1861"/>
      <c r="P347" s="1862"/>
      <c r="Q347" s="1998"/>
      <c r="R347" s="1861"/>
      <c r="S347" s="1862"/>
      <c r="T347" s="1998"/>
      <c r="U347" s="1861"/>
      <c r="V347" s="1862"/>
      <c r="W347" s="2092"/>
      <c r="X347" s="1861"/>
      <c r="Y347" s="1861"/>
      <c r="Z347" s="1861"/>
      <c r="AA347" s="1861"/>
      <c r="AB347" s="1861"/>
      <c r="AC347" s="1862"/>
      <c r="AD347" s="2028"/>
      <c r="AE347" s="1861"/>
      <c r="AF347" s="1861"/>
      <c r="AG347" s="1861"/>
      <c r="AH347" s="1862"/>
      <c r="AI347" s="2202">
        <f>$H$221</f>
        <v>0</v>
      </c>
      <c r="AJ347" s="1777"/>
      <c r="AK347" s="1778"/>
      <c r="AL347" s="2190" t="s">
        <v>781</v>
      </c>
      <c r="AM347" s="1778"/>
      <c r="AO347" s="171"/>
      <c r="AP347" s="171"/>
      <c r="AQ347" s="171"/>
      <c r="AR347" s="171"/>
      <c r="AS347" s="171"/>
      <c r="AT347" s="95"/>
      <c r="AV347" s="95"/>
      <c r="AW347" s="95"/>
      <c r="AX347" s="95"/>
      <c r="AY347" s="95"/>
      <c r="AZ347" s="95"/>
      <c r="BA347" s="95"/>
      <c r="BB347" s="95"/>
      <c r="BC347" s="95"/>
      <c r="BD347" s="95"/>
      <c r="BE347" s="95"/>
      <c r="BF347" s="95"/>
      <c r="BG347" s="95"/>
      <c r="BH347" s="95"/>
      <c r="BI347" s="95"/>
      <c r="BJ347" s="95"/>
    </row>
    <row r="348" spans="1:62" ht="18" hidden="1" customHeight="1">
      <c r="A348" s="831">
        <v>2</v>
      </c>
      <c r="B348" s="1971"/>
      <c r="C348" s="1861"/>
      <c r="D348" s="1861"/>
      <c r="E348" s="1861"/>
      <c r="F348" s="1861"/>
      <c r="G348" s="1861"/>
      <c r="H348" s="1861"/>
      <c r="I348" s="1861"/>
      <c r="J348" s="1861"/>
      <c r="K348" s="1861"/>
      <c r="L348" s="1861"/>
      <c r="M348" s="1861"/>
      <c r="N348" s="1861"/>
      <c r="O348" s="1861"/>
      <c r="P348" s="1862"/>
      <c r="Q348" s="1998"/>
      <c r="R348" s="1861"/>
      <c r="S348" s="1862"/>
      <c r="T348" s="1998"/>
      <c r="U348" s="1861"/>
      <c r="V348" s="1862"/>
      <c r="W348" s="2092"/>
      <c r="X348" s="1861"/>
      <c r="Y348" s="1861"/>
      <c r="Z348" s="1861"/>
      <c r="AA348" s="1861"/>
      <c r="AB348" s="1861"/>
      <c r="AC348" s="1862"/>
      <c r="AD348" s="2028"/>
      <c r="AE348" s="1861"/>
      <c r="AF348" s="1861"/>
      <c r="AG348" s="1861"/>
      <c r="AH348" s="1862"/>
      <c r="AI348" s="743"/>
      <c r="AJ348" s="744"/>
      <c r="AK348" s="744"/>
      <c r="AL348" s="272"/>
      <c r="AM348" s="997"/>
      <c r="AO348" s="171"/>
      <c r="AP348" s="171"/>
      <c r="AQ348" s="171"/>
      <c r="AR348" s="171"/>
      <c r="AS348" s="171"/>
      <c r="AT348" s="95"/>
      <c r="AV348" s="95"/>
      <c r="AW348" s="95"/>
      <c r="AX348" s="95"/>
      <c r="AY348" s="95"/>
      <c r="AZ348" s="95"/>
      <c r="BA348" s="95"/>
      <c r="BB348" s="95"/>
      <c r="BC348" s="95"/>
      <c r="BD348" s="95"/>
      <c r="BE348" s="95"/>
      <c r="BF348" s="95"/>
      <c r="BG348" s="95"/>
      <c r="BH348" s="95"/>
      <c r="BI348" s="95"/>
      <c r="BJ348" s="95"/>
    </row>
    <row r="349" spans="1:62" s="95" customFormat="1" ht="18" hidden="1" customHeight="1">
      <c r="A349" s="831"/>
      <c r="B349" s="2307" t="s">
        <v>782</v>
      </c>
      <c r="C349" s="1777"/>
      <c r="D349" s="1777"/>
      <c r="E349" s="1777"/>
      <c r="F349" s="1777"/>
      <c r="G349" s="1777"/>
      <c r="H349" s="1777"/>
      <c r="I349" s="1777"/>
      <c r="J349" s="1777"/>
      <c r="K349" s="1777"/>
      <c r="L349" s="1777"/>
      <c r="M349" s="1777"/>
      <c r="N349" s="1777"/>
      <c r="O349" s="1777"/>
      <c r="P349" s="1777"/>
      <c r="Q349" s="2041" t="s">
        <v>783</v>
      </c>
      <c r="R349" s="1777"/>
      <c r="S349" s="1777"/>
      <c r="T349" s="1777"/>
      <c r="U349" s="1777"/>
      <c r="V349" s="1777"/>
      <c r="W349" s="1777"/>
      <c r="X349" s="1777"/>
      <c r="Y349" s="1777"/>
      <c r="Z349" s="1777"/>
      <c r="AA349" s="1777"/>
      <c r="AB349" s="2041" t="s">
        <v>784</v>
      </c>
      <c r="AC349" s="1777"/>
      <c r="AD349" s="1777"/>
      <c r="AE349" s="1777"/>
      <c r="AF349" s="1777"/>
      <c r="AG349" s="1777"/>
      <c r="AH349" s="2041" t="s">
        <v>705</v>
      </c>
      <c r="AI349" s="1777"/>
      <c r="AJ349" s="1777"/>
      <c r="AK349" s="2141" t="s">
        <v>785</v>
      </c>
      <c r="AL349" s="1777"/>
      <c r="AM349" s="1778"/>
      <c r="AN349" s="57"/>
      <c r="AO349" s="90"/>
      <c r="AP349" s="57"/>
      <c r="AQ349" s="57"/>
      <c r="AR349" s="57"/>
      <c r="AS349" s="57"/>
      <c r="AT349" s="55"/>
      <c r="AU349" s="55"/>
      <c r="AV349" s="55"/>
      <c r="AW349" s="55"/>
      <c r="AX349" s="55"/>
      <c r="AY349" s="55"/>
      <c r="AZ349" s="55"/>
      <c r="BA349" s="55"/>
      <c r="BB349" s="55"/>
      <c r="BC349" s="55"/>
      <c r="BD349" s="55"/>
      <c r="BE349" s="55"/>
      <c r="BF349" s="55"/>
      <c r="BG349" s="55"/>
      <c r="BH349" s="55"/>
      <c r="BI349" s="55"/>
      <c r="BJ349" s="55"/>
    </row>
    <row r="350" spans="1:62" ht="18" hidden="1" customHeight="1">
      <c r="A350" s="831">
        <v>1</v>
      </c>
      <c r="B350" s="2046"/>
      <c r="C350" s="1861"/>
      <c r="D350" s="1861"/>
      <c r="E350" s="1861"/>
      <c r="F350" s="1861"/>
      <c r="G350" s="1861"/>
      <c r="H350" s="1861"/>
      <c r="I350" s="1861"/>
      <c r="J350" s="1861"/>
      <c r="K350" s="1861"/>
      <c r="L350" s="1861"/>
      <c r="M350" s="1861"/>
      <c r="N350" s="1861"/>
      <c r="O350" s="1861"/>
      <c r="P350" s="1862"/>
      <c r="Q350" s="2046"/>
      <c r="R350" s="1861"/>
      <c r="S350" s="1861"/>
      <c r="T350" s="1861"/>
      <c r="U350" s="1861"/>
      <c r="V350" s="1861"/>
      <c r="W350" s="1861"/>
      <c r="X350" s="1861"/>
      <c r="Y350" s="1861"/>
      <c r="Z350" s="1861"/>
      <c r="AA350" s="1862"/>
      <c r="AB350" s="2046"/>
      <c r="AC350" s="1861"/>
      <c r="AD350" s="1861"/>
      <c r="AE350" s="1861"/>
      <c r="AF350" s="1861"/>
      <c r="AG350" s="1862"/>
      <c r="AH350" s="2046"/>
      <c r="AI350" s="1861"/>
      <c r="AJ350" s="1862"/>
      <c r="AK350" s="2046"/>
      <c r="AL350" s="1861"/>
      <c r="AM350" s="1862"/>
    </row>
    <row r="351" spans="1:62" ht="18" hidden="1" customHeight="1">
      <c r="A351" s="831">
        <v>2</v>
      </c>
      <c r="B351" s="2046"/>
      <c r="C351" s="1861"/>
      <c r="D351" s="1861"/>
      <c r="E351" s="1861"/>
      <c r="F351" s="1861"/>
      <c r="G351" s="1861"/>
      <c r="H351" s="1861"/>
      <c r="I351" s="1861"/>
      <c r="J351" s="1861"/>
      <c r="K351" s="1861"/>
      <c r="L351" s="1861"/>
      <c r="M351" s="1861"/>
      <c r="N351" s="1861"/>
      <c r="O351" s="1861"/>
      <c r="P351" s="1862"/>
      <c r="Q351" s="2046"/>
      <c r="R351" s="1861"/>
      <c r="S351" s="1861"/>
      <c r="T351" s="1861"/>
      <c r="U351" s="1861"/>
      <c r="V351" s="1861"/>
      <c r="W351" s="1861"/>
      <c r="X351" s="1861"/>
      <c r="Y351" s="1861"/>
      <c r="Z351" s="1861"/>
      <c r="AA351" s="1862"/>
      <c r="AB351" s="2046"/>
      <c r="AC351" s="1861"/>
      <c r="AD351" s="1861"/>
      <c r="AE351" s="1861"/>
      <c r="AF351" s="1861"/>
      <c r="AG351" s="1862"/>
      <c r="AH351" s="2046"/>
      <c r="AI351" s="1861"/>
      <c r="AJ351" s="1862"/>
      <c r="AK351" s="2046"/>
      <c r="AL351" s="1861"/>
      <c r="AM351" s="1862"/>
    </row>
    <row r="352" spans="1:62" ht="36" hidden="1" customHeight="1">
      <c r="B352" s="2224" t="s">
        <v>786</v>
      </c>
      <c r="C352" s="1777"/>
      <c r="D352" s="1777"/>
      <c r="E352" s="1777"/>
      <c r="F352" s="1777"/>
      <c r="G352" s="1777"/>
      <c r="H352" s="1777"/>
      <c r="I352" s="1777"/>
      <c r="J352" s="1777"/>
      <c r="K352" s="1777"/>
      <c r="L352" s="1777"/>
      <c r="M352" s="1777"/>
      <c r="N352" s="1777"/>
      <c r="O352" s="1777"/>
      <c r="P352" s="1777"/>
      <c r="Q352" s="1777"/>
      <c r="R352" s="1777"/>
      <c r="S352" s="1777"/>
      <c r="T352" s="1777"/>
      <c r="U352" s="1777"/>
      <c r="V352" s="1777"/>
      <c r="W352" s="1777"/>
      <c r="X352" s="1777"/>
      <c r="Y352" s="1777"/>
      <c r="Z352" s="1777"/>
      <c r="AA352" s="1777"/>
      <c r="AB352" s="1777"/>
      <c r="AC352" s="1777"/>
      <c r="AD352" s="1777"/>
      <c r="AE352" s="1777"/>
      <c r="AF352" s="1777"/>
      <c r="AG352" s="1777"/>
      <c r="AH352" s="1777"/>
      <c r="AI352" s="1777"/>
      <c r="AJ352" s="1777"/>
      <c r="AK352" s="1777"/>
      <c r="AL352" s="1777"/>
      <c r="AM352" s="1778"/>
    </row>
    <row r="353" spans="1:62" ht="63.75" hidden="1" customHeight="1">
      <c r="B353" s="1874"/>
      <c r="C353" s="1869"/>
      <c r="D353" s="1869"/>
      <c r="E353" s="1869"/>
      <c r="F353" s="1869"/>
      <c r="G353" s="1869"/>
      <c r="H353" s="1869"/>
      <c r="I353" s="1869"/>
      <c r="J353" s="1869"/>
      <c r="K353" s="1869"/>
      <c r="L353" s="1869"/>
      <c r="M353" s="1869"/>
      <c r="N353" s="1869"/>
      <c r="O353" s="1869"/>
      <c r="P353" s="1869"/>
      <c r="Q353" s="1869"/>
      <c r="R353" s="1869"/>
      <c r="S353" s="1869"/>
      <c r="T353" s="1869"/>
      <c r="U353" s="1869"/>
      <c r="V353" s="1869"/>
      <c r="W353" s="1869"/>
      <c r="X353" s="1869"/>
      <c r="Y353" s="1869"/>
      <c r="Z353" s="1869"/>
      <c r="AA353" s="1869"/>
      <c r="AB353" s="1869"/>
      <c r="AC353" s="1869"/>
      <c r="AD353" s="1869"/>
      <c r="AE353" s="1869"/>
      <c r="AF353" s="1869"/>
      <c r="AG353" s="1869"/>
      <c r="AH353" s="1869"/>
      <c r="AI353" s="1869"/>
      <c r="AJ353" s="1869"/>
      <c r="AK353" s="1869"/>
      <c r="AL353" s="1869"/>
      <c r="AM353" s="1870"/>
    </row>
    <row r="354" spans="1:62" s="95" customFormat="1" ht="18" hidden="1" customHeight="1">
      <c r="B354" s="2390" t="s">
        <v>787</v>
      </c>
      <c r="C354" s="1953"/>
      <c r="D354" s="1953"/>
      <c r="E354" s="1953"/>
      <c r="F354" s="1953"/>
      <c r="G354" s="1953"/>
      <c r="H354" s="1953"/>
      <c r="I354" s="1953"/>
      <c r="J354" s="1953"/>
      <c r="K354" s="1953"/>
      <c r="L354" s="1953"/>
      <c r="M354" s="1953"/>
      <c r="N354" s="1953"/>
      <c r="O354" s="1953"/>
      <c r="P354" s="1953"/>
      <c r="Q354" s="1953"/>
      <c r="R354" s="1953"/>
      <c r="S354" s="1953"/>
      <c r="T354" s="1953"/>
      <c r="U354" s="1953"/>
      <c r="V354" s="1953"/>
      <c r="W354" s="1953"/>
      <c r="X354" s="1953"/>
      <c r="Y354" s="1953"/>
      <c r="Z354" s="1953"/>
      <c r="AA354" s="1953"/>
      <c r="AB354" s="1953"/>
      <c r="AC354" s="1953"/>
      <c r="AD354" s="1953"/>
      <c r="AE354" s="1953"/>
      <c r="AF354" s="1953"/>
      <c r="AG354" s="1953"/>
      <c r="AH354" s="1953"/>
      <c r="AI354" s="1953"/>
      <c r="AJ354" s="1953"/>
      <c r="AK354" s="1953"/>
      <c r="AL354" s="1953"/>
      <c r="AM354" s="1770"/>
    </row>
    <row r="355" spans="1:62" s="95" customFormat="1" ht="54" hidden="1" customHeight="1">
      <c r="B355" s="2086"/>
      <c r="C355" s="1861"/>
      <c r="D355" s="1861"/>
      <c r="E355" s="1861"/>
      <c r="F355" s="1861"/>
      <c r="G355" s="1861"/>
      <c r="H355" s="1861"/>
      <c r="I355" s="1861"/>
      <c r="J355" s="1861"/>
      <c r="K355" s="1861"/>
      <c r="L355" s="1861"/>
      <c r="M355" s="1861"/>
      <c r="N355" s="1861"/>
      <c r="O355" s="1861"/>
      <c r="P355" s="1861"/>
      <c r="Q355" s="1861"/>
      <c r="R355" s="1861"/>
      <c r="S355" s="1861"/>
      <c r="T355" s="1861"/>
      <c r="U355" s="1861"/>
      <c r="V355" s="1861"/>
      <c r="W355" s="1861"/>
      <c r="X355" s="1861"/>
      <c r="Y355" s="1861"/>
      <c r="Z355" s="1861"/>
      <c r="AA355" s="1861"/>
      <c r="AB355" s="1861"/>
      <c r="AC355" s="1861"/>
      <c r="AD355" s="1861"/>
      <c r="AE355" s="1861"/>
      <c r="AF355" s="1861"/>
      <c r="AG355" s="1861"/>
      <c r="AH355" s="1861"/>
      <c r="AI355" s="1861"/>
      <c r="AJ355" s="1861"/>
      <c r="AK355" s="1861"/>
      <c r="AL355" s="1861"/>
      <c r="AM355" s="1862"/>
    </row>
    <row r="356" spans="1:62" ht="18" hidden="1" customHeight="1">
      <c r="B356" s="2286" t="s">
        <v>788</v>
      </c>
      <c r="C356" s="1777"/>
      <c r="D356" s="1777"/>
      <c r="E356" s="1777"/>
      <c r="F356" s="1777"/>
      <c r="G356" s="1777"/>
      <c r="H356" s="1777"/>
      <c r="I356" s="1777"/>
      <c r="J356" s="1777"/>
      <c r="K356" s="1777"/>
      <c r="L356" s="1777"/>
      <c r="M356" s="1777"/>
      <c r="N356" s="1777"/>
      <c r="O356" s="1777"/>
      <c r="P356" s="1777"/>
      <c r="Q356" s="1777"/>
      <c r="R356" s="1777"/>
      <c r="S356" s="1777"/>
      <c r="T356" s="1777"/>
      <c r="U356" s="1777"/>
      <c r="V356" s="1777"/>
      <c r="W356" s="1777"/>
      <c r="X356" s="1777"/>
      <c r="Y356" s="1777"/>
      <c r="Z356" s="1777"/>
      <c r="AA356" s="1777"/>
      <c r="AB356" s="1777"/>
      <c r="AC356" s="1777"/>
      <c r="AD356" s="1777"/>
      <c r="AE356" s="1777"/>
      <c r="AF356" s="1777"/>
      <c r="AG356" s="1777"/>
      <c r="AH356" s="1777"/>
      <c r="AI356" s="1777"/>
      <c r="AJ356" s="1777"/>
      <c r="AK356" s="1778"/>
      <c r="AL356" s="2360"/>
      <c r="AM356" s="1862"/>
    </row>
    <row r="357" spans="1:62" ht="18" hidden="1" customHeight="1">
      <c r="B357" s="2155" t="s">
        <v>789</v>
      </c>
      <c r="C357" s="1777"/>
      <c r="D357" s="1777"/>
      <c r="E357" s="1777"/>
      <c r="F357" s="1777"/>
      <c r="G357" s="1777"/>
      <c r="H357" s="1777"/>
      <c r="I357" s="1777"/>
      <c r="J357" s="1777"/>
      <c r="K357" s="1777"/>
      <c r="L357" s="1777"/>
      <c r="M357" s="1777"/>
      <c r="N357" s="1777"/>
      <c r="O357" s="1777"/>
      <c r="P357" s="1777"/>
      <c r="Q357" s="1777"/>
      <c r="R357" s="1777"/>
      <c r="S357" s="1777"/>
      <c r="T357" s="1777"/>
      <c r="U357" s="2185" t="s">
        <v>790</v>
      </c>
      <c r="V357" s="1777"/>
      <c r="W357" s="1777"/>
      <c r="X357" s="1777"/>
      <c r="Y357" s="1777"/>
      <c r="Z357" s="1777"/>
      <c r="AA357" s="1777"/>
      <c r="AB357" s="1777"/>
      <c r="AC357" s="1777"/>
      <c r="AD357" s="1777"/>
      <c r="AE357" s="1777"/>
      <c r="AF357" s="1777"/>
      <c r="AG357" s="1777"/>
      <c r="AH357" s="1777"/>
      <c r="AI357" s="2405" t="s">
        <v>791</v>
      </c>
      <c r="AJ357" s="1777"/>
      <c r="AK357" s="1777"/>
      <c r="AL357" s="1777"/>
      <c r="AM357" s="1778"/>
    </row>
    <row r="358" spans="1:62" ht="18" hidden="1" customHeight="1">
      <c r="B358" s="1958"/>
      <c r="C358" s="1861"/>
      <c r="D358" s="1861"/>
      <c r="E358" s="1861"/>
      <c r="F358" s="1861"/>
      <c r="G358" s="1861"/>
      <c r="H358" s="1861"/>
      <c r="I358" s="1861"/>
      <c r="J358" s="1861"/>
      <c r="K358" s="1861"/>
      <c r="L358" s="1861"/>
      <c r="M358" s="1861"/>
      <c r="N358" s="1861"/>
      <c r="O358" s="1861"/>
      <c r="P358" s="1861"/>
      <c r="Q358" s="1861"/>
      <c r="R358" s="1861"/>
      <c r="S358" s="1861"/>
      <c r="T358" s="1862"/>
      <c r="U358" s="2040"/>
      <c r="V358" s="1861"/>
      <c r="W358" s="1861"/>
      <c r="X358" s="1861"/>
      <c r="Y358" s="1861"/>
      <c r="Z358" s="1861"/>
      <c r="AA358" s="1861"/>
      <c r="AB358" s="1861"/>
      <c r="AC358" s="1861"/>
      <c r="AD358" s="1861"/>
      <c r="AE358" s="1861"/>
      <c r="AF358" s="1861"/>
      <c r="AG358" s="1861"/>
      <c r="AH358" s="1862"/>
      <c r="AI358" s="2065"/>
      <c r="AJ358" s="1861"/>
      <c r="AK358" s="1861"/>
      <c r="AL358" s="1861"/>
      <c r="AM358" s="1862"/>
    </row>
    <row r="359" spans="1:62" ht="18" hidden="1" customHeight="1">
      <c r="B359" s="1958"/>
      <c r="C359" s="1861"/>
      <c r="D359" s="1861"/>
      <c r="E359" s="1861"/>
      <c r="F359" s="1861"/>
      <c r="G359" s="1861"/>
      <c r="H359" s="1861"/>
      <c r="I359" s="1861"/>
      <c r="J359" s="1861"/>
      <c r="K359" s="1861"/>
      <c r="L359" s="1861"/>
      <c r="M359" s="1861"/>
      <c r="N359" s="1861"/>
      <c r="O359" s="1861"/>
      <c r="P359" s="1861"/>
      <c r="Q359" s="1861"/>
      <c r="R359" s="1861"/>
      <c r="S359" s="1861"/>
      <c r="T359" s="1862"/>
      <c r="U359" s="2040"/>
      <c r="V359" s="1861"/>
      <c r="W359" s="1861"/>
      <c r="X359" s="1861"/>
      <c r="Y359" s="1861"/>
      <c r="Z359" s="1861"/>
      <c r="AA359" s="1861"/>
      <c r="AB359" s="1861"/>
      <c r="AC359" s="1861"/>
      <c r="AD359" s="1861"/>
      <c r="AE359" s="1861"/>
      <c r="AF359" s="1861"/>
      <c r="AG359" s="1861"/>
      <c r="AH359" s="1862"/>
      <c r="AI359" s="2065"/>
      <c r="AJ359" s="1861"/>
      <c r="AK359" s="1861"/>
      <c r="AL359" s="1861"/>
      <c r="AM359" s="1862"/>
    </row>
    <row r="360" spans="1:62" s="95" customFormat="1" ht="64.349999999999994" customHeight="1">
      <c r="A360" s="138"/>
      <c r="B360" s="2312" t="s">
        <v>558</v>
      </c>
      <c r="C360" s="1966"/>
      <c r="D360" s="1966"/>
      <c r="E360" s="1965" t="str">
        <f>'Document Checklist-Full List'!$E$97</f>
        <v>7. Site Control 
(updated documents if applicable)</v>
      </c>
      <c r="F360" s="1966"/>
      <c r="G360" s="1966"/>
      <c r="H360" s="1966"/>
      <c r="I360" s="1966"/>
      <c r="J360" s="1966"/>
      <c r="K360" s="1966"/>
      <c r="L360" s="1966"/>
      <c r="M360" s="1966"/>
      <c r="N360" s="2265" t="str">
        <f>'Document Checklist-Full List'!$N$97</f>
        <v>If site control has been modified or extended, submit updated documentation. Include a summary explanation of site control and values for applications with multiple or non-contiguous parcels, scattered sites, lot line adjustments, phased projects, or other complex land and acquisition transactions.</v>
      </c>
      <c r="O360" s="2266"/>
      <c r="P360" s="2266"/>
      <c r="Q360" s="2266"/>
      <c r="R360" s="2266"/>
      <c r="S360" s="2266"/>
      <c r="T360" s="2266"/>
      <c r="U360" s="2266"/>
      <c r="V360" s="2266"/>
      <c r="W360" s="2266"/>
      <c r="X360" s="2266"/>
      <c r="Y360" s="2266"/>
      <c r="Z360" s="2266"/>
      <c r="AA360" s="2266"/>
      <c r="AB360" s="2266"/>
      <c r="AC360" s="2266"/>
      <c r="AD360" s="2266"/>
      <c r="AE360" s="2267"/>
      <c r="AF360" s="1886" t="s">
        <v>559</v>
      </c>
      <c r="AG360" s="1777"/>
      <c r="AH360" s="1777"/>
      <c r="AI360" s="1777"/>
      <c r="AJ360" s="1777"/>
      <c r="AK360" s="1778"/>
      <c r="AL360" s="1946"/>
      <c r="AM360" s="1947"/>
      <c r="AN360" s="1619"/>
      <c r="AO360" s="1620"/>
      <c r="AP360" s="57"/>
      <c r="AQ360" s="57"/>
      <c r="AR360" s="57"/>
      <c r="AS360" s="57"/>
      <c r="AT360" s="55"/>
      <c r="AU360" s="55"/>
      <c r="AV360" s="55"/>
      <c r="AW360" s="55"/>
      <c r="AX360" s="55"/>
      <c r="AY360" s="55"/>
      <c r="AZ360" s="55"/>
      <c r="BA360" s="55"/>
      <c r="BB360" s="55"/>
      <c r="BC360" s="55"/>
      <c r="BD360" s="55"/>
      <c r="BE360" s="55"/>
      <c r="BF360" s="55"/>
      <c r="BG360" s="55"/>
      <c r="BH360" s="55"/>
      <c r="BI360" s="55"/>
      <c r="BJ360" s="55"/>
    </row>
    <row r="361" spans="1:62" ht="54" customHeight="1">
      <c r="B361" s="2312" t="s">
        <v>558</v>
      </c>
      <c r="C361" s="1966"/>
      <c r="D361" s="1966"/>
      <c r="E361" s="1965" t="str">
        <f>'Document Checklist-Full List'!$E$98</f>
        <v>8. Preliminary Title Report</v>
      </c>
      <c r="F361" s="1966"/>
      <c r="G361" s="1966"/>
      <c r="H361" s="1966"/>
      <c r="I361" s="1966"/>
      <c r="J361" s="1966"/>
      <c r="K361" s="1966"/>
      <c r="L361" s="1966"/>
      <c r="M361" s="1966"/>
      <c r="N361" s="2059" t="str">
        <f>'Document Checklist-Full List'!$N$98</f>
        <v>Provide a preliminary report dated within 30 days of application due date.  For trust or restricted land, a current title status report issued by the BIA is acceptable in lieu of a title report.</v>
      </c>
      <c r="O361" s="1966"/>
      <c r="P361" s="1966"/>
      <c r="Q361" s="1966"/>
      <c r="R361" s="1966"/>
      <c r="S361" s="1966"/>
      <c r="T361" s="1966"/>
      <c r="U361" s="1966"/>
      <c r="V361" s="1966"/>
      <c r="W361" s="1966"/>
      <c r="X361" s="1966"/>
      <c r="Y361" s="1966"/>
      <c r="Z361" s="1966"/>
      <c r="AA361" s="1966"/>
      <c r="AB361" s="1966"/>
      <c r="AC361" s="1966"/>
      <c r="AD361" s="1966"/>
      <c r="AE361" s="2060"/>
      <c r="AF361" s="1886" t="s">
        <v>559</v>
      </c>
      <c r="AG361" s="1777"/>
      <c r="AH361" s="1777"/>
      <c r="AI361" s="1777"/>
      <c r="AJ361" s="1777"/>
      <c r="AK361" s="1778"/>
      <c r="AL361" s="1946"/>
      <c r="AM361" s="1947"/>
      <c r="AN361" s="1619"/>
      <c r="AO361" s="1620"/>
    </row>
    <row r="362" spans="1:62" ht="36" hidden="1" customHeight="1">
      <c r="B362" s="2268" t="s">
        <v>558</v>
      </c>
      <c r="C362" s="1777"/>
      <c r="D362" s="1778"/>
      <c r="E362" s="2179" t="str">
        <f>'Document Checklist-Full List'!$E$99</f>
        <v>38. Appraisal</v>
      </c>
      <c r="F362" s="1777"/>
      <c r="G362" s="1777"/>
      <c r="H362" s="1777"/>
      <c r="I362" s="1777"/>
      <c r="J362" s="1777"/>
      <c r="K362" s="1777"/>
      <c r="L362" s="1777"/>
      <c r="M362" s="1778"/>
      <c r="N362" s="2179" t="str">
        <f>'Document Checklist-Full List'!$N$99</f>
        <v xml:space="preserve">If land cost or value is included in the development budget, an appraisal report supporting the cost or value is required. </v>
      </c>
      <c r="O362" s="1777"/>
      <c r="P362" s="1777"/>
      <c r="Q362" s="1777"/>
      <c r="R362" s="1777"/>
      <c r="S362" s="1777"/>
      <c r="T362" s="1777"/>
      <c r="U362" s="1777"/>
      <c r="V362" s="1777"/>
      <c r="W362" s="1777"/>
      <c r="X362" s="1777"/>
      <c r="Y362" s="1777"/>
      <c r="Z362" s="1777"/>
      <c r="AA362" s="1777"/>
      <c r="AB362" s="1777"/>
      <c r="AC362" s="1777"/>
      <c r="AD362" s="1777"/>
      <c r="AE362" s="1778"/>
      <c r="AF362" s="1886" t="s">
        <v>559</v>
      </c>
      <c r="AG362" s="1777"/>
      <c r="AH362" s="1777"/>
      <c r="AI362" s="1777"/>
      <c r="AJ362" s="1777"/>
      <c r="AK362" s="1778"/>
      <c r="AL362" s="1904"/>
      <c r="AM362" s="1862"/>
    </row>
    <row r="363" spans="1:62" ht="18" hidden="1" customHeight="1">
      <c r="AM363" s="55"/>
      <c r="AO363" s="171"/>
      <c r="AP363" s="171"/>
      <c r="AQ363" s="171"/>
      <c r="AR363" s="171"/>
      <c r="AS363" s="171"/>
      <c r="AT363" s="95"/>
      <c r="AV363" s="95"/>
      <c r="AW363" s="95"/>
      <c r="AX363" s="95"/>
      <c r="AY363" s="95"/>
      <c r="AZ363" s="95"/>
      <c r="BA363" s="95"/>
      <c r="BB363" s="95"/>
      <c r="BC363" s="95"/>
      <c r="BD363" s="95"/>
      <c r="BE363" s="95"/>
      <c r="BF363" s="95"/>
      <c r="BG363" s="95"/>
      <c r="BH363" s="95"/>
      <c r="BI363" s="95"/>
      <c r="BJ363" s="95"/>
    </row>
    <row r="364" spans="1:62" s="122" customFormat="1" ht="18" hidden="1" customHeight="1">
      <c r="A364" s="95"/>
      <c r="B364" s="1999" t="s">
        <v>792</v>
      </c>
      <c r="C364" s="1777"/>
      <c r="D364" s="1777"/>
      <c r="E364" s="1777"/>
      <c r="F364" s="1777"/>
      <c r="G364" s="1777"/>
      <c r="H364" s="1777"/>
      <c r="I364" s="1777"/>
      <c r="J364" s="1777"/>
      <c r="K364" s="1777"/>
      <c r="L364" s="1777"/>
      <c r="M364" s="1777"/>
      <c r="N364" s="1777"/>
      <c r="O364" s="1777"/>
      <c r="P364" s="1777"/>
      <c r="Q364" s="1777"/>
      <c r="R364" s="1777"/>
      <c r="S364" s="1777"/>
      <c r="T364" s="1777"/>
      <c r="U364" s="1777"/>
      <c r="V364" s="1777"/>
      <c r="W364" s="1777"/>
      <c r="X364" s="1777"/>
      <c r="Y364" s="1777"/>
      <c r="Z364" s="1777"/>
      <c r="AA364" s="1777"/>
      <c r="AB364" s="1777"/>
      <c r="AC364" s="1777"/>
      <c r="AD364" s="1777"/>
      <c r="AE364" s="1777"/>
      <c r="AF364" s="1777"/>
      <c r="AG364" s="1777"/>
      <c r="AH364" s="1777"/>
      <c r="AI364" s="1777"/>
      <c r="AJ364" s="1777"/>
      <c r="AK364" s="1777"/>
      <c r="AL364" s="1777"/>
      <c r="AM364" s="1778"/>
      <c r="AN364" s="171"/>
    </row>
    <row r="365" spans="1:62" s="122" customFormat="1" ht="18" hidden="1" customHeight="1">
      <c r="A365" s="95"/>
      <c r="B365" s="2246" t="s">
        <v>793</v>
      </c>
      <c r="C365" s="1953"/>
      <c r="D365" s="1953"/>
      <c r="E365" s="1953"/>
      <c r="F365" s="1953"/>
      <c r="G365" s="1953"/>
      <c r="H365" s="1953"/>
      <c r="I365" s="1953"/>
      <c r="J365" s="1953"/>
      <c r="K365" s="1953"/>
      <c r="L365" s="1953"/>
      <c r="M365" s="1953"/>
      <c r="N365" s="1953"/>
      <c r="O365" s="1953"/>
      <c r="P365" s="1953"/>
      <c r="Q365" s="1953"/>
      <c r="R365" s="1953"/>
      <c r="S365" s="1953"/>
      <c r="T365" s="1953"/>
      <c r="U365" s="1953"/>
      <c r="V365" s="1953"/>
      <c r="W365" s="1953"/>
      <c r="X365" s="1953"/>
      <c r="Y365" s="1953"/>
      <c r="Z365" s="1953"/>
      <c r="AA365" s="1953"/>
      <c r="AB365" s="1953"/>
      <c r="AC365" s="1953"/>
      <c r="AD365" s="1953"/>
      <c r="AE365" s="1953"/>
      <c r="AF365" s="1953"/>
      <c r="AG365" s="1953"/>
      <c r="AH365" s="1953"/>
      <c r="AI365" s="1953"/>
      <c r="AJ365" s="1953"/>
      <c r="AK365" s="1770"/>
      <c r="AL365" s="1904"/>
      <c r="AM365" s="1862"/>
      <c r="AN365" s="171"/>
    </row>
    <row r="366" spans="1:62" s="95" customFormat="1" ht="18" hidden="1" customHeight="1">
      <c r="B366" s="2131" t="s">
        <v>794</v>
      </c>
      <c r="C366" s="1888"/>
      <c r="D366" s="1888"/>
      <c r="E366" s="1888"/>
      <c r="F366" s="1888"/>
      <c r="G366" s="1888"/>
      <c r="H366" s="1888"/>
      <c r="I366" s="1888"/>
      <c r="J366" s="1893"/>
      <c r="K366" s="1861"/>
      <c r="L366" s="1861"/>
      <c r="M366" s="1861"/>
      <c r="N366" s="1861"/>
      <c r="O366" s="1861"/>
      <c r="P366" s="1861"/>
      <c r="Q366" s="1861"/>
      <c r="R366" s="1861"/>
      <c r="S366" s="1861"/>
      <c r="T366" s="1861"/>
      <c r="U366" s="1861"/>
      <c r="V366" s="1861"/>
      <c r="W366" s="1861"/>
      <c r="X366" s="1861"/>
      <c r="Y366" s="1861"/>
      <c r="Z366" s="1861"/>
      <c r="AA366" s="1861"/>
      <c r="AB366" s="1861"/>
      <c r="AC366" s="1861"/>
      <c r="AD366" s="1861"/>
      <c r="AE366" s="1861"/>
      <c r="AF366" s="1861"/>
      <c r="AG366" s="1861"/>
      <c r="AH366" s="1861"/>
      <c r="AI366" s="1861"/>
      <c r="AJ366" s="1861"/>
      <c r="AK366" s="1861"/>
      <c r="AL366" s="1861"/>
      <c r="AM366" s="1862"/>
      <c r="AN366" s="171"/>
    </row>
    <row r="367" spans="1:62" s="95" customFormat="1" ht="36" hidden="1" customHeight="1">
      <c r="B367" s="2213" t="s">
        <v>795</v>
      </c>
      <c r="C367" s="1888"/>
      <c r="D367" s="1888"/>
      <c r="E367" s="1888"/>
      <c r="F367" s="1888"/>
      <c r="G367" s="1888"/>
      <c r="H367" s="1888"/>
      <c r="I367" s="1888"/>
      <c r="J367" s="1888"/>
      <c r="K367" s="1888"/>
      <c r="L367" s="1888"/>
      <c r="M367" s="1888"/>
      <c r="N367" s="1888"/>
      <c r="O367" s="1888"/>
      <c r="P367" s="1888"/>
      <c r="Q367" s="1888"/>
      <c r="R367" s="1888"/>
      <c r="S367" s="1888"/>
      <c r="T367" s="1888"/>
      <c r="U367" s="1888"/>
      <c r="V367" s="1888"/>
      <c r="W367" s="1888"/>
      <c r="X367" s="1888"/>
      <c r="Y367" s="1888"/>
      <c r="Z367" s="1888"/>
      <c r="AA367" s="1888"/>
      <c r="AB367" s="1888"/>
      <c r="AC367" s="1888"/>
      <c r="AD367" s="1888"/>
      <c r="AE367" s="1888"/>
      <c r="AF367" s="1888"/>
      <c r="AG367" s="1888"/>
      <c r="AH367" s="1888"/>
      <c r="AI367" s="1888"/>
      <c r="AJ367" s="1888"/>
      <c r="AK367" s="1888"/>
      <c r="AL367" s="1904"/>
      <c r="AM367" s="1862"/>
      <c r="AN367" s="171"/>
    </row>
    <row r="368" spans="1:62" s="95" customFormat="1" ht="18" hidden="1" customHeight="1">
      <c r="B368" s="2131" t="s">
        <v>796</v>
      </c>
      <c r="C368" s="1888"/>
      <c r="D368" s="1888"/>
      <c r="E368" s="1888"/>
      <c r="F368" s="1888"/>
      <c r="G368" s="1888"/>
      <c r="H368" s="1888"/>
      <c r="I368" s="1888"/>
      <c r="J368" s="1888"/>
      <c r="K368" s="1888"/>
      <c r="L368" s="1888"/>
      <c r="M368" s="1888"/>
      <c r="N368" s="1888"/>
      <c r="O368" s="1888"/>
      <c r="P368" s="1888"/>
      <c r="Q368" s="1888"/>
      <c r="R368" s="1888"/>
      <c r="S368" s="1888"/>
      <c r="T368" s="1888"/>
      <c r="U368" s="1888"/>
      <c r="V368" s="1888"/>
      <c r="W368" s="1888"/>
      <c r="X368" s="1888"/>
      <c r="Y368" s="1888"/>
      <c r="Z368" s="1888"/>
      <c r="AA368" s="1888"/>
      <c r="AB368" s="1888"/>
      <c r="AC368" s="1888"/>
      <c r="AD368" s="1888"/>
      <c r="AE368" s="1888"/>
      <c r="AF368" s="1888"/>
      <c r="AG368" s="1888"/>
      <c r="AH368" s="1888"/>
      <c r="AI368" s="1888"/>
      <c r="AJ368" s="1888"/>
      <c r="AK368" s="1888"/>
      <c r="AL368" s="2199"/>
      <c r="AM368" s="1865"/>
      <c r="AN368" s="171"/>
    </row>
    <row r="369" spans="1:62" s="122" customFormat="1" ht="36" hidden="1" customHeight="1">
      <c r="A369" s="95"/>
      <c r="B369" s="2216" t="s">
        <v>797</v>
      </c>
      <c r="C369" s="1913"/>
      <c r="D369" s="1913"/>
      <c r="E369" s="1913"/>
      <c r="F369" s="1913"/>
      <c r="G369" s="1913"/>
      <c r="H369" s="1913"/>
      <c r="I369" s="1913"/>
      <c r="J369" s="1913"/>
      <c r="K369" s="1913"/>
      <c r="L369" s="1913"/>
      <c r="M369" s="1913"/>
      <c r="N369" s="1913"/>
      <c r="O369" s="1913"/>
      <c r="P369" s="1913"/>
      <c r="Q369" s="1913"/>
      <c r="R369" s="1913"/>
      <c r="S369" s="1913"/>
      <c r="T369" s="1913"/>
      <c r="U369" s="1913"/>
      <c r="V369" s="1913"/>
      <c r="W369" s="1913"/>
      <c r="X369" s="1913"/>
      <c r="Y369" s="1913"/>
      <c r="Z369" s="1913"/>
      <c r="AA369" s="1913"/>
      <c r="AB369" s="1913"/>
      <c r="AC369" s="1913"/>
      <c r="AD369" s="1913"/>
      <c r="AE369" s="1913"/>
      <c r="AF369" s="2388"/>
      <c r="AG369" s="1861"/>
      <c r="AH369" s="1861"/>
      <c r="AI369" s="1861"/>
      <c r="AJ369" s="1861"/>
      <c r="AK369" s="1861"/>
      <c r="AL369" s="1861"/>
      <c r="AM369" s="1862"/>
      <c r="AN369" s="171"/>
    </row>
    <row r="370" spans="1:62" s="122" customFormat="1" ht="4.5" hidden="1" customHeight="1">
      <c r="A370" s="95"/>
      <c r="B370" s="2394" t="s">
        <v>798</v>
      </c>
      <c r="C370" s="1877"/>
      <c r="D370" s="1877"/>
      <c r="E370" s="1877"/>
      <c r="F370" s="1877"/>
      <c r="G370" s="1877"/>
      <c r="H370" s="1877"/>
      <c r="I370" s="1877"/>
      <c r="J370" s="1877"/>
      <c r="K370" s="1877"/>
      <c r="L370" s="1877"/>
      <c r="M370" s="1877"/>
      <c r="N370" s="1877"/>
      <c r="O370" s="1877"/>
      <c r="P370" s="1877"/>
      <c r="Q370" s="1877"/>
      <c r="R370" s="1877"/>
      <c r="S370" s="1877"/>
      <c r="T370" s="1877"/>
      <c r="U370" s="1877"/>
      <c r="V370" s="1877"/>
      <c r="W370" s="1877"/>
      <c r="X370" s="1877"/>
      <c r="Y370" s="1877"/>
      <c r="Z370" s="1877"/>
      <c r="AA370" s="1877"/>
      <c r="AB370" s="1877"/>
      <c r="AC370" s="1877"/>
      <c r="AD370" s="1877"/>
      <c r="AE370" s="1877"/>
      <c r="AF370" s="1877"/>
      <c r="AG370" s="1877"/>
      <c r="AH370" s="1877"/>
      <c r="AI370" s="1877"/>
      <c r="AJ370" s="1877"/>
      <c r="AK370" s="1877"/>
      <c r="AL370" s="1904"/>
      <c r="AM370" s="1862"/>
      <c r="AN370" s="171"/>
    </row>
    <row r="371" spans="1:62" ht="18" hidden="1" customHeight="1">
      <c r="B371" s="745"/>
      <c r="C371" s="745"/>
      <c r="D371" s="745"/>
      <c r="E371" s="12"/>
      <c r="F371" s="12"/>
      <c r="G371" s="12"/>
      <c r="H371" s="12"/>
      <c r="I371" s="12"/>
      <c r="J371" s="12"/>
      <c r="K371" s="12"/>
      <c r="L371" s="12"/>
      <c r="M371" s="12"/>
      <c r="N371" s="12"/>
      <c r="O371" s="12"/>
      <c r="P371" s="12"/>
      <c r="Q371" s="12"/>
      <c r="R371" s="12"/>
      <c r="S371" s="12"/>
      <c r="T371" s="12"/>
      <c r="U371" s="12"/>
      <c r="V371" s="12"/>
      <c r="W371" s="12"/>
      <c r="X371" s="12"/>
      <c r="Y371" s="12"/>
      <c r="Z371" s="12"/>
      <c r="AA371" s="12"/>
      <c r="AB371" s="12"/>
      <c r="AC371" s="12"/>
      <c r="AD371" s="12"/>
      <c r="AE371" s="12"/>
      <c r="AF371" s="746"/>
      <c r="AG371" s="747"/>
      <c r="AH371" s="747"/>
      <c r="AI371" s="747"/>
      <c r="AJ371" s="747"/>
      <c r="AK371" s="747"/>
      <c r="AL371" s="227"/>
      <c r="AM371" s="227"/>
    </row>
    <row r="372" spans="1:62" ht="18" hidden="1" customHeight="1">
      <c r="B372" s="2240" t="s">
        <v>799</v>
      </c>
      <c r="C372" s="1910"/>
      <c r="D372" s="1910"/>
      <c r="E372" s="1910"/>
      <c r="F372" s="1910"/>
      <c r="G372" s="1910"/>
      <c r="H372" s="1910"/>
      <c r="I372" s="1910"/>
      <c r="J372" s="1910"/>
      <c r="K372" s="1910"/>
      <c r="L372" s="1910"/>
      <c r="M372" s="1910"/>
      <c r="N372" s="1910"/>
      <c r="O372" s="1910"/>
      <c r="P372" s="1910"/>
      <c r="Q372" s="1910"/>
      <c r="R372" s="1910"/>
      <c r="S372" s="1910"/>
      <c r="T372" s="1910"/>
      <c r="U372" s="1910"/>
      <c r="V372" s="1910"/>
      <c r="W372" s="1910"/>
      <c r="X372" s="1910"/>
      <c r="Y372" s="1910"/>
      <c r="Z372" s="1910"/>
      <c r="AA372" s="1910"/>
      <c r="AB372" s="1910"/>
      <c r="AC372" s="1910"/>
      <c r="AD372" s="1910"/>
      <c r="AE372" s="1910"/>
      <c r="AF372" s="1910"/>
      <c r="AG372" s="1910"/>
      <c r="AH372" s="1910"/>
      <c r="AI372" s="1910"/>
      <c r="AJ372" s="1910"/>
      <c r="AK372" s="1910"/>
      <c r="AL372" s="1910"/>
      <c r="AM372" s="1888"/>
    </row>
    <row r="373" spans="1:62" ht="18" hidden="1" customHeight="1">
      <c r="B373" s="2044" t="s">
        <v>800</v>
      </c>
      <c r="C373" s="1777"/>
      <c r="D373" s="1777"/>
      <c r="E373" s="1777"/>
      <c r="F373" s="1777"/>
      <c r="G373" s="1777"/>
      <c r="H373" s="1777"/>
      <c r="I373" s="1777"/>
      <c r="J373" s="1777"/>
      <c r="K373" s="1777"/>
      <c r="L373" s="1777"/>
      <c r="M373" s="1778"/>
      <c r="N373" s="2044" t="s">
        <v>801</v>
      </c>
      <c r="O373" s="1777"/>
      <c r="P373" s="1777"/>
      <c r="Q373" s="1777"/>
      <c r="R373" s="1777"/>
      <c r="S373" s="1777"/>
      <c r="T373" s="1777"/>
      <c r="U373" s="1777"/>
      <c r="V373" s="1777"/>
      <c r="W373" s="1777"/>
      <c r="X373" s="1777"/>
      <c r="Y373" s="1777"/>
      <c r="Z373" s="1777"/>
      <c r="AA373" s="1778"/>
      <c r="AB373" s="1886" t="s">
        <v>802</v>
      </c>
      <c r="AC373" s="1777"/>
      <c r="AD373" s="1777"/>
      <c r="AE373" s="1777"/>
      <c r="AF373" s="1778"/>
      <c r="AG373" s="1886" t="s">
        <v>803</v>
      </c>
      <c r="AH373" s="1777"/>
      <c r="AI373" s="1777"/>
      <c r="AJ373" s="1777"/>
      <c r="AK373" s="1777"/>
      <c r="AL373" s="1777"/>
      <c r="AM373" s="1778"/>
    </row>
    <row r="374" spans="1:62" ht="18" hidden="1" customHeight="1">
      <c r="B374" s="1875"/>
      <c r="C374" s="1861"/>
      <c r="D374" s="1861"/>
      <c r="E374" s="1861"/>
      <c r="F374" s="1861"/>
      <c r="G374" s="1861"/>
      <c r="H374" s="1861"/>
      <c r="I374" s="1861"/>
      <c r="J374" s="1861"/>
      <c r="K374" s="1861"/>
      <c r="L374" s="1861"/>
      <c r="M374" s="1862"/>
      <c r="N374" s="1875"/>
      <c r="O374" s="1861"/>
      <c r="P374" s="1861"/>
      <c r="Q374" s="1861"/>
      <c r="R374" s="1861"/>
      <c r="S374" s="1861"/>
      <c r="T374" s="1861"/>
      <c r="U374" s="1861"/>
      <c r="V374" s="1861"/>
      <c r="W374" s="1861"/>
      <c r="X374" s="1861"/>
      <c r="Y374" s="1861"/>
      <c r="Z374" s="1861"/>
      <c r="AA374" s="1862"/>
      <c r="AB374" s="1875"/>
      <c r="AC374" s="1861"/>
      <c r="AD374" s="1861"/>
      <c r="AE374" s="1861"/>
      <c r="AF374" s="1862"/>
      <c r="AG374" s="1875"/>
      <c r="AH374" s="1861"/>
      <c r="AI374" s="1861"/>
      <c r="AJ374" s="1861"/>
      <c r="AK374" s="1861"/>
      <c r="AL374" s="1861"/>
      <c r="AM374" s="1862"/>
    </row>
    <row r="375" spans="1:62" ht="18" hidden="1" customHeight="1">
      <c r="B375" s="2044" t="s">
        <v>804</v>
      </c>
      <c r="C375" s="1777"/>
      <c r="D375" s="1777"/>
      <c r="E375" s="1778"/>
      <c r="F375" s="2044" t="s">
        <v>805</v>
      </c>
      <c r="G375" s="1777"/>
      <c r="H375" s="1777"/>
      <c r="I375" s="1777"/>
      <c r="J375" s="1777"/>
      <c r="K375" s="1777"/>
      <c r="L375" s="1778"/>
      <c r="M375" s="2215" t="s">
        <v>806</v>
      </c>
      <c r="N375" s="1953"/>
      <c r="O375" s="1953"/>
      <c r="P375" s="1770"/>
      <c r="Q375" s="1903"/>
      <c r="R375" s="1864"/>
      <c r="S375" s="1864"/>
      <c r="T375" s="1864"/>
      <c r="U375" s="1864"/>
      <c r="V375" s="1864"/>
      <c r="W375" s="1864"/>
      <c r="X375" s="1864"/>
      <c r="Y375" s="1864"/>
      <c r="Z375" s="1864"/>
      <c r="AA375" s="1864"/>
      <c r="AB375" s="1864"/>
      <c r="AC375" s="1864"/>
      <c r="AD375" s="1864"/>
      <c r="AE375" s="1864"/>
      <c r="AF375" s="1864"/>
      <c r="AG375" s="1864"/>
      <c r="AH375" s="1864"/>
      <c r="AI375" s="1864"/>
      <c r="AJ375" s="1864"/>
      <c r="AK375" s="1864"/>
      <c r="AL375" s="1864"/>
      <c r="AM375" s="1865"/>
    </row>
    <row r="376" spans="1:62" ht="18" hidden="1" customHeight="1">
      <c r="B376" s="2220"/>
      <c r="C376" s="1864"/>
      <c r="D376" s="1864"/>
      <c r="E376" s="1865"/>
      <c r="F376" s="2220"/>
      <c r="G376" s="1864"/>
      <c r="H376" s="1864"/>
      <c r="I376" s="1864"/>
      <c r="J376" s="1864"/>
      <c r="K376" s="1864"/>
      <c r="L376" s="1865"/>
      <c r="M376" s="1771"/>
      <c r="N376" s="1877"/>
      <c r="O376" s="1877"/>
      <c r="P376" s="1772"/>
      <c r="Q376" s="1869"/>
      <c r="R376" s="1869"/>
      <c r="S376" s="1869"/>
      <c r="T376" s="1869"/>
      <c r="U376" s="1869"/>
      <c r="V376" s="1869"/>
      <c r="W376" s="1869"/>
      <c r="X376" s="1869"/>
      <c r="Y376" s="1869"/>
      <c r="Z376" s="1869"/>
      <c r="AA376" s="1869"/>
      <c r="AB376" s="1869"/>
      <c r="AC376" s="1869"/>
      <c r="AD376" s="1869"/>
      <c r="AE376" s="1869"/>
      <c r="AF376" s="1869"/>
      <c r="AG376" s="1869"/>
      <c r="AH376" s="1869"/>
      <c r="AI376" s="1869"/>
      <c r="AJ376" s="1869"/>
      <c r="AK376" s="1869"/>
      <c r="AL376" s="1869"/>
      <c r="AM376" s="1870"/>
    </row>
    <row r="377" spans="1:62" ht="18" hidden="1" customHeight="1">
      <c r="B377" s="2223" t="s">
        <v>807</v>
      </c>
      <c r="C377" s="1777"/>
      <c r="D377" s="1777"/>
      <c r="E377" s="1777"/>
      <c r="F377" s="1777"/>
      <c r="G377" s="1777"/>
      <c r="H377" s="1777"/>
      <c r="I377" s="1777"/>
      <c r="J377" s="1777"/>
      <c r="K377" s="1777"/>
      <c r="L377" s="1777"/>
      <c r="M377" s="1777"/>
      <c r="N377" s="1777"/>
      <c r="O377" s="1777"/>
      <c r="P377" s="1777"/>
      <c r="Q377" s="1777"/>
      <c r="R377" s="1777"/>
      <c r="S377" s="1777"/>
      <c r="T377" s="1777"/>
      <c r="U377" s="1777"/>
      <c r="V377" s="1777"/>
      <c r="W377" s="1777"/>
      <c r="X377" s="1777"/>
      <c r="Y377" s="1777"/>
      <c r="Z377" s="1777"/>
      <c r="AA377" s="1777"/>
      <c r="AB377" s="1777"/>
      <c r="AC377" s="1777"/>
      <c r="AD377" s="1777"/>
      <c r="AE377" s="1777"/>
      <c r="AF377" s="1777"/>
      <c r="AG377" s="1777"/>
      <c r="AH377" s="1777"/>
      <c r="AI377" s="1777"/>
      <c r="AJ377" s="1777"/>
      <c r="AK377" s="1777"/>
      <c r="AL377" s="1777"/>
      <c r="AM377" s="1778"/>
      <c r="AO377" s="716"/>
      <c r="AP377" s="123"/>
      <c r="AQ377" s="123"/>
      <c r="AR377" s="123"/>
      <c r="AT377" s="474"/>
      <c r="AU377" s="474"/>
      <c r="AV377" s="474"/>
      <c r="AW377" s="474"/>
      <c r="AX377" s="474"/>
      <c r="AY377" s="474"/>
      <c r="AZ377" s="474"/>
      <c r="BA377" s="474"/>
      <c r="BB377" s="474"/>
      <c r="BC377" s="474"/>
      <c r="BD377" s="474"/>
      <c r="BE377" s="474"/>
      <c r="BF377" s="474"/>
      <c r="BG377" s="474"/>
      <c r="BH377" s="474"/>
      <c r="BI377" s="474"/>
      <c r="BJ377" s="474"/>
    </row>
    <row r="378" spans="1:62" ht="18" hidden="1" customHeight="1">
      <c r="B378" s="2334"/>
      <c r="C378" s="1869"/>
      <c r="D378" s="1948" t="s">
        <v>808</v>
      </c>
      <c r="E378" s="1910"/>
      <c r="F378" s="1910"/>
      <c r="G378" s="1910"/>
      <c r="H378" s="1910"/>
      <c r="I378" s="1910"/>
      <c r="K378" s="1873"/>
      <c r="L378" s="1862"/>
      <c r="M378" s="1948" t="s">
        <v>809</v>
      </c>
      <c r="N378" s="1910"/>
      <c r="O378" s="1910"/>
      <c r="P378" s="1910"/>
      <c r="Q378" s="1910"/>
      <c r="R378" s="1910"/>
      <c r="T378" s="1873"/>
      <c r="U378" s="1862"/>
      <c r="V378" s="1948" t="s">
        <v>810</v>
      </c>
      <c r="W378" s="1910"/>
      <c r="X378" s="1910"/>
      <c r="Y378" s="1910"/>
      <c r="Z378" s="1910"/>
      <c r="AA378" s="1910"/>
      <c r="AB378" s="136"/>
      <c r="AC378" s="1873"/>
      <c r="AD378" s="1862"/>
      <c r="AE378" s="2072" t="s">
        <v>811</v>
      </c>
      <c r="AF378" s="1910"/>
      <c r="AG378" s="1910"/>
      <c r="AH378" s="1910"/>
      <c r="AI378" s="1910"/>
      <c r="AJ378" s="1910"/>
      <c r="AK378" s="1910"/>
      <c r="AL378" s="1910"/>
      <c r="AM378" s="1889"/>
    </row>
    <row r="379" spans="1:62" ht="18" hidden="1" customHeight="1">
      <c r="B379" s="1939"/>
      <c r="C379" s="1861"/>
      <c r="D379" s="1948" t="s">
        <v>812</v>
      </c>
      <c r="E379" s="1910"/>
      <c r="F379" s="1910"/>
      <c r="G379" s="1910"/>
      <c r="H379" s="1910"/>
      <c r="I379" s="1910"/>
      <c r="K379" s="1873"/>
      <c r="L379" s="1862"/>
      <c r="M379" s="1948" t="s">
        <v>813</v>
      </c>
      <c r="N379" s="1910"/>
      <c r="O379" s="1910"/>
      <c r="P379" s="1910"/>
      <c r="Q379" s="1910"/>
      <c r="R379" s="1910"/>
      <c r="T379" s="1873"/>
      <c r="U379" s="1862"/>
      <c r="V379" s="1948" t="s">
        <v>814</v>
      </c>
      <c r="W379" s="1910"/>
      <c r="X379" s="1910"/>
      <c r="Y379" s="1910"/>
      <c r="Z379" s="1910"/>
      <c r="AA379" s="1910"/>
      <c r="AB379" s="136"/>
      <c r="AC379" s="1873"/>
      <c r="AD379" s="1862"/>
      <c r="AE379" s="2072" t="s">
        <v>815</v>
      </c>
      <c r="AF379" s="1910"/>
      <c r="AG379" s="1910"/>
      <c r="AH379" s="1910"/>
      <c r="AI379" s="1910"/>
      <c r="AJ379" s="1910"/>
      <c r="AK379" s="1910"/>
      <c r="AL379" s="1910"/>
      <c r="AM379" s="1889"/>
    </row>
    <row r="380" spans="1:62" ht="18" hidden="1" customHeight="1">
      <c r="B380" s="1939"/>
      <c r="C380" s="1861"/>
      <c r="D380" s="1948" t="s">
        <v>816</v>
      </c>
      <c r="E380" s="1910"/>
      <c r="F380" s="1910"/>
      <c r="G380" s="1910"/>
      <c r="H380" s="1910"/>
      <c r="I380" s="1910"/>
      <c r="K380" s="1873"/>
      <c r="L380" s="1862"/>
      <c r="M380" s="1948" t="s">
        <v>817</v>
      </c>
      <c r="N380" s="1910"/>
      <c r="O380" s="1910"/>
      <c r="P380" s="1910"/>
      <c r="Q380" s="1910"/>
      <c r="R380" s="1910"/>
      <c r="T380" s="1939"/>
      <c r="U380" s="1861"/>
      <c r="V380" s="1948" t="s">
        <v>818</v>
      </c>
      <c r="W380" s="1910"/>
      <c r="X380" s="1910"/>
      <c r="Y380" s="1910"/>
      <c r="Z380" s="1910"/>
      <c r="AA380" s="1910"/>
      <c r="AB380" s="136"/>
      <c r="AC380" s="1873"/>
      <c r="AD380" s="1862"/>
      <c r="AE380" s="2072" t="s">
        <v>819</v>
      </c>
      <c r="AF380" s="1910"/>
      <c r="AG380" s="1910"/>
      <c r="AH380" s="1910"/>
      <c r="AI380" s="1910"/>
      <c r="AJ380" s="1910"/>
      <c r="AK380" s="1910"/>
      <c r="AL380" s="1910"/>
      <c r="AM380" s="1889"/>
    </row>
    <row r="381" spans="1:62" ht="18" hidden="1" customHeight="1">
      <c r="B381" s="1939"/>
      <c r="C381" s="1861"/>
      <c r="D381" s="1948" t="s">
        <v>820</v>
      </c>
      <c r="E381" s="1910"/>
      <c r="F381" s="1910"/>
      <c r="G381" s="1910"/>
      <c r="H381" s="1910"/>
      <c r="I381" s="1910"/>
      <c r="J381" s="136"/>
      <c r="K381" s="1873"/>
      <c r="L381" s="1862"/>
      <c r="M381" s="1948" t="s">
        <v>821</v>
      </c>
      <c r="N381" s="1910"/>
      <c r="O381" s="1910"/>
      <c r="P381" s="1910"/>
      <c r="Q381" s="1910"/>
      <c r="R381" s="1910"/>
      <c r="S381" s="136"/>
      <c r="T381" s="1873"/>
      <c r="U381" s="1862"/>
      <c r="V381" s="1948" t="s">
        <v>822</v>
      </c>
      <c r="W381" s="1910"/>
      <c r="X381" s="1910"/>
      <c r="Y381" s="1910"/>
      <c r="Z381" s="1910"/>
      <c r="AA381" s="1910"/>
      <c r="AB381" s="136"/>
      <c r="AC381" s="1873"/>
      <c r="AD381" s="1862"/>
      <c r="AE381" s="2072" t="s">
        <v>823</v>
      </c>
      <c r="AF381" s="1910"/>
      <c r="AG381" s="1910"/>
      <c r="AH381" s="1910"/>
      <c r="AI381" s="1910"/>
      <c r="AJ381" s="1910"/>
      <c r="AK381" s="1910"/>
      <c r="AL381" s="1910"/>
      <c r="AM381" s="1889"/>
    </row>
    <row r="382" spans="1:62" ht="18" hidden="1" customHeight="1">
      <c r="B382" s="2194"/>
      <c r="C382" s="1864"/>
      <c r="D382" s="1948" t="s">
        <v>824</v>
      </c>
      <c r="E382" s="1910"/>
      <c r="F382" s="1910"/>
      <c r="G382" s="1910"/>
      <c r="H382" s="1910"/>
      <c r="I382" s="1910"/>
      <c r="J382" s="136"/>
      <c r="K382" s="1873"/>
      <c r="L382" s="1862"/>
      <c r="M382" s="1948" t="s">
        <v>825</v>
      </c>
      <c r="N382" s="1910"/>
      <c r="O382" s="1910"/>
      <c r="P382" s="1910"/>
      <c r="Q382" s="1910"/>
      <c r="R382" s="1910"/>
      <c r="S382" s="998"/>
      <c r="T382" s="1873"/>
      <c r="U382" s="1862"/>
      <c r="V382" s="2234" t="s">
        <v>826</v>
      </c>
      <c r="W382" s="1877"/>
      <c r="X382" s="1877"/>
      <c r="Y382" s="1877"/>
      <c r="Z382" s="1877"/>
      <c r="AA382" s="1877"/>
      <c r="AB382" s="998"/>
      <c r="AC382" s="1873"/>
      <c r="AD382" s="1862"/>
      <c r="AE382" s="2247" t="s">
        <v>827</v>
      </c>
      <c r="AF382" s="1877"/>
      <c r="AG382" s="1877"/>
      <c r="AH382" s="1877"/>
      <c r="AI382" s="1877"/>
      <c r="AJ382" s="1877"/>
      <c r="AK382" s="1877"/>
      <c r="AL382" s="1877"/>
      <c r="AM382" s="1772"/>
      <c r="AO382" s="57"/>
    </row>
    <row r="383" spans="1:62" ht="18" hidden="1" customHeight="1">
      <c r="B383" s="2209" t="s">
        <v>828</v>
      </c>
      <c r="C383" s="1777"/>
      <c r="D383" s="1777"/>
      <c r="E383" s="1777"/>
      <c r="F383" s="1777"/>
      <c r="G383" s="1777"/>
      <c r="H383" s="1777"/>
      <c r="I383" s="1777"/>
      <c r="J383" s="1777"/>
      <c r="K383" s="1777"/>
      <c r="L383" s="1777"/>
      <c r="M383" s="1777"/>
      <c r="N383" s="1777"/>
      <c r="O383" s="1777"/>
      <c r="P383" s="1777"/>
      <c r="Q383" s="1777"/>
      <c r="R383" s="1777"/>
      <c r="S383" s="1777"/>
      <c r="T383" s="1777"/>
      <c r="U383" s="1777"/>
      <c r="V383" s="1777"/>
      <c r="W383" s="1777"/>
      <c r="X383" s="1777"/>
      <c r="Y383" s="1777"/>
      <c r="Z383" s="1777"/>
      <c r="AA383" s="1777"/>
      <c r="AB383" s="1777"/>
      <c r="AC383" s="1777"/>
      <c r="AD383" s="1777"/>
      <c r="AE383" s="1777"/>
      <c r="AF383" s="1777"/>
      <c r="AG383" s="1777"/>
      <c r="AH383" s="1777"/>
      <c r="AI383" s="1777"/>
      <c r="AJ383" s="1777"/>
      <c r="AK383" s="1777"/>
      <c r="AL383" s="1777"/>
      <c r="AM383" s="1778"/>
      <c r="AO383" s="57"/>
    </row>
    <row r="384" spans="1:62" ht="36" hidden="1" customHeight="1">
      <c r="B384" s="2158" t="s">
        <v>829</v>
      </c>
      <c r="C384" s="1889"/>
      <c r="D384" s="2048"/>
      <c r="E384" s="1861"/>
      <c r="F384" s="1861"/>
      <c r="G384" s="1861"/>
      <c r="H384" s="1861"/>
      <c r="I384" s="1861"/>
      <c r="J384" s="1861"/>
      <c r="K384" s="1861"/>
      <c r="L384" s="1861"/>
      <c r="M384" s="1861"/>
      <c r="N384" s="1861"/>
      <c r="O384" s="1861"/>
      <c r="P384" s="1861"/>
      <c r="Q384" s="1861"/>
      <c r="R384" s="1861"/>
      <c r="S384" s="1861"/>
      <c r="T384" s="1861"/>
      <c r="U384" s="1861"/>
      <c r="V384" s="1861"/>
      <c r="W384" s="1861"/>
      <c r="X384" s="1861"/>
      <c r="Y384" s="1861"/>
      <c r="Z384" s="1861"/>
      <c r="AA384" s="1861"/>
      <c r="AB384" s="1861"/>
      <c r="AC384" s="1861"/>
      <c r="AD384" s="1861"/>
      <c r="AE384" s="1861"/>
      <c r="AF384" s="1861"/>
      <c r="AG384" s="1861"/>
      <c r="AH384" s="1861"/>
      <c r="AI384" s="1861"/>
      <c r="AJ384" s="1861"/>
      <c r="AK384" s="1861"/>
      <c r="AL384" s="1861"/>
      <c r="AM384" s="1862"/>
      <c r="AO384" s="57"/>
    </row>
    <row r="385" spans="1:62" ht="36" hidden="1" customHeight="1">
      <c r="B385" s="2158" t="s">
        <v>830</v>
      </c>
      <c r="C385" s="1889"/>
      <c r="D385" s="2048"/>
      <c r="E385" s="1861"/>
      <c r="F385" s="1861"/>
      <c r="G385" s="1861"/>
      <c r="H385" s="1861"/>
      <c r="I385" s="1861"/>
      <c r="J385" s="1861"/>
      <c r="K385" s="1861"/>
      <c r="L385" s="1861"/>
      <c r="M385" s="1861"/>
      <c r="N385" s="1861"/>
      <c r="O385" s="1861"/>
      <c r="P385" s="1861"/>
      <c r="Q385" s="1861"/>
      <c r="R385" s="1861"/>
      <c r="S385" s="1861"/>
      <c r="T385" s="1861"/>
      <c r="U385" s="1861"/>
      <c r="V385" s="1861"/>
      <c r="W385" s="1861"/>
      <c r="X385" s="1861"/>
      <c r="Y385" s="1861"/>
      <c r="Z385" s="1861"/>
      <c r="AA385" s="1861"/>
      <c r="AB385" s="1861"/>
      <c r="AC385" s="1861"/>
      <c r="AD385" s="1861"/>
      <c r="AE385" s="1861"/>
      <c r="AF385" s="1861"/>
      <c r="AG385" s="1861"/>
      <c r="AH385" s="1861"/>
      <c r="AI385" s="1861"/>
      <c r="AJ385" s="1861"/>
      <c r="AK385" s="1861"/>
      <c r="AL385" s="1861"/>
      <c r="AM385" s="1862"/>
      <c r="AO385" s="57"/>
    </row>
    <row r="386" spans="1:62" ht="36" hidden="1" customHeight="1">
      <c r="B386" s="2158" t="s">
        <v>831</v>
      </c>
      <c r="C386" s="1889"/>
      <c r="D386" s="2048"/>
      <c r="E386" s="1861"/>
      <c r="F386" s="1861"/>
      <c r="G386" s="1861"/>
      <c r="H386" s="1861"/>
      <c r="I386" s="1861"/>
      <c r="J386" s="1861"/>
      <c r="K386" s="1861"/>
      <c r="L386" s="1861"/>
      <c r="M386" s="1861"/>
      <c r="N386" s="1861"/>
      <c r="O386" s="1861"/>
      <c r="P386" s="1861"/>
      <c r="Q386" s="1861"/>
      <c r="R386" s="1861"/>
      <c r="S386" s="1861"/>
      <c r="T386" s="1861"/>
      <c r="U386" s="1861"/>
      <c r="V386" s="1861"/>
      <c r="W386" s="1861"/>
      <c r="X386" s="1861"/>
      <c r="Y386" s="1861"/>
      <c r="Z386" s="1861"/>
      <c r="AA386" s="1861"/>
      <c r="AB386" s="1861"/>
      <c r="AC386" s="1861"/>
      <c r="AD386" s="1861"/>
      <c r="AE386" s="1861"/>
      <c r="AF386" s="1861"/>
      <c r="AG386" s="1861"/>
      <c r="AH386" s="1861"/>
      <c r="AI386" s="1861"/>
      <c r="AJ386" s="1861"/>
      <c r="AK386" s="1861"/>
      <c r="AL386" s="1861"/>
      <c r="AM386" s="1862"/>
      <c r="AO386" s="57"/>
    </row>
    <row r="387" spans="1:62" ht="36" hidden="1" customHeight="1">
      <c r="B387" s="2158" t="s">
        <v>832</v>
      </c>
      <c r="C387" s="1889"/>
      <c r="D387" s="2048"/>
      <c r="E387" s="1861"/>
      <c r="F387" s="1861"/>
      <c r="G387" s="1861"/>
      <c r="H387" s="1861"/>
      <c r="I387" s="1861"/>
      <c r="J387" s="1861"/>
      <c r="K387" s="1861"/>
      <c r="L387" s="1861"/>
      <c r="M387" s="1861"/>
      <c r="N387" s="1861"/>
      <c r="O387" s="1861"/>
      <c r="P387" s="1861"/>
      <c r="Q387" s="1861"/>
      <c r="R387" s="1861"/>
      <c r="S387" s="1861"/>
      <c r="T387" s="1861"/>
      <c r="U387" s="1861"/>
      <c r="V387" s="1861"/>
      <c r="W387" s="1861"/>
      <c r="X387" s="1861"/>
      <c r="Y387" s="1861"/>
      <c r="Z387" s="1861"/>
      <c r="AA387" s="1861"/>
      <c r="AB387" s="1861"/>
      <c r="AC387" s="1861"/>
      <c r="AD387" s="1861"/>
      <c r="AE387" s="1861"/>
      <c r="AF387" s="1861"/>
      <c r="AG387" s="1861"/>
      <c r="AH387" s="1861"/>
      <c r="AI387" s="1861"/>
      <c r="AJ387" s="1861"/>
      <c r="AK387" s="1861"/>
      <c r="AL387" s="1861"/>
      <c r="AM387" s="1862"/>
      <c r="AO387" s="57"/>
    </row>
    <row r="388" spans="1:62" s="95" customFormat="1" ht="63" hidden="1" customHeight="1">
      <c r="B388" s="2338" t="s">
        <v>833</v>
      </c>
      <c r="C388" s="1888"/>
      <c r="D388" s="1888"/>
      <c r="E388" s="1889"/>
      <c r="F388" s="2130"/>
      <c r="G388" s="1864"/>
      <c r="H388" s="1864"/>
      <c r="I388" s="1864"/>
      <c r="J388" s="1864"/>
      <c r="K388" s="1864"/>
      <c r="L388" s="1864"/>
      <c r="M388" s="1864"/>
      <c r="N388" s="1864"/>
      <c r="O388" s="1864"/>
      <c r="P388" s="1864"/>
      <c r="Q388" s="1864"/>
      <c r="R388" s="1864"/>
      <c r="S388" s="1864"/>
      <c r="T388" s="1864"/>
      <c r="U388" s="1864"/>
      <c r="V388" s="1864"/>
      <c r="W388" s="1864"/>
      <c r="X388" s="1864"/>
      <c r="Y388" s="1864"/>
      <c r="Z388" s="1864"/>
      <c r="AA388" s="1864"/>
      <c r="AB388" s="1864"/>
      <c r="AC388" s="1864"/>
      <c r="AD388" s="1864"/>
      <c r="AE388" s="1864"/>
      <c r="AF388" s="1864"/>
      <c r="AG388" s="1864"/>
      <c r="AH388" s="1864"/>
      <c r="AI388" s="1864"/>
      <c r="AJ388" s="1864"/>
      <c r="AK388" s="1864"/>
      <c r="AL388" s="1864"/>
      <c r="AM388" s="1865"/>
      <c r="AN388" s="171"/>
      <c r="AO388" s="171"/>
      <c r="AP388" s="171"/>
      <c r="AQ388" s="171"/>
      <c r="AR388" s="171"/>
      <c r="AS388" s="171"/>
      <c r="AU388" s="55"/>
    </row>
    <row r="389" spans="1:62" ht="18" hidden="1" customHeight="1">
      <c r="B389" s="978"/>
      <c r="C389" s="999"/>
      <c r="D389" s="999"/>
      <c r="E389" s="999"/>
      <c r="F389" s="999"/>
      <c r="G389" s="999"/>
      <c r="H389" s="999"/>
      <c r="I389" s="999"/>
      <c r="J389" s="999"/>
      <c r="K389" s="999"/>
      <c r="L389" s="999"/>
      <c r="M389" s="999"/>
      <c r="N389" s="999"/>
      <c r="O389" s="999"/>
      <c r="P389" s="999"/>
      <c r="Q389" s="999"/>
      <c r="R389" s="999"/>
      <c r="S389" s="999"/>
      <c r="T389" s="999"/>
      <c r="U389" s="999"/>
      <c r="V389" s="999"/>
      <c r="W389" s="999"/>
      <c r="X389" s="999"/>
      <c r="Y389" s="999"/>
      <c r="Z389" s="999"/>
      <c r="AA389" s="999"/>
      <c r="AB389" s="999"/>
      <c r="AC389" s="999"/>
      <c r="AD389" s="999"/>
      <c r="AE389" s="999"/>
      <c r="AF389" s="999"/>
      <c r="AG389" s="999"/>
      <c r="AH389" s="999"/>
      <c r="AI389" s="999"/>
      <c r="AJ389" s="999"/>
      <c r="AK389" s="999"/>
      <c r="AL389" s="999"/>
      <c r="AM389" s="999"/>
    </row>
    <row r="390" spans="1:62" ht="18" hidden="1" customHeight="1">
      <c r="B390" s="1983" t="s">
        <v>834</v>
      </c>
      <c r="C390" s="1953"/>
      <c r="D390" s="1953"/>
      <c r="E390" s="1953"/>
      <c r="F390" s="1953"/>
      <c r="G390" s="1953"/>
      <c r="H390" s="1953"/>
      <c r="I390" s="1953"/>
      <c r="J390" s="1953"/>
      <c r="K390" s="1953"/>
      <c r="L390" s="1953"/>
      <c r="M390" s="1953"/>
      <c r="N390" s="1953"/>
      <c r="O390" s="1953"/>
      <c r="P390" s="1953"/>
      <c r="Q390" s="1953"/>
      <c r="R390" s="1953"/>
      <c r="S390" s="1953"/>
      <c r="T390" s="1953"/>
      <c r="U390" s="1953"/>
      <c r="V390" s="1953"/>
      <c r="W390" s="1953"/>
      <c r="X390" s="1953"/>
      <c r="Y390" s="2212" t="s">
        <v>835</v>
      </c>
      <c r="Z390" s="1953"/>
      <c r="AA390" s="2212" t="s">
        <v>836</v>
      </c>
      <c r="AB390" s="1953"/>
      <c r="AC390" s="1953"/>
      <c r="AD390" s="2212" t="s">
        <v>837</v>
      </c>
      <c r="AE390" s="1953"/>
      <c r="AF390" s="1953"/>
      <c r="AG390" s="2212" t="s">
        <v>838</v>
      </c>
      <c r="AH390" s="1953"/>
      <c r="AI390" s="1953"/>
      <c r="AJ390" s="2363" t="s">
        <v>839</v>
      </c>
      <c r="AK390" s="1953"/>
      <c r="AL390" s="1953"/>
      <c r="AM390" s="1770"/>
    </row>
    <row r="391" spans="1:62" ht="18" hidden="1" customHeight="1">
      <c r="B391" s="748" t="s">
        <v>693</v>
      </c>
      <c r="C391" s="749"/>
      <c r="D391" s="749"/>
      <c r="E391" s="1988" t="s">
        <v>840</v>
      </c>
      <c r="F391" s="1877"/>
      <c r="G391" s="1877"/>
      <c r="H391" s="2168" t="s">
        <v>841</v>
      </c>
      <c r="I391" s="1877"/>
      <c r="J391" s="1988" t="s">
        <v>842</v>
      </c>
      <c r="K391" s="1877"/>
      <c r="L391" s="1877"/>
      <c r="M391" s="2168" t="s">
        <v>843</v>
      </c>
      <c r="N391" s="1877"/>
      <c r="O391" s="1877"/>
      <c r="P391" s="2168" t="s">
        <v>844</v>
      </c>
      <c r="Q391" s="1877"/>
      <c r="R391" s="1877"/>
      <c r="S391" s="2168" t="s">
        <v>845</v>
      </c>
      <c r="T391" s="1877"/>
      <c r="U391" s="1877"/>
      <c r="V391" s="2168" t="s">
        <v>846</v>
      </c>
      <c r="W391" s="1877"/>
      <c r="X391" s="1877"/>
      <c r="Y391" s="1877"/>
      <c r="Z391" s="1877"/>
      <c r="AA391" s="1877"/>
      <c r="AB391" s="1877"/>
      <c r="AC391" s="1877"/>
      <c r="AD391" s="1877"/>
      <c r="AE391" s="1877"/>
      <c r="AF391" s="1877"/>
      <c r="AG391" s="1877"/>
      <c r="AH391" s="1877"/>
      <c r="AI391" s="1877"/>
      <c r="AJ391" s="1877"/>
      <c r="AK391" s="1877"/>
      <c r="AL391" s="1877"/>
      <c r="AM391" s="1772"/>
      <c r="AO391" s="716"/>
      <c r="AP391" s="123"/>
      <c r="AQ391" s="123"/>
      <c r="AR391" s="123"/>
      <c r="AT391" s="474"/>
      <c r="AU391" s="474"/>
      <c r="AV391" s="474"/>
      <c r="AW391" s="474"/>
      <c r="AX391" s="474"/>
      <c r="AY391" s="474"/>
      <c r="AZ391" s="474"/>
      <c r="BA391" s="474"/>
      <c r="BB391" s="474"/>
      <c r="BC391" s="474"/>
      <c r="BD391" s="474"/>
      <c r="BE391" s="474"/>
      <c r="BF391" s="474"/>
      <c r="BG391" s="474"/>
      <c r="BH391" s="474"/>
      <c r="BI391" s="474"/>
      <c r="BJ391" s="474"/>
    </row>
    <row r="392" spans="1:62" s="474" customFormat="1" ht="18" hidden="1" customHeight="1">
      <c r="A392" s="138"/>
      <c r="B392" s="2159" t="s">
        <v>847</v>
      </c>
      <c r="C392" s="1964"/>
      <c r="D392" s="1964"/>
      <c r="E392" s="1875"/>
      <c r="F392" s="1861"/>
      <c r="G392" s="1862"/>
      <c r="H392" s="2384"/>
      <c r="I392" s="2222"/>
      <c r="J392" s="2221"/>
      <c r="K392" s="1869"/>
      <c r="L392" s="2222"/>
      <c r="M392" s="2221"/>
      <c r="N392" s="1869"/>
      <c r="O392" s="2222"/>
      <c r="P392" s="2221"/>
      <c r="Q392" s="1869"/>
      <c r="R392" s="2222"/>
      <c r="S392" s="2118"/>
      <c r="T392" s="1869"/>
      <c r="U392" s="1869"/>
      <c r="V392" s="1915"/>
      <c r="W392" s="1869"/>
      <c r="X392" s="1870"/>
      <c r="Y392" s="2370">
        <f>SUM(H392:X392)</f>
        <v>0</v>
      </c>
      <c r="Z392" s="2146"/>
      <c r="AA392" s="2145">
        <f>SUM(($H$392*1)+($J$392*1)+($M$392*2)+($P$392*3)+($S$392*4)+($V$392*5))</f>
        <v>0</v>
      </c>
      <c r="AB392" s="1877"/>
      <c r="AC392" s="2146"/>
      <c r="AD392" s="2221"/>
      <c r="AE392" s="1869"/>
      <c r="AF392" s="2222"/>
      <c r="AG392" s="2118"/>
      <c r="AH392" s="1869"/>
      <c r="AI392" s="1869"/>
      <c r="AJ392" s="1915"/>
      <c r="AK392" s="1869"/>
      <c r="AL392" s="1869"/>
      <c r="AM392" s="1870"/>
      <c r="AN392" s="57"/>
      <c r="AO392" s="90"/>
      <c r="AP392" s="57"/>
      <c r="AQ392" s="57"/>
      <c r="AR392" s="57"/>
      <c r="AS392" s="57"/>
      <c r="AT392" s="55"/>
      <c r="AU392" s="55"/>
      <c r="AV392" s="55"/>
      <c r="AW392" s="55"/>
      <c r="AX392" s="55"/>
      <c r="AY392" s="55"/>
      <c r="AZ392" s="55"/>
      <c r="BA392" s="55"/>
      <c r="BB392" s="55"/>
      <c r="BC392" s="55"/>
      <c r="BD392" s="55"/>
      <c r="BE392" s="55"/>
      <c r="BF392" s="55"/>
      <c r="BG392" s="55"/>
      <c r="BH392" s="55"/>
      <c r="BI392" s="55"/>
      <c r="BJ392" s="55"/>
    </row>
    <row r="393" spans="1:62" ht="18" hidden="1" customHeight="1">
      <c r="B393" s="2159" t="s">
        <v>848</v>
      </c>
      <c r="C393" s="1910"/>
      <c r="D393" s="1910"/>
      <c r="E393" s="1875"/>
      <c r="F393" s="1861"/>
      <c r="G393" s="1862"/>
      <c r="H393" s="2129">
        <f>$AH$396</f>
        <v>0</v>
      </c>
      <c r="I393" s="1778"/>
      <c r="J393" s="2077">
        <f>$AH$397</f>
        <v>0</v>
      </c>
      <c r="K393" s="1777"/>
      <c r="L393" s="1778"/>
      <c r="M393" s="2077">
        <f>$AH$398</f>
        <v>0</v>
      </c>
      <c r="N393" s="1777"/>
      <c r="O393" s="1778"/>
      <c r="P393" s="2077">
        <f>$AH$399</f>
        <v>0</v>
      </c>
      <c r="Q393" s="1777"/>
      <c r="R393" s="1778"/>
      <c r="S393" s="2077">
        <f>$AH$400</f>
        <v>0</v>
      </c>
      <c r="T393" s="1777"/>
      <c r="U393" s="1778"/>
      <c r="V393" s="2077">
        <f>SUM($AH$401)</f>
        <v>0</v>
      </c>
      <c r="W393" s="1777"/>
      <c r="X393" s="1778"/>
      <c r="Y393" s="1973">
        <f>SUM(H393:X393)</f>
        <v>0</v>
      </c>
      <c r="Z393" s="1778"/>
      <c r="AA393" s="1973">
        <f>SUM(($H$393*1)+($J$393*1)+($M$393*2)+($P$393*3)+($S$393*4)+($V$393*5))</f>
        <v>0</v>
      </c>
      <c r="AB393" s="1777"/>
      <c r="AC393" s="1778"/>
      <c r="AD393" s="1875"/>
      <c r="AE393" s="1861"/>
      <c r="AF393" s="1862"/>
      <c r="AG393" s="1875"/>
      <c r="AH393" s="1861"/>
      <c r="AI393" s="1862"/>
      <c r="AJ393" s="1875"/>
      <c r="AK393" s="1861"/>
      <c r="AL393" s="1861"/>
      <c r="AM393" s="1862"/>
    </row>
    <row r="394" spans="1:62" s="95" customFormat="1" ht="18" hidden="1" customHeight="1" thickBot="1">
      <c r="B394" s="1642"/>
      <c r="AM394" s="846"/>
      <c r="AN394" s="171"/>
      <c r="AO394" s="171"/>
      <c r="AP394" s="171"/>
      <c r="AQ394" s="171"/>
      <c r="AR394" s="171"/>
      <c r="AS394" s="171"/>
      <c r="AU394" s="55"/>
    </row>
    <row r="395" spans="1:62" ht="18" hidden="1" customHeight="1" thickTop="1">
      <c r="B395" s="1919" t="s">
        <v>849</v>
      </c>
      <c r="C395" s="1910"/>
      <c r="D395" s="1910"/>
      <c r="E395" s="1910"/>
      <c r="F395" s="1910"/>
      <c r="G395" s="1910"/>
      <c r="H395" s="1910"/>
      <c r="I395" s="1967" t="s">
        <v>153</v>
      </c>
      <c r="J395" s="1877"/>
      <c r="K395" s="1877"/>
      <c r="L395" s="1877"/>
      <c r="M395" s="1877"/>
      <c r="N395" s="1877"/>
      <c r="O395" s="2243" t="s">
        <v>149</v>
      </c>
      <c r="P395" s="1877"/>
      <c r="Q395" s="1877"/>
      <c r="R395" s="1877"/>
      <c r="S395" s="1877"/>
      <c r="T395" s="1877"/>
      <c r="U395" s="136"/>
      <c r="V395" s="1918" t="s">
        <v>850</v>
      </c>
      <c r="W395" s="1910"/>
      <c r="X395" s="1910"/>
      <c r="Y395" s="1988" t="s">
        <v>851</v>
      </c>
      <c r="Z395" s="1877"/>
      <c r="AA395" s="1988" t="s">
        <v>852</v>
      </c>
      <c r="AB395" s="1877"/>
      <c r="AC395" s="1877"/>
      <c r="AD395" s="2329" t="s">
        <v>853</v>
      </c>
      <c r="AE395" s="2330"/>
      <c r="AF395" s="2330"/>
      <c r="AG395" s="2331"/>
      <c r="AH395" s="1988" t="s">
        <v>854</v>
      </c>
      <c r="AI395" s="1877"/>
      <c r="AJ395" s="1877"/>
      <c r="AK395" s="1876" t="s">
        <v>855</v>
      </c>
      <c r="AL395" s="1877"/>
      <c r="AM395" s="1772"/>
      <c r="AO395" s="57"/>
    </row>
    <row r="396" spans="1:62" ht="18" hidden="1" customHeight="1">
      <c r="B396" s="1920"/>
      <c r="C396" s="1910"/>
      <c r="D396" s="1910"/>
      <c r="E396" s="1910"/>
      <c r="F396" s="1910"/>
      <c r="G396" s="1910"/>
      <c r="H396" s="1910"/>
      <c r="I396" s="1918" t="s">
        <v>856</v>
      </c>
      <c r="J396" s="1910"/>
      <c r="K396" s="1918" t="s">
        <v>857</v>
      </c>
      <c r="L396" s="1910"/>
      <c r="M396" s="1918" t="s">
        <v>858</v>
      </c>
      <c r="N396" s="1910"/>
      <c r="O396" s="2038" t="s">
        <v>856</v>
      </c>
      <c r="P396" s="1777"/>
      <c r="Q396" s="1918" t="s">
        <v>857</v>
      </c>
      <c r="R396" s="1910"/>
      <c r="S396" s="1918" t="s">
        <v>858</v>
      </c>
      <c r="T396" s="1910"/>
      <c r="U396" s="136"/>
      <c r="V396" s="1909" t="s">
        <v>859</v>
      </c>
      <c r="W396" s="1910"/>
      <c r="X396" s="1889"/>
      <c r="Y396" s="1914"/>
      <c r="Z396" s="1870"/>
      <c r="AA396" s="2125"/>
      <c r="AB396" s="2126"/>
      <c r="AC396" s="2127"/>
      <c r="AD396" s="2287"/>
      <c r="AE396" s="1869"/>
      <c r="AF396" s="1869"/>
      <c r="AG396" s="1870"/>
      <c r="AH396" s="2066">
        <f>SUMIF(UnitsTbl[Number of Bedrooms],0,UnitsTbl[Total Units])</f>
        <v>0</v>
      </c>
      <c r="AI396" s="1877"/>
      <c r="AJ396" s="1772"/>
      <c r="AK396" s="2005">
        <f>SUMIF(UnitsTbl[Number of Bedrooms],0,UnitsTbl[Total restricted units])</f>
        <v>0</v>
      </c>
      <c r="AL396" s="1877"/>
      <c r="AM396" s="1772"/>
      <c r="AO396" s="750"/>
    </row>
    <row r="397" spans="1:62" ht="18" hidden="1" customHeight="1">
      <c r="B397" s="2104" t="s">
        <v>162</v>
      </c>
      <c r="C397" s="1910"/>
      <c r="D397" s="1910"/>
      <c r="E397" s="1910"/>
      <c r="F397" s="1910"/>
      <c r="G397" s="1910"/>
      <c r="H397" s="1910"/>
      <c r="I397" s="1875"/>
      <c r="J397" s="1862"/>
      <c r="K397" s="1936"/>
      <c r="L397" s="1862"/>
      <c r="M397" s="1875"/>
      <c r="N397" s="1862"/>
      <c r="O397" s="1875"/>
      <c r="P397" s="1862"/>
      <c r="Q397" s="1875"/>
      <c r="R397" s="1862"/>
      <c r="S397" s="1875"/>
      <c r="T397" s="1862"/>
      <c r="U397" s="751"/>
      <c r="V397" s="1909" t="s">
        <v>860</v>
      </c>
      <c r="W397" s="1910"/>
      <c r="X397" s="1889"/>
      <c r="Y397" s="1961"/>
      <c r="Z397" s="1862"/>
      <c r="AA397" s="1875"/>
      <c r="AB397" s="1861"/>
      <c r="AC397" s="1862"/>
      <c r="AD397" s="1992"/>
      <c r="AE397" s="1861"/>
      <c r="AF397" s="1861"/>
      <c r="AG397" s="1862"/>
      <c r="AH397" s="2066">
        <f>SUMIF(UnitsTbl[Number of Bedrooms],1,UnitsTbl[Total Units])</f>
        <v>0</v>
      </c>
      <c r="AI397" s="1877"/>
      <c r="AJ397" s="1772"/>
      <c r="AK397" s="2077">
        <f>SUMIF(UnitsTbl[Number of Bedrooms],1,UnitsTbl[Total restricted units])</f>
        <v>0</v>
      </c>
      <c r="AL397" s="1777"/>
      <c r="AM397" s="1778"/>
    </row>
    <row r="398" spans="1:62" ht="18" hidden="1" customHeight="1">
      <c r="B398" s="2104" t="s">
        <v>163</v>
      </c>
      <c r="C398" s="1910"/>
      <c r="D398" s="1910"/>
      <c r="E398" s="1910"/>
      <c r="F398" s="1910"/>
      <c r="G398" s="1910"/>
      <c r="H398" s="1910"/>
      <c r="I398" s="1875"/>
      <c r="J398" s="1862"/>
      <c r="K398" s="1936"/>
      <c r="L398" s="1862"/>
      <c r="M398" s="1875"/>
      <c r="N398" s="1862"/>
      <c r="O398" s="1875"/>
      <c r="P398" s="1862"/>
      <c r="Q398" s="1875"/>
      <c r="R398" s="1862"/>
      <c r="S398" s="1875"/>
      <c r="T398" s="1862"/>
      <c r="U398" s="751"/>
      <c r="V398" s="1909" t="s">
        <v>861</v>
      </c>
      <c r="W398" s="1910"/>
      <c r="X398" s="1889"/>
      <c r="Y398" s="1961"/>
      <c r="Z398" s="1862"/>
      <c r="AA398" s="1875"/>
      <c r="AB398" s="1861"/>
      <c r="AC398" s="1862"/>
      <c r="AD398" s="1992"/>
      <c r="AE398" s="1861"/>
      <c r="AF398" s="1861"/>
      <c r="AG398" s="1862"/>
      <c r="AH398" s="2066">
        <f>SUMIF(UnitsTbl[Number of Bedrooms],2,UnitsTbl[Total Units])</f>
        <v>0</v>
      </c>
      <c r="AI398" s="1877"/>
      <c r="AJ398" s="1772"/>
      <c r="AK398" s="2077">
        <f>SUMIF(UnitsTbl[Number of Bedrooms],2,UnitsTbl[Total restricted units])</f>
        <v>0</v>
      </c>
      <c r="AL398" s="1777"/>
      <c r="AM398" s="1778"/>
    </row>
    <row r="399" spans="1:62" ht="18" hidden="1" customHeight="1">
      <c r="B399" s="2104" t="s">
        <v>164</v>
      </c>
      <c r="C399" s="1910"/>
      <c r="D399" s="1910"/>
      <c r="E399" s="1910"/>
      <c r="F399" s="1910"/>
      <c r="G399" s="1910"/>
      <c r="H399" s="1910"/>
      <c r="I399" s="1875"/>
      <c r="J399" s="1862"/>
      <c r="K399" s="1936"/>
      <c r="L399" s="1862"/>
      <c r="M399" s="1875"/>
      <c r="N399" s="1862"/>
      <c r="O399" s="1875"/>
      <c r="P399" s="1862"/>
      <c r="Q399" s="1875"/>
      <c r="R399" s="1862"/>
      <c r="S399" s="1875"/>
      <c r="T399" s="1862"/>
      <c r="U399" s="751"/>
      <c r="V399" s="1909" t="s">
        <v>862</v>
      </c>
      <c r="W399" s="1910"/>
      <c r="X399" s="1889"/>
      <c r="Y399" s="1961"/>
      <c r="Z399" s="1862"/>
      <c r="AA399" s="1875"/>
      <c r="AB399" s="1861"/>
      <c r="AC399" s="1862"/>
      <c r="AD399" s="1992"/>
      <c r="AE399" s="1861"/>
      <c r="AF399" s="1861"/>
      <c r="AG399" s="1862"/>
      <c r="AH399" s="2066">
        <f>SUMIF(UnitsTbl[Number of Bedrooms],3,UnitsTbl[Total Units])</f>
        <v>0</v>
      </c>
      <c r="AI399" s="1877"/>
      <c r="AJ399" s="1772"/>
      <c r="AK399" s="2077">
        <f>SUMIF(UnitsTbl[Number of Bedrooms],3,UnitsTbl[Total restricted units])</f>
        <v>0</v>
      </c>
      <c r="AL399" s="1777"/>
      <c r="AM399" s="1778"/>
    </row>
    <row r="400" spans="1:62" ht="18" hidden="1" customHeight="1">
      <c r="B400" s="2104" t="s">
        <v>166</v>
      </c>
      <c r="C400" s="1910"/>
      <c r="D400" s="1910"/>
      <c r="E400" s="1910"/>
      <c r="F400" s="1910"/>
      <c r="G400" s="1910"/>
      <c r="H400" s="1910"/>
      <c r="I400" s="1875"/>
      <c r="J400" s="1862"/>
      <c r="K400" s="1936"/>
      <c r="L400" s="1862"/>
      <c r="M400" s="1875"/>
      <c r="N400" s="1862"/>
      <c r="O400" s="1875"/>
      <c r="P400" s="1862"/>
      <c r="Q400" s="1875"/>
      <c r="R400" s="1862"/>
      <c r="S400" s="1875"/>
      <c r="T400" s="1862"/>
      <c r="U400" s="751"/>
      <c r="V400" s="1909" t="s">
        <v>863</v>
      </c>
      <c r="W400" s="1910"/>
      <c r="X400" s="1889"/>
      <c r="Y400" s="1961"/>
      <c r="Z400" s="1862"/>
      <c r="AA400" s="2125"/>
      <c r="AB400" s="2126"/>
      <c r="AC400" s="2127"/>
      <c r="AD400" s="1992"/>
      <c r="AE400" s="1861"/>
      <c r="AF400" s="1861"/>
      <c r="AG400" s="1862"/>
      <c r="AH400" s="2066">
        <f>SUMIF(UnitsTbl[Number of Bedrooms],4,UnitsTbl[Total Units])</f>
        <v>0</v>
      </c>
      <c r="AI400" s="1877"/>
      <c r="AJ400" s="1772"/>
      <c r="AK400" s="2005">
        <f>SUMIF(UnitsTbl[Number of Bedrooms],4,UnitsTbl[Total restricted units])</f>
        <v>0</v>
      </c>
      <c r="AL400" s="1877"/>
      <c r="AM400" s="1772"/>
    </row>
    <row r="401" spans="2:47" ht="18" hidden="1" customHeight="1" thickBot="1">
      <c r="B401" s="2104" t="s">
        <v>864</v>
      </c>
      <c r="C401" s="1910"/>
      <c r="D401" s="1910"/>
      <c r="E401" s="1910"/>
      <c r="F401" s="1910"/>
      <c r="G401" s="1910"/>
      <c r="H401" s="1910"/>
      <c r="I401" s="1875"/>
      <c r="J401" s="1862"/>
      <c r="K401" s="1936"/>
      <c r="L401" s="1862"/>
      <c r="M401" s="1875"/>
      <c r="N401" s="1862"/>
      <c r="O401" s="1875"/>
      <c r="P401" s="1862"/>
      <c r="Q401" s="1875"/>
      <c r="R401" s="1862"/>
      <c r="S401" s="1875"/>
      <c r="T401" s="1862"/>
      <c r="U401" s="751"/>
      <c r="V401" s="1909" t="s">
        <v>865</v>
      </c>
      <c r="W401" s="1910"/>
      <c r="X401" s="1889"/>
      <c r="Y401" s="1961"/>
      <c r="Z401" s="1862"/>
      <c r="AA401" s="1875"/>
      <c r="AB401" s="1861"/>
      <c r="AC401" s="1862"/>
      <c r="AD401" s="2083"/>
      <c r="AE401" s="2084"/>
      <c r="AF401" s="2084"/>
      <c r="AG401" s="2085"/>
      <c r="AH401" s="2066">
        <f>SUMIF(UnitsTbl[Number of Bedrooms],5,UnitsTbl[Total Units])</f>
        <v>0</v>
      </c>
      <c r="AI401" s="1877"/>
      <c r="AJ401" s="1772"/>
      <c r="AK401" s="2005">
        <f>SUMIF(UnitsTbl[Number of Bedrooms],5,UnitsTbl[Total restricted units])</f>
        <v>0</v>
      </c>
      <c r="AL401" s="1877"/>
      <c r="AM401" s="1772"/>
    </row>
    <row r="402" spans="2:47" ht="18" hidden="1" customHeight="1" thickTop="1">
      <c r="B402" s="2104" t="s">
        <v>170</v>
      </c>
      <c r="C402" s="1910"/>
      <c r="D402" s="1910"/>
      <c r="E402" s="1910"/>
      <c r="F402" s="1910"/>
      <c r="G402" s="1910"/>
      <c r="H402" s="1910"/>
      <c r="I402" s="1875"/>
      <c r="J402" s="1862"/>
      <c r="K402" s="1936"/>
      <c r="L402" s="1862"/>
      <c r="M402" s="1875"/>
      <c r="N402" s="1862"/>
      <c r="O402" s="1875"/>
      <c r="P402" s="1862"/>
      <c r="Q402" s="1875"/>
      <c r="R402" s="1862"/>
      <c r="S402" s="1875"/>
      <c r="T402" s="1862"/>
      <c r="U402" s="751"/>
      <c r="V402" s="2219" t="s">
        <v>276</v>
      </c>
      <c r="W402" s="1910"/>
      <c r="X402" s="1910"/>
      <c r="Y402" s="1910"/>
      <c r="Z402" s="1910"/>
      <c r="AA402" s="1910"/>
      <c r="AB402" s="1910"/>
      <c r="AC402" s="1910"/>
      <c r="AD402" s="1910"/>
      <c r="AE402" s="1910"/>
      <c r="AF402" s="1910"/>
      <c r="AG402" s="1910"/>
      <c r="AH402" s="2264">
        <f>SUM($AH$396:$AJ$401)</f>
        <v>0</v>
      </c>
      <c r="AI402" s="1953"/>
      <c r="AJ402" s="1953"/>
      <c r="AK402" s="2004">
        <f>SUM($AK$396:$AM$401)</f>
        <v>0</v>
      </c>
      <c r="AL402" s="1953"/>
      <c r="AM402" s="1770"/>
    </row>
    <row r="403" spans="2:47" ht="18" hidden="1" customHeight="1">
      <c r="B403" s="2104" t="s">
        <v>866</v>
      </c>
      <c r="C403" s="1910"/>
      <c r="D403" s="1910"/>
      <c r="E403" s="1910"/>
      <c r="F403" s="1910"/>
      <c r="G403" s="1910"/>
      <c r="H403" s="1910"/>
      <c r="I403" s="2208"/>
      <c r="J403" s="1778"/>
      <c r="K403" s="1936"/>
      <c r="L403" s="1862"/>
      <c r="M403" s="1875"/>
      <c r="N403" s="1862"/>
      <c r="O403" s="2208"/>
      <c r="P403" s="1778"/>
      <c r="Q403" s="1875"/>
      <c r="R403" s="1862"/>
      <c r="S403" s="1875"/>
      <c r="T403" s="1862"/>
      <c r="U403" s="751"/>
      <c r="V403" s="136"/>
      <c r="W403" s="136"/>
      <c r="X403" s="136"/>
      <c r="Y403" s="136"/>
      <c r="Z403" s="136"/>
      <c r="AA403" s="136"/>
      <c r="AB403" s="136"/>
      <c r="AC403" s="136"/>
      <c r="AD403" s="136"/>
      <c r="AE403" s="136"/>
      <c r="AF403" s="136"/>
      <c r="AG403" s="136"/>
      <c r="AH403" s="136"/>
      <c r="AI403" s="136"/>
      <c r="AJ403" s="136"/>
      <c r="AK403" s="136"/>
      <c r="AL403" s="136"/>
      <c r="AM403" s="1000"/>
    </row>
    <row r="404" spans="2:47" ht="18" hidden="1" customHeight="1">
      <c r="B404" s="2333" t="s">
        <v>867</v>
      </c>
      <c r="C404" s="1910"/>
      <c r="D404" s="1910"/>
      <c r="E404" s="1910"/>
      <c r="F404" s="1910"/>
      <c r="G404" s="1910"/>
      <c r="H404" s="1910"/>
      <c r="I404" s="1929">
        <f>SUM($I$397:$J$402)</f>
        <v>0</v>
      </c>
      <c r="J404" s="1910"/>
      <c r="K404" s="1929"/>
      <c r="L404" s="1910"/>
      <c r="M404" s="1929">
        <f>SUM($M$397:$N$403)</f>
        <v>0</v>
      </c>
      <c r="N404" s="1910"/>
      <c r="O404" s="1929">
        <f>SUM($O$397:$P$402)</f>
        <v>0</v>
      </c>
      <c r="P404" s="1910"/>
      <c r="Q404" s="1929"/>
      <c r="R404" s="1910"/>
      <c r="S404" s="1929">
        <f>SUM($S$397:$T$403)</f>
        <v>0</v>
      </c>
      <c r="T404" s="1910"/>
      <c r="U404" s="136"/>
      <c r="V404" s="136"/>
      <c r="W404" s="136"/>
      <c r="X404" s="136"/>
      <c r="Y404" s="136"/>
      <c r="Z404" s="136"/>
      <c r="AA404" s="136"/>
      <c r="AB404" s="136"/>
      <c r="AC404" s="136"/>
      <c r="AD404" s="136"/>
      <c r="AE404" s="136"/>
      <c r="AF404" s="136"/>
      <c r="AG404" s="136"/>
      <c r="AH404" s="136"/>
      <c r="AI404" s="136"/>
      <c r="AJ404" s="136"/>
      <c r="AK404" s="136"/>
      <c r="AL404" s="136"/>
      <c r="AM404" s="1000"/>
    </row>
    <row r="405" spans="2:47" ht="18" hidden="1" customHeight="1">
      <c r="B405" s="752"/>
      <c r="C405" s="753"/>
      <c r="D405" s="753"/>
      <c r="E405" s="753"/>
      <c r="F405" s="753"/>
      <c r="G405" s="753"/>
      <c r="H405" s="753"/>
      <c r="I405" s="753"/>
      <c r="J405" s="753"/>
      <c r="K405" s="753"/>
      <c r="L405" s="753"/>
      <c r="M405" s="753"/>
      <c r="N405" s="753"/>
      <c r="O405" s="753"/>
      <c r="P405" s="753"/>
      <c r="Q405" s="753"/>
      <c r="R405" s="753"/>
      <c r="S405" s="753"/>
      <c r="T405" s="753"/>
      <c r="U405" s="136"/>
      <c r="AM405" s="846"/>
    </row>
    <row r="406" spans="2:47" ht="18" hidden="1" customHeight="1">
      <c r="B406" s="2263" t="s">
        <v>868</v>
      </c>
      <c r="C406" s="1877"/>
      <c r="D406" s="1877"/>
      <c r="E406" s="1877"/>
      <c r="F406" s="1877"/>
      <c r="G406" s="1877"/>
      <c r="H406" s="1877"/>
      <c r="I406" s="1877"/>
      <c r="J406" s="1877"/>
      <c r="K406" s="1877"/>
      <c r="L406" s="1877"/>
      <c r="M406" s="1877"/>
      <c r="N406" s="1877"/>
      <c r="O406" s="1877"/>
      <c r="P406" s="1877"/>
      <c r="Q406" s="1877"/>
      <c r="R406" s="1877"/>
      <c r="S406" s="1877"/>
      <c r="T406" s="1877"/>
      <c r="U406" s="1877"/>
      <c r="V406" s="1877"/>
      <c r="W406" s="1877"/>
      <c r="X406" s="1877"/>
      <c r="Y406" s="1877"/>
      <c r="Z406" s="1877"/>
      <c r="AA406" s="1877"/>
      <c r="AB406" s="1877"/>
      <c r="AC406" s="1877"/>
      <c r="AD406" s="1877"/>
      <c r="AE406" s="1877"/>
      <c r="AF406" s="1877"/>
      <c r="AG406" s="1877"/>
      <c r="AH406" s="1877"/>
      <c r="AI406" s="1877"/>
      <c r="AJ406" s="1877"/>
      <c r="AK406" s="1877"/>
      <c r="AL406" s="1877"/>
      <c r="AM406" s="1772"/>
    </row>
    <row r="407" spans="2:47" ht="63" hidden="1" customHeight="1">
      <c r="B407" s="1874"/>
      <c r="C407" s="1869"/>
      <c r="D407" s="1869"/>
      <c r="E407" s="1869"/>
      <c r="F407" s="1869"/>
      <c r="G407" s="1869"/>
      <c r="H407" s="1869"/>
      <c r="I407" s="1869"/>
      <c r="J407" s="1869"/>
      <c r="K407" s="1869"/>
      <c r="L407" s="1869"/>
      <c r="M407" s="1869"/>
      <c r="N407" s="1869"/>
      <c r="O407" s="1869"/>
      <c r="P407" s="1869"/>
      <c r="Q407" s="1869"/>
      <c r="R407" s="1869"/>
      <c r="S407" s="1869"/>
      <c r="T407" s="1869"/>
      <c r="U407" s="1869"/>
      <c r="V407" s="1869"/>
      <c r="W407" s="1869"/>
      <c r="X407" s="1869"/>
      <c r="Y407" s="1869"/>
      <c r="Z407" s="1869"/>
      <c r="AA407" s="1869"/>
      <c r="AB407" s="1869"/>
      <c r="AC407" s="1869"/>
      <c r="AD407" s="1869"/>
      <c r="AE407" s="1869"/>
      <c r="AF407" s="1869"/>
      <c r="AG407" s="1869"/>
      <c r="AH407" s="1869"/>
      <c r="AI407" s="1869"/>
      <c r="AJ407" s="1869"/>
      <c r="AK407" s="1869"/>
      <c r="AL407" s="1869"/>
      <c r="AM407" s="1870"/>
    </row>
    <row r="408" spans="2:47" ht="18" hidden="1" customHeight="1">
      <c r="B408" s="2156"/>
      <c r="C408" s="1910"/>
      <c r="D408" s="1910"/>
      <c r="E408" s="1910"/>
      <c r="F408" s="1910"/>
      <c r="G408" s="1910"/>
      <c r="H408" s="1910"/>
      <c r="I408" s="1910"/>
      <c r="J408" s="1910"/>
      <c r="K408" s="1910"/>
      <c r="L408" s="1910"/>
      <c r="M408" s="1910"/>
      <c r="N408" s="1910"/>
      <c r="O408" s="1910"/>
      <c r="P408" s="1910"/>
      <c r="Q408" s="1910"/>
      <c r="R408" s="1910"/>
      <c r="S408" s="1910"/>
      <c r="T408" s="1910"/>
      <c r="U408" s="1910"/>
      <c r="V408" s="1910"/>
      <c r="W408" s="1910"/>
      <c r="X408" s="1910"/>
      <c r="Y408" s="1910"/>
      <c r="Z408" s="1910"/>
      <c r="AA408" s="1910"/>
      <c r="AB408" s="1910"/>
      <c r="AC408" s="1910"/>
      <c r="AD408" s="1910"/>
      <c r="AE408" s="1910"/>
      <c r="AF408" s="1910"/>
      <c r="AG408" s="1910"/>
      <c r="AH408" s="1910"/>
      <c r="AI408" s="1910"/>
      <c r="AJ408" s="1910"/>
      <c r="AK408" s="1910"/>
      <c r="AL408" s="1910"/>
      <c r="AM408" s="1888"/>
    </row>
    <row r="409" spans="2:47" ht="18" hidden="1" customHeight="1">
      <c r="B409" s="2115" t="s">
        <v>869</v>
      </c>
      <c r="C409" s="1877"/>
      <c r="D409" s="1877"/>
      <c r="E409" s="1877"/>
      <c r="F409" s="1877"/>
      <c r="G409" s="1877"/>
      <c r="H409" s="1877"/>
      <c r="I409" s="1877"/>
      <c r="J409" s="1877"/>
      <c r="K409" s="1877"/>
      <c r="L409" s="1877"/>
      <c r="M409" s="1877"/>
      <c r="N409" s="1877"/>
      <c r="O409" s="1877"/>
      <c r="P409" s="1877"/>
      <c r="Q409" s="1877"/>
      <c r="R409" s="1877"/>
      <c r="S409" s="1877"/>
      <c r="T409" s="1877"/>
      <c r="U409" s="1877"/>
      <c r="V409" s="1877"/>
      <c r="W409" s="1877"/>
      <c r="X409" s="1877"/>
      <c r="Y409" s="1877"/>
      <c r="Z409" s="1877"/>
      <c r="AA409" s="1877"/>
      <c r="AB409" s="1877"/>
      <c r="AC409" s="1877"/>
      <c r="AD409" s="1877"/>
      <c r="AE409" s="1877"/>
      <c r="AF409" s="1877"/>
      <c r="AG409" s="1877"/>
      <c r="AH409" s="1877"/>
      <c r="AI409" s="1877"/>
      <c r="AJ409" s="1877"/>
      <c r="AK409" s="1877"/>
      <c r="AL409" s="1877"/>
      <c r="AM409" s="1877"/>
    </row>
    <row r="410" spans="2:47" s="171" customFormat="1" ht="18" hidden="1" customHeight="1">
      <c r="B410" s="2076" t="s">
        <v>870</v>
      </c>
      <c r="C410" s="1931"/>
      <c r="D410" s="1931"/>
      <c r="E410" s="1931"/>
      <c r="F410" s="1931"/>
      <c r="G410" s="1931"/>
      <c r="H410" s="1931"/>
      <c r="I410" s="1931"/>
      <c r="J410" s="1931"/>
      <c r="K410" s="1931"/>
      <c r="L410" s="1931"/>
      <c r="M410" s="1931"/>
      <c r="N410" s="1931"/>
      <c r="O410" s="1931"/>
      <c r="P410" s="1931"/>
      <c r="Q410" s="1931"/>
      <c r="R410" s="1931"/>
      <c r="S410" s="1931"/>
      <c r="T410" s="1931"/>
      <c r="U410" s="1931"/>
      <c r="V410" s="1931"/>
      <c r="W410" s="1931"/>
      <c r="X410" s="1931"/>
      <c r="Y410" s="1931"/>
      <c r="Z410" s="1931"/>
      <c r="AA410" s="1931"/>
      <c r="AB410" s="1931"/>
      <c r="AC410" s="1931"/>
      <c r="AD410" s="1931"/>
      <c r="AE410" s="1931"/>
      <c r="AF410" s="1931"/>
      <c r="AG410" s="1931"/>
      <c r="AH410" s="1931"/>
      <c r="AI410" s="1931"/>
      <c r="AJ410" s="1931"/>
      <c r="AK410" s="1931"/>
      <c r="AL410" s="1931"/>
      <c r="AM410" s="1889"/>
      <c r="AU410" s="57"/>
    </row>
    <row r="411" spans="2:47" s="171" customFormat="1" ht="18" hidden="1" customHeight="1">
      <c r="B411" s="1873"/>
      <c r="C411" s="1862"/>
      <c r="D411" s="1930" t="s">
        <v>871</v>
      </c>
      <c r="E411" s="1931"/>
      <c r="F411" s="1931"/>
      <c r="G411" s="1931"/>
      <c r="H411" s="1931"/>
      <c r="I411" s="2008"/>
      <c r="J411" s="1873"/>
      <c r="K411" s="1862"/>
      <c r="L411" s="1930" t="s">
        <v>872</v>
      </c>
      <c r="M411" s="1931"/>
      <c r="N411" s="1931"/>
      <c r="O411" s="1931"/>
      <c r="P411" s="1931"/>
      <c r="Q411" s="2008"/>
      <c r="R411" s="1873"/>
      <c r="S411" s="1862"/>
      <c r="T411" s="1930" t="s">
        <v>873</v>
      </c>
      <c r="U411" s="1931"/>
      <c r="V411" s="1931"/>
      <c r="W411" s="1931"/>
      <c r="X411" s="1931"/>
      <c r="Y411" s="2008"/>
      <c r="Z411" s="1873"/>
      <c r="AA411" s="1862"/>
      <c r="AB411" s="1930" t="s">
        <v>874</v>
      </c>
      <c r="AC411" s="1931"/>
      <c r="AD411" s="1931"/>
      <c r="AE411" s="1931"/>
      <c r="AF411" s="1931"/>
      <c r="AG411" s="2008"/>
      <c r="AH411" s="1873"/>
      <c r="AI411" s="1862"/>
      <c r="AJ411" s="2024" t="s">
        <v>875</v>
      </c>
      <c r="AK411" s="1931"/>
      <c r="AL411" s="1931"/>
      <c r="AM411" s="1889"/>
      <c r="AN411" s="58"/>
      <c r="AU411" s="57"/>
    </row>
    <row r="412" spans="2:47" s="171" customFormat="1" ht="18" hidden="1" customHeight="1">
      <c r="B412" s="1873"/>
      <c r="C412" s="1862"/>
      <c r="D412" s="1930" t="s">
        <v>876</v>
      </c>
      <c r="E412" s="1931"/>
      <c r="F412" s="1931"/>
      <c r="G412" s="1931"/>
      <c r="H412" s="1931"/>
      <c r="I412" s="1931"/>
      <c r="J412" s="1873"/>
      <c r="K412" s="1862"/>
      <c r="L412" s="1930" t="s">
        <v>877</v>
      </c>
      <c r="M412" s="1931"/>
      <c r="N412" s="1931"/>
      <c r="O412" s="1931"/>
      <c r="P412" s="1931"/>
      <c r="Q412" s="1931"/>
      <c r="R412" s="1873"/>
      <c r="S412" s="1862"/>
      <c r="T412" s="1930" t="s">
        <v>878</v>
      </c>
      <c r="U412" s="1931"/>
      <c r="V412" s="1931"/>
      <c r="W412" s="1931"/>
      <c r="X412" s="1931"/>
      <c r="Y412" s="1931"/>
      <c r="Z412" s="1873"/>
      <c r="AA412" s="1862"/>
      <c r="AB412" s="1930" t="s">
        <v>879</v>
      </c>
      <c r="AC412" s="1931"/>
      <c r="AD412" s="1931"/>
      <c r="AE412" s="1931"/>
      <c r="AF412" s="1931"/>
      <c r="AG412" s="1931"/>
      <c r="AH412" s="1873"/>
      <c r="AI412" s="1862"/>
      <c r="AJ412" s="2024" t="s">
        <v>880</v>
      </c>
      <c r="AK412" s="1931"/>
      <c r="AL412" s="1931"/>
      <c r="AM412" s="1889"/>
      <c r="AN412" s="58"/>
      <c r="AO412" s="58"/>
      <c r="AU412" s="57"/>
    </row>
    <row r="413" spans="2:47" s="171" customFormat="1" ht="18" hidden="1" customHeight="1">
      <c r="B413" s="1873"/>
      <c r="C413" s="1862"/>
      <c r="D413" s="1930" t="s">
        <v>881</v>
      </c>
      <c r="E413" s="1931"/>
      <c r="F413" s="1931"/>
      <c r="G413" s="1931"/>
      <c r="H413" s="1931"/>
      <c r="I413" s="1931"/>
      <c r="J413" s="1873"/>
      <c r="K413" s="1862"/>
      <c r="L413" s="1930" t="s">
        <v>882</v>
      </c>
      <c r="M413" s="1931"/>
      <c r="N413" s="1931"/>
      <c r="O413" s="1931"/>
      <c r="P413" s="1931"/>
      <c r="Q413" s="1931"/>
      <c r="R413" s="1939"/>
      <c r="S413" s="1940"/>
      <c r="T413" s="1930" t="s">
        <v>883</v>
      </c>
      <c r="U413" s="1931"/>
      <c r="V413" s="1931"/>
      <c r="W413" s="1931"/>
      <c r="X413" s="1931"/>
      <c r="Y413" s="1931"/>
      <c r="Z413" s="1873"/>
      <c r="AA413" s="1862"/>
      <c r="AB413" s="1930" t="s">
        <v>884</v>
      </c>
      <c r="AC413" s="1931"/>
      <c r="AD413" s="1931"/>
      <c r="AE413" s="1931"/>
      <c r="AF413" s="1931"/>
      <c r="AG413" s="1931"/>
      <c r="AH413" s="1873"/>
      <c r="AI413" s="1862"/>
      <c r="AJ413" s="2161" t="s">
        <v>885</v>
      </c>
      <c r="AK413" s="1877"/>
      <c r="AL413" s="1877"/>
      <c r="AM413" s="1772"/>
      <c r="AN413" s="58"/>
      <c r="AO413" s="58"/>
      <c r="AU413" s="57"/>
    </row>
    <row r="414" spans="2:47" s="171" customFormat="1" ht="18" hidden="1" customHeight="1">
      <c r="B414" s="1873"/>
      <c r="C414" s="1862"/>
      <c r="D414" s="1930" t="s">
        <v>886</v>
      </c>
      <c r="E414" s="1931"/>
      <c r="F414" s="1931"/>
      <c r="G414" s="1931"/>
      <c r="H414" s="1931"/>
      <c r="I414" s="1931"/>
      <c r="J414" s="1873"/>
      <c r="K414" s="1862"/>
      <c r="L414" s="1930" t="s">
        <v>887</v>
      </c>
      <c r="M414" s="1931"/>
      <c r="N414" s="1931"/>
      <c r="O414" s="1931"/>
      <c r="P414" s="1931"/>
      <c r="Q414" s="1931"/>
      <c r="R414" s="1873"/>
      <c r="S414" s="1862"/>
      <c r="T414" s="2218" t="s">
        <v>888</v>
      </c>
      <c r="U414" s="1861"/>
      <c r="V414" s="1861"/>
      <c r="W414" s="1861"/>
      <c r="X414" s="1862"/>
      <c r="Y414" s="1931"/>
      <c r="Z414" s="1873"/>
      <c r="AA414" s="1862"/>
      <c r="AB414" s="2218" t="s">
        <v>888</v>
      </c>
      <c r="AC414" s="1861"/>
      <c r="AD414" s="1861"/>
      <c r="AE414" s="1861"/>
      <c r="AF414" s="1862"/>
      <c r="AG414" s="1931"/>
      <c r="AH414" s="1873"/>
      <c r="AI414" s="1862"/>
      <c r="AJ414" s="2078" t="s">
        <v>888</v>
      </c>
      <c r="AK414" s="1869"/>
      <c r="AL414" s="1869"/>
      <c r="AM414" s="1870"/>
      <c r="AU414" s="57"/>
    </row>
    <row r="415" spans="2:47" s="171" customFormat="1" ht="18" hidden="1" customHeight="1">
      <c r="B415" s="206"/>
      <c r="AM415" s="848"/>
      <c r="AU415" s="57"/>
    </row>
    <row r="416" spans="2:47" s="171" customFormat="1" ht="18" hidden="1" customHeight="1">
      <c r="B416" s="2279" t="s">
        <v>889</v>
      </c>
      <c r="C416" s="1931"/>
      <c r="D416" s="1931"/>
      <c r="E416" s="1931"/>
      <c r="F416" s="1931"/>
      <c r="G416" s="1931"/>
      <c r="H416" s="1931"/>
      <c r="I416" s="1931"/>
      <c r="J416" s="1931"/>
      <c r="K416" s="1931"/>
      <c r="L416" s="1931"/>
      <c r="M416" s="1931"/>
      <c r="N416" s="1931"/>
      <c r="O416" s="1931"/>
      <c r="P416" s="1931"/>
      <c r="Q416" s="1931"/>
      <c r="R416" s="1931"/>
      <c r="S416" s="1931"/>
      <c r="T416" s="1931"/>
      <c r="U416" s="1931"/>
      <c r="V416" s="1931"/>
      <c r="W416" s="1931"/>
      <c r="X416" s="1931"/>
      <c r="Y416" s="1931"/>
      <c r="Z416" s="1931"/>
      <c r="AA416" s="1931"/>
      <c r="AB416" s="1931"/>
      <c r="AC416" s="1931"/>
      <c r="AD416" s="1931"/>
      <c r="AE416" s="1931"/>
      <c r="AF416" s="1931"/>
      <c r="AG416" s="1931"/>
      <c r="AH416" s="1931"/>
      <c r="AI416" s="1931"/>
      <c r="AJ416" s="1931"/>
      <c r="AK416" s="1931"/>
      <c r="AL416" s="1931"/>
      <c r="AM416" s="1889"/>
      <c r="AU416" s="57"/>
    </row>
    <row r="417" spans="2:47" s="171" customFormat="1" ht="18" hidden="1" customHeight="1">
      <c r="B417" s="2257" t="s">
        <v>890</v>
      </c>
      <c r="C417" s="1931"/>
      <c r="D417" s="1931"/>
      <c r="E417" s="1873"/>
      <c r="F417" s="1862"/>
      <c r="G417" s="1873"/>
      <c r="H417" s="1862"/>
      <c r="K417" s="2029" t="s">
        <v>891</v>
      </c>
      <c r="L417" s="1777"/>
      <c r="M417" s="1777"/>
      <c r="N417" s="1778"/>
      <c r="O417" s="1873"/>
      <c r="P417" s="1862"/>
      <c r="Q417" s="1873"/>
      <c r="R417" s="1862"/>
      <c r="T417" s="2029" t="s">
        <v>892</v>
      </c>
      <c r="U417" s="1777"/>
      <c r="V417" s="1778"/>
      <c r="W417" s="1873"/>
      <c r="X417" s="1862"/>
      <c r="Y417" s="1873"/>
      <c r="Z417" s="1862"/>
      <c r="AB417" s="2029" t="s">
        <v>893</v>
      </c>
      <c r="AC417" s="1778"/>
      <c r="AD417" s="1873"/>
      <c r="AE417" s="1862"/>
      <c r="AF417" s="1873"/>
      <c r="AG417" s="1862"/>
      <c r="AH417" s="58"/>
      <c r="AI417" s="58"/>
      <c r="AM417" s="848"/>
      <c r="AN417" s="206"/>
      <c r="AU417" s="57"/>
    </row>
    <row r="418" spans="2:47" s="171" customFormat="1" ht="18" hidden="1" customHeight="1">
      <c r="B418" s="206"/>
      <c r="AM418" s="848"/>
      <c r="AN418" s="58"/>
      <c r="AU418" s="57"/>
    </row>
    <row r="419" spans="2:47" s="171" customFormat="1" ht="18" hidden="1" customHeight="1">
      <c r="B419" s="1873"/>
      <c r="C419" s="1862"/>
      <c r="D419" s="1930" t="s">
        <v>894</v>
      </c>
      <c r="E419" s="1931"/>
      <c r="F419" s="1931"/>
      <c r="G419" s="1931"/>
      <c r="H419" s="1931"/>
      <c r="I419" s="1931"/>
      <c r="J419" s="1931"/>
      <c r="K419" s="2008"/>
      <c r="L419" s="1873"/>
      <c r="M419" s="1862"/>
      <c r="N419" s="1930" t="s">
        <v>895</v>
      </c>
      <c r="O419" s="1931"/>
      <c r="P419" s="1931"/>
      <c r="Q419" s="1931"/>
      <c r="R419" s="1931"/>
      <c r="S419" s="1931"/>
      <c r="T419" s="1931"/>
      <c r="U419" s="2008"/>
      <c r="V419" s="1873"/>
      <c r="W419" s="1862"/>
      <c r="X419" s="1930" t="s">
        <v>896</v>
      </c>
      <c r="Y419" s="1931"/>
      <c r="Z419" s="1931"/>
      <c r="AA419" s="1931"/>
      <c r="AB419" s="1931"/>
      <c r="AC419" s="1931"/>
      <c r="AD419" s="1931"/>
      <c r="AE419" s="2008"/>
      <c r="AF419" s="1873"/>
      <c r="AG419" s="1862"/>
      <c r="AH419" s="2024" t="s">
        <v>897</v>
      </c>
      <c r="AI419" s="1931"/>
      <c r="AJ419" s="1931"/>
      <c r="AK419" s="1931"/>
      <c r="AL419" s="1931"/>
      <c r="AM419" s="1889"/>
      <c r="AN419" s="58"/>
      <c r="AU419" s="57"/>
    </row>
    <row r="420" spans="2:47" s="171" customFormat="1" ht="18" hidden="1" customHeight="1">
      <c r="B420" s="1873"/>
      <c r="C420" s="1862"/>
      <c r="D420" s="1930" t="s">
        <v>898</v>
      </c>
      <c r="E420" s="1931"/>
      <c r="F420" s="1931"/>
      <c r="G420" s="1931"/>
      <c r="H420" s="1931"/>
      <c r="I420" s="1931"/>
      <c r="J420" s="1931"/>
      <c r="K420" s="1931"/>
      <c r="L420" s="1873"/>
      <c r="M420" s="1862"/>
      <c r="N420" s="1930" t="s">
        <v>899</v>
      </c>
      <c r="O420" s="1931"/>
      <c r="P420" s="1931"/>
      <c r="Q420" s="1931"/>
      <c r="R420" s="1931"/>
      <c r="S420" s="1931"/>
      <c r="T420" s="1931"/>
      <c r="U420" s="1931"/>
      <c r="V420" s="1873"/>
      <c r="W420" s="1862"/>
      <c r="X420" s="1930" t="s">
        <v>900</v>
      </c>
      <c r="Y420" s="1931"/>
      <c r="Z420" s="1931"/>
      <c r="AA420" s="1931"/>
      <c r="AB420" s="1931"/>
      <c r="AC420" s="1931"/>
      <c r="AD420" s="1931"/>
      <c r="AE420" s="1931"/>
      <c r="AF420" s="1873"/>
      <c r="AG420" s="1862"/>
      <c r="AH420" s="2024" t="s">
        <v>901</v>
      </c>
      <c r="AI420" s="1931"/>
      <c r="AJ420" s="1931"/>
      <c r="AK420" s="1931"/>
      <c r="AL420" s="1931"/>
      <c r="AM420" s="1889"/>
      <c r="AU420" s="57"/>
    </row>
    <row r="421" spans="2:47" s="171" customFormat="1" ht="18" hidden="1" customHeight="1">
      <c r="B421" s="1873"/>
      <c r="C421" s="1862"/>
      <c r="D421" s="2128" t="s">
        <v>902</v>
      </c>
      <c r="E421" s="1877"/>
      <c r="F421" s="1877"/>
      <c r="G421" s="1877"/>
      <c r="H421" s="1877"/>
      <c r="I421" s="1877"/>
      <c r="J421" s="1877"/>
      <c r="K421" s="1931"/>
      <c r="L421" s="1873"/>
      <c r="M421" s="1862"/>
      <c r="N421" s="2128" t="s">
        <v>903</v>
      </c>
      <c r="O421" s="1877"/>
      <c r="P421" s="1877"/>
      <c r="Q421" s="1877"/>
      <c r="R421" s="1877"/>
      <c r="S421" s="1877"/>
      <c r="T421" s="1877"/>
      <c r="U421" s="1931"/>
      <c r="V421" s="1873"/>
      <c r="W421" s="1862"/>
      <c r="X421" s="2128" t="s">
        <v>904</v>
      </c>
      <c r="Y421" s="1877"/>
      <c r="Z421" s="1877"/>
      <c r="AA421" s="1877"/>
      <c r="AB421" s="1877"/>
      <c r="AC421" s="1877"/>
      <c r="AD421" s="1877"/>
      <c r="AE421" s="1931"/>
      <c r="AF421" s="1873"/>
      <c r="AG421" s="1862"/>
      <c r="AH421" s="2161" t="s">
        <v>905</v>
      </c>
      <c r="AI421" s="1877"/>
      <c r="AJ421" s="1877"/>
      <c r="AK421" s="1877"/>
      <c r="AL421" s="1877"/>
      <c r="AM421" s="1772"/>
      <c r="AU421" s="57"/>
    </row>
    <row r="422" spans="2:47" s="171" customFormat="1" ht="18" hidden="1" customHeight="1">
      <c r="B422" s="1873"/>
      <c r="C422" s="1862"/>
      <c r="D422" s="1955" t="s">
        <v>888</v>
      </c>
      <c r="E422" s="1869"/>
      <c r="F422" s="1869"/>
      <c r="G422" s="1869"/>
      <c r="H422" s="1869"/>
      <c r="I422" s="1869"/>
      <c r="J422" s="1870"/>
      <c r="K422" s="1931"/>
      <c r="L422" s="1873"/>
      <c r="M422" s="1862"/>
      <c r="N422" s="2278" t="s">
        <v>888</v>
      </c>
      <c r="O422" s="1861"/>
      <c r="P422" s="1861"/>
      <c r="Q422" s="1861"/>
      <c r="R422" s="1861"/>
      <c r="S422" s="1861"/>
      <c r="T422" s="1862"/>
      <c r="U422" s="1931"/>
      <c r="V422" s="1873"/>
      <c r="W422" s="1862"/>
      <c r="X422" s="1955" t="s">
        <v>888</v>
      </c>
      <c r="Y422" s="1869"/>
      <c r="Z422" s="1869"/>
      <c r="AA422" s="1869"/>
      <c r="AB422" s="1869"/>
      <c r="AC422" s="1869"/>
      <c r="AD422" s="1870"/>
      <c r="AE422" s="1931"/>
      <c r="AF422" s="1873"/>
      <c r="AG422" s="1862"/>
      <c r="AH422" s="1955" t="s">
        <v>888</v>
      </c>
      <c r="AI422" s="1869"/>
      <c r="AJ422" s="1869"/>
      <c r="AK422" s="1869"/>
      <c r="AL422" s="1869"/>
      <c r="AM422" s="1870"/>
      <c r="AU422" s="57"/>
    </row>
    <row r="423" spans="2:47" s="171" customFormat="1" ht="18" hidden="1" customHeight="1">
      <c r="B423" s="206"/>
      <c r="AM423" s="848"/>
      <c r="AU423" s="57"/>
    </row>
    <row r="424" spans="2:47" s="171" customFormat="1" ht="18" hidden="1" customHeight="1">
      <c r="B424" s="2076" t="s">
        <v>906</v>
      </c>
      <c r="C424" s="1931"/>
      <c r="D424" s="1931"/>
      <c r="E424" s="1931"/>
      <c r="F424" s="1931"/>
      <c r="G424" s="1931"/>
      <c r="H424" s="1931"/>
      <c r="I424" s="1931"/>
      <c r="J424" s="1931"/>
      <c r="K424" s="1931"/>
      <c r="L424" s="1931"/>
      <c r="M424" s="1931"/>
      <c r="N424" s="1931"/>
      <c r="O424" s="1931"/>
      <c r="P424" s="1931"/>
      <c r="Q424" s="1931"/>
      <c r="R424" s="1931"/>
      <c r="S424" s="1931"/>
      <c r="T424" s="1931"/>
      <c r="U424" s="1931"/>
      <c r="V424" s="1931"/>
      <c r="W424" s="1931"/>
      <c r="X424" s="1931"/>
      <c r="Y424" s="1931"/>
      <c r="Z424" s="1931"/>
      <c r="AA424" s="1931"/>
      <c r="AB424" s="1931"/>
      <c r="AC424" s="1931"/>
      <c r="AD424" s="1931"/>
      <c r="AE424" s="1931"/>
      <c r="AF424" s="1931"/>
      <c r="AG424" s="1931"/>
      <c r="AH424" s="1931"/>
      <c r="AI424" s="1931"/>
      <c r="AJ424" s="1931"/>
      <c r="AK424" s="1931"/>
      <c r="AL424" s="1931"/>
      <c r="AM424" s="1889"/>
      <c r="AU424" s="57"/>
    </row>
    <row r="425" spans="2:47" s="171" customFormat="1" ht="18" hidden="1" customHeight="1">
      <c r="B425" s="1873"/>
      <c r="C425" s="1862"/>
      <c r="D425" s="1930" t="s">
        <v>907</v>
      </c>
      <c r="E425" s="1931"/>
      <c r="F425" s="1931"/>
      <c r="G425" s="1931"/>
      <c r="H425" s="1931"/>
      <c r="J425" s="1873"/>
      <c r="K425" s="1862"/>
      <c r="L425" s="1930" t="s">
        <v>908</v>
      </c>
      <c r="M425" s="1931"/>
      <c r="N425" s="1931"/>
      <c r="O425" s="1931"/>
      <c r="P425" s="1931"/>
      <c r="R425" s="1873"/>
      <c r="S425" s="1862"/>
      <c r="T425" s="1930" t="s">
        <v>909</v>
      </c>
      <c r="U425" s="1931"/>
      <c r="V425" s="1931"/>
      <c r="W425" s="1931"/>
      <c r="X425" s="1931"/>
      <c r="Z425" s="1873"/>
      <c r="AA425" s="1862"/>
      <c r="AB425" s="1930" t="s">
        <v>910</v>
      </c>
      <c r="AC425" s="1931"/>
      <c r="AD425" s="1931"/>
      <c r="AE425" s="1931"/>
      <c r="AF425" s="1931"/>
      <c r="AM425" s="848"/>
      <c r="AU425" s="57"/>
    </row>
    <row r="426" spans="2:47" s="171" customFormat="1" ht="18" hidden="1" customHeight="1">
      <c r="B426" s="206"/>
      <c r="AM426" s="848"/>
      <c r="AU426" s="57"/>
    </row>
    <row r="427" spans="2:47" s="171" customFormat="1" ht="18" hidden="1" customHeight="1">
      <c r="B427" s="2275" t="s">
        <v>911</v>
      </c>
      <c r="C427" s="1777"/>
      <c r="D427" s="1777"/>
      <c r="E427" s="1777"/>
      <c r="F427" s="1777"/>
      <c r="G427" s="1777"/>
      <c r="H427" s="1777"/>
      <c r="I427" s="1777"/>
      <c r="J427" s="1777"/>
      <c r="K427" s="1777"/>
      <c r="L427" s="1777"/>
      <c r="M427" s="1777"/>
      <c r="N427" s="1777"/>
      <c r="O427" s="1777"/>
      <c r="P427" s="1777"/>
      <c r="Q427" s="1777"/>
      <c r="R427" s="1777"/>
      <c r="S427" s="1777"/>
      <c r="T427" s="1777"/>
      <c r="U427" s="1777"/>
      <c r="V427" s="1777"/>
      <c r="W427" s="1777"/>
      <c r="X427" s="1777"/>
      <c r="Y427" s="1777"/>
      <c r="Z427" s="1777"/>
      <c r="AA427" s="1777"/>
      <c r="AB427" s="1777"/>
      <c r="AC427" s="1777"/>
      <c r="AD427" s="1777"/>
      <c r="AE427" s="1777"/>
      <c r="AF427" s="1777"/>
      <c r="AG427" s="1777"/>
      <c r="AH427" s="1777"/>
      <c r="AI427" s="1777"/>
      <c r="AJ427" s="1777"/>
      <c r="AK427" s="1777"/>
      <c r="AL427" s="1777"/>
      <c r="AM427" s="1778"/>
      <c r="AU427" s="57"/>
    </row>
    <row r="428" spans="2:47" s="171" customFormat="1" ht="63" hidden="1" customHeight="1">
      <c r="B428" s="2183"/>
      <c r="C428" s="1861"/>
      <c r="D428" s="1861"/>
      <c r="E428" s="1861"/>
      <c r="F428" s="1861"/>
      <c r="G428" s="1861"/>
      <c r="H428" s="1861"/>
      <c r="I428" s="1861"/>
      <c r="J428" s="1861"/>
      <c r="K428" s="1861"/>
      <c r="L428" s="1861"/>
      <c r="M428" s="1861"/>
      <c r="N428" s="1861"/>
      <c r="O428" s="1861"/>
      <c r="P428" s="1861"/>
      <c r="Q428" s="1861"/>
      <c r="R428" s="1861"/>
      <c r="S428" s="1861"/>
      <c r="T428" s="1861"/>
      <c r="U428" s="1861"/>
      <c r="V428" s="1861"/>
      <c r="W428" s="1861"/>
      <c r="X428" s="1861"/>
      <c r="Y428" s="1861"/>
      <c r="Z428" s="1861"/>
      <c r="AA428" s="1861"/>
      <c r="AB428" s="1861"/>
      <c r="AC428" s="1861"/>
      <c r="AD428" s="1861"/>
      <c r="AE428" s="1861"/>
      <c r="AF428" s="1861"/>
      <c r="AG428" s="1861"/>
      <c r="AH428" s="1861"/>
      <c r="AI428" s="1861"/>
      <c r="AJ428" s="1861"/>
      <c r="AK428" s="1861"/>
      <c r="AL428" s="1861"/>
      <c r="AM428" s="1862"/>
      <c r="AU428" s="57"/>
    </row>
    <row r="429" spans="2:47" s="171" customFormat="1" ht="18" hidden="1" customHeight="1">
      <c r="B429" s="206"/>
      <c r="AM429" s="848"/>
      <c r="AU429" s="57"/>
    </row>
    <row r="430" spans="2:47" s="171" customFormat="1" ht="18" hidden="1" customHeight="1">
      <c r="B430" s="2274" t="s">
        <v>912</v>
      </c>
      <c r="C430" s="1777"/>
      <c r="D430" s="1777"/>
      <c r="E430" s="1777"/>
      <c r="F430" s="1777"/>
      <c r="G430" s="1777"/>
      <c r="H430" s="1777"/>
      <c r="I430" s="2285"/>
      <c r="J430" s="1777"/>
      <c r="K430" s="1777"/>
      <c r="L430" s="1777"/>
      <c r="M430" s="1777"/>
      <c r="N430" s="1777"/>
      <c r="O430" s="1777"/>
      <c r="P430" s="1777"/>
      <c r="Q430" s="1777"/>
      <c r="R430" s="1777"/>
      <c r="S430" s="1777"/>
      <c r="T430" s="1777"/>
      <c r="U430" s="1777"/>
      <c r="V430" s="1777"/>
      <c r="W430" s="1777"/>
      <c r="X430" s="1777"/>
      <c r="Y430" s="1777"/>
      <c r="Z430" s="1777"/>
      <c r="AA430" s="1777"/>
      <c r="AB430" s="1777"/>
      <c r="AC430" s="1777"/>
      <c r="AD430" s="1777"/>
      <c r="AE430" s="1777"/>
      <c r="AF430" s="1777"/>
      <c r="AG430" s="1777"/>
      <c r="AH430" s="1777"/>
      <c r="AI430" s="1777"/>
      <c r="AJ430" s="1777"/>
      <c r="AK430" s="1777"/>
      <c r="AL430" s="1777"/>
      <c r="AM430" s="1778"/>
      <c r="AU430" s="57"/>
    </row>
    <row r="431" spans="2:47" s="171" customFormat="1" ht="63" hidden="1" customHeight="1">
      <c r="B431" s="1868"/>
      <c r="C431" s="1869"/>
      <c r="D431" s="1869"/>
      <c r="E431" s="1869"/>
      <c r="F431" s="1869"/>
      <c r="G431" s="1869"/>
      <c r="H431" s="1869"/>
      <c r="I431" s="1869"/>
      <c r="J431" s="1869"/>
      <c r="K431" s="1869"/>
      <c r="L431" s="1869"/>
      <c r="M431" s="1869"/>
      <c r="N431" s="1869"/>
      <c r="O431" s="1869"/>
      <c r="P431" s="1869"/>
      <c r="Q431" s="1869"/>
      <c r="R431" s="1869"/>
      <c r="S431" s="1869"/>
      <c r="T431" s="1869"/>
      <c r="U431" s="1869"/>
      <c r="V431" s="1869"/>
      <c r="W431" s="1869"/>
      <c r="X431" s="1869"/>
      <c r="Y431" s="1869"/>
      <c r="Z431" s="1869"/>
      <c r="AA431" s="1869"/>
      <c r="AB431" s="1869"/>
      <c r="AC431" s="1869"/>
      <c r="AD431" s="1869"/>
      <c r="AE431" s="1869"/>
      <c r="AF431" s="1869"/>
      <c r="AG431" s="1869"/>
      <c r="AH431" s="1869"/>
      <c r="AI431" s="1869"/>
      <c r="AJ431" s="1869"/>
      <c r="AK431" s="1869"/>
      <c r="AL431" s="1869"/>
      <c r="AM431" s="1870"/>
      <c r="AN431" s="57"/>
      <c r="AU431" s="57"/>
    </row>
    <row r="432" spans="2:47" ht="18" hidden="1" customHeight="1">
      <c r="B432" s="2112" t="s">
        <v>913</v>
      </c>
      <c r="C432" s="1953"/>
      <c r="D432" s="1953"/>
      <c r="E432" s="1953"/>
      <c r="F432" s="1953"/>
      <c r="G432" s="1953"/>
      <c r="H432" s="1953"/>
      <c r="I432" s="1953"/>
      <c r="J432" s="1953"/>
      <c r="K432" s="1953"/>
      <c r="L432" s="1953"/>
      <c r="M432" s="1953"/>
      <c r="N432" s="1953"/>
      <c r="O432" s="1953"/>
      <c r="P432" s="1953"/>
      <c r="Q432" s="1953"/>
      <c r="R432" s="1953"/>
      <c r="S432" s="1953"/>
      <c r="T432" s="1953"/>
      <c r="U432" s="1953"/>
      <c r="V432" s="1953"/>
      <c r="W432" s="1953"/>
      <c r="X432" s="1953"/>
      <c r="Y432" s="1953"/>
      <c r="Z432" s="1953"/>
      <c r="AA432" s="1953"/>
      <c r="AB432" s="1953"/>
      <c r="AC432" s="1953"/>
      <c r="AD432" s="1953"/>
      <c r="AE432" s="1953"/>
      <c r="AF432" s="1953"/>
      <c r="AG432" s="1953"/>
      <c r="AH432" s="1953"/>
      <c r="AI432" s="1953"/>
      <c r="AJ432" s="1953"/>
      <c r="AK432" s="1953"/>
      <c r="AL432" s="1953"/>
      <c r="AM432" s="1953"/>
      <c r="AN432" s="58"/>
      <c r="AO432" s="57"/>
    </row>
    <row r="433" spans="1:47" ht="18" hidden="1" customHeight="1">
      <c r="B433" s="2115" t="s">
        <v>914</v>
      </c>
      <c r="C433" s="1877"/>
      <c r="D433" s="1877"/>
      <c r="E433" s="1877"/>
      <c r="F433" s="1877"/>
      <c r="G433" s="1877"/>
      <c r="H433" s="1877"/>
      <c r="I433" s="1877"/>
      <c r="J433" s="1877"/>
      <c r="K433" s="1877"/>
      <c r="L433" s="1877"/>
      <c r="M433" s="1877"/>
      <c r="N433" s="1877"/>
      <c r="O433" s="1877"/>
      <c r="P433" s="1877"/>
      <c r="Q433" s="1877"/>
      <c r="R433" s="1877"/>
      <c r="S433" s="1877"/>
      <c r="T433" s="1877"/>
      <c r="U433" s="1877"/>
      <c r="V433" s="1877"/>
      <c r="W433" s="1877"/>
      <c r="X433" s="1877"/>
      <c r="Y433" s="1877"/>
      <c r="Z433" s="1877"/>
      <c r="AA433" s="1877"/>
      <c r="AB433" s="1877"/>
      <c r="AC433" s="1877"/>
      <c r="AD433" s="1877"/>
      <c r="AE433" s="1877"/>
      <c r="AF433" s="1877"/>
      <c r="AG433" s="1877"/>
      <c r="AH433" s="1877"/>
      <c r="AI433" s="1877"/>
      <c r="AJ433" s="1877"/>
      <c r="AK433" s="1877"/>
      <c r="AL433" s="1877"/>
      <c r="AM433" s="1877"/>
      <c r="AN433" s="246"/>
      <c r="AO433" s="57"/>
    </row>
    <row r="434" spans="1:47" s="754" customFormat="1" ht="18" hidden="1" customHeight="1">
      <c r="A434" s="246"/>
      <c r="B434" s="2097" t="s">
        <v>915</v>
      </c>
      <c r="C434" s="1880"/>
      <c r="D434" s="1880"/>
      <c r="E434" s="1880"/>
      <c r="F434" s="1880"/>
      <c r="G434" s="1880"/>
      <c r="H434" s="1764"/>
      <c r="I434" s="1764"/>
      <c r="J434" s="1764"/>
      <c r="K434" s="1764"/>
      <c r="L434" s="1764"/>
      <c r="M434" s="1764"/>
      <c r="N434" s="1764"/>
      <c r="O434" s="1764"/>
      <c r="P434" s="1764"/>
      <c r="Q434" s="1764"/>
      <c r="X434" s="1764"/>
      <c r="Y434" s="1764"/>
      <c r="Z434" s="1764"/>
      <c r="AA434" s="1764"/>
      <c r="AB434" s="1764"/>
      <c r="AC434" s="1764"/>
      <c r="AD434" s="1764"/>
      <c r="AE434" s="1764"/>
      <c r="AF434" s="1764"/>
      <c r="AG434" s="1764"/>
      <c r="AH434" s="1764"/>
      <c r="AI434" s="1764"/>
      <c r="AJ434" s="1764"/>
      <c r="AK434" s="1764"/>
      <c r="AL434" s="1764"/>
      <c r="AM434" s="1001"/>
      <c r="AN434" s="246"/>
      <c r="AS434" s="246"/>
      <c r="AU434" s="1664"/>
    </row>
    <row r="435" spans="1:47" s="754" customFormat="1" ht="18" hidden="1" customHeight="1">
      <c r="A435" s="246"/>
      <c r="B435" s="2153" t="s">
        <v>254</v>
      </c>
      <c r="C435" s="1880"/>
      <c r="D435" s="1880"/>
      <c r="E435" s="1880"/>
      <c r="F435" s="1917"/>
      <c r="G435" s="1861"/>
      <c r="H435" s="1862"/>
      <c r="I435" s="2382" t="s">
        <v>916</v>
      </c>
      <c r="J435" s="1880"/>
      <c r="K435" s="1880"/>
      <c r="L435" s="1889"/>
      <c r="M435" s="1917"/>
      <c r="N435" s="1861"/>
      <c r="O435" s="1862"/>
      <c r="P435" s="1972" t="s">
        <v>917</v>
      </c>
      <c r="Q435" s="1880"/>
      <c r="R435" s="1880"/>
      <c r="S435" s="1880"/>
      <c r="T435" s="1880"/>
      <c r="U435" s="1917"/>
      <c r="V435" s="1861"/>
      <c r="W435" s="1862"/>
      <c r="X435" s="2189" t="s">
        <v>918</v>
      </c>
      <c r="Y435" s="1880"/>
      <c r="Z435" s="1880"/>
      <c r="AA435" s="1880"/>
      <c r="AB435" s="1917"/>
      <c r="AC435" s="1861"/>
      <c r="AD435" s="1862"/>
      <c r="AE435" s="2189" t="s">
        <v>919</v>
      </c>
      <c r="AF435" s="1880"/>
      <c r="AG435" s="1880"/>
      <c r="AH435" s="1880"/>
      <c r="AI435" s="1880"/>
      <c r="AJ435" s="1880"/>
      <c r="AK435" s="1917"/>
      <c r="AL435" s="1861"/>
      <c r="AM435" s="1862"/>
      <c r="AN435" s="246"/>
      <c r="AS435" s="246"/>
      <c r="AU435" s="1664"/>
    </row>
    <row r="436" spans="1:47" s="754" customFormat="1" ht="18" hidden="1" customHeight="1">
      <c r="A436" s="246"/>
      <c r="B436" s="2024" t="s">
        <v>920</v>
      </c>
      <c r="C436" s="1880"/>
      <c r="D436" s="1880"/>
      <c r="E436" s="1880"/>
      <c r="F436" s="1880"/>
      <c r="G436" s="1880"/>
      <c r="H436" s="1889"/>
      <c r="I436" s="1934">
        <f>SUM($F$435,$M$435,$U$435,$AB$435,$AK$435)</f>
        <v>0</v>
      </c>
      <c r="J436" s="1777"/>
      <c r="K436" s="1778"/>
      <c r="AM436" s="1002"/>
      <c r="AN436" s="246"/>
      <c r="AS436" s="246"/>
      <c r="AU436" s="1664"/>
    </row>
    <row r="437" spans="1:47" s="754" customFormat="1" ht="18" hidden="1" customHeight="1">
      <c r="A437" s="246"/>
      <c r="B437" s="755"/>
      <c r="AM437" s="1002"/>
      <c r="AN437" s="246"/>
      <c r="AS437" s="246"/>
      <c r="AU437" s="1664"/>
    </row>
    <row r="438" spans="1:47" s="754" customFormat="1" ht="18" hidden="1" customHeight="1">
      <c r="A438" s="246"/>
      <c r="B438" s="2256" t="s">
        <v>921</v>
      </c>
      <c r="C438" s="1877"/>
      <c r="D438" s="1877"/>
      <c r="E438" s="1877"/>
      <c r="F438" s="1772"/>
      <c r="G438" s="1878"/>
      <c r="H438" s="1861"/>
      <c r="I438" s="1862"/>
      <c r="K438" s="2113" t="s">
        <v>922</v>
      </c>
      <c r="L438" s="1877"/>
      <c r="M438" s="1877"/>
      <c r="N438" s="1877"/>
      <c r="O438" s="1772"/>
      <c r="P438" s="1878"/>
      <c r="Q438" s="1861"/>
      <c r="R438" s="1862"/>
      <c r="T438" s="2381" t="s">
        <v>923</v>
      </c>
      <c r="U438" s="1877"/>
      <c r="V438" s="1877"/>
      <c r="W438" s="1877"/>
      <c r="X438" s="1917"/>
      <c r="Y438" s="1861"/>
      <c r="Z438" s="1862"/>
      <c r="AB438" s="2001" t="s">
        <v>924</v>
      </c>
      <c r="AC438" s="1880"/>
      <c r="AD438" s="1880"/>
      <c r="AE438" s="1880"/>
      <c r="AF438" s="1880"/>
      <c r="AG438" s="1889"/>
      <c r="AH438" s="1917"/>
      <c r="AI438" s="1861"/>
      <c r="AJ438" s="1862"/>
      <c r="AM438" s="1002"/>
      <c r="AN438" s="246"/>
      <c r="AS438" s="246"/>
      <c r="AU438" s="1664"/>
    </row>
    <row r="439" spans="1:47" s="754" customFormat="1" ht="18" hidden="1" customHeight="1">
      <c r="A439" s="246"/>
      <c r="B439" s="2362" t="s">
        <v>925</v>
      </c>
      <c r="C439" s="2022"/>
      <c r="D439" s="2022"/>
      <c r="E439" s="2022"/>
      <c r="F439" s="2023"/>
      <c r="G439" s="1917"/>
      <c r="H439" s="1861"/>
      <c r="I439" s="1862"/>
      <c r="K439" s="1941" t="s">
        <v>925</v>
      </c>
      <c r="L439" s="1861"/>
      <c r="M439" s="1861"/>
      <c r="N439" s="1861"/>
      <c r="O439" s="1862"/>
      <c r="P439" s="1917"/>
      <c r="Q439" s="1861"/>
      <c r="R439" s="1862"/>
      <c r="T439" s="1941" t="s">
        <v>925</v>
      </c>
      <c r="U439" s="1861"/>
      <c r="V439" s="1861"/>
      <c r="W439" s="1862"/>
      <c r="X439" s="1873"/>
      <c r="Y439" s="1861"/>
      <c r="Z439" s="1862"/>
      <c r="AA439" s="136"/>
      <c r="AB439" s="136"/>
      <c r="AC439" s="136"/>
      <c r="AD439" s="136"/>
      <c r="AE439" s="136"/>
      <c r="AF439" s="136"/>
      <c r="AG439" s="136"/>
      <c r="AH439" s="136"/>
      <c r="AI439" s="136"/>
      <c r="AJ439" s="136"/>
      <c r="AM439" s="1002"/>
      <c r="AN439" s="246"/>
      <c r="AS439" s="246"/>
      <c r="AU439" s="1664"/>
    </row>
    <row r="440" spans="1:47" s="754" customFormat="1" ht="18" hidden="1" customHeight="1">
      <c r="A440" s="246"/>
      <c r="B440" s="2227" t="s">
        <v>926</v>
      </c>
      <c r="C440" s="1953"/>
      <c r="D440" s="1953"/>
      <c r="E440" s="1953"/>
      <c r="F440" s="1953"/>
      <c r="G440" s="1953"/>
      <c r="H440" s="1770"/>
      <c r="I440" s="2133">
        <f>SUM($I$436,$G$438,$P$438,$X$438,$AH$438,$G$439,$P$439,$X$439,$AH$439)</f>
        <v>0</v>
      </c>
      <c r="J440" s="1777"/>
      <c r="K440" s="1778"/>
      <c r="AM440" s="1002"/>
      <c r="AN440" s="246"/>
      <c r="AS440" s="246"/>
      <c r="AU440" s="1664"/>
    </row>
    <row r="441" spans="1:47" s="754" customFormat="1" ht="18" hidden="1" customHeight="1">
      <c r="A441" s="246"/>
      <c r="B441" s="755"/>
      <c r="AM441" s="1002"/>
      <c r="AN441" s="246"/>
      <c r="AS441" s="246"/>
      <c r="AU441" s="1664"/>
    </row>
    <row r="442" spans="1:47" s="754" customFormat="1" ht="18" hidden="1" customHeight="1">
      <c r="A442" s="246"/>
      <c r="B442" s="2076" t="s">
        <v>927</v>
      </c>
      <c r="C442" s="1880"/>
      <c r="D442" s="1880"/>
      <c r="E442" s="1880"/>
      <c r="F442" s="1880"/>
      <c r="G442" s="1880"/>
      <c r="H442" s="1880"/>
      <c r="I442" s="1880"/>
      <c r="J442" s="1880"/>
      <c r="K442" s="1880"/>
      <c r="L442" s="1880"/>
      <c r="M442" s="1880"/>
      <c r="N442" s="1880"/>
      <c r="O442" s="1880"/>
      <c r="P442" s="1880"/>
      <c r="Q442" s="1880"/>
      <c r="R442" s="1880"/>
      <c r="S442" s="1880"/>
      <c r="T442" s="1880"/>
      <c r="U442" s="1880"/>
      <c r="V442" s="1880"/>
      <c r="W442" s="1880"/>
      <c r="X442" s="1880"/>
      <c r="Y442" s="1880"/>
      <c r="Z442" s="1880"/>
      <c r="AA442" s="1880"/>
      <c r="AB442" s="1880"/>
      <c r="AC442" s="1880"/>
      <c r="AD442" s="1880"/>
      <c r="AE442" s="1880"/>
      <c r="AF442" s="1880"/>
      <c r="AG442" s="1880"/>
      <c r="AH442" s="1880"/>
      <c r="AI442" s="1880"/>
      <c r="AJ442" s="1880"/>
      <c r="AK442" s="1880"/>
      <c r="AL442" s="1880"/>
      <c r="AM442" s="1889"/>
      <c r="AN442" s="246"/>
      <c r="AS442" s="246"/>
      <c r="AU442" s="1664"/>
    </row>
    <row r="443" spans="1:47" s="754" customFormat="1" ht="18" hidden="1" customHeight="1">
      <c r="A443" s="246"/>
      <c r="B443" s="1956" t="s">
        <v>928</v>
      </c>
      <c r="C443" s="1877"/>
      <c r="D443" s="1877"/>
      <c r="E443" s="1877"/>
      <c r="F443" s="1877"/>
      <c r="G443" s="1877"/>
      <c r="H443" s="1877"/>
      <c r="I443" s="1877"/>
      <c r="J443" s="1877"/>
      <c r="K443" s="1877"/>
      <c r="L443" s="1877"/>
      <c r="M443" s="1877"/>
      <c r="N443" s="1877"/>
      <c r="O443" s="1877"/>
      <c r="P443" s="1877"/>
      <c r="Q443" s="1877"/>
      <c r="R443" s="1877"/>
      <c r="S443" s="1877"/>
      <c r="T443" s="1877"/>
      <c r="U443" s="1877"/>
      <c r="V443" s="1877"/>
      <c r="W443" s="1877"/>
      <c r="X443" s="1877"/>
      <c r="Y443" s="1877"/>
      <c r="Z443" s="1877"/>
      <c r="AA443" s="1877"/>
      <c r="AB443" s="1877"/>
      <c r="AC443" s="1877"/>
      <c r="AD443" s="1877"/>
      <c r="AE443" s="1877"/>
      <c r="AF443" s="1877"/>
      <c r="AG443" s="1877"/>
      <c r="AH443" s="1877"/>
      <c r="AI443" s="1877"/>
      <c r="AJ443" s="1877"/>
      <c r="AK443" s="1877"/>
      <c r="AL443" s="1877"/>
      <c r="AM443" s="1772"/>
      <c r="AN443" s="246"/>
      <c r="AS443" s="246"/>
      <c r="AU443" s="1664"/>
    </row>
    <row r="444" spans="1:47" s="754" customFormat="1" ht="18" hidden="1" customHeight="1">
      <c r="A444" s="246"/>
      <c r="B444" s="2135" t="s">
        <v>929</v>
      </c>
      <c r="C444" s="1880"/>
      <c r="D444" s="1880"/>
      <c r="E444" s="1880"/>
      <c r="F444" s="1880"/>
      <c r="G444" s="1880"/>
      <c r="H444" s="1889"/>
      <c r="I444" s="1914"/>
      <c r="J444" s="1870"/>
      <c r="L444" s="2001" t="s">
        <v>930</v>
      </c>
      <c r="M444" s="1880"/>
      <c r="N444" s="1880"/>
      <c r="O444" s="1880"/>
      <c r="P444" s="1880"/>
      <c r="Q444" s="1889"/>
      <c r="R444" s="1914"/>
      <c r="S444" s="1870"/>
      <c r="U444" s="2184" t="s">
        <v>931</v>
      </c>
      <c r="V444" s="1880"/>
      <c r="W444" s="1880"/>
      <c r="X444" s="1880"/>
      <c r="Y444" s="1880"/>
      <c r="Z444" s="1889"/>
      <c r="AA444" s="1915"/>
      <c r="AB444" s="1870"/>
      <c r="AD444" s="2001" t="s">
        <v>932</v>
      </c>
      <c r="AE444" s="1880"/>
      <c r="AF444" s="1880"/>
      <c r="AG444" s="1880"/>
      <c r="AH444" s="1880"/>
      <c r="AI444" s="1889"/>
      <c r="AJ444" s="1915"/>
      <c r="AK444" s="1870"/>
      <c r="AM444" s="1002"/>
      <c r="AN444" s="246"/>
      <c r="AS444" s="246"/>
      <c r="AU444" s="1664"/>
    </row>
    <row r="445" spans="1:47" s="754" customFormat="1" ht="18" hidden="1" customHeight="1">
      <c r="A445" s="246"/>
      <c r="B445" s="2135" t="s">
        <v>933</v>
      </c>
      <c r="C445" s="1880"/>
      <c r="D445" s="1880"/>
      <c r="E445" s="1880"/>
      <c r="F445" s="1880"/>
      <c r="G445" s="1880"/>
      <c r="H445" s="1889"/>
      <c r="I445" s="2009">
        <f>SUM($I$444,$R$444,$AA$444,$AJ$444)</f>
        <v>0</v>
      </c>
      <c r="J445" s="1778"/>
      <c r="AM445" s="1002"/>
      <c r="AN445" s="246"/>
      <c r="AS445" s="246"/>
      <c r="AU445" s="1664"/>
    </row>
    <row r="446" spans="1:47" s="754" customFormat="1" ht="18" hidden="1" customHeight="1">
      <c r="A446" s="246"/>
      <c r="B446" s="755"/>
      <c r="AM446" s="1002"/>
      <c r="AN446" s="246"/>
      <c r="AS446" s="246"/>
      <c r="AU446" s="1664"/>
    </row>
    <row r="447" spans="1:47" s="754" customFormat="1" ht="18" hidden="1" customHeight="1">
      <c r="A447" s="246"/>
      <c r="B447" s="1956" t="s">
        <v>934</v>
      </c>
      <c r="C447" s="1877"/>
      <c r="D447" s="1877"/>
      <c r="E447" s="1877"/>
      <c r="F447" s="1877"/>
      <c r="G447" s="1877"/>
      <c r="H447" s="1877"/>
      <c r="I447" s="1877"/>
      <c r="J447" s="1877"/>
      <c r="K447" s="1877"/>
      <c r="L447" s="1877"/>
      <c r="M447" s="1877"/>
      <c r="N447" s="1877"/>
      <c r="O447" s="1877"/>
      <c r="P447" s="1877"/>
      <c r="Q447" s="1877"/>
      <c r="R447" s="1877"/>
      <c r="S447" s="1877"/>
      <c r="T447" s="1877"/>
      <c r="U447" s="1877"/>
      <c r="V447" s="1877"/>
      <c r="W447" s="1877"/>
      <c r="X447" s="1877"/>
      <c r="Y447" s="1877"/>
      <c r="Z447" s="1877"/>
      <c r="AA447" s="1877"/>
      <c r="AB447" s="1877"/>
      <c r="AC447" s="1877"/>
      <c r="AD447" s="1877"/>
      <c r="AE447" s="1877"/>
      <c r="AF447" s="1877"/>
      <c r="AG447" s="1877"/>
      <c r="AH447" s="1877"/>
      <c r="AI447" s="1877"/>
      <c r="AJ447" s="1877"/>
      <c r="AK447" s="1877"/>
      <c r="AL447" s="1877"/>
      <c r="AM447" s="1772"/>
      <c r="AN447" s="246"/>
      <c r="AS447" s="246"/>
      <c r="AU447" s="1664"/>
    </row>
    <row r="448" spans="1:47" s="754" customFormat="1" ht="18" hidden="1" customHeight="1">
      <c r="A448" s="246"/>
      <c r="B448" s="1879" t="s">
        <v>935</v>
      </c>
      <c r="C448" s="1880"/>
      <c r="D448" s="1880"/>
      <c r="E448" s="1880"/>
      <c r="F448" s="1880"/>
      <c r="G448" s="1880"/>
      <c r="H448" s="1915"/>
      <c r="I448" s="1870"/>
      <c r="K448" s="2020" t="s">
        <v>936</v>
      </c>
      <c r="L448" s="1880"/>
      <c r="M448" s="1880"/>
      <c r="N448" s="1880"/>
      <c r="O448" s="1880"/>
      <c r="P448" s="1915"/>
      <c r="Q448" s="1870"/>
      <c r="S448" s="2020" t="s">
        <v>937</v>
      </c>
      <c r="T448" s="1880"/>
      <c r="U448" s="1880"/>
      <c r="V448" s="1880"/>
      <c r="W448" s="1880"/>
      <c r="X448" s="1915"/>
      <c r="Y448" s="1870"/>
      <c r="AA448" s="2001" t="s">
        <v>938</v>
      </c>
      <c r="AB448" s="1880"/>
      <c r="AC448" s="1880"/>
      <c r="AD448" s="1880"/>
      <c r="AE448" s="1880"/>
      <c r="AF448" s="1880"/>
      <c r="AG448" s="1880"/>
      <c r="AH448" s="1880"/>
      <c r="AI448" s="1889"/>
      <c r="AJ448" s="1915"/>
      <c r="AK448" s="1870"/>
      <c r="AM448" s="1002"/>
      <c r="AN448" s="246"/>
      <c r="AS448" s="246"/>
      <c r="AU448" s="1664"/>
    </row>
    <row r="449" spans="1:47" s="754" customFormat="1" ht="18" hidden="1" customHeight="1">
      <c r="A449" s="246"/>
      <c r="B449" s="2135" t="s">
        <v>939</v>
      </c>
      <c r="C449" s="1880"/>
      <c r="D449" s="1880"/>
      <c r="E449" s="1880"/>
      <c r="F449" s="1880"/>
      <c r="G449" s="1880"/>
      <c r="H449" s="1880"/>
      <c r="I449" s="1889"/>
      <c r="J449" s="2068">
        <f>SUM(I445,H448,P448,X448)</f>
        <v>0</v>
      </c>
      <c r="K449" s="1778"/>
      <c r="AM449" s="1002"/>
      <c r="AN449" s="246"/>
      <c r="AS449" s="246"/>
      <c r="AU449" s="1664"/>
    </row>
    <row r="450" spans="1:47" s="754" customFormat="1" ht="18" hidden="1" customHeight="1">
      <c r="A450" s="246"/>
      <c r="B450" s="755"/>
      <c r="AM450" s="1002"/>
      <c r="AN450" s="246"/>
      <c r="AS450" s="246"/>
      <c r="AU450" s="1664"/>
    </row>
    <row r="451" spans="1:47" s="754" customFormat="1" ht="18" hidden="1" customHeight="1">
      <c r="A451" s="246"/>
      <c r="B451" s="2076" t="s">
        <v>940</v>
      </c>
      <c r="C451" s="1880"/>
      <c r="D451" s="1880"/>
      <c r="E451" s="1880"/>
      <c r="F451" s="1880"/>
      <c r="G451" s="1880"/>
      <c r="H451" s="1880"/>
      <c r="I451" s="1880"/>
      <c r="J451" s="1880"/>
      <c r="K451" s="1880"/>
      <c r="L451" s="1880"/>
      <c r="M451" s="1880"/>
      <c r="N451" s="1880"/>
      <c r="O451" s="1880"/>
      <c r="P451" s="1880"/>
      <c r="Q451" s="1880"/>
      <c r="R451" s="1880"/>
      <c r="S451" s="1880"/>
      <c r="T451" s="1880"/>
      <c r="U451" s="1880"/>
      <c r="V451" s="1880"/>
      <c r="W451" s="1880"/>
      <c r="X451" s="1880"/>
      <c r="Y451" s="1880"/>
      <c r="Z451" s="1880"/>
      <c r="AA451" s="1880"/>
      <c r="AB451" s="1880"/>
      <c r="AC451" s="1880"/>
      <c r="AD451" s="1880"/>
      <c r="AE451" s="1880"/>
      <c r="AF451" s="1880"/>
      <c r="AG451" s="1880"/>
      <c r="AH451" s="1880"/>
      <c r="AI451" s="1880"/>
      <c r="AJ451" s="1880"/>
      <c r="AK451" s="1880"/>
      <c r="AL451" s="1880"/>
      <c r="AM451" s="1889"/>
      <c r="AN451" s="246"/>
      <c r="AS451" s="246"/>
      <c r="AU451" s="1664"/>
    </row>
    <row r="452" spans="1:47" s="754" customFormat="1" ht="18" hidden="1" customHeight="1">
      <c r="A452" s="246"/>
      <c r="B452" s="792"/>
      <c r="C452" s="1003"/>
      <c r="D452" s="1003"/>
      <c r="E452" s="1003"/>
      <c r="F452" s="1003"/>
      <c r="G452" s="1003"/>
      <c r="H452" s="1003"/>
      <c r="I452" s="1003"/>
      <c r="J452" s="998"/>
      <c r="K452" s="998"/>
      <c r="L452" s="998"/>
      <c r="M452" s="998"/>
      <c r="N452" s="998"/>
      <c r="O452" s="998"/>
      <c r="P452" s="1967" t="s">
        <v>941</v>
      </c>
      <c r="Q452" s="1877"/>
      <c r="R452" s="1877"/>
      <c r="S452" s="1877"/>
      <c r="T452" s="1877"/>
      <c r="U452" s="1877"/>
      <c r="V452" s="1877"/>
      <c r="W452" s="1877"/>
      <c r="X452" s="1877"/>
      <c r="Y452" s="1877"/>
      <c r="Z452" s="998"/>
      <c r="AA452" s="998"/>
      <c r="AB452" s="998"/>
      <c r="AC452" s="998"/>
      <c r="AD452" s="998"/>
      <c r="AE452" s="998"/>
      <c r="AF452" s="998"/>
      <c r="AG452" s="998"/>
      <c r="AH452" s="998"/>
      <c r="AI452" s="998"/>
      <c r="AJ452" s="998"/>
      <c r="AK452" s="998"/>
      <c r="AL452" s="998"/>
      <c r="AM452" s="1460"/>
      <c r="AN452" s="246"/>
      <c r="AS452" s="246"/>
      <c r="AU452" s="1664"/>
    </row>
    <row r="453" spans="1:47" s="754" customFormat="1" ht="18" hidden="1" customHeight="1">
      <c r="A453" s="246"/>
      <c r="B453" s="2135" t="s">
        <v>942</v>
      </c>
      <c r="C453" s="1880"/>
      <c r="D453" s="1880"/>
      <c r="E453" s="1880"/>
      <c r="F453" s="1889"/>
      <c r="G453" s="2021"/>
      <c r="H453" s="2022"/>
      <c r="I453" s="2023"/>
      <c r="K453" s="1929" t="s">
        <v>943</v>
      </c>
      <c r="L453" s="1880"/>
      <c r="M453" s="2169"/>
      <c r="N453" s="1869"/>
      <c r="O453" s="1870"/>
      <c r="Q453" s="1929" t="s">
        <v>922</v>
      </c>
      <c r="R453" s="1880"/>
      <c r="S453" s="1880"/>
      <c r="T453" s="1880"/>
      <c r="U453" s="2169"/>
      <c r="V453" s="1869"/>
      <c r="W453" s="1870"/>
      <c r="Y453" s="2020" t="s">
        <v>944</v>
      </c>
      <c r="Z453" s="1880"/>
      <c r="AA453" s="1880"/>
      <c r="AB453" s="1880"/>
      <c r="AC453" s="2169"/>
      <c r="AD453" s="1869"/>
      <c r="AE453" s="1870"/>
      <c r="AG453" s="2099" t="s">
        <v>888</v>
      </c>
      <c r="AH453" s="1869"/>
      <c r="AI453" s="1869"/>
      <c r="AJ453" s="1870"/>
      <c r="AK453" s="2169"/>
      <c r="AL453" s="1869"/>
      <c r="AM453" s="1870"/>
      <c r="AN453" s="246"/>
      <c r="AS453" s="246"/>
      <c r="AU453" s="1664"/>
    </row>
    <row r="454" spans="1:47" s="754" customFormat="1" ht="18" hidden="1" customHeight="1">
      <c r="A454" s="246"/>
      <c r="B454" s="2389" t="s">
        <v>945</v>
      </c>
      <c r="C454" s="1880"/>
      <c r="D454" s="1880"/>
      <c r="E454" s="1880"/>
      <c r="F454" s="1880"/>
      <c r="G454" s="1880"/>
      <c r="H454" s="2284">
        <f>SUM($G$453,$M$453,$U$453,$AC$453,$AK$453)</f>
        <v>0</v>
      </c>
      <c r="I454" s="1777"/>
      <c r="J454" s="1778"/>
      <c r="AM454" s="1002"/>
      <c r="AN454" s="246"/>
      <c r="AS454" s="246"/>
      <c r="AU454" s="1664"/>
    </row>
    <row r="455" spans="1:47" s="754" customFormat="1" ht="18" hidden="1" customHeight="1">
      <c r="A455" s="246"/>
      <c r="B455" s="755"/>
      <c r="AM455" s="1002"/>
      <c r="AN455" s="246"/>
      <c r="AS455" s="246"/>
      <c r="AU455" s="1664"/>
    </row>
    <row r="456" spans="1:47" s="754" customFormat="1" ht="18" hidden="1" customHeight="1">
      <c r="A456" s="246"/>
      <c r="B456" s="1956" t="s">
        <v>946</v>
      </c>
      <c r="C456" s="1877"/>
      <c r="D456" s="1877"/>
      <c r="E456" s="1877"/>
      <c r="F456" s="1877"/>
      <c r="G456" s="1877"/>
      <c r="H456" s="1877"/>
      <c r="I456" s="1877"/>
      <c r="J456" s="1877"/>
      <c r="K456" s="1877"/>
      <c r="L456" s="1877"/>
      <c r="M456" s="1877"/>
      <c r="N456" s="1877"/>
      <c r="O456" s="1877"/>
      <c r="P456" s="1877"/>
      <c r="Q456" s="1877"/>
      <c r="R456" s="1877"/>
      <c r="S456" s="1877"/>
      <c r="T456" s="1877"/>
      <c r="U456" s="1877"/>
      <c r="V456" s="1877"/>
      <c r="W456" s="1877"/>
      <c r="X456" s="1877"/>
      <c r="Y456" s="1877"/>
      <c r="Z456" s="1877"/>
      <c r="AA456" s="1877"/>
      <c r="AB456" s="1877"/>
      <c r="AC456" s="1877"/>
      <c r="AD456" s="1877"/>
      <c r="AE456" s="1877"/>
      <c r="AF456" s="1877"/>
      <c r="AG456" s="1877"/>
      <c r="AH456" s="1877"/>
      <c r="AI456" s="1877"/>
      <c r="AJ456" s="1877"/>
      <c r="AK456" s="1877"/>
      <c r="AL456" s="1877"/>
      <c r="AM456" s="1772"/>
      <c r="AN456" s="246"/>
      <c r="AS456" s="246"/>
      <c r="AU456" s="1664"/>
    </row>
    <row r="457" spans="1:47" s="754" customFormat="1" ht="18" hidden="1" customHeight="1">
      <c r="A457" s="246"/>
      <c r="B457" s="2393" t="s">
        <v>935</v>
      </c>
      <c r="C457" s="1953"/>
      <c r="D457" s="1953"/>
      <c r="E457" s="1953"/>
      <c r="F457" s="1953"/>
      <c r="G457" s="1770"/>
      <c r="H457" s="1875"/>
      <c r="I457" s="1861"/>
      <c r="J457" s="1862"/>
      <c r="K457" s="58"/>
      <c r="L457" s="2205" t="s">
        <v>936</v>
      </c>
      <c r="M457" s="1953"/>
      <c r="N457" s="1953"/>
      <c r="O457" s="1953"/>
      <c r="P457" s="1953"/>
      <c r="Q457" s="1953"/>
      <c r="R457" s="1770"/>
      <c r="S457" s="1875"/>
      <c r="T457" s="1861"/>
      <c r="U457" s="1862"/>
      <c r="V457" s="756"/>
      <c r="W457" s="1952" t="s">
        <v>947</v>
      </c>
      <c r="X457" s="1953"/>
      <c r="Y457" s="1953"/>
      <c r="Z457" s="1770"/>
      <c r="AA457" s="2210">
        <f>SUM($H$457,$S$457)</f>
        <v>0</v>
      </c>
      <c r="AB457" s="1777"/>
      <c r="AC457" s="1778"/>
      <c r="AM457" s="1002"/>
      <c r="AN457" s="246"/>
      <c r="AS457" s="246"/>
      <c r="AU457" s="1664"/>
    </row>
    <row r="458" spans="1:47" s="754" customFormat="1" ht="18" hidden="1" customHeight="1">
      <c r="A458" s="246"/>
      <c r="B458" s="755"/>
      <c r="AM458" s="1002"/>
      <c r="AN458" s="246"/>
      <c r="AS458" s="246"/>
      <c r="AU458" s="1664"/>
    </row>
    <row r="459" spans="1:47" s="754" customFormat="1" ht="18" hidden="1" customHeight="1">
      <c r="A459" s="246"/>
      <c r="B459" s="2368" t="s">
        <v>948</v>
      </c>
      <c r="C459" s="1880"/>
      <c r="D459" s="1880"/>
      <c r="E459" s="1880"/>
      <c r="F459" s="1880"/>
      <c r="G459" s="1880"/>
      <c r="H459" s="1880"/>
      <c r="I459" s="1880"/>
      <c r="J459" s="1880"/>
      <c r="K459" s="1880"/>
      <c r="L459" s="1880"/>
      <c r="M459" s="1880"/>
      <c r="N459" s="1880"/>
      <c r="O459" s="1880"/>
      <c r="P459" s="1880"/>
      <c r="Q459" s="1880"/>
      <c r="R459" s="1880"/>
      <c r="S459" s="1880"/>
      <c r="T459" s="1880"/>
      <c r="U459" s="1880"/>
      <c r="V459" s="1880"/>
      <c r="W459" s="1880"/>
      <c r="X459" s="1880"/>
      <c r="Y459" s="1880"/>
      <c r="Z459" s="1880"/>
      <c r="AA459" s="1880"/>
      <c r="AB459" s="1880"/>
      <c r="AC459" s="1880"/>
      <c r="AD459" s="1880"/>
      <c r="AE459" s="1880"/>
      <c r="AF459" s="1880"/>
      <c r="AG459" s="1880"/>
      <c r="AH459" s="1880"/>
      <c r="AI459" s="1880"/>
      <c r="AJ459" s="1880"/>
      <c r="AK459" s="1880"/>
      <c r="AL459" s="1880"/>
      <c r="AM459" s="1889"/>
      <c r="AN459" s="246"/>
      <c r="AS459" s="246"/>
      <c r="AU459" s="1664"/>
    </row>
    <row r="460" spans="1:47" s="754" customFormat="1" ht="63" hidden="1" customHeight="1">
      <c r="A460" s="246"/>
      <c r="B460" s="2183"/>
      <c r="C460" s="1861"/>
      <c r="D460" s="1861"/>
      <c r="E460" s="1861"/>
      <c r="F460" s="1861"/>
      <c r="G460" s="1861"/>
      <c r="H460" s="1861"/>
      <c r="I460" s="1861"/>
      <c r="J460" s="1861"/>
      <c r="K460" s="1861"/>
      <c r="L460" s="1861"/>
      <c r="M460" s="1861"/>
      <c r="N460" s="1861"/>
      <c r="O460" s="1861"/>
      <c r="P460" s="1861"/>
      <c r="Q460" s="1861"/>
      <c r="R460" s="1861"/>
      <c r="S460" s="1861"/>
      <c r="T460" s="1861"/>
      <c r="U460" s="1861"/>
      <c r="V460" s="1861"/>
      <c r="W460" s="1861"/>
      <c r="X460" s="1861"/>
      <c r="Y460" s="1861"/>
      <c r="Z460" s="1861"/>
      <c r="AA460" s="1861"/>
      <c r="AB460" s="1861"/>
      <c r="AC460" s="1861"/>
      <c r="AD460" s="1861"/>
      <c r="AE460" s="1861"/>
      <c r="AF460" s="1861"/>
      <c r="AG460" s="1861"/>
      <c r="AH460" s="1861"/>
      <c r="AI460" s="1861"/>
      <c r="AJ460" s="1861"/>
      <c r="AK460" s="1861"/>
      <c r="AL460" s="1861"/>
      <c r="AM460" s="1862"/>
      <c r="AN460" s="58"/>
      <c r="AS460" s="246"/>
      <c r="AU460" s="1664"/>
    </row>
    <row r="461" spans="1:47" s="474" customFormat="1" ht="18" hidden="1" customHeight="1">
      <c r="A461" s="138"/>
      <c r="B461" s="2294"/>
      <c r="C461" s="1953"/>
      <c r="D461" s="1953"/>
      <c r="E461" s="1953"/>
      <c r="F461" s="1953"/>
      <c r="G461" s="1953"/>
      <c r="H461" s="1953"/>
      <c r="I461" s="1953"/>
      <c r="J461" s="1953"/>
      <c r="K461" s="1953"/>
      <c r="L461" s="1953"/>
      <c r="M461" s="1953"/>
      <c r="N461" s="1953"/>
      <c r="O461" s="1953"/>
      <c r="P461" s="1953"/>
      <c r="Q461" s="1953"/>
      <c r="R461" s="1953"/>
      <c r="S461" s="1953"/>
      <c r="T461" s="1953"/>
      <c r="U461" s="1953"/>
      <c r="V461" s="1953"/>
      <c r="W461" s="1953"/>
      <c r="X461" s="1953"/>
      <c r="Y461" s="1953"/>
      <c r="Z461" s="1953"/>
      <c r="AA461" s="1953"/>
      <c r="AB461" s="1953"/>
      <c r="AC461" s="1953"/>
      <c r="AD461" s="1953"/>
      <c r="AE461" s="1953"/>
      <c r="AF461" s="1953"/>
      <c r="AG461" s="1953"/>
      <c r="AH461" s="1953"/>
      <c r="AI461" s="1953"/>
      <c r="AJ461" s="1953"/>
      <c r="AK461" s="1953"/>
      <c r="AL461" s="1953"/>
      <c r="AM461" s="1953"/>
      <c r="AN461" s="58"/>
      <c r="AO461" s="716"/>
      <c r="AP461" s="123"/>
      <c r="AQ461" s="123"/>
      <c r="AR461" s="123"/>
      <c r="AS461" s="123"/>
    </row>
    <row r="462" spans="1:47" s="474" customFormat="1" ht="18" hidden="1" customHeight="1">
      <c r="A462" s="138"/>
      <c r="B462" s="2030" t="s">
        <v>949</v>
      </c>
      <c r="C462" s="1964"/>
      <c r="D462" s="1964"/>
      <c r="E462" s="1964"/>
      <c r="F462" s="1964"/>
      <c r="G462" s="1964"/>
      <c r="H462" s="1964"/>
      <c r="I462" s="1964"/>
      <c r="J462" s="1964"/>
      <c r="K462" s="1964"/>
      <c r="L462" s="1964"/>
      <c r="M462" s="1964"/>
      <c r="N462" s="1964"/>
      <c r="O462" s="1964"/>
      <c r="P462" s="1964"/>
      <c r="Q462" s="1964"/>
      <c r="R462" s="1964"/>
      <c r="S462" s="1964"/>
      <c r="T462" s="1964"/>
      <c r="U462" s="1964"/>
      <c r="V462" s="1964"/>
      <c r="W462" s="1964"/>
      <c r="X462" s="1964"/>
      <c r="Y462" s="1964"/>
      <c r="Z462" s="1964"/>
      <c r="AA462" s="1964"/>
      <c r="AB462" s="1964"/>
      <c r="AC462" s="1964"/>
      <c r="AD462" s="1964"/>
      <c r="AE462" s="1964"/>
      <c r="AF462" s="1964"/>
      <c r="AG462" s="1964"/>
      <c r="AH462" s="1964"/>
      <c r="AI462" s="1964"/>
      <c r="AJ462" s="1964"/>
      <c r="AK462" s="1964"/>
      <c r="AL462" s="1964"/>
      <c r="AM462" s="1964"/>
      <c r="AN462" s="58"/>
      <c r="AO462" s="716"/>
      <c r="AP462" s="123"/>
      <c r="AQ462" s="123"/>
      <c r="AR462" s="123"/>
      <c r="AS462" s="123"/>
    </row>
    <row r="463" spans="1:47" s="474" customFormat="1" ht="18" hidden="1" customHeight="1">
      <c r="A463" s="138"/>
      <c r="B463" s="1928" t="s">
        <v>950</v>
      </c>
      <c r="C463" s="1877"/>
      <c r="D463" s="1877"/>
      <c r="E463" s="1877"/>
      <c r="F463" s="1877"/>
      <c r="G463" s="1877"/>
      <c r="H463" s="1877"/>
      <c r="I463" s="1877"/>
      <c r="J463" s="1877"/>
      <c r="K463" s="1877"/>
      <c r="L463" s="1877"/>
      <c r="M463" s="1877"/>
      <c r="N463" s="1877"/>
      <c r="O463" s="1929"/>
      <c r="P463" s="1967" t="s">
        <v>951</v>
      </c>
      <c r="Q463" s="1877"/>
      <c r="R463" s="1877"/>
      <c r="S463" s="1877"/>
      <c r="T463" s="1877"/>
      <c r="U463" s="1877"/>
      <c r="V463" s="1877"/>
      <c r="W463" s="1877"/>
      <c r="X463" s="1877"/>
      <c r="Y463" s="1877"/>
      <c r="Z463" s="1877"/>
      <c r="AA463" s="1877"/>
      <c r="AB463" s="1877"/>
      <c r="AC463" s="1877"/>
      <c r="AD463" s="1877"/>
      <c r="AE463" s="1877"/>
      <c r="AF463" s="1877"/>
      <c r="AG463" s="1877"/>
      <c r="AH463" s="1877"/>
      <c r="AI463" s="1877"/>
      <c r="AJ463" s="1877"/>
      <c r="AK463" s="1877"/>
      <c r="AL463" s="1877"/>
      <c r="AM463" s="1877"/>
      <c r="AN463" s="58"/>
      <c r="AO463" s="716"/>
      <c r="AP463" s="123"/>
      <c r="AQ463" s="123"/>
      <c r="AR463" s="123"/>
      <c r="AS463" s="57"/>
      <c r="AT463" s="55"/>
    </row>
    <row r="464" spans="1:47" s="474" customFormat="1" ht="18" hidden="1" customHeight="1">
      <c r="A464" s="138"/>
      <c r="B464" s="2020" t="s">
        <v>952</v>
      </c>
      <c r="C464" s="1964"/>
      <c r="D464" s="1964"/>
      <c r="E464" s="1964"/>
      <c r="F464" s="1964"/>
      <c r="G464" s="1964"/>
      <c r="H464" s="1964"/>
      <c r="I464" s="1964"/>
      <c r="J464" s="1964"/>
      <c r="K464" s="1875"/>
      <c r="L464" s="1861"/>
      <c r="M464" s="1861"/>
      <c r="N464" s="1862"/>
      <c r="O464" s="1964"/>
      <c r="P464" s="1928" t="s">
        <v>953</v>
      </c>
      <c r="Q464" s="1877"/>
      <c r="R464" s="1877"/>
      <c r="S464" s="1877"/>
      <c r="T464" s="1877"/>
      <c r="U464" s="1877"/>
      <c r="V464" s="1877"/>
      <c r="W464" s="1877"/>
      <c r="X464" s="1877"/>
      <c r="Y464" s="2087" t="s">
        <v>954</v>
      </c>
      <c r="Z464" s="1877"/>
      <c r="AA464" s="1877"/>
      <c r="AB464" s="1877"/>
      <c r="AC464" s="2291" t="s">
        <v>955</v>
      </c>
      <c r="AD464" s="1877"/>
      <c r="AE464" s="1877"/>
      <c r="AF464" s="2087" t="s">
        <v>956</v>
      </c>
      <c r="AG464" s="1877"/>
      <c r="AH464" s="1877"/>
      <c r="AI464" s="1877"/>
      <c r="AJ464" s="1988" t="s">
        <v>957</v>
      </c>
      <c r="AK464" s="1877"/>
      <c r="AL464" s="1877"/>
      <c r="AM464" s="1877"/>
      <c r="AN464" s="58"/>
      <c r="AO464" s="1629"/>
      <c r="AP464" s="136"/>
      <c r="AQ464" s="136"/>
      <c r="AR464" s="123"/>
      <c r="AS464" s="57"/>
      <c r="AT464" s="55"/>
    </row>
    <row r="465" spans="1:46" s="474" customFormat="1" ht="18" hidden="1" customHeight="1">
      <c r="A465" s="138"/>
      <c r="B465" s="2020" t="s">
        <v>958</v>
      </c>
      <c r="C465" s="1964"/>
      <c r="D465" s="1964"/>
      <c r="E465" s="1964"/>
      <c r="F465" s="1964"/>
      <c r="G465" s="1964"/>
      <c r="H465" s="1964"/>
      <c r="I465" s="1964"/>
      <c r="J465" s="1964"/>
      <c r="K465" s="1916"/>
      <c r="L465" s="1861"/>
      <c r="M465" s="1861"/>
      <c r="N465" s="1862"/>
      <c r="O465" s="1964"/>
      <c r="P465" s="2292"/>
      <c r="Q465" s="1869"/>
      <c r="R465" s="1869"/>
      <c r="S465" s="1869"/>
      <c r="T465" s="1869"/>
      <c r="U465" s="1869"/>
      <c r="V465" s="1869"/>
      <c r="W465" s="1869"/>
      <c r="X465" s="1870"/>
      <c r="Y465" s="2207"/>
      <c r="Z465" s="1869"/>
      <c r="AA465" s="1869"/>
      <c r="AB465" s="1870"/>
      <c r="AC465" s="2169"/>
      <c r="AD465" s="1869"/>
      <c r="AE465" s="1870"/>
      <c r="AF465" s="2201"/>
      <c r="AG465" s="1869"/>
      <c r="AH465" s="1869"/>
      <c r="AI465" s="1870"/>
      <c r="AJ465" s="2217">
        <f>+AC465*AF465*12</f>
        <v>0</v>
      </c>
      <c r="AK465" s="1877"/>
      <c r="AL465" s="1877"/>
      <c r="AM465" s="1772"/>
      <c r="AN465" s="58"/>
      <c r="AO465" s="1629"/>
      <c r="AP465" s="136"/>
      <c r="AQ465" s="136"/>
      <c r="AR465" s="123"/>
      <c r="AS465" s="57"/>
      <c r="AT465" s="55"/>
    </row>
    <row r="466" spans="1:46" s="474" customFormat="1" ht="18" hidden="1" customHeight="1">
      <c r="A466" s="138"/>
      <c r="B466" s="2283" t="s">
        <v>959</v>
      </c>
      <c r="C466" s="1964"/>
      <c r="D466" s="1964"/>
      <c r="E466" s="1964"/>
      <c r="F466" s="1964"/>
      <c r="G466" s="1964"/>
      <c r="H466" s="1964"/>
      <c r="I466" s="1964"/>
      <c r="J466" s="1964"/>
      <c r="K466" s="2073">
        <f>$K$465*52*K464</f>
        <v>0</v>
      </c>
      <c r="L466" s="1777"/>
      <c r="M466" s="1777"/>
      <c r="N466" s="1778"/>
      <c r="O466" s="1964"/>
      <c r="P466" s="2214"/>
      <c r="Q466" s="1861"/>
      <c r="R466" s="1861"/>
      <c r="S466" s="1861"/>
      <c r="T466" s="1861"/>
      <c r="U466" s="1861"/>
      <c r="V466" s="1861"/>
      <c r="W466" s="1861"/>
      <c r="X466" s="1862"/>
      <c r="Y466" s="1860"/>
      <c r="Z466" s="1861"/>
      <c r="AA466" s="1861"/>
      <c r="AB466" s="1862"/>
      <c r="AC466" s="1917"/>
      <c r="AD466" s="1861"/>
      <c r="AE466" s="1862"/>
      <c r="AF466" s="1916"/>
      <c r="AG466" s="1861"/>
      <c r="AH466" s="1861"/>
      <c r="AI466" s="1862"/>
      <c r="AJ466" s="2144">
        <f>+AC466*AF466*12</f>
        <v>0</v>
      </c>
      <c r="AK466" s="1777"/>
      <c r="AL466" s="1777"/>
      <c r="AM466" s="1778"/>
      <c r="AN466" s="58"/>
      <c r="AO466" s="1629"/>
      <c r="AP466" s="136"/>
      <c r="AQ466" s="136"/>
      <c r="AR466" s="123"/>
      <c r="AS466" s="57"/>
      <c r="AT466" s="55"/>
    </row>
    <row r="467" spans="1:46" s="474" customFormat="1" ht="18" hidden="1" customHeight="1">
      <c r="A467" s="138"/>
      <c r="B467" s="1928" t="s">
        <v>927</v>
      </c>
      <c r="C467" s="1877"/>
      <c r="D467" s="1877"/>
      <c r="E467" s="1877"/>
      <c r="F467" s="1877"/>
      <c r="G467" s="1877"/>
      <c r="H467" s="1877"/>
      <c r="I467" s="1877"/>
      <c r="J467" s="1877"/>
      <c r="K467" s="1877"/>
      <c r="L467" s="1877"/>
      <c r="M467" s="1877"/>
      <c r="N467" s="1877"/>
      <c r="O467" s="1964"/>
      <c r="P467" s="2214"/>
      <c r="Q467" s="1861"/>
      <c r="R467" s="1861"/>
      <c r="S467" s="1861"/>
      <c r="T467" s="1861"/>
      <c r="U467" s="1861"/>
      <c r="V467" s="1861"/>
      <c r="W467" s="1861"/>
      <c r="X467" s="1862"/>
      <c r="Y467" s="1860"/>
      <c r="Z467" s="1861"/>
      <c r="AA467" s="1861"/>
      <c r="AB467" s="1862"/>
      <c r="AC467" s="1917"/>
      <c r="AD467" s="1861"/>
      <c r="AE467" s="1862"/>
      <c r="AF467" s="1916"/>
      <c r="AG467" s="1861"/>
      <c r="AH467" s="1861"/>
      <c r="AI467" s="1862"/>
      <c r="AJ467" s="2144">
        <f>+AC467*AF467*12</f>
        <v>0</v>
      </c>
      <c r="AK467" s="1777"/>
      <c r="AL467" s="1777"/>
      <c r="AM467" s="1778"/>
      <c r="AN467" s="58"/>
      <c r="AO467" s="1629"/>
      <c r="AP467" s="136"/>
      <c r="AQ467" s="136"/>
      <c r="AR467" s="123"/>
      <c r="AS467" s="57"/>
      <c r="AT467" s="55"/>
    </row>
    <row r="468" spans="1:46" s="474" customFormat="1" ht="18" hidden="1" customHeight="1">
      <c r="A468" s="138"/>
      <c r="B468" s="2020" t="s">
        <v>960</v>
      </c>
      <c r="C468" s="1964"/>
      <c r="D468" s="1964"/>
      <c r="E468" s="1964"/>
      <c r="F468" s="1964"/>
      <c r="G468" s="1964"/>
      <c r="H468" s="1964"/>
      <c r="I468" s="1964"/>
      <c r="J468" s="1964"/>
      <c r="K468" s="2068">
        <f>SUM(H448,P448,X448)</f>
        <v>0</v>
      </c>
      <c r="L468" s="1777"/>
      <c r="M468" s="1777"/>
      <c r="N468" s="1778"/>
      <c r="O468" s="1964"/>
      <c r="P468" s="1860"/>
      <c r="Q468" s="1861"/>
      <c r="R468" s="1861"/>
      <c r="S468" s="1861"/>
      <c r="T468" s="1861"/>
      <c r="U468" s="1861"/>
      <c r="V468" s="1861"/>
      <c r="W468" s="1861"/>
      <c r="X468" s="1862"/>
      <c r="Y468" s="1860"/>
      <c r="Z468" s="1861"/>
      <c r="AA468" s="1861"/>
      <c r="AB468" s="1862"/>
      <c r="AC468" s="1917"/>
      <c r="AD468" s="1861"/>
      <c r="AE468" s="1862"/>
      <c r="AF468" s="1916"/>
      <c r="AG468" s="1861"/>
      <c r="AH468" s="1861"/>
      <c r="AI468" s="1862"/>
      <c r="AJ468" s="2144">
        <f>+AC468*AF468*12</f>
        <v>0</v>
      </c>
      <c r="AK468" s="1777"/>
      <c r="AL468" s="1777"/>
      <c r="AM468" s="1778"/>
      <c r="AN468" s="58"/>
      <c r="AO468" s="1629"/>
      <c r="AP468" s="136"/>
      <c r="AQ468" s="136"/>
      <c r="AR468" s="123"/>
      <c r="AS468" s="57"/>
      <c r="AT468" s="55"/>
    </row>
    <row r="469" spans="1:46" s="474" customFormat="1" ht="18" hidden="1" customHeight="1">
      <c r="A469" s="138"/>
      <c r="B469" s="2020" t="s">
        <v>961</v>
      </c>
      <c r="C469" s="1964"/>
      <c r="D469" s="1964"/>
      <c r="E469" s="1964"/>
      <c r="F469" s="1964"/>
      <c r="G469" s="1964"/>
      <c r="H469" s="1964"/>
      <c r="I469" s="1964"/>
      <c r="J469" s="1964"/>
      <c r="K469" s="2254"/>
      <c r="L469" s="1861"/>
      <c r="M469" s="1861"/>
      <c r="N469" s="1862"/>
      <c r="O469" s="1964"/>
      <c r="P469" s="2383" t="s">
        <v>225</v>
      </c>
      <c r="Q469" s="1964"/>
      <c r="R469" s="1964"/>
      <c r="S469" s="1964"/>
      <c r="T469" s="1964"/>
      <c r="U469" s="1964"/>
      <c r="V469" s="1964"/>
      <c r="W469" s="1964"/>
      <c r="X469" s="1964"/>
      <c r="Y469" s="2101"/>
      <c r="Z469" s="1777"/>
      <c r="AA469" s="1777"/>
      <c r="AB469" s="1777"/>
      <c r="AC469" s="1777"/>
      <c r="AD469" s="1777"/>
      <c r="AE469" s="1777"/>
      <c r="AF469" s="1777"/>
      <c r="AG469" s="1777"/>
      <c r="AH469" s="1777"/>
      <c r="AI469" s="1777"/>
      <c r="AJ469" s="1777"/>
      <c r="AK469" s="1777"/>
      <c r="AL469" s="1777"/>
      <c r="AM469" s="1777"/>
      <c r="AN469" s="58"/>
      <c r="AO469" s="1629"/>
      <c r="AP469" s="136"/>
      <c r="AQ469" s="136"/>
      <c r="AR469" s="123"/>
      <c r="AS469" s="57"/>
      <c r="AT469" s="55"/>
    </row>
    <row r="470" spans="1:46" s="474" customFormat="1" ht="18" hidden="1" customHeight="1">
      <c r="A470" s="138"/>
      <c r="B470" s="2160" t="s">
        <v>962</v>
      </c>
      <c r="C470" s="1964"/>
      <c r="D470" s="1964"/>
      <c r="E470" s="1964"/>
      <c r="F470" s="1964"/>
      <c r="G470" s="1964"/>
      <c r="H470" s="1964"/>
      <c r="I470" s="1964"/>
      <c r="J470" s="1964"/>
      <c r="K470" s="2073">
        <f>+K468*K469*12</f>
        <v>0</v>
      </c>
      <c r="L470" s="1777"/>
      <c r="M470" s="1777"/>
      <c r="N470" s="1778"/>
      <c r="O470" s="1964"/>
      <c r="P470" s="1860"/>
      <c r="Q470" s="1861"/>
      <c r="R470" s="1861"/>
      <c r="S470" s="1861"/>
      <c r="T470" s="1861"/>
      <c r="U470" s="1861"/>
      <c r="V470" s="1861"/>
      <c r="W470" s="1861"/>
      <c r="X470" s="1862"/>
      <c r="Y470" s="1860"/>
      <c r="Z470" s="1861"/>
      <c r="AA470" s="1861"/>
      <c r="AB470" s="1862"/>
      <c r="AC470" s="1917"/>
      <c r="AD470" s="1861"/>
      <c r="AE470" s="1862"/>
      <c r="AF470" s="1916"/>
      <c r="AG470" s="1861"/>
      <c r="AH470" s="1861"/>
      <c r="AI470" s="1862"/>
      <c r="AJ470" s="2144">
        <f>+AC470*AF470*12</f>
        <v>0</v>
      </c>
      <c r="AK470" s="1777"/>
      <c r="AL470" s="1777"/>
      <c r="AM470" s="1778"/>
      <c r="AN470" s="58"/>
      <c r="AO470" s="1629"/>
      <c r="AP470" s="136"/>
      <c r="AQ470" s="136"/>
      <c r="AR470" s="123"/>
      <c r="AS470" s="57"/>
      <c r="AT470" s="55"/>
    </row>
    <row r="471" spans="1:46" s="474" customFormat="1" ht="18" hidden="1" customHeight="1">
      <c r="A471" s="138"/>
      <c r="B471" s="2383" t="s">
        <v>963</v>
      </c>
      <c r="C471" s="1964"/>
      <c r="D471" s="1964"/>
      <c r="E471" s="1964"/>
      <c r="F471" s="1964"/>
      <c r="G471" s="1964"/>
      <c r="H471" s="1964"/>
      <c r="I471" s="1964"/>
      <c r="J471" s="1964"/>
      <c r="K471" s="1964"/>
      <c r="L471" s="1964"/>
      <c r="M471" s="1964"/>
      <c r="N471" s="1964"/>
      <c r="O471" s="1964"/>
      <c r="P471" s="2214"/>
      <c r="Q471" s="1861"/>
      <c r="R471" s="1861"/>
      <c r="S471" s="1861"/>
      <c r="T471" s="1861"/>
      <c r="U471" s="1861"/>
      <c r="V471" s="1861"/>
      <c r="W471" s="1861"/>
      <c r="X471" s="1862"/>
      <c r="Y471" s="1860"/>
      <c r="Z471" s="1861"/>
      <c r="AA471" s="1861"/>
      <c r="AB471" s="1862"/>
      <c r="AC471" s="1917"/>
      <c r="AD471" s="1861"/>
      <c r="AE471" s="1862"/>
      <c r="AF471" s="1916"/>
      <c r="AG471" s="1861"/>
      <c r="AH471" s="1861"/>
      <c r="AI471" s="1862"/>
      <c r="AJ471" s="2144">
        <f>+AC471*AF471*12</f>
        <v>0</v>
      </c>
      <c r="AK471" s="1777"/>
      <c r="AL471" s="1777"/>
      <c r="AM471" s="1778"/>
      <c r="AN471" s="58"/>
      <c r="AO471" s="1629"/>
      <c r="AP471" s="136"/>
      <c r="AQ471" s="136"/>
      <c r="AR471" s="123"/>
      <c r="AS471" s="57"/>
      <c r="AT471" s="55"/>
    </row>
    <row r="472" spans="1:46" s="474" customFormat="1" ht="18" hidden="1" customHeight="1">
      <c r="A472" s="138"/>
      <c r="B472" s="2020" t="s">
        <v>964</v>
      </c>
      <c r="C472" s="1964"/>
      <c r="D472" s="1964"/>
      <c r="E472" s="1964"/>
      <c r="F472" s="1964"/>
      <c r="G472" s="1964"/>
      <c r="H472" s="1964"/>
      <c r="I472" s="1964"/>
      <c r="J472" s="1964"/>
      <c r="K472" s="2068">
        <f>+$AA$457</f>
        <v>0</v>
      </c>
      <c r="L472" s="1777"/>
      <c r="M472" s="1777"/>
      <c r="N472" s="1778"/>
      <c r="O472" s="1964"/>
      <c r="P472" s="2214"/>
      <c r="Q472" s="1861"/>
      <c r="R472" s="1861"/>
      <c r="S472" s="1861"/>
      <c r="T472" s="1861"/>
      <c r="U472" s="1861"/>
      <c r="V472" s="1861"/>
      <c r="W472" s="1861"/>
      <c r="X472" s="1862"/>
      <c r="Y472" s="1860"/>
      <c r="Z472" s="1861"/>
      <c r="AA472" s="1861"/>
      <c r="AB472" s="1862"/>
      <c r="AC472" s="1917"/>
      <c r="AD472" s="1861"/>
      <c r="AE472" s="1862"/>
      <c r="AF472" s="1916"/>
      <c r="AG472" s="1861"/>
      <c r="AH472" s="1861"/>
      <c r="AI472" s="1862"/>
      <c r="AJ472" s="2144">
        <f>+AC472*AF472*12</f>
        <v>0</v>
      </c>
      <c r="AK472" s="1777"/>
      <c r="AL472" s="1777"/>
      <c r="AM472" s="1778"/>
      <c r="AN472" s="58"/>
      <c r="AO472" s="1629"/>
      <c r="AP472" s="136"/>
      <c r="AQ472" s="136"/>
      <c r="AR472" s="123"/>
      <c r="AS472" s="57"/>
      <c r="AT472" s="55"/>
    </row>
    <row r="473" spans="1:46" s="474" customFormat="1" ht="18" hidden="1" customHeight="1">
      <c r="A473" s="138"/>
      <c r="B473" s="2020" t="s">
        <v>961</v>
      </c>
      <c r="C473" s="1964"/>
      <c r="D473" s="1964"/>
      <c r="E473" s="1964"/>
      <c r="F473" s="1964"/>
      <c r="G473" s="1964"/>
      <c r="H473" s="1964"/>
      <c r="I473" s="1964"/>
      <c r="J473" s="1964"/>
      <c r="K473" s="2254"/>
      <c r="L473" s="1861"/>
      <c r="M473" s="1861"/>
      <c r="N473" s="1862"/>
      <c r="O473" s="1964"/>
      <c r="P473" s="2276"/>
      <c r="Q473" s="1864"/>
      <c r="R473" s="1864"/>
      <c r="S473" s="1864"/>
      <c r="T473" s="1864"/>
      <c r="U473" s="1864"/>
      <c r="V473" s="1864"/>
      <c r="W473" s="1864"/>
      <c r="X473" s="1865"/>
      <c r="Y473" s="2255"/>
      <c r="Z473" s="1864"/>
      <c r="AA473" s="1864"/>
      <c r="AB473" s="1865"/>
      <c r="AC473" s="1923"/>
      <c r="AD473" s="1864"/>
      <c r="AE473" s="1865"/>
      <c r="AF473" s="2281"/>
      <c r="AG473" s="1864"/>
      <c r="AH473" s="1864"/>
      <c r="AI473" s="1865"/>
      <c r="AJ473" s="2178">
        <f>+AC473*AF473*12</f>
        <v>0</v>
      </c>
      <c r="AK473" s="1953"/>
      <c r="AL473" s="1953"/>
      <c r="AM473" s="1770"/>
      <c r="AN473" s="57"/>
      <c r="AO473" s="1629"/>
      <c r="AP473" s="136"/>
      <c r="AQ473" s="136"/>
      <c r="AR473" s="123"/>
      <c r="AS473" s="57"/>
      <c r="AT473" s="55"/>
    </row>
    <row r="474" spans="1:46" s="474" customFormat="1" ht="18" hidden="1" customHeight="1">
      <c r="A474" s="138"/>
      <c r="B474" s="2160" t="s">
        <v>965</v>
      </c>
      <c r="C474" s="1964"/>
      <c r="D474" s="1964"/>
      <c r="E474" s="1964"/>
      <c r="F474" s="1964"/>
      <c r="G474" s="1964"/>
      <c r="H474" s="1964"/>
      <c r="I474" s="1964"/>
      <c r="J474" s="1964"/>
      <c r="K474" s="2073">
        <f>+K472*K473*12</f>
        <v>0</v>
      </c>
      <c r="L474" s="1777"/>
      <c r="M474" s="1777"/>
      <c r="N474" s="1778"/>
      <c r="O474" s="1964"/>
      <c r="P474" s="2192" t="s">
        <v>966</v>
      </c>
      <c r="Q474" s="1953"/>
      <c r="R474" s="1953"/>
      <c r="S474" s="1953"/>
      <c r="T474" s="1953"/>
      <c r="U474" s="1953"/>
      <c r="V474" s="1953"/>
      <c r="W474" s="1953"/>
      <c r="X474" s="1953"/>
      <c r="Y474" s="1953"/>
      <c r="Z474" s="1953"/>
      <c r="AA474" s="1953"/>
      <c r="AB474" s="1953"/>
      <c r="AC474" s="1953"/>
      <c r="AD474" s="1953"/>
      <c r="AE474" s="1953"/>
      <c r="AF474" s="1953"/>
      <c r="AG474" s="1953"/>
      <c r="AH474" s="1953"/>
      <c r="AI474" s="1953"/>
      <c r="AJ474" s="2277">
        <f>SUM(AJ465:AM473)</f>
        <v>0</v>
      </c>
      <c r="AK474" s="1953"/>
      <c r="AL474" s="1953"/>
      <c r="AM474" s="1953"/>
      <c r="AN474" s="58"/>
      <c r="AO474" s="1629"/>
      <c r="AP474" s="136"/>
      <c r="AQ474" s="136"/>
      <c r="AR474" s="123"/>
      <c r="AS474" s="57"/>
      <c r="AT474" s="55"/>
    </row>
    <row r="475" spans="1:46" s="474" customFormat="1" ht="18" hidden="1" customHeight="1">
      <c r="A475" s="138"/>
      <c r="B475" s="2180"/>
      <c r="C475" s="1964"/>
      <c r="D475" s="1964"/>
      <c r="E475" s="1964"/>
      <c r="F475" s="1964"/>
      <c r="G475" s="1964"/>
      <c r="H475" s="1964"/>
      <c r="I475" s="1964"/>
      <c r="J475" s="1964"/>
      <c r="K475" s="1964"/>
      <c r="L475" s="1964"/>
      <c r="M475" s="1964"/>
      <c r="N475" s="1964"/>
      <c r="O475" s="1964"/>
      <c r="P475" s="1964"/>
      <c r="Q475" s="1964"/>
      <c r="R475" s="1964"/>
      <c r="S475" s="1964"/>
      <c r="T475" s="1964"/>
      <c r="U475" s="1964"/>
      <c r="V475" s="1964"/>
      <c r="W475" s="1964"/>
      <c r="X475" s="1964"/>
      <c r="Y475" s="1964"/>
      <c r="Z475" s="1964"/>
      <c r="AA475" s="1964"/>
      <c r="AB475" s="1964"/>
      <c r="AC475" s="1964"/>
      <c r="AD475" s="1964"/>
      <c r="AE475" s="1964"/>
      <c r="AF475" s="1964"/>
      <c r="AG475" s="1964"/>
      <c r="AH475" s="1964"/>
      <c r="AI475" s="1964"/>
      <c r="AJ475" s="1964"/>
      <c r="AK475" s="1964"/>
      <c r="AL475" s="1964"/>
      <c r="AM475" s="1964"/>
      <c r="AN475" s="58"/>
      <c r="AO475" s="1629"/>
      <c r="AP475" s="136"/>
      <c r="AQ475" s="136"/>
      <c r="AR475" s="123"/>
      <c r="AS475" s="57"/>
      <c r="AT475" s="55"/>
    </row>
    <row r="476" spans="1:46" s="474" customFormat="1" ht="18" hidden="1" customHeight="1">
      <c r="A476" s="138"/>
      <c r="B476" s="2030" t="s">
        <v>967</v>
      </c>
      <c r="C476" s="1964"/>
      <c r="D476" s="1964"/>
      <c r="E476" s="1964"/>
      <c r="F476" s="1964"/>
      <c r="G476" s="1964"/>
      <c r="H476" s="1964"/>
      <c r="I476" s="1964"/>
      <c r="J476" s="1964"/>
      <c r="K476" s="1964"/>
      <c r="L476" s="1964"/>
      <c r="M476" s="1964"/>
      <c r="N476" s="1964"/>
      <c r="O476" s="1964"/>
      <c r="P476" s="1964"/>
      <c r="Q476" s="1964"/>
      <c r="R476" s="1964"/>
      <c r="S476" s="1964"/>
      <c r="T476" s="1964"/>
      <c r="U476" s="1964"/>
      <c r="V476" s="1964"/>
      <c r="W476" s="1964"/>
      <c r="X476" s="1964"/>
      <c r="Y476" s="1964"/>
      <c r="Z476" s="1964"/>
      <c r="AA476" s="1964"/>
      <c r="AB476" s="1964"/>
      <c r="AC476" s="1964"/>
      <c r="AD476" s="1964"/>
      <c r="AE476" s="1964"/>
      <c r="AF476" s="1964"/>
      <c r="AG476" s="1964"/>
      <c r="AH476" s="1964"/>
      <c r="AI476" s="1964"/>
      <c r="AJ476" s="1964"/>
      <c r="AK476" s="1964"/>
      <c r="AL476" s="1964"/>
      <c r="AM476" s="1964"/>
      <c r="AN476" s="58"/>
      <c r="AO476" s="1629"/>
      <c r="AP476" s="136"/>
      <c r="AQ476" s="136"/>
      <c r="AR476" s="123"/>
      <c r="AS476" s="57"/>
      <c r="AT476" s="55"/>
    </row>
    <row r="477" spans="1:46" s="474" customFormat="1" ht="18" hidden="1" customHeight="1">
      <c r="A477" s="138"/>
      <c r="B477" s="58"/>
      <c r="C477" s="58"/>
      <c r="D477" s="58"/>
      <c r="E477" s="58"/>
      <c r="F477" s="58"/>
      <c r="G477" s="1876" t="s">
        <v>968</v>
      </c>
      <c r="H477" s="1877"/>
      <c r="I477" s="1877"/>
      <c r="J477" s="1877"/>
      <c r="K477" s="1877"/>
      <c r="L477" s="58"/>
      <c r="M477" s="2156" t="s">
        <v>969</v>
      </c>
      <c r="N477" s="1964"/>
      <c r="O477" s="1964"/>
      <c r="P477" s="1964"/>
      <c r="Q477" s="1964"/>
      <c r="R477" s="58"/>
      <c r="S477" s="1876" t="s">
        <v>970</v>
      </c>
      <c r="T477" s="2188"/>
      <c r="U477" s="2188"/>
      <c r="V477" s="2188"/>
      <c r="W477" s="2188"/>
      <c r="X477" s="2188"/>
      <c r="Y477" s="2188"/>
      <c r="Z477" s="2188"/>
      <c r="AA477" s="2188"/>
      <c r="AB477" s="2188"/>
      <c r="AC477" s="2188"/>
      <c r="AD477" s="2188"/>
      <c r="AE477" s="2188"/>
      <c r="AF477" s="2188"/>
      <c r="AG477" s="2188"/>
      <c r="AH477" s="2188"/>
      <c r="AI477" s="2188"/>
      <c r="AJ477" s="1877"/>
      <c r="AK477" s="1929"/>
      <c r="AL477" s="1964"/>
      <c r="AM477" s="1964"/>
      <c r="AN477" s="58"/>
      <c r="AO477" s="1629"/>
      <c r="AP477" s="136"/>
      <c r="AQ477" s="136"/>
      <c r="AR477" s="123"/>
      <c r="AS477" s="57"/>
    </row>
    <row r="478" spans="1:46" s="474" customFormat="1" ht="18" hidden="1" customHeight="1">
      <c r="A478" s="138"/>
      <c r="B478" s="1918" t="s">
        <v>971</v>
      </c>
      <c r="C478" s="1964"/>
      <c r="D478" s="1964"/>
      <c r="E478" s="1964"/>
      <c r="F478" s="1964"/>
      <c r="G478" s="1886" t="s">
        <v>972</v>
      </c>
      <c r="H478" s="1777"/>
      <c r="I478" s="1777"/>
      <c r="J478" s="1777"/>
      <c r="K478" s="1778"/>
      <c r="L478" s="213"/>
      <c r="M478" s="1964"/>
      <c r="N478" s="1964"/>
      <c r="O478" s="1964"/>
      <c r="P478" s="1964"/>
      <c r="Q478" s="1964"/>
      <c r="R478" s="58"/>
      <c r="S478" s="2203" t="s">
        <v>973</v>
      </c>
      <c r="T478" s="1777"/>
      <c r="U478" s="1777"/>
      <c r="V478" s="1976" t="s">
        <v>974</v>
      </c>
      <c r="W478" s="1777"/>
      <c r="X478" s="1777"/>
      <c r="Y478" s="1976" t="s">
        <v>975</v>
      </c>
      <c r="Z478" s="1777"/>
      <c r="AA478" s="1777"/>
      <c r="AB478" s="1976" t="s">
        <v>976</v>
      </c>
      <c r="AC478" s="1777"/>
      <c r="AD478" s="1777"/>
      <c r="AE478" s="1976" t="s">
        <v>977</v>
      </c>
      <c r="AF478" s="1777"/>
      <c r="AG478" s="1777"/>
      <c r="AH478" s="1932" t="s">
        <v>978</v>
      </c>
      <c r="AI478" s="1777"/>
      <c r="AJ478" s="1778"/>
      <c r="AK478" s="1964"/>
      <c r="AL478" s="1964"/>
      <c r="AM478" s="1964"/>
      <c r="AN478" s="58"/>
      <c r="AO478" s="1629"/>
      <c r="AP478" s="136"/>
      <c r="AQ478" s="136"/>
      <c r="AR478" s="123"/>
      <c r="AS478" s="57"/>
      <c r="AT478" s="55"/>
    </row>
    <row r="479" spans="1:46" s="474" customFormat="1" ht="18" hidden="1" customHeight="1">
      <c r="A479" s="138"/>
      <c r="B479" s="2020" t="s">
        <v>979</v>
      </c>
      <c r="C479" s="1964"/>
      <c r="D479" s="1964"/>
      <c r="E479" s="1964"/>
      <c r="F479" s="1964"/>
      <c r="G479" s="1860"/>
      <c r="H479" s="1861"/>
      <c r="I479" s="1861"/>
      <c r="J479" s="1861"/>
      <c r="K479" s="1862"/>
      <c r="L479" s="213"/>
      <c r="M479" s="1860"/>
      <c r="N479" s="1861"/>
      <c r="O479" s="1861"/>
      <c r="P479" s="1861"/>
      <c r="Q479" s="1862"/>
      <c r="R479" s="213"/>
      <c r="S479" s="1933"/>
      <c r="T479" s="1869"/>
      <c r="U479" s="1870"/>
      <c r="V479" s="1933"/>
      <c r="W479" s="1869"/>
      <c r="X479" s="1870"/>
      <c r="Y479" s="1933"/>
      <c r="Z479" s="1869"/>
      <c r="AA479" s="1870"/>
      <c r="AB479" s="1933"/>
      <c r="AC479" s="1869"/>
      <c r="AD479" s="1870"/>
      <c r="AE479" s="1933"/>
      <c r="AF479" s="1869"/>
      <c r="AG479" s="1870"/>
      <c r="AH479" s="1933"/>
      <c r="AI479" s="1869"/>
      <c r="AJ479" s="1870"/>
      <c r="AK479" s="1964"/>
      <c r="AL479" s="1964"/>
      <c r="AM479" s="1964"/>
      <c r="AN479" s="58"/>
      <c r="AO479" s="1629"/>
      <c r="AP479" s="136"/>
      <c r="AQ479" s="136"/>
      <c r="AR479" s="123"/>
      <c r="AS479" s="57"/>
      <c r="AT479" s="55"/>
    </row>
    <row r="480" spans="1:46" s="474" customFormat="1" ht="18" hidden="1" customHeight="1">
      <c r="A480" s="138"/>
      <c r="B480" s="2020" t="s">
        <v>980</v>
      </c>
      <c r="C480" s="1964"/>
      <c r="D480" s="1964"/>
      <c r="E480" s="1964"/>
      <c r="F480" s="1964"/>
      <c r="G480" s="1860"/>
      <c r="H480" s="1861"/>
      <c r="I480" s="1861"/>
      <c r="J480" s="1861"/>
      <c r="K480" s="1862"/>
      <c r="L480" s="213"/>
      <c r="M480" s="1860"/>
      <c r="N480" s="1861"/>
      <c r="O480" s="1861"/>
      <c r="P480" s="1861"/>
      <c r="Q480" s="1862"/>
      <c r="R480" s="213"/>
      <c r="S480" s="1871"/>
      <c r="T480" s="1861"/>
      <c r="U480" s="1862"/>
      <c r="V480" s="1871"/>
      <c r="W480" s="1861"/>
      <c r="X480" s="1862"/>
      <c r="Y480" s="1871"/>
      <c r="Z480" s="1861"/>
      <c r="AA480" s="1862"/>
      <c r="AB480" s="1871"/>
      <c r="AC480" s="1861"/>
      <c r="AD480" s="1862"/>
      <c r="AE480" s="1871"/>
      <c r="AF480" s="1861"/>
      <c r="AG480" s="1862"/>
      <c r="AH480" s="1871"/>
      <c r="AI480" s="1861"/>
      <c r="AJ480" s="1862"/>
      <c r="AK480" s="1964"/>
      <c r="AL480" s="1964"/>
      <c r="AM480" s="1964"/>
      <c r="AN480" s="58"/>
      <c r="AO480" s="716"/>
      <c r="AP480" s="716"/>
      <c r="AQ480" s="123"/>
      <c r="AR480" s="123"/>
      <c r="AS480" s="57"/>
      <c r="AT480" s="55"/>
    </row>
    <row r="481" spans="1:46" s="474" customFormat="1" ht="18" hidden="1" customHeight="1">
      <c r="A481" s="138"/>
      <c r="B481" s="2020" t="s">
        <v>981</v>
      </c>
      <c r="C481" s="1964"/>
      <c r="D481" s="1964"/>
      <c r="E481" s="1964"/>
      <c r="F481" s="1964"/>
      <c r="G481" s="1860"/>
      <c r="H481" s="1861"/>
      <c r="I481" s="1861"/>
      <c r="J481" s="1861"/>
      <c r="K481" s="1862"/>
      <c r="L481" s="213"/>
      <c r="M481" s="1860"/>
      <c r="N481" s="1861"/>
      <c r="O481" s="1861"/>
      <c r="P481" s="1861"/>
      <c r="Q481" s="1862"/>
      <c r="R481" s="213"/>
      <c r="S481" s="1871"/>
      <c r="T481" s="1861"/>
      <c r="U481" s="1862"/>
      <c r="V481" s="1871"/>
      <c r="W481" s="1861"/>
      <c r="X481" s="1862"/>
      <c r="Y481" s="1871"/>
      <c r="Z481" s="1861"/>
      <c r="AA481" s="1862"/>
      <c r="AB481" s="1871"/>
      <c r="AC481" s="1861"/>
      <c r="AD481" s="1862"/>
      <c r="AE481" s="1871"/>
      <c r="AF481" s="1861"/>
      <c r="AG481" s="1862"/>
      <c r="AH481" s="1871"/>
      <c r="AI481" s="1861"/>
      <c r="AJ481" s="1862"/>
      <c r="AK481" s="1964"/>
      <c r="AL481" s="1964"/>
      <c r="AM481" s="1964"/>
      <c r="AN481" s="58"/>
      <c r="AO481" s="716"/>
      <c r="AP481" s="716"/>
      <c r="AQ481" s="123"/>
      <c r="AR481" s="123"/>
      <c r="AS481" s="57"/>
      <c r="AT481" s="55"/>
    </row>
    <row r="482" spans="1:46" s="474" customFormat="1" ht="18" hidden="1" customHeight="1">
      <c r="A482" s="138"/>
      <c r="B482" s="2020" t="s">
        <v>871</v>
      </c>
      <c r="C482" s="1964"/>
      <c r="D482" s="1964"/>
      <c r="E482" s="1964"/>
      <c r="F482" s="1964"/>
      <c r="G482" s="1860"/>
      <c r="H482" s="1861"/>
      <c r="I482" s="1861"/>
      <c r="J482" s="1861"/>
      <c r="K482" s="1862"/>
      <c r="L482" s="213"/>
      <c r="M482" s="1860"/>
      <c r="N482" s="1861"/>
      <c r="O482" s="1861"/>
      <c r="P482" s="1861"/>
      <c r="Q482" s="1862"/>
      <c r="R482" s="213"/>
      <c r="S482" s="1871"/>
      <c r="T482" s="1861"/>
      <c r="U482" s="1862"/>
      <c r="V482" s="1871"/>
      <c r="W482" s="1861"/>
      <c r="X482" s="1862"/>
      <c r="Y482" s="1871"/>
      <c r="Z482" s="1861"/>
      <c r="AA482" s="1862"/>
      <c r="AB482" s="1871"/>
      <c r="AC482" s="1861"/>
      <c r="AD482" s="1862"/>
      <c r="AE482" s="1871"/>
      <c r="AF482" s="1861"/>
      <c r="AG482" s="1862"/>
      <c r="AH482" s="1871"/>
      <c r="AI482" s="1861"/>
      <c r="AJ482" s="1862"/>
      <c r="AK482" s="1964"/>
      <c r="AL482" s="1964"/>
      <c r="AM482" s="1964"/>
      <c r="AN482" s="58"/>
      <c r="AO482" s="716"/>
      <c r="AP482" s="716"/>
      <c r="AQ482" s="123"/>
      <c r="AR482" s="123"/>
      <c r="AS482" s="57"/>
      <c r="AT482" s="55"/>
    </row>
    <row r="483" spans="1:46" s="474" customFormat="1" ht="18" hidden="1" customHeight="1">
      <c r="A483" s="138"/>
      <c r="B483" s="2020" t="s">
        <v>982</v>
      </c>
      <c r="C483" s="1964"/>
      <c r="D483" s="1964"/>
      <c r="E483" s="1964"/>
      <c r="F483" s="1964"/>
      <c r="G483" s="1860"/>
      <c r="H483" s="1861"/>
      <c r="I483" s="1861"/>
      <c r="J483" s="1861"/>
      <c r="K483" s="1862"/>
      <c r="L483" s="213"/>
      <c r="M483" s="1860"/>
      <c r="N483" s="1861"/>
      <c r="O483" s="1861"/>
      <c r="P483" s="1861"/>
      <c r="Q483" s="1862"/>
      <c r="R483" s="213"/>
      <c r="S483" s="1871"/>
      <c r="T483" s="1861"/>
      <c r="U483" s="1862"/>
      <c r="V483" s="1871"/>
      <c r="W483" s="1861"/>
      <c r="X483" s="1862"/>
      <c r="Y483" s="1871"/>
      <c r="Z483" s="1861"/>
      <c r="AA483" s="1862"/>
      <c r="AB483" s="1871"/>
      <c r="AC483" s="1861"/>
      <c r="AD483" s="1862"/>
      <c r="AE483" s="1871"/>
      <c r="AF483" s="1861"/>
      <c r="AG483" s="1862"/>
      <c r="AH483" s="1871"/>
      <c r="AI483" s="1861"/>
      <c r="AJ483" s="1862"/>
      <c r="AK483" s="1964"/>
      <c r="AL483" s="1964"/>
      <c r="AM483" s="1964"/>
      <c r="AN483" s="58"/>
      <c r="AO483" s="716"/>
      <c r="AP483" s="716"/>
      <c r="AQ483" s="123"/>
      <c r="AR483" s="123"/>
      <c r="AS483" s="57"/>
      <c r="AT483" s="55"/>
    </row>
    <row r="484" spans="1:46" s="474" customFormat="1" ht="18" hidden="1" customHeight="1">
      <c r="A484" s="138"/>
      <c r="B484" s="2020" t="s">
        <v>983</v>
      </c>
      <c r="C484" s="1964"/>
      <c r="D484" s="1964"/>
      <c r="E484" s="1964"/>
      <c r="F484" s="1964"/>
      <c r="G484" s="1860"/>
      <c r="H484" s="1861"/>
      <c r="I484" s="1861"/>
      <c r="J484" s="1861"/>
      <c r="K484" s="1862"/>
      <c r="L484" s="213"/>
      <c r="M484" s="1860"/>
      <c r="N484" s="1861"/>
      <c r="O484" s="1861"/>
      <c r="P484" s="1861"/>
      <c r="Q484" s="1862"/>
      <c r="R484" s="213"/>
      <c r="S484" s="1871"/>
      <c r="T484" s="1861"/>
      <c r="U484" s="1862"/>
      <c r="V484" s="1871"/>
      <c r="W484" s="1861"/>
      <c r="X484" s="1862"/>
      <c r="Y484" s="1871"/>
      <c r="Z484" s="1861"/>
      <c r="AA484" s="1862"/>
      <c r="AB484" s="1871"/>
      <c r="AC484" s="1861"/>
      <c r="AD484" s="1862"/>
      <c r="AE484" s="1871"/>
      <c r="AF484" s="1861"/>
      <c r="AG484" s="1862"/>
      <c r="AH484" s="1871"/>
      <c r="AI484" s="1861"/>
      <c r="AJ484" s="1862"/>
      <c r="AK484" s="1964"/>
      <c r="AL484" s="1964"/>
      <c r="AM484" s="1964"/>
      <c r="AN484" s="58"/>
      <c r="AO484" s="716"/>
      <c r="AP484" s="123"/>
      <c r="AQ484" s="123"/>
      <c r="AR484" s="123"/>
      <c r="AS484" s="57"/>
      <c r="AT484" s="55"/>
    </row>
    <row r="485" spans="1:46" s="474" customFormat="1" ht="18" hidden="1" customHeight="1">
      <c r="A485" s="138"/>
      <c r="B485" s="2020" t="s">
        <v>984</v>
      </c>
      <c r="C485" s="1964"/>
      <c r="D485" s="1964"/>
      <c r="E485" s="1964"/>
      <c r="F485" s="1964"/>
      <c r="G485" s="1860"/>
      <c r="H485" s="1861"/>
      <c r="I485" s="1861"/>
      <c r="J485" s="1861"/>
      <c r="K485" s="1862"/>
      <c r="L485" s="213"/>
      <c r="M485" s="1860"/>
      <c r="N485" s="1861"/>
      <c r="O485" s="1861"/>
      <c r="P485" s="1861"/>
      <c r="Q485" s="1862"/>
      <c r="R485" s="213"/>
      <c r="S485" s="1871"/>
      <c r="T485" s="1861"/>
      <c r="U485" s="1862"/>
      <c r="V485" s="1871"/>
      <c r="W485" s="1861"/>
      <c r="X485" s="1862"/>
      <c r="Y485" s="1871"/>
      <c r="Z485" s="1861"/>
      <c r="AA485" s="1862"/>
      <c r="AB485" s="1871"/>
      <c r="AC485" s="1861"/>
      <c r="AD485" s="1862"/>
      <c r="AE485" s="1871"/>
      <c r="AF485" s="1861"/>
      <c r="AG485" s="1862"/>
      <c r="AH485" s="1871"/>
      <c r="AI485" s="1861"/>
      <c r="AJ485" s="1862"/>
      <c r="AK485" s="1964"/>
      <c r="AL485" s="1964"/>
      <c r="AM485" s="1964"/>
      <c r="AN485" s="58"/>
      <c r="AO485" s="716"/>
      <c r="AP485" s="123"/>
      <c r="AQ485" s="123"/>
      <c r="AR485" s="123"/>
      <c r="AS485" s="57"/>
      <c r="AT485" s="55"/>
    </row>
    <row r="486" spans="1:46" s="474" customFormat="1" ht="18" hidden="1" customHeight="1">
      <c r="A486" s="138"/>
      <c r="B486" s="2020" t="s">
        <v>985</v>
      </c>
      <c r="C486" s="1964"/>
      <c r="D486" s="1964"/>
      <c r="E486" s="1964"/>
      <c r="F486" s="1964"/>
      <c r="G486" s="1860"/>
      <c r="H486" s="1861"/>
      <c r="I486" s="1861"/>
      <c r="J486" s="1861"/>
      <c r="K486" s="1862"/>
      <c r="L486" s="213"/>
      <c r="M486" s="1860"/>
      <c r="N486" s="1861"/>
      <c r="O486" s="1861"/>
      <c r="P486" s="1861"/>
      <c r="Q486" s="1862"/>
      <c r="R486" s="213"/>
      <c r="S486" s="1871"/>
      <c r="T486" s="1861"/>
      <c r="U486" s="1862"/>
      <c r="V486" s="1871"/>
      <c r="W486" s="1861"/>
      <c r="X486" s="1862"/>
      <c r="Y486" s="1871"/>
      <c r="Z486" s="1861"/>
      <c r="AA486" s="1862"/>
      <c r="AB486" s="1871"/>
      <c r="AC486" s="1861"/>
      <c r="AD486" s="1862"/>
      <c r="AE486" s="1871"/>
      <c r="AF486" s="1861"/>
      <c r="AG486" s="1862"/>
      <c r="AH486" s="1871"/>
      <c r="AI486" s="1861"/>
      <c r="AJ486" s="1862"/>
      <c r="AK486" s="1964"/>
      <c r="AL486" s="1964"/>
      <c r="AM486" s="1964"/>
      <c r="AN486" s="58"/>
      <c r="AO486" s="716"/>
      <c r="AP486" s="123"/>
      <c r="AQ486" s="123"/>
      <c r="AR486" s="123"/>
      <c r="AS486" s="57"/>
      <c r="AT486" s="55"/>
    </row>
    <row r="487" spans="1:46" s="474" customFormat="1" ht="18" hidden="1" customHeight="1">
      <c r="A487" s="138"/>
      <c r="B487" s="2020" t="s">
        <v>117</v>
      </c>
      <c r="C487" s="1964"/>
      <c r="D487" s="1964"/>
      <c r="E487" s="1964"/>
      <c r="F487" s="1964"/>
      <c r="G487" s="1860"/>
      <c r="H487" s="1861"/>
      <c r="I487" s="1861"/>
      <c r="J487" s="1861"/>
      <c r="K487" s="1862"/>
      <c r="L487" s="213"/>
      <c r="M487" s="1860"/>
      <c r="N487" s="1861"/>
      <c r="O487" s="1861"/>
      <c r="P487" s="1861"/>
      <c r="Q487" s="1862"/>
      <c r="R487" s="213"/>
      <c r="S487" s="1871"/>
      <c r="T487" s="1861"/>
      <c r="U487" s="1862"/>
      <c r="V487" s="1871"/>
      <c r="W487" s="1861"/>
      <c r="X487" s="1862"/>
      <c r="Y487" s="1871"/>
      <c r="Z487" s="1861"/>
      <c r="AA487" s="1862"/>
      <c r="AB487" s="1871"/>
      <c r="AC487" s="1861"/>
      <c r="AD487" s="1862"/>
      <c r="AE487" s="1871"/>
      <c r="AF487" s="1861"/>
      <c r="AG487" s="1862"/>
      <c r="AH487" s="1871"/>
      <c r="AI487" s="1861"/>
      <c r="AJ487" s="1862"/>
      <c r="AK487" s="1964"/>
      <c r="AL487" s="1964"/>
      <c r="AM487" s="1964"/>
      <c r="AN487" s="58"/>
      <c r="AO487" s="716"/>
      <c r="AP487" s="123"/>
      <c r="AQ487" s="123"/>
      <c r="AR487" s="123"/>
      <c r="AS487" s="57"/>
      <c r="AT487" s="55"/>
    </row>
    <row r="488" spans="1:46" s="474" customFormat="1" ht="18" hidden="1" customHeight="1">
      <c r="A488" s="138"/>
      <c r="B488" s="2283" t="s">
        <v>986</v>
      </c>
      <c r="C488" s="1964"/>
      <c r="D488" s="1964"/>
      <c r="E488" s="1964"/>
      <c r="F488" s="1964"/>
      <c r="G488" s="1964"/>
      <c r="H488" s="1964"/>
      <c r="I488" s="1964"/>
      <c r="J488" s="1964"/>
      <c r="K488" s="1964"/>
      <c r="L488" s="1964"/>
      <c r="M488" s="1964"/>
      <c r="N488" s="1964"/>
      <c r="O488" s="1964"/>
      <c r="P488" s="1964"/>
      <c r="Q488" s="1964"/>
      <c r="R488" s="1964"/>
      <c r="S488" s="1960">
        <f>SUM(S479:U487)</f>
        <v>0</v>
      </c>
      <c r="T488" s="1910"/>
      <c r="U488" s="1910"/>
      <c r="V488" s="1960">
        <f>SUM(V479:X487)</f>
        <v>0</v>
      </c>
      <c r="W488" s="1910"/>
      <c r="X488" s="1910"/>
      <c r="Y488" s="1960">
        <f>SUM(Y479:AA487)</f>
        <v>0</v>
      </c>
      <c r="Z488" s="1910"/>
      <c r="AA488" s="1910"/>
      <c r="AB488" s="1960">
        <f>SUM(AB479:AD487)</f>
        <v>0</v>
      </c>
      <c r="AC488" s="1910"/>
      <c r="AD488" s="1910"/>
      <c r="AE488" s="1960">
        <f>SUM(AE479:AG487)</f>
        <v>0</v>
      </c>
      <c r="AF488" s="1910"/>
      <c r="AG488" s="1910"/>
      <c r="AH488" s="1960">
        <f>SUM(AH479:AJ487)</f>
        <v>0</v>
      </c>
      <c r="AI488" s="1910"/>
      <c r="AJ488" s="1910"/>
      <c r="AK488" s="1964"/>
      <c r="AL488" s="1964"/>
      <c r="AM488" s="1964"/>
      <c r="AN488" s="171"/>
      <c r="AO488" s="716"/>
      <c r="AP488" s="123"/>
      <c r="AQ488" s="123"/>
      <c r="AR488" s="123"/>
      <c r="AS488" s="57"/>
      <c r="AT488" s="55"/>
    </row>
    <row r="489" spans="1:46" s="474" customFormat="1" ht="18" hidden="1" customHeight="1">
      <c r="A489" s="138"/>
      <c r="B489" s="122"/>
      <c r="C489" s="122"/>
      <c r="D489" s="122"/>
      <c r="E489" s="122"/>
      <c r="F489" s="122"/>
      <c r="G489" s="122"/>
      <c r="H489" s="122"/>
      <c r="I489" s="122"/>
      <c r="J489" s="122"/>
      <c r="K489" s="122"/>
      <c r="L489" s="122"/>
      <c r="M489" s="122"/>
      <c r="N489" s="122"/>
      <c r="O489" s="122"/>
      <c r="P489" s="122"/>
      <c r="Q489" s="122"/>
      <c r="R489" s="122"/>
      <c r="S489" s="122"/>
      <c r="T489" s="122"/>
      <c r="U489" s="122"/>
      <c r="V489" s="122"/>
      <c r="W489" s="122"/>
      <c r="X489" s="122"/>
      <c r="Y489" s="122"/>
      <c r="Z489" s="122"/>
      <c r="AA489" s="122"/>
      <c r="AB489" s="122"/>
      <c r="AC489" s="122"/>
      <c r="AD489" s="122"/>
      <c r="AE489" s="122"/>
      <c r="AF489" s="122"/>
      <c r="AG489" s="122"/>
      <c r="AH489" s="122"/>
      <c r="AI489" s="122"/>
      <c r="AJ489" s="122"/>
      <c r="AK489" s="122"/>
      <c r="AL489" s="122"/>
      <c r="AM489" s="122"/>
      <c r="AN489" s="58"/>
      <c r="AO489" s="716"/>
      <c r="AP489" s="123"/>
      <c r="AQ489" s="123"/>
      <c r="AR489" s="123"/>
      <c r="AS489" s="57"/>
    </row>
    <row r="490" spans="1:46" s="474" customFormat="1" ht="18" hidden="1" customHeight="1">
      <c r="A490" s="138"/>
      <c r="B490" s="2369" t="s">
        <v>987</v>
      </c>
      <c r="C490" s="1877"/>
      <c r="D490" s="1877"/>
      <c r="E490" s="1877"/>
      <c r="F490" s="1877"/>
      <c r="G490" s="1877"/>
      <c r="H490" s="1877"/>
      <c r="I490" s="1877"/>
      <c r="J490" s="1877"/>
      <c r="K490" s="1877"/>
      <c r="L490" s="1877"/>
      <c r="M490" s="1877"/>
      <c r="N490" s="1877"/>
      <c r="O490" s="1877"/>
      <c r="P490" s="1877"/>
      <c r="Q490" s="1877"/>
      <c r="R490" s="1877"/>
      <c r="S490" s="1877"/>
      <c r="T490" s="1877"/>
      <c r="U490" s="1877"/>
      <c r="V490" s="1877"/>
      <c r="W490" s="1877"/>
      <c r="X490" s="1877"/>
      <c r="Y490" s="1877"/>
      <c r="Z490" s="1877"/>
      <c r="AA490" s="1877"/>
      <c r="AB490" s="1877"/>
      <c r="AC490" s="1877"/>
      <c r="AD490" s="1877"/>
      <c r="AE490" s="1877"/>
      <c r="AF490" s="1877"/>
      <c r="AG490" s="1877"/>
      <c r="AH490" s="1877"/>
      <c r="AI490" s="1877"/>
      <c r="AJ490" s="1877"/>
      <c r="AK490" s="1877"/>
      <c r="AL490" s="1877"/>
      <c r="AM490" s="1877"/>
      <c r="AN490" s="58"/>
      <c r="AO490" s="716"/>
      <c r="AP490" s="123"/>
      <c r="AQ490" s="123"/>
      <c r="AR490" s="123"/>
      <c r="AS490" s="57"/>
    </row>
    <row r="491" spans="1:46" s="474" customFormat="1" ht="18" hidden="1" customHeight="1">
      <c r="A491" s="138"/>
      <c r="B491" s="2007" t="s">
        <v>988</v>
      </c>
      <c r="C491" s="1777"/>
      <c r="D491" s="1777"/>
      <c r="E491" s="2273"/>
      <c r="F491" s="1870"/>
      <c r="G491" s="2392" t="s">
        <v>989</v>
      </c>
      <c r="H491" s="1777"/>
      <c r="I491" s="1778"/>
      <c r="J491" s="1941"/>
      <c r="K491" s="1861"/>
      <c r="L491" s="1861"/>
      <c r="M491" s="1861"/>
      <c r="N491" s="1861"/>
      <c r="O491" s="1861"/>
      <c r="P491" s="1861"/>
      <c r="Q491" s="1861"/>
      <c r="R491" s="1861"/>
      <c r="S491" s="1861"/>
      <c r="T491" s="1861"/>
      <c r="U491" s="1861"/>
      <c r="V491" s="1861"/>
      <c r="W491" s="1861"/>
      <c r="X491" s="1861"/>
      <c r="Y491" s="1861"/>
      <c r="Z491" s="1861"/>
      <c r="AA491" s="1861"/>
      <c r="AB491" s="1861"/>
      <c r="AC491" s="1861"/>
      <c r="AD491" s="1861"/>
      <c r="AE491" s="1862"/>
      <c r="AF491" s="1973" t="s">
        <v>990</v>
      </c>
      <c r="AG491" s="1777"/>
      <c r="AH491" s="1777"/>
      <c r="AI491" s="1778"/>
      <c r="AJ491" s="2121"/>
      <c r="AK491" s="1861"/>
      <c r="AL491" s="1861"/>
      <c r="AM491" s="1862"/>
      <c r="AN491" s="58"/>
      <c r="AO491" s="716"/>
      <c r="AP491" s="123"/>
      <c r="AQ491" s="123"/>
      <c r="AR491" s="123"/>
      <c r="AS491" s="57"/>
      <c r="AT491" s="55"/>
    </row>
    <row r="492" spans="1:46" s="474" customFormat="1" ht="18" hidden="1" customHeight="1">
      <c r="A492" s="138"/>
      <c r="B492" s="1897" t="s">
        <v>991</v>
      </c>
      <c r="C492" s="1777"/>
      <c r="D492" s="1778"/>
      <c r="E492" s="2100"/>
      <c r="F492" s="1865"/>
      <c r="G492" s="2007" t="s">
        <v>992</v>
      </c>
      <c r="H492" s="1777"/>
      <c r="I492" s="1777"/>
      <c r="J492" s="1777"/>
      <c r="K492" s="1777"/>
      <c r="L492" s="1777"/>
      <c r="M492" s="1777"/>
      <c r="N492" s="1777"/>
      <c r="O492" s="2100"/>
      <c r="P492" s="1865"/>
      <c r="Q492" s="2244" t="s">
        <v>993</v>
      </c>
      <c r="R492" s="1777"/>
      <c r="S492" s="2100"/>
      <c r="T492" s="1865"/>
      <c r="U492" s="2098" t="s">
        <v>994</v>
      </c>
      <c r="V492" s="1777"/>
      <c r="W492" s="1777"/>
      <c r="X492" s="1777"/>
      <c r="Y492" s="1873"/>
      <c r="Z492" s="1862"/>
      <c r="AA492" s="1873"/>
      <c r="AB492" s="1861"/>
      <c r="AC492" s="1861"/>
      <c r="AD492" s="1861"/>
      <c r="AE492" s="1861"/>
      <c r="AF492" s="1861"/>
      <c r="AG492" s="1861"/>
      <c r="AH492" s="1861"/>
      <c r="AI492" s="1861"/>
      <c r="AJ492" s="1861"/>
      <c r="AK492" s="1861"/>
      <c r="AL492" s="1861"/>
      <c r="AM492" s="1862"/>
      <c r="AN492" s="1661"/>
      <c r="AO492" s="716"/>
      <c r="AP492" s="123"/>
      <c r="AQ492" s="123"/>
      <c r="AR492" s="123"/>
      <c r="AS492" s="57"/>
      <c r="AT492" s="55"/>
    </row>
    <row r="493" spans="1:46" s="474" customFormat="1" ht="18" hidden="1" customHeight="1">
      <c r="A493" s="138"/>
      <c r="B493" s="1897" t="s">
        <v>995</v>
      </c>
      <c r="C493" s="1777"/>
      <c r="D493" s="1777"/>
      <c r="E493" s="1777"/>
      <c r="F493" s="1777"/>
      <c r="G493" s="1777"/>
      <c r="H493" s="1777"/>
      <c r="I493" s="1777"/>
      <c r="J493" s="1777"/>
      <c r="K493" s="1777"/>
      <c r="L493" s="1777"/>
      <c r="M493" s="1777"/>
      <c r="N493" s="1777"/>
      <c r="O493" s="1777"/>
      <c r="P493" s="1777"/>
      <c r="Q493" s="1777"/>
      <c r="R493" s="1777"/>
      <c r="S493" s="1777"/>
      <c r="T493" s="1777"/>
      <c r="U493" s="1777"/>
      <c r="V493" s="1777"/>
      <c r="W493" s="1777"/>
      <c r="X493" s="1777"/>
      <c r="Y493" s="1777"/>
      <c r="Z493" s="1777"/>
      <c r="AA493" s="1777"/>
      <c r="AB493" s="1777"/>
      <c r="AC493" s="1777"/>
      <c r="AD493" s="1777"/>
      <c r="AE493" s="1777"/>
      <c r="AF493" s="1777"/>
      <c r="AG493" s="1777"/>
      <c r="AH493" s="1777"/>
      <c r="AI493" s="1777"/>
      <c r="AJ493" s="1777"/>
      <c r="AK493" s="1777"/>
      <c r="AL493" s="1777"/>
      <c r="AM493" s="1778"/>
      <c r="AN493" s="1661"/>
      <c r="AO493" s="716"/>
      <c r="AP493" s="123"/>
      <c r="AQ493" s="123"/>
      <c r="AR493" s="123"/>
      <c r="AS493" s="57"/>
      <c r="AT493" s="55"/>
    </row>
    <row r="494" spans="1:46" s="474" customFormat="1" ht="54" hidden="1" customHeight="1">
      <c r="A494" s="138"/>
      <c r="B494" s="2086"/>
      <c r="C494" s="1861"/>
      <c r="D494" s="1861"/>
      <c r="E494" s="1861"/>
      <c r="F494" s="1861"/>
      <c r="G494" s="1861"/>
      <c r="H494" s="1861"/>
      <c r="I494" s="1861"/>
      <c r="J494" s="1861"/>
      <c r="K494" s="1861"/>
      <c r="L494" s="1861"/>
      <c r="M494" s="1861"/>
      <c r="N494" s="1861"/>
      <c r="O494" s="1861"/>
      <c r="P494" s="1861"/>
      <c r="Q494" s="1861"/>
      <c r="R494" s="1861"/>
      <c r="S494" s="1861"/>
      <c r="T494" s="1861"/>
      <c r="U494" s="1861"/>
      <c r="V494" s="1861"/>
      <c r="W494" s="1861"/>
      <c r="X494" s="1861"/>
      <c r="Y494" s="1861"/>
      <c r="Z494" s="1861"/>
      <c r="AA494" s="1861"/>
      <c r="AB494" s="1861"/>
      <c r="AC494" s="1861"/>
      <c r="AD494" s="1861"/>
      <c r="AE494" s="1861"/>
      <c r="AF494" s="1861"/>
      <c r="AG494" s="1861"/>
      <c r="AH494" s="1861"/>
      <c r="AI494" s="1861"/>
      <c r="AJ494" s="1861"/>
      <c r="AK494" s="1861"/>
      <c r="AL494" s="1861"/>
      <c r="AM494" s="1862"/>
      <c r="AN494" s="58"/>
      <c r="AO494" s="716"/>
      <c r="AP494" s="123"/>
      <c r="AQ494" s="123"/>
      <c r="AR494" s="123"/>
      <c r="AS494" s="57"/>
      <c r="AT494" s="55"/>
    </row>
    <row r="495" spans="1:46" s="474" customFormat="1" ht="18" hidden="1" customHeight="1">
      <c r="A495" s="138"/>
      <c r="B495" s="2313" t="s">
        <v>558</v>
      </c>
      <c r="C495" s="1777"/>
      <c r="D495" s="1777"/>
      <c r="E495" s="2272" t="str">
        <f>'Document Checklist-Full List'!$E$101</f>
        <v>39. Utility allowance</v>
      </c>
      <c r="F495" s="1777"/>
      <c r="G495" s="1777"/>
      <c r="H495" s="1777"/>
      <c r="I495" s="1777"/>
      <c r="J495" s="1777"/>
      <c r="K495" s="1777"/>
      <c r="L495" s="1777"/>
      <c r="M495" s="1777"/>
      <c r="N495" s="1959" t="str">
        <f>'Document Checklist-Full List'!$N$101</f>
        <v>Schedule of utility allowances.</v>
      </c>
      <c r="O495" s="1777"/>
      <c r="P495" s="1777"/>
      <c r="Q495" s="1777"/>
      <c r="R495" s="1777"/>
      <c r="S495" s="1777"/>
      <c r="T495" s="1777"/>
      <c r="U495" s="1777"/>
      <c r="V495" s="1777"/>
      <c r="W495" s="1777"/>
      <c r="X495" s="1777"/>
      <c r="Y495" s="1777"/>
      <c r="Z495" s="1777"/>
      <c r="AA495" s="1777"/>
      <c r="AB495" s="1777"/>
      <c r="AC495" s="1777"/>
      <c r="AD495" s="1777"/>
      <c r="AE495" s="1778"/>
      <c r="AF495" s="1886" t="s">
        <v>559</v>
      </c>
      <c r="AG495" s="1777"/>
      <c r="AH495" s="1777"/>
      <c r="AI495" s="1777"/>
      <c r="AJ495" s="1777"/>
      <c r="AK495" s="1778"/>
      <c r="AL495" s="1904"/>
      <c r="AM495" s="1862"/>
      <c r="AN495" s="171"/>
      <c r="AO495" s="716"/>
      <c r="AP495" s="123"/>
      <c r="AQ495" s="123"/>
      <c r="AR495" s="123"/>
      <c r="AS495" s="57"/>
      <c r="AT495" s="55"/>
    </row>
    <row r="496" spans="1:46" s="474" customFormat="1" ht="18" hidden="1" customHeight="1">
      <c r="A496" s="1744"/>
      <c r="AN496" s="58"/>
      <c r="AO496" s="716"/>
      <c r="AP496" s="123"/>
      <c r="AQ496" s="123"/>
      <c r="AR496" s="123"/>
      <c r="AS496" s="57"/>
      <c r="AT496" s="55"/>
    </row>
    <row r="497" spans="1:46" s="474" customFormat="1" ht="18" hidden="1" customHeight="1">
      <c r="A497" s="1744"/>
      <c r="B497" s="1944" t="s">
        <v>996</v>
      </c>
      <c r="C497" s="1964"/>
      <c r="D497" s="1964"/>
      <c r="E497" s="1964"/>
      <c r="F497" s="1964"/>
      <c r="G497" s="1964"/>
      <c r="H497" s="1964"/>
      <c r="I497" s="1964"/>
      <c r="J497" s="1964"/>
      <c r="K497" s="1964"/>
      <c r="L497" s="1964"/>
      <c r="M497" s="1964"/>
      <c r="N497" s="1964"/>
      <c r="O497" s="1964"/>
      <c r="P497" s="1964"/>
      <c r="Q497" s="1964"/>
      <c r="R497" s="1636"/>
      <c r="S497" s="1636"/>
      <c r="T497" s="1636"/>
      <c r="U497" s="1636"/>
      <c r="V497" s="1636"/>
      <c r="W497" s="1636"/>
      <c r="X497" s="1636"/>
      <c r="Y497" s="1636"/>
      <c r="Z497" s="1636"/>
      <c r="AA497" s="1636"/>
      <c r="AB497" s="1636"/>
      <c r="AC497" s="1636"/>
      <c r="AD497" s="1636"/>
      <c r="AE497" s="1636"/>
      <c r="AF497" s="1636"/>
      <c r="AG497" s="1636"/>
      <c r="AH497" s="1636"/>
      <c r="AI497" s="1636"/>
      <c r="AJ497" s="1636"/>
      <c r="AK497" s="1636"/>
      <c r="AL497" s="1636"/>
      <c r="AM497" s="1636"/>
      <c r="AN497" s="58"/>
      <c r="AO497" s="716"/>
      <c r="AP497" s="123"/>
      <c r="AQ497" s="123"/>
      <c r="AR497" s="123"/>
      <c r="AS497" s="57"/>
      <c r="AT497" s="55"/>
    </row>
    <row r="498" spans="1:46" s="474" customFormat="1" ht="18" hidden="1" customHeight="1">
      <c r="A498" s="1744"/>
      <c r="B498" s="2245" t="str">
        <f>CONCATENATE(IF(IsMhp,"MHP §7303.1(h)",""),"  ",IF(IsIig,"IIG §202(i)",""),"  ",IF(IsSerna,"FWHG §204(h)",""),"  ",IF(IsVhhp,"",""))</f>
        <v xml:space="preserve">MHP §7303.1(h)      </v>
      </c>
      <c r="C498" s="1964"/>
      <c r="D498" s="1964"/>
      <c r="E498" s="1964"/>
      <c r="F498" s="1964"/>
      <c r="G498" s="1964"/>
      <c r="H498" s="1964"/>
      <c r="I498" s="1964"/>
      <c r="J498" s="1964"/>
      <c r="K498" s="1964"/>
      <c r="L498" s="1964"/>
      <c r="M498" s="1964"/>
      <c r="N498" s="1964"/>
      <c r="O498" s="1964"/>
      <c r="P498" s="1964"/>
      <c r="Q498" s="1964"/>
      <c r="R498" s="1964"/>
      <c r="S498" s="1964"/>
      <c r="T498" s="1964"/>
      <c r="U498" s="1964"/>
      <c r="V498" s="1964"/>
      <c r="W498" s="1964"/>
      <c r="X498" s="1964"/>
      <c r="Y498" s="1964"/>
      <c r="Z498" s="1964"/>
      <c r="AA498" s="1964"/>
      <c r="AB498" s="1964"/>
      <c r="AC498" s="1964"/>
      <c r="AD498" s="1964"/>
      <c r="AE498" s="1964"/>
      <c r="AF498" s="1964"/>
      <c r="AG498" s="1964"/>
      <c r="AH498" s="1964"/>
      <c r="AI498" s="1964"/>
      <c r="AJ498" s="1964"/>
      <c r="AK498" s="1964"/>
      <c r="AL498" s="1636"/>
      <c r="AM498" s="1636"/>
      <c r="AN498" s="58"/>
      <c r="AO498" s="716"/>
      <c r="AP498" s="123"/>
      <c r="AQ498" s="123"/>
      <c r="AR498" s="123"/>
      <c r="AS498" s="57"/>
      <c r="AT498" s="55"/>
    </row>
    <row r="499" spans="1:46" s="474" customFormat="1" ht="51" hidden="1" customHeight="1">
      <c r="A499" s="1744"/>
      <c r="B499" s="2120" t="s">
        <v>997</v>
      </c>
      <c r="C499" s="1964"/>
      <c r="D499" s="1964"/>
      <c r="E499" s="1964"/>
      <c r="F499" s="1964"/>
      <c r="G499" s="1964"/>
      <c r="H499" s="1964"/>
      <c r="I499" s="1964"/>
      <c r="J499" s="1964"/>
      <c r="K499" s="1964"/>
      <c r="L499" s="1964"/>
      <c r="M499" s="1964"/>
      <c r="N499" s="1964"/>
      <c r="O499" s="1964"/>
      <c r="P499" s="1964"/>
      <c r="Q499" s="1964"/>
      <c r="R499" s="1964"/>
      <c r="S499" s="1964"/>
      <c r="T499" s="1964"/>
      <c r="U499" s="1964"/>
      <c r="V499" s="1964"/>
      <c r="W499" s="1964"/>
      <c r="X499" s="1964"/>
      <c r="Y499" s="1964"/>
      <c r="Z499" s="1964"/>
      <c r="AA499" s="1964"/>
      <c r="AB499" s="1964"/>
      <c r="AC499" s="1964"/>
      <c r="AD499" s="1964"/>
      <c r="AE499" s="1964"/>
      <c r="AF499" s="1964"/>
      <c r="AG499" s="1964"/>
      <c r="AH499" s="1964"/>
      <c r="AI499" s="1964"/>
      <c r="AJ499" s="1964"/>
      <c r="AK499" s="1889"/>
      <c r="AL499" s="1904"/>
      <c r="AM499" s="1862"/>
      <c r="AN499" s="58"/>
      <c r="AO499" s="123"/>
      <c r="AP499" s="123"/>
      <c r="AQ499" s="123"/>
      <c r="AR499" s="123"/>
      <c r="AS499" s="57"/>
      <c r="AT499" s="55"/>
    </row>
    <row r="500" spans="1:46" s="120" customFormat="1" ht="18" hidden="1" customHeight="1">
      <c r="B500" s="2143" t="s">
        <v>998</v>
      </c>
      <c r="C500" s="1877"/>
      <c r="D500" s="1877"/>
      <c r="E500" s="1877"/>
      <c r="F500" s="1877"/>
      <c r="G500" s="1877"/>
      <c r="H500" s="1877"/>
      <c r="I500" s="1877"/>
      <c r="J500" s="1877"/>
      <c r="K500" s="1877"/>
      <c r="L500" s="1877"/>
      <c r="M500" s="1877"/>
      <c r="N500" s="1877"/>
      <c r="O500" s="1877"/>
      <c r="P500" s="1877"/>
      <c r="Q500" s="1877"/>
      <c r="R500" s="1877"/>
      <c r="S500" s="1877"/>
      <c r="T500" s="1877"/>
      <c r="U500" s="1877"/>
      <c r="V500" s="1877"/>
      <c r="W500" s="1877"/>
      <c r="X500" s="1877"/>
      <c r="Y500" s="1877"/>
      <c r="Z500" s="1877"/>
      <c r="AA500" s="1877"/>
      <c r="AB500" s="1877"/>
      <c r="AC500" s="1877"/>
      <c r="AD500" s="1877"/>
      <c r="AE500" s="1877"/>
      <c r="AF500" s="1877"/>
      <c r="AG500" s="1877"/>
      <c r="AH500" s="1877"/>
      <c r="AI500" s="1877"/>
      <c r="AJ500" s="1877"/>
      <c r="AK500" s="1877"/>
    </row>
    <row r="501" spans="1:46" s="474" customFormat="1" ht="98.1" hidden="1" customHeight="1">
      <c r="A501" s="1744"/>
      <c r="B501" s="1866" t="s">
        <v>558</v>
      </c>
      <c r="C501" s="1777"/>
      <c r="D501" s="1778"/>
      <c r="E501" s="1882" t="str">
        <f>'Document Checklist-Full List'!$E$182</f>
        <v>88. Streamlined Ministerial Approval</v>
      </c>
      <c r="F501" s="1777"/>
      <c r="G501" s="1777"/>
      <c r="H501" s="1777"/>
      <c r="I501" s="1777"/>
      <c r="J501" s="1777"/>
      <c r="K501" s="1777"/>
      <c r="L501" s="1777"/>
      <c r="M501" s="1778"/>
      <c r="N501" s="1882" t="str">
        <f>'Document Checklist-Full List'!$N$182</f>
        <v>Applicant must submit either (1) documentation that the project reasonably meets the eligibility requirements for streamlined, ministerial approval and that all necessary applications and notices have been submitted for review; or (2) documentation from the applicable local agency verifying streamlined ministerial approval. See MHP Guideline §7303.1 (h). For complete description of this requirement. For scoring points a legal opinion and certification is required.</v>
      </c>
      <c r="O501" s="1777"/>
      <c r="P501" s="1777"/>
      <c r="Q501" s="1777"/>
      <c r="R501" s="1777"/>
      <c r="S501" s="1777"/>
      <c r="T501" s="1777"/>
      <c r="U501" s="1777"/>
      <c r="V501" s="1777"/>
      <c r="W501" s="1777"/>
      <c r="X501" s="1777"/>
      <c r="Y501" s="1777"/>
      <c r="Z501" s="1777"/>
      <c r="AA501" s="1777"/>
      <c r="AB501" s="1777"/>
      <c r="AC501" s="1777"/>
      <c r="AD501" s="1777"/>
      <c r="AE501" s="1778"/>
      <c r="AF501" s="1886" t="s">
        <v>559</v>
      </c>
      <c r="AG501" s="1777"/>
      <c r="AH501" s="1777"/>
      <c r="AI501" s="1777"/>
      <c r="AJ501" s="1777"/>
      <c r="AK501" s="1778"/>
      <c r="AL501" s="1904"/>
      <c r="AM501" s="1862"/>
      <c r="AN501" s="58"/>
      <c r="AO501" s="123"/>
      <c r="AP501" s="123"/>
      <c r="AQ501" s="123"/>
      <c r="AR501" s="123"/>
      <c r="AS501" s="57"/>
      <c r="AT501" s="55"/>
    </row>
    <row r="502" spans="1:46" s="474" customFormat="1" ht="51" hidden="1" customHeight="1">
      <c r="A502" s="1744"/>
      <c r="B502" s="1866" t="s">
        <v>558</v>
      </c>
      <c r="C502" s="1777"/>
      <c r="D502" s="1778"/>
      <c r="E502" s="1882" t="str">
        <f>'Document Checklist-Full List'!$E$187</f>
        <v>92. Local Approvals</v>
      </c>
      <c r="F502" s="1777"/>
      <c r="G502" s="1777"/>
      <c r="H502" s="1777"/>
      <c r="I502" s="1777"/>
      <c r="J502" s="1777"/>
      <c r="K502" s="1777"/>
      <c r="L502" s="1777"/>
      <c r="M502" s="1778"/>
      <c r="N502" s="1882" t="str">
        <f>'Document Checklist-Full List'!$N$187</f>
        <v>Local Approvals and Environmental Review Verification form(s) completed and signed by local authority or Responsible Entity, if different from jurisdiction. This is not a threshold requirement for IIG only Projects.</v>
      </c>
      <c r="O502" s="1777"/>
      <c r="P502" s="1777"/>
      <c r="Q502" s="1777"/>
      <c r="R502" s="1777"/>
      <c r="S502" s="1777"/>
      <c r="T502" s="1777"/>
      <c r="U502" s="1777"/>
      <c r="V502" s="1777"/>
      <c r="W502" s="1777"/>
      <c r="X502" s="1777"/>
      <c r="Y502" s="1777"/>
      <c r="Z502" s="1777"/>
      <c r="AA502" s="1777"/>
      <c r="AB502" s="1777"/>
      <c r="AC502" s="1777"/>
      <c r="AD502" s="1777"/>
      <c r="AE502" s="1778"/>
      <c r="AF502" s="2142" t="s">
        <v>559</v>
      </c>
      <c r="AG502" s="1777"/>
      <c r="AH502" s="1777"/>
      <c r="AI502" s="1777"/>
      <c r="AJ502" s="1777"/>
      <c r="AK502" s="1778"/>
      <c r="AL502" s="1904"/>
      <c r="AM502" s="1862"/>
      <c r="AN502" s="58"/>
      <c r="AO502" s="123"/>
      <c r="AP502" s="123"/>
      <c r="AQ502" s="123"/>
      <c r="AR502" s="123"/>
      <c r="AS502" s="57"/>
      <c r="AT502" s="55"/>
    </row>
    <row r="503" spans="1:46" s="137" customFormat="1" ht="18" hidden="1" customHeight="1">
      <c r="A503" s="120"/>
      <c r="B503" s="2157" t="s">
        <v>999</v>
      </c>
      <c r="C503" s="2079"/>
      <c r="D503" s="2079"/>
      <c r="E503" s="2079"/>
      <c r="F503" s="2079"/>
      <c r="G503" s="2079"/>
      <c r="H503" s="2079"/>
      <c r="I503" s="2079"/>
      <c r="J503" s="2079"/>
      <c r="K503" s="2079"/>
      <c r="L503" s="2079"/>
      <c r="M503" s="2079"/>
      <c r="N503" s="2079"/>
      <c r="O503" s="2079"/>
      <c r="P503" s="2079"/>
      <c r="Q503" s="2079"/>
      <c r="R503" s="2079"/>
      <c r="S503" s="2079"/>
      <c r="T503" s="2079"/>
      <c r="U503" s="2079"/>
      <c r="V503" s="2079"/>
      <c r="W503" s="2079"/>
      <c r="X503" s="2079"/>
      <c r="Y503" s="2079"/>
      <c r="Z503" s="2079"/>
      <c r="AA503" s="2079"/>
      <c r="AB503" s="2079"/>
      <c r="AC503" s="2079"/>
      <c r="AD503" s="2079"/>
      <c r="AE503" s="2079"/>
      <c r="AF503" s="2079"/>
      <c r="AG503" s="2079"/>
      <c r="AH503" s="2079"/>
      <c r="AI503" s="2079"/>
      <c r="AJ503" s="2079"/>
      <c r="AK503" s="2079"/>
      <c r="AS503" s="120"/>
      <c r="AT503" s="120"/>
    </row>
    <row r="504" spans="1:46" s="137" customFormat="1" ht="18" hidden="1" customHeight="1">
      <c r="A504" s="120"/>
      <c r="B504" s="2245" t="str">
        <f>CONCATENATE(IF(IsMhp,"MHP §7303.1(i)",""),"  ",IF(IsIig,"IIG §202(i)",""),"  ",IF(IsSerna,"FWHG §204(i)",""),"  ",IF(IsVhhp,"",""))</f>
        <v xml:space="preserve">MHP §7303.1(i)      </v>
      </c>
      <c r="C504" s="2079"/>
      <c r="D504" s="2079"/>
      <c r="E504" s="2079"/>
      <c r="F504" s="2079"/>
      <c r="G504" s="2079"/>
      <c r="H504" s="2079"/>
      <c r="I504" s="2079"/>
      <c r="J504" s="2079"/>
      <c r="K504" s="2079"/>
      <c r="L504" s="2079"/>
      <c r="M504" s="2079"/>
      <c r="N504" s="2079"/>
      <c r="O504" s="2079"/>
      <c r="P504" s="2079"/>
      <c r="Q504" s="2079"/>
      <c r="R504" s="2079"/>
      <c r="S504" s="2079"/>
      <c r="T504" s="2079"/>
      <c r="U504" s="2079"/>
      <c r="V504" s="2079"/>
      <c r="W504" s="2079"/>
      <c r="X504" s="2079"/>
      <c r="Y504" s="2079"/>
      <c r="Z504" s="2079"/>
      <c r="AA504" s="2079"/>
      <c r="AB504" s="2079"/>
      <c r="AC504" s="2079"/>
      <c r="AD504" s="2079"/>
      <c r="AE504" s="2079"/>
      <c r="AF504" s="2079"/>
      <c r="AG504" s="2079"/>
      <c r="AH504" s="2079"/>
      <c r="AI504" s="2079"/>
      <c r="AJ504" s="2079"/>
      <c r="AK504" s="2079"/>
      <c r="AS504" s="120"/>
      <c r="AT504" s="120"/>
    </row>
    <row r="505" spans="1:46" s="137" customFormat="1" ht="54" hidden="1" customHeight="1">
      <c r="A505" s="120"/>
      <c r="B505" s="2119" t="s">
        <v>1000</v>
      </c>
      <c r="C505" s="2079"/>
      <c r="D505" s="2079"/>
      <c r="E505" s="2079"/>
      <c r="F505" s="2079"/>
      <c r="G505" s="2079"/>
      <c r="H505" s="2079"/>
      <c r="I505" s="2079"/>
      <c r="J505" s="2079"/>
      <c r="K505" s="2079"/>
      <c r="L505" s="2079"/>
      <c r="M505" s="2079"/>
      <c r="N505" s="2079"/>
      <c r="O505" s="2079"/>
      <c r="P505" s="2079"/>
      <c r="Q505" s="2079"/>
      <c r="R505" s="2079"/>
      <c r="S505" s="2079"/>
      <c r="T505" s="2079"/>
      <c r="U505" s="2079"/>
      <c r="V505" s="2079"/>
      <c r="W505" s="2079"/>
      <c r="X505" s="2079"/>
      <c r="Y505" s="2079"/>
      <c r="Z505" s="2079"/>
      <c r="AA505" s="2079"/>
      <c r="AB505" s="2079"/>
      <c r="AC505" s="2079"/>
      <c r="AD505" s="2079"/>
      <c r="AE505" s="2079"/>
      <c r="AF505" s="2079"/>
      <c r="AG505" s="2079"/>
      <c r="AH505" s="2079"/>
      <c r="AI505" s="2079"/>
      <c r="AJ505" s="2079"/>
      <c r="AK505" s="2079"/>
      <c r="AL505" s="1904"/>
      <c r="AM505" s="1862"/>
      <c r="AS505" s="120"/>
      <c r="AT505" s="120"/>
    </row>
    <row r="506" spans="1:46" s="137" customFormat="1" ht="18" hidden="1" customHeight="1">
      <c r="A506" s="120"/>
      <c r="B506" s="2157" t="s">
        <v>999</v>
      </c>
      <c r="C506" s="2079"/>
      <c r="D506" s="2079"/>
      <c r="E506" s="2079"/>
      <c r="F506" s="2079"/>
      <c r="G506" s="2079"/>
      <c r="H506" s="2079"/>
      <c r="I506" s="2079"/>
      <c r="J506" s="2079"/>
      <c r="K506" s="2079"/>
      <c r="L506" s="2079"/>
      <c r="M506" s="2079"/>
      <c r="N506" s="2079"/>
      <c r="O506" s="2079"/>
      <c r="P506" s="2079"/>
      <c r="Q506" s="2079"/>
      <c r="R506" s="2079"/>
      <c r="S506" s="2079"/>
      <c r="T506" s="2079"/>
      <c r="U506" s="2079"/>
      <c r="V506" s="2079"/>
      <c r="W506" s="2079"/>
      <c r="X506" s="2079"/>
      <c r="Y506" s="2079"/>
      <c r="Z506" s="2079"/>
      <c r="AA506" s="2079"/>
      <c r="AB506" s="2079"/>
      <c r="AC506" s="2079"/>
      <c r="AD506" s="2079"/>
      <c r="AE506" s="2079"/>
      <c r="AF506" s="2079"/>
      <c r="AG506" s="2079"/>
      <c r="AH506" s="2079"/>
      <c r="AI506" s="2079"/>
      <c r="AJ506" s="2079"/>
      <c r="AK506" s="2079"/>
      <c r="AS506" s="120"/>
      <c r="AT506" s="120"/>
    </row>
    <row r="507" spans="1:46" s="474" customFormat="1" ht="18" hidden="1" customHeight="1">
      <c r="A507" s="1744"/>
      <c r="B507" s="2366" t="s">
        <v>1001</v>
      </c>
      <c r="C507" s="1877"/>
      <c r="D507" s="1877"/>
      <c r="E507" s="1877"/>
      <c r="F507" s="1877"/>
      <c r="G507" s="1877"/>
      <c r="H507" s="1877"/>
      <c r="I507" s="1877"/>
      <c r="J507" s="1877"/>
      <c r="K507" s="1877"/>
      <c r="L507" s="1877"/>
      <c r="M507" s="1877"/>
      <c r="N507" s="1877"/>
      <c r="O507" s="1877"/>
      <c r="P507" s="1877"/>
      <c r="Q507" s="1877"/>
      <c r="R507" s="1877"/>
      <c r="S507" s="1877"/>
      <c r="T507" s="1877"/>
      <c r="U507" s="1877"/>
      <c r="V507" s="1877"/>
      <c r="W507" s="1877"/>
      <c r="X507" s="1877"/>
      <c r="Y507" s="1877"/>
      <c r="Z507" s="1877"/>
      <c r="AA507" s="1877"/>
      <c r="AB507" s="1877"/>
      <c r="AC507" s="1877"/>
      <c r="AD507" s="1877"/>
      <c r="AE507" s="1877"/>
      <c r="AF507" s="1877"/>
      <c r="AG507" s="1877"/>
      <c r="AH507" s="1877"/>
      <c r="AI507" s="1877"/>
      <c r="AJ507" s="1877"/>
      <c r="AK507" s="1772"/>
      <c r="AL507" s="2200"/>
      <c r="AM507" s="1862"/>
      <c r="AN507" s="478"/>
      <c r="AO507" s="716"/>
      <c r="AP507" s="123"/>
      <c r="AQ507" s="123"/>
      <c r="AR507" s="123"/>
      <c r="AS507" s="57"/>
      <c r="AT507" s="55"/>
    </row>
    <row r="508" spans="1:46" s="474" customFormat="1" ht="66" hidden="1" customHeight="1">
      <c r="A508" s="1744"/>
      <c r="B508" s="2270" t="s">
        <v>558</v>
      </c>
      <c r="C508" s="1877"/>
      <c r="D508" s="1772"/>
      <c r="E508" s="2096" t="str">
        <f>'Document Checklist-Full List'!$E$103</f>
        <v>40. Env. Report Phase I</v>
      </c>
      <c r="F508" s="1877"/>
      <c r="G508" s="1877"/>
      <c r="H508" s="1877"/>
      <c r="I508" s="1877"/>
      <c r="J508" s="1877"/>
      <c r="K508" s="1877"/>
      <c r="L508" s="1877"/>
      <c r="M508" s="1772"/>
      <c r="N508" s="2096" t="str">
        <f>'Document Checklist-Full List'!$N$103</f>
        <v>Phase I (prepared or updated no earlier than 12 months prior to the application due date). If a Phase II ESA completed and dated within 12 months prior to the application deadline is being submitted, the Phase I ESA may have been completed and dated 12 months or more prior to the application deadline.</v>
      </c>
      <c r="O508" s="1877"/>
      <c r="P508" s="1877"/>
      <c r="Q508" s="1877"/>
      <c r="R508" s="1877"/>
      <c r="S508" s="1877"/>
      <c r="T508" s="1877"/>
      <c r="U508" s="1877"/>
      <c r="V508" s="1877"/>
      <c r="W508" s="1877"/>
      <c r="X508" s="1877"/>
      <c r="Y508" s="1877"/>
      <c r="Z508" s="1877"/>
      <c r="AA508" s="1877"/>
      <c r="AB508" s="1877"/>
      <c r="AC508" s="1877"/>
      <c r="AD508" s="1877"/>
      <c r="AE508" s="1772"/>
      <c r="AF508" s="1876" t="s">
        <v>559</v>
      </c>
      <c r="AG508" s="1877"/>
      <c r="AH508" s="1877"/>
      <c r="AI508" s="1877"/>
      <c r="AJ508" s="1877"/>
      <c r="AK508" s="1772"/>
      <c r="AL508" s="1904"/>
      <c r="AM508" s="1862"/>
      <c r="AN508" s="58"/>
      <c r="AO508" s="716"/>
      <c r="AP508" s="123"/>
      <c r="AQ508" s="123"/>
      <c r="AR508" s="123"/>
      <c r="AS508" s="57"/>
      <c r="AT508" s="55"/>
    </row>
    <row r="509" spans="1:46" s="474" customFormat="1" ht="36" hidden="1" customHeight="1">
      <c r="A509" s="1744"/>
      <c r="B509" s="1866" t="s">
        <v>558</v>
      </c>
      <c r="C509" s="1777"/>
      <c r="D509" s="1778"/>
      <c r="E509" s="1882" t="str">
        <f>'Document Checklist-Full List'!$E$104</f>
        <v>41. Env. Report Phase II</v>
      </c>
      <c r="F509" s="1777"/>
      <c r="G509" s="1777"/>
      <c r="H509" s="1777"/>
      <c r="I509" s="1777"/>
      <c r="J509" s="1777"/>
      <c r="K509" s="1777"/>
      <c r="L509" s="1777"/>
      <c r="M509" s="1778"/>
      <c r="N509" s="1882" t="str">
        <f>'Document Checklist-Full List'!$N$104</f>
        <v>Phase II (prepared or updated no earlier than 12 months prior to the application due date).</v>
      </c>
      <c r="O509" s="1777"/>
      <c r="P509" s="1777"/>
      <c r="Q509" s="1777"/>
      <c r="R509" s="1777"/>
      <c r="S509" s="1777"/>
      <c r="T509" s="1777"/>
      <c r="U509" s="1777"/>
      <c r="V509" s="1777"/>
      <c r="W509" s="1777"/>
      <c r="X509" s="1777"/>
      <c r="Y509" s="1777"/>
      <c r="Z509" s="1777"/>
      <c r="AA509" s="1777"/>
      <c r="AB509" s="1777"/>
      <c r="AC509" s="1777"/>
      <c r="AD509" s="1777"/>
      <c r="AE509" s="1778"/>
      <c r="AF509" s="2142" t="s">
        <v>559</v>
      </c>
      <c r="AG509" s="1777"/>
      <c r="AH509" s="1777"/>
      <c r="AI509" s="1777"/>
      <c r="AJ509" s="1777"/>
      <c r="AK509" s="1778"/>
      <c r="AL509" s="1904"/>
      <c r="AM509" s="1862"/>
      <c r="AN509" s="58"/>
      <c r="AO509" s="716"/>
      <c r="AP509" s="123"/>
      <c r="AQ509" s="123"/>
      <c r="AR509" s="123"/>
      <c r="AS509" s="57"/>
      <c r="AT509" s="55"/>
    </row>
    <row r="510" spans="1:46" s="474" customFormat="1" ht="18" hidden="1" customHeight="1">
      <c r="A510" s="1744"/>
      <c r="B510" s="1866" t="s">
        <v>558</v>
      </c>
      <c r="C510" s="1777"/>
      <c r="D510" s="1778"/>
      <c r="E510" s="1882" t="str">
        <f>'Document Checklist-Full List'!$E$105</f>
        <v>42. Env. Report Lead Based Paint</v>
      </c>
      <c r="F510" s="1777"/>
      <c r="G510" s="1777"/>
      <c r="H510" s="1777"/>
      <c r="I510" s="1777"/>
      <c r="J510" s="1777"/>
      <c r="K510" s="1777"/>
      <c r="L510" s="1777"/>
      <c r="M510" s="1778"/>
      <c r="N510" s="1882" t="str">
        <f>'Document Checklist-Full List'!$N$105</f>
        <v>Lead Based Paint Report (for structures built prior to 1978) (rehab only).</v>
      </c>
      <c r="O510" s="1777"/>
      <c r="P510" s="1777"/>
      <c r="Q510" s="1777"/>
      <c r="R510" s="1777"/>
      <c r="S510" s="1777"/>
      <c r="T510" s="1777"/>
      <c r="U510" s="1777"/>
      <c r="V510" s="1777"/>
      <c r="W510" s="1777"/>
      <c r="X510" s="1777"/>
      <c r="Y510" s="1777"/>
      <c r="Z510" s="1777"/>
      <c r="AA510" s="1777"/>
      <c r="AB510" s="1777"/>
      <c r="AC510" s="1777"/>
      <c r="AD510" s="1777"/>
      <c r="AE510" s="1778"/>
      <c r="AF510" s="2142" t="s">
        <v>559</v>
      </c>
      <c r="AG510" s="1777"/>
      <c r="AH510" s="1777"/>
      <c r="AI510" s="1777"/>
      <c r="AJ510" s="1777"/>
      <c r="AK510" s="1778"/>
      <c r="AL510" s="1904"/>
      <c r="AM510" s="1862"/>
      <c r="AN510" s="58"/>
      <c r="AO510" s="716"/>
      <c r="AP510" s="123"/>
      <c r="AQ510" s="123"/>
      <c r="AR510" s="123"/>
      <c r="AS510" s="57"/>
      <c r="AT510" s="55"/>
    </row>
    <row r="511" spans="1:46" s="474" customFormat="1" ht="18" hidden="1" customHeight="1">
      <c r="A511" s="1744"/>
      <c r="B511" s="1866" t="s">
        <v>558</v>
      </c>
      <c r="C511" s="1777"/>
      <c r="D511" s="1778"/>
      <c r="E511" s="1882" t="str">
        <f>'Document Checklist-Full List'!$E$106</f>
        <v>43. Env. Report Mold</v>
      </c>
      <c r="F511" s="1777"/>
      <c r="G511" s="1777"/>
      <c r="H511" s="1777"/>
      <c r="I511" s="1777"/>
      <c r="J511" s="1777"/>
      <c r="K511" s="1777"/>
      <c r="L511" s="1777"/>
      <c r="M511" s="1778"/>
      <c r="N511" s="1882" t="str">
        <f>'Document Checklist-Full List'!$N$106</f>
        <v>Mold Report (rehab only).</v>
      </c>
      <c r="O511" s="1777"/>
      <c r="P511" s="1777"/>
      <c r="Q511" s="1777"/>
      <c r="R511" s="1777"/>
      <c r="S511" s="1777"/>
      <c r="T511" s="1777"/>
      <c r="U511" s="1777"/>
      <c r="V511" s="1777"/>
      <c r="W511" s="1777"/>
      <c r="X511" s="1777"/>
      <c r="Y511" s="1777"/>
      <c r="Z511" s="1777"/>
      <c r="AA511" s="1777"/>
      <c r="AB511" s="1777"/>
      <c r="AC511" s="1777"/>
      <c r="AD511" s="1777"/>
      <c r="AE511" s="1778"/>
      <c r="AF511" s="2142" t="s">
        <v>559</v>
      </c>
      <c r="AG511" s="1777"/>
      <c r="AH511" s="1777"/>
      <c r="AI511" s="1777"/>
      <c r="AJ511" s="1777"/>
      <c r="AK511" s="1778"/>
      <c r="AL511" s="1904"/>
      <c r="AM511" s="1862"/>
      <c r="AN511" s="58"/>
      <c r="AO511" s="716"/>
      <c r="AP511" s="123"/>
      <c r="AQ511" s="123"/>
      <c r="AR511" s="123"/>
      <c r="AS511" s="57"/>
      <c r="AT511" s="55"/>
    </row>
    <row r="512" spans="1:46" s="474" customFormat="1" ht="18" hidden="1" customHeight="1">
      <c r="A512" s="1744"/>
      <c r="B512" s="1866" t="s">
        <v>558</v>
      </c>
      <c r="C512" s="1777"/>
      <c r="D512" s="1778"/>
      <c r="E512" s="1882" t="str">
        <f>'Document Checklist-Full List'!$E$107</f>
        <v>44. Env. Report Asbestos</v>
      </c>
      <c r="F512" s="1777"/>
      <c r="G512" s="1777"/>
      <c r="H512" s="1777"/>
      <c r="I512" s="1777"/>
      <c r="J512" s="1777"/>
      <c r="K512" s="1777"/>
      <c r="L512" s="1777"/>
      <c r="M512" s="1778"/>
      <c r="N512" s="1882" t="str">
        <f>'Document Checklist-Full List'!$N$107</f>
        <v>Asbestos Report (for structures built prior to 1978) (rehab only).</v>
      </c>
      <c r="O512" s="1777"/>
      <c r="P512" s="1777"/>
      <c r="Q512" s="1777"/>
      <c r="R512" s="1777"/>
      <c r="S512" s="1777"/>
      <c r="T512" s="1777"/>
      <c r="U512" s="1777"/>
      <c r="V512" s="1777"/>
      <c r="W512" s="1777"/>
      <c r="X512" s="1777"/>
      <c r="Y512" s="1777"/>
      <c r="Z512" s="1777"/>
      <c r="AA512" s="1777"/>
      <c r="AB512" s="1777"/>
      <c r="AC512" s="1777"/>
      <c r="AD512" s="1777"/>
      <c r="AE512" s="1778"/>
      <c r="AF512" s="2142" t="s">
        <v>559</v>
      </c>
      <c r="AG512" s="1777"/>
      <c r="AH512" s="1777"/>
      <c r="AI512" s="1777"/>
      <c r="AJ512" s="1777"/>
      <c r="AK512" s="1778"/>
      <c r="AL512" s="1904"/>
      <c r="AM512" s="1862"/>
      <c r="AN512" s="735"/>
      <c r="AO512" s="716"/>
      <c r="AP512" s="123"/>
      <c r="AQ512" s="123"/>
      <c r="AR512" s="123"/>
      <c r="AS512" s="57"/>
      <c r="AT512" s="55"/>
    </row>
    <row r="513" spans="1:62" s="474" customFormat="1" ht="18" hidden="1" customHeight="1">
      <c r="A513" s="1752"/>
      <c r="B513" s="1866" t="s">
        <v>558</v>
      </c>
      <c r="C513" s="1777"/>
      <c r="D513" s="1778"/>
      <c r="E513" s="1882" t="str">
        <f>'Document Checklist-Full List'!$E$108</f>
        <v>45. Env. Report Other</v>
      </c>
      <c r="F513" s="1777"/>
      <c r="G513" s="1777"/>
      <c r="H513" s="1777"/>
      <c r="I513" s="1777"/>
      <c r="J513" s="1777"/>
      <c r="K513" s="1777"/>
      <c r="L513" s="1777"/>
      <c r="M513" s="1778"/>
      <c r="N513" s="1882" t="str">
        <f>'Document Checklist-Full List'!$N$108</f>
        <v>Other Environmental Report.</v>
      </c>
      <c r="O513" s="1777"/>
      <c r="P513" s="1777"/>
      <c r="Q513" s="1777"/>
      <c r="R513" s="1777"/>
      <c r="S513" s="1777"/>
      <c r="T513" s="1777"/>
      <c r="U513" s="1777"/>
      <c r="V513" s="1777"/>
      <c r="W513" s="1777"/>
      <c r="X513" s="1777"/>
      <c r="Y513" s="1777"/>
      <c r="Z513" s="1777"/>
      <c r="AA513" s="1777"/>
      <c r="AB513" s="1777"/>
      <c r="AC513" s="1777"/>
      <c r="AD513" s="1777"/>
      <c r="AE513" s="1778"/>
      <c r="AF513" s="2142" t="s">
        <v>559</v>
      </c>
      <c r="AG513" s="1777"/>
      <c r="AH513" s="1777"/>
      <c r="AI513" s="1777"/>
      <c r="AJ513" s="1777"/>
      <c r="AK513" s="1778"/>
      <c r="AL513" s="1904"/>
      <c r="AM513" s="1862"/>
      <c r="AN513" s="757"/>
      <c r="AO513" s="215"/>
      <c r="AP513" s="215"/>
      <c r="AQ513" s="215"/>
      <c r="AR513" s="215"/>
      <c r="AS513" s="171"/>
      <c r="AT513" s="95"/>
      <c r="AV513" s="122"/>
      <c r="AW513" s="122"/>
      <c r="AX513" s="122"/>
      <c r="AY513" s="122"/>
      <c r="AZ513" s="122"/>
      <c r="BA513" s="122"/>
      <c r="BB513" s="122"/>
      <c r="BC513" s="122"/>
      <c r="BD513" s="122"/>
      <c r="BE513" s="122"/>
      <c r="BF513" s="122"/>
      <c r="BG513" s="122"/>
      <c r="BH513" s="122"/>
      <c r="BI513" s="122"/>
      <c r="BJ513" s="122"/>
    </row>
    <row r="514" spans="1:62" s="122" customFormat="1" ht="18" hidden="1" customHeight="1">
      <c r="A514" s="1752"/>
      <c r="B514" s="1552"/>
      <c r="C514" s="1552"/>
      <c r="D514" s="1552"/>
      <c r="E514" s="1552"/>
      <c r="F514" s="1552"/>
      <c r="G514" s="1552"/>
      <c r="H514" s="1552"/>
      <c r="I514" s="1552"/>
      <c r="J514" s="1552"/>
      <c r="K514" s="1552"/>
      <c r="L514" s="1552"/>
      <c r="M514" s="1552"/>
      <c r="N514" s="1552"/>
      <c r="O514" s="1552"/>
      <c r="P514" s="1552"/>
      <c r="Q514" s="1552"/>
      <c r="R514" s="1552"/>
      <c r="S514" s="1552"/>
      <c r="T514" s="1552"/>
      <c r="U514" s="1552"/>
      <c r="V514" s="1552"/>
      <c r="W514" s="1552"/>
      <c r="X514" s="1552"/>
      <c r="Y514" s="1552"/>
      <c r="Z514" s="1552"/>
      <c r="AA514" s="1552"/>
      <c r="AB514" s="1552"/>
      <c r="AC514" s="1552"/>
      <c r="AD514" s="1552"/>
      <c r="AE514" s="1552"/>
      <c r="AF514" s="1552"/>
      <c r="AG514" s="1552"/>
      <c r="AH514" s="1552"/>
      <c r="AI514" s="1552"/>
      <c r="AJ514" s="1552"/>
      <c r="AK514" s="1552"/>
      <c r="AL514" s="1552"/>
      <c r="AM514" s="1552"/>
      <c r="AN514" s="735"/>
      <c r="AO514" s="716"/>
      <c r="AP514" s="123"/>
      <c r="AQ514" s="123"/>
      <c r="AR514" s="123"/>
      <c r="AS514" s="57"/>
      <c r="AT514" s="55"/>
      <c r="AU514" s="474"/>
      <c r="AV514" s="474"/>
      <c r="AW514" s="474"/>
      <c r="AX514" s="474"/>
      <c r="AY514" s="474"/>
      <c r="AZ514" s="474"/>
      <c r="BA514" s="474"/>
      <c r="BB514" s="474"/>
      <c r="BC514" s="474"/>
      <c r="BD514" s="474"/>
      <c r="BE514" s="474"/>
      <c r="BF514" s="474"/>
      <c r="BG514" s="474"/>
      <c r="BH514" s="474"/>
      <c r="BI514" s="474"/>
      <c r="BJ514" s="474"/>
    </row>
    <row r="515" spans="1:62" s="474" customFormat="1" ht="18" hidden="1" customHeight="1">
      <c r="A515" s="426"/>
      <c r="B515" s="2115" t="s">
        <v>1002</v>
      </c>
      <c r="C515" s="1877"/>
      <c r="D515" s="1877"/>
      <c r="E515" s="1877"/>
      <c r="F515" s="1877"/>
      <c r="G515" s="1877"/>
      <c r="H515" s="1877"/>
      <c r="I515" s="1877"/>
      <c r="J515" s="1877"/>
      <c r="K515" s="1877"/>
      <c r="L515" s="1877"/>
      <c r="M515" s="1877"/>
      <c r="N515" s="1877"/>
      <c r="O515" s="1877"/>
      <c r="P515" s="1877"/>
      <c r="Q515" s="1877"/>
      <c r="R515" s="1877"/>
      <c r="S515" s="1877"/>
      <c r="T515" s="1877"/>
      <c r="U515" s="1877"/>
      <c r="V515" s="1877"/>
      <c r="W515" s="1877"/>
      <c r="X515" s="1877"/>
      <c r="Y515" s="1877"/>
      <c r="Z515" s="1877"/>
      <c r="AA515" s="1877"/>
      <c r="AB515" s="1877"/>
      <c r="AC515" s="1877"/>
      <c r="AD515" s="1877"/>
      <c r="AE515" s="1877"/>
      <c r="AF515" s="1877"/>
      <c r="AG515" s="1877"/>
      <c r="AH515" s="1877"/>
      <c r="AI515" s="1877"/>
      <c r="AJ515" s="1877"/>
      <c r="AK515" s="1877"/>
      <c r="AL515" s="1877"/>
      <c r="AM515" s="1877"/>
      <c r="AN515" s="58"/>
      <c r="AO515" s="215"/>
      <c r="AP515" s="215"/>
      <c r="AQ515" s="215"/>
      <c r="AR515" s="215"/>
      <c r="AS515" s="171"/>
      <c r="AT515" s="95"/>
      <c r="AV515" s="122"/>
      <c r="AW515" s="122"/>
      <c r="AX515" s="122"/>
      <c r="AY515" s="122"/>
      <c r="AZ515" s="122"/>
      <c r="BA515" s="122"/>
      <c r="BB515" s="122"/>
      <c r="BC515" s="122"/>
      <c r="BD515" s="122"/>
      <c r="BE515" s="122"/>
      <c r="BF515" s="122"/>
      <c r="BG515" s="122"/>
      <c r="BH515" s="122"/>
      <c r="BI515" s="122"/>
      <c r="BJ515" s="122"/>
    </row>
    <row r="516" spans="1:62" s="122" customFormat="1" ht="18" hidden="1" customHeight="1">
      <c r="A516" s="1744"/>
      <c r="B516" s="1935" t="s">
        <v>1003</v>
      </c>
      <c r="C516" s="1913"/>
      <c r="D516" s="1913"/>
      <c r="E516" s="1913"/>
      <c r="F516" s="1913"/>
      <c r="G516" s="1913"/>
      <c r="H516" s="1913"/>
      <c r="I516" s="1913"/>
      <c r="J516" s="1913"/>
      <c r="K516" s="1913"/>
      <c r="L516" s="1913"/>
      <c r="M516" s="1913"/>
      <c r="N516" s="1913"/>
      <c r="O516" s="1913"/>
      <c r="P516" s="1913"/>
      <c r="Q516" s="1913"/>
      <c r="R516" s="1913"/>
      <c r="S516" s="1913"/>
      <c r="T516" s="1913"/>
      <c r="U516" s="1913"/>
      <c r="V516" s="1913"/>
      <c r="W516" s="1913"/>
      <c r="X516" s="1913"/>
      <c r="Y516" s="1913"/>
      <c r="Z516" s="1913"/>
      <c r="AA516" s="1913"/>
      <c r="AB516" s="1913"/>
      <c r="AC516" s="1913"/>
      <c r="AD516" s="1913"/>
      <c r="AE516" s="1913"/>
      <c r="AF516" s="1913"/>
      <c r="AG516" s="1913"/>
      <c r="AH516" s="1913"/>
      <c r="AI516" s="1913"/>
      <c r="AJ516" s="1913"/>
      <c r="AK516" s="1913"/>
      <c r="AL516" s="1904"/>
      <c r="AM516" s="1862"/>
      <c r="AN516" s="58"/>
      <c r="AO516" s="716"/>
      <c r="AP516" s="123"/>
      <c r="AQ516" s="123"/>
      <c r="AR516" s="123"/>
      <c r="AS516" s="57"/>
      <c r="AT516" s="55"/>
      <c r="AU516" s="474"/>
      <c r="AV516" s="474"/>
      <c r="AW516" s="474"/>
      <c r="AX516" s="474"/>
      <c r="AY516" s="474"/>
      <c r="AZ516" s="474"/>
      <c r="BA516" s="474"/>
      <c r="BB516" s="474"/>
      <c r="BC516" s="474"/>
      <c r="BD516" s="474"/>
      <c r="BE516" s="474"/>
      <c r="BF516" s="474"/>
      <c r="BG516" s="474"/>
      <c r="BH516" s="474"/>
      <c r="BI516" s="474"/>
      <c r="BJ516" s="474"/>
    </row>
    <row r="517" spans="1:62" s="474" customFormat="1" ht="18" hidden="1" customHeight="1">
      <c r="A517" s="1744"/>
      <c r="B517" s="120"/>
      <c r="C517" s="120"/>
      <c r="D517" s="120"/>
      <c r="E517" s="120"/>
      <c r="F517" s="120"/>
      <c r="G517" s="120"/>
      <c r="H517" s="120"/>
      <c r="I517" s="120"/>
      <c r="J517" s="120"/>
      <c r="K517" s="120"/>
      <c r="L517" s="120"/>
      <c r="M517" s="120"/>
      <c r="N517" s="120"/>
      <c r="O517" s="120"/>
      <c r="P517" s="120"/>
      <c r="Q517" s="120"/>
      <c r="R517" s="120"/>
      <c r="S517" s="120"/>
      <c r="T517" s="120"/>
      <c r="U517" s="120"/>
      <c r="V517" s="120"/>
      <c r="W517" s="120"/>
      <c r="X517" s="120"/>
      <c r="Y517" s="120"/>
      <c r="Z517" s="120"/>
      <c r="AA517" s="120"/>
      <c r="AB517" s="120"/>
      <c r="AC517" s="120"/>
      <c r="AD517" s="120"/>
      <c r="AE517" s="120"/>
      <c r="AF517" s="120"/>
      <c r="AG517" s="120"/>
      <c r="AH517" s="120"/>
      <c r="AI517" s="120"/>
      <c r="AJ517" s="120"/>
      <c r="AK517" s="120"/>
      <c r="AL517" s="120"/>
      <c r="AM517" s="120"/>
      <c r="AN517" s="58"/>
      <c r="AO517" s="426"/>
      <c r="AP517" s="58"/>
      <c r="AQ517" s="58"/>
      <c r="AR517" s="58"/>
      <c r="AS517" s="58"/>
      <c r="AT517" s="120"/>
      <c r="AU517" s="241"/>
      <c r="AV517" s="120"/>
      <c r="AW517" s="120"/>
      <c r="AX517" s="120"/>
      <c r="AY517" s="120"/>
      <c r="AZ517" s="120"/>
      <c r="BA517" s="120"/>
      <c r="BB517" s="120"/>
      <c r="BC517" s="120"/>
      <c r="BD517" s="120"/>
      <c r="BE517" s="120"/>
      <c r="BF517" s="120"/>
      <c r="BG517" s="120"/>
      <c r="BH517" s="120"/>
      <c r="BI517" s="120"/>
      <c r="BJ517" s="120"/>
    </row>
    <row r="518" spans="1:62" s="120" customFormat="1" ht="18" hidden="1" customHeight="1">
      <c r="A518" s="1744"/>
      <c r="B518" s="1944" t="s">
        <v>1004</v>
      </c>
      <c r="C518" s="1970"/>
      <c r="D518" s="1970"/>
      <c r="E518" s="1970"/>
      <c r="F518" s="1970"/>
      <c r="G518" s="1970"/>
      <c r="H518" s="1970"/>
      <c r="I518" s="1970"/>
      <c r="J518" s="1970"/>
      <c r="K518" s="1970"/>
      <c r="L518" s="1970"/>
      <c r="M518" s="1970"/>
      <c r="N518" s="1970"/>
      <c r="O518" s="2166" t="str">
        <f>CONCATENATE(IF(IsMhp,"MHP §7314(a)",""),"  ",IF(IsIig,"IIG §300(a)",""),"  ",IF(IsSerna,"FWHG §303(a)",""),"  ",IF(IsVhhp,"",""))</f>
        <v xml:space="preserve">MHP §7314(a)      </v>
      </c>
      <c r="P518" s="1970"/>
      <c r="Q518" s="1970"/>
      <c r="R518" s="1970"/>
      <c r="S518" s="1970"/>
      <c r="T518" s="1970"/>
      <c r="U518" s="1970"/>
      <c r="V518" s="1970"/>
      <c r="W518" s="1970"/>
      <c r="X518" s="1970"/>
      <c r="Y518" s="1970"/>
      <c r="Z518" s="1970"/>
      <c r="AA518" s="1970"/>
      <c r="AB518" s="1970"/>
      <c r="AC518" s="1970"/>
      <c r="AD518" s="1970"/>
      <c r="AE518" s="1970"/>
      <c r="AF518" s="1970"/>
      <c r="AG518" s="1970"/>
      <c r="AH518" s="1970"/>
      <c r="AI518" s="1970"/>
      <c r="AJ518" s="1970"/>
      <c r="AK518" s="1970"/>
      <c r="AN518" s="58"/>
      <c r="AO518" s="426"/>
      <c r="AP518" s="58"/>
      <c r="AQ518" s="58"/>
      <c r="AR518" s="58"/>
      <c r="AS518" s="58"/>
      <c r="AU518" s="241"/>
    </row>
    <row r="519" spans="1:62" s="120" customFormat="1" ht="18" hidden="1" customHeight="1">
      <c r="A519" s="1744"/>
      <c r="B519" s="1935" t="s">
        <v>1005</v>
      </c>
      <c r="C519" s="1970"/>
      <c r="D519" s="1970"/>
      <c r="E519" s="1970"/>
      <c r="F519" s="1970"/>
      <c r="G519" s="1970"/>
      <c r="H519" s="1970"/>
      <c r="I519" s="1970"/>
      <c r="J519" s="1970"/>
      <c r="K519" s="1970"/>
      <c r="L519" s="1970"/>
      <c r="M519" s="1970"/>
      <c r="N519" s="1970"/>
      <c r="O519" s="1970"/>
      <c r="P519" s="1970"/>
      <c r="Q519" s="1970"/>
      <c r="R519" s="1970"/>
      <c r="S519" s="1970"/>
      <c r="T519" s="1970"/>
      <c r="U519" s="1970"/>
      <c r="V519" s="1970"/>
      <c r="W519" s="1970"/>
      <c r="X519" s="1970"/>
      <c r="Y519" s="1970"/>
      <c r="Z519" s="1970"/>
      <c r="AA519" s="1970"/>
      <c r="AB519" s="1970"/>
      <c r="AC519" s="1970"/>
      <c r="AD519" s="1970"/>
      <c r="AE519" s="1970"/>
      <c r="AF519" s="1970"/>
      <c r="AG519" s="1970"/>
      <c r="AH519" s="1970"/>
      <c r="AI519" s="1970"/>
      <c r="AJ519" s="1970"/>
      <c r="AK519" s="1970"/>
      <c r="AL519" s="1872"/>
      <c r="AM519" s="1862"/>
      <c r="AN519" s="58"/>
      <c r="AO519" s="426"/>
      <c r="AP519" s="58"/>
      <c r="AQ519" s="58"/>
      <c r="AR519" s="58"/>
      <c r="AS519" s="58"/>
      <c r="AU519" s="241"/>
    </row>
    <row r="520" spans="1:62" s="120" customFormat="1" ht="63" hidden="1" customHeight="1">
      <c r="A520" s="1744"/>
      <c r="B520" s="2271" t="s">
        <v>558</v>
      </c>
      <c r="C520" s="1777"/>
      <c r="D520" s="1778"/>
      <c r="E520" s="1937" t="str">
        <f>'Document Checklist-Full List'!$E$110</f>
        <v>46. Fair Housing Legal Opinion</v>
      </c>
      <c r="F520" s="1777"/>
      <c r="G520" s="1777"/>
      <c r="H520" s="1777"/>
      <c r="I520" s="1777"/>
      <c r="J520" s="1777"/>
      <c r="K520" s="1777"/>
      <c r="L520" s="1777"/>
      <c r="M520" s="1778"/>
      <c r="N520" s="1937" t="str">
        <f>'Document Checklist-Full List'!$N$110</f>
        <v xml:space="preserve">MHP Senior Project only. If the proposed project will limit occupancy to seniors, provide a Project-specific legal opinion labeled "Fair Housing Legal Opinion" with supporting materials describing how the Project complies with fair housing laws. </v>
      </c>
      <c r="O520" s="1777"/>
      <c r="P520" s="1777"/>
      <c r="Q520" s="1777"/>
      <c r="R520" s="1777"/>
      <c r="S520" s="1777"/>
      <c r="T520" s="1777"/>
      <c r="U520" s="1777"/>
      <c r="V520" s="1777"/>
      <c r="W520" s="1777"/>
      <c r="X520" s="1777"/>
      <c r="Y520" s="1777"/>
      <c r="Z520" s="1777"/>
      <c r="AA520" s="1777"/>
      <c r="AB520" s="1777"/>
      <c r="AC520" s="1777"/>
      <c r="AD520" s="1777"/>
      <c r="AE520" s="1778"/>
      <c r="AF520" s="1886" t="s">
        <v>559</v>
      </c>
      <c r="AG520" s="1777"/>
      <c r="AH520" s="1777"/>
      <c r="AI520" s="1777"/>
      <c r="AJ520" s="1777"/>
      <c r="AK520" s="1778"/>
      <c r="AL520" s="1872"/>
      <c r="AM520" s="1862"/>
      <c r="AN520" s="58"/>
      <c r="AO520" s="426"/>
      <c r="AP520" s="58"/>
      <c r="AQ520" s="58"/>
      <c r="AR520" s="58"/>
      <c r="AS520" s="58"/>
      <c r="AU520" s="241"/>
    </row>
    <row r="521" spans="1:62" s="120" customFormat="1" ht="18" hidden="1" customHeight="1">
      <c r="A521" s="1744"/>
      <c r="AN521" s="58"/>
      <c r="AO521" s="58"/>
      <c r="AP521" s="58"/>
      <c r="AQ521" s="58"/>
      <c r="AR521" s="58"/>
      <c r="AS521" s="58"/>
      <c r="AU521" s="241"/>
    </row>
    <row r="522" spans="1:62" s="120" customFormat="1" ht="18" hidden="1" customHeight="1">
      <c r="A522" s="426"/>
      <c r="B522" s="1944" t="s">
        <v>1006</v>
      </c>
      <c r="C522" s="1970"/>
      <c r="D522" s="1970"/>
      <c r="E522" s="1970"/>
      <c r="F522" s="1970"/>
      <c r="G522" s="1970"/>
      <c r="H522" s="1970"/>
      <c r="I522" s="1970"/>
      <c r="J522" s="1970"/>
      <c r="K522" s="1970"/>
      <c r="L522" s="1970"/>
      <c r="M522" s="1970"/>
      <c r="N522" s="1970"/>
      <c r="O522" s="1970"/>
      <c r="P522" s="1970"/>
      <c r="Q522" s="1970"/>
      <c r="R522" s="1970"/>
      <c r="S522" s="1970"/>
      <c r="T522" s="2166" t="str">
        <f>CONCATENATE(IF(IsMhp,"MHP §7314(b)",""),"  ",IF(IsIig,"IIG §300(b)",""),"  ",IF(IsSerna,"FWHG §303(b)",""),"  ",IF(IsVhhp,"",""))</f>
        <v xml:space="preserve">MHP §7314(b)      </v>
      </c>
      <c r="U522" s="1970"/>
      <c r="V522" s="1970"/>
      <c r="W522" s="1970"/>
      <c r="X522" s="1970"/>
      <c r="Y522" s="1970"/>
      <c r="Z522" s="1970"/>
      <c r="AA522" s="1970"/>
      <c r="AB522" s="1970"/>
      <c r="AC522" s="1970"/>
      <c r="AD522" s="1970"/>
      <c r="AE522" s="1970"/>
      <c r="AF522" s="1970"/>
      <c r="AG522" s="1970"/>
      <c r="AH522" s="1970"/>
      <c r="AI522" s="1970"/>
      <c r="AJ522" s="1970"/>
      <c r="AK522" s="1970"/>
      <c r="AL522" s="58"/>
      <c r="AM522" s="58"/>
      <c r="AN522" s="58"/>
      <c r="AO522" s="426"/>
      <c r="AP522" s="58"/>
      <c r="AQ522" s="58"/>
      <c r="AR522" s="58"/>
      <c r="AS522" s="58"/>
      <c r="AU522" s="241"/>
    </row>
    <row r="523" spans="1:62" s="120" customFormat="1" ht="18" hidden="1" customHeight="1">
      <c r="A523" s="426"/>
      <c r="B523" s="1969" t="s">
        <v>1007</v>
      </c>
      <c r="C523" s="1970"/>
      <c r="D523" s="1970"/>
      <c r="E523" s="1970"/>
      <c r="F523" s="1970"/>
      <c r="G523" s="1970"/>
      <c r="H523" s="1970"/>
      <c r="I523" s="1970"/>
      <c r="J523" s="1970"/>
      <c r="K523" s="1970"/>
      <c r="L523" s="1970"/>
      <c r="M523" s="1970"/>
      <c r="N523" s="1970"/>
      <c r="O523" s="1970"/>
      <c r="P523" s="1970"/>
      <c r="Q523" s="1970"/>
      <c r="R523" s="1970"/>
      <c r="S523" s="1970"/>
      <c r="T523" s="1970"/>
      <c r="U523" s="1970"/>
      <c r="V523" s="1970"/>
      <c r="W523" s="1970"/>
      <c r="X523" s="1970"/>
      <c r="Y523" s="1970"/>
      <c r="Z523" s="1970"/>
      <c r="AA523" s="1970"/>
      <c r="AB523" s="1970"/>
      <c r="AC523" s="1970"/>
      <c r="AD523" s="1970"/>
      <c r="AE523" s="1970"/>
      <c r="AF523" s="1970"/>
      <c r="AG523" s="1970"/>
      <c r="AH523" s="1970"/>
      <c r="AI523" s="1970"/>
      <c r="AJ523" s="1970"/>
      <c r="AK523" s="1970"/>
      <c r="AN523" s="58"/>
      <c r="AO523" s="1629"/>
      <c r="AP523" s="136"/>
      <c r="AQ523" s="136"/>
      <c r="AR523" s="58"/>
      <c r="AS523" s="58"/>
      <c r="AU523" s="241"/>
    </row>
    <row r="524" spans="1:62" s="120" customFormat="1" ht="54" hidden="1" customHeight="1">
      <c r="A524" s="426"/>
      <c r="B524" s="58"/>
      <c r="C524" s="267" t="s">
        <v>613</v>
      </c>
      <c r="D524" s="1802" t="s">
        <v>1008</v>
      </c>
      <c r="E524" s="1970"/>
      <c r="F524" s="1970"/>
      <c r="G524" s="1970"/>
      <c r="H524" s="1970"/>
      <c r="I524" s="1970"/>
      <c r="J524" s="1970"/>
      <c r="K524" s="1970"/>
      <c r="L524" s="1970"/>
      <c r="M524" s="1970"/>
      <c r="N524" s="1970"/>
      <c r="O524" s="1970"/>
      <c r="P524" s="1970"/>
      <c r="Q524" s="1970"/>
      <c r="R524" s="1970"/>
      <c r="S524" s="1970"/>
      <c r="T524" s="1970"/>
      <c r="U524" s="1970"/>
      <c r="V524" s="1970"/>
      <c r="W524" s="1970"/>
      <c r="X524" s="1970"/>
      <c r="Y524" s="1970"/>
      <c r="Z524" s="1970"/>
      <c r="AA524" s="1970"/>
      <c r="AB524" s="1970"/>
      <c r="AC524" s="1970"/>
      <c r="AD524" s="1970"/>
      <c r="AE524" s="1970"/>
      <c r="AF524" s="1970"/>
      <c r="AG524" s="1970"/>
      <c r="AH524" s="1970"/>
      <c r="AI524" s="1970"/>
      <c r="AJ524" s="1970"/>
      <c r="AK524" s="1970"/>
      <c r="AL524" s="1904"/>
      <c r="AM524" s="1862"/>
      <c r="AN524" s="58"/>
      <c r="AO524" s="1629"/>
      <c r="AP524" s="136"/>
      <c r="AQ524" s="136"/>
      <c r="AU524" s="346"/>
      <c r="AV524" s="137"/>
      <c r="AW524" s="137"/>
      <c r="AX524" s="137"/>
      <c r="AY524" s="137"/>
      <c r="AZ524" s="137"/>
      <c r="BA524" s="137"/>
      <c r="BB524" s="137"/>
      <c r="BC524" s="137"/>
      <c r="BD524" s="137"/>
      <c r="BE524" s="137"/>
      <c r="BF524" s="137"/>
      <c r="BG524" s="137"/>
      <c r="BH524" s="137"/>
      <c r="BI524" s="137"/>
      <c r="BJ524" s="137"/>
    </row>
    <row r="525" spans="1:62" s="58" customFormat="1" ht="36" hidden="1" customHeight="1">
      <c r="C525" s="267" t="s">
        <v>615</v>
      </c>
      <c r="D525" s="1802" t="s">
        <v>1009</v>
      </c>
      <c r="E525" s="1945"/>
      <c r="F525" s="1945"/>
      <c r="G525" s="1945"/>
      <c r="H525" s="1945"/>
      <c r="I525" s="1945"/>
      <c r="J525" s="1945"/>
      <c r="K525" s="1945"/>
      <c r="L525" s="1945"/>
      <c r="M525" s="1945"/>
      <c r="N525" s="1945"/>
      <c r="O525" s="1945"/>
      <c r="P525" s="1945"/>
      <c r="Q525" s="1945"/>
      <c r="R525" s="1945"/>
      <c r="S525" s="1945"/>
      <c r="T525" s="1945"/>
      <c r="U525" s="1945"/>
      <c r="V525" s="1945"/>
      <c r="W525" s="1945"/>
      <c r="X525" s="1945"/>
      <c r="Y525" s="1945"/>
      <c r="Z525" s="1945"/>
      <c r="AA525" s="1945"/>
      <c r="AB525" s="1945"/>
      <c r="AC525" s="1945"/>
      <c r="AD525" s="1945"/>
      <c r="AE525" s="1945"/>
      <c r="AF525" s="1945"/>
      <c r="AG525" s="1945"/>
      <c r="AH525" s="1945"/>
      <c r="AI525" s="1945"/>
      <c r="AJ525" s="1945"/>
      <c r="AK525" s="1945"/>
      <c r="AL525" s="1904"/>
      <c r="AM525" s="1862"/>
    </row>
    <row r="526" spans="1:62" s="58" customFormat="1" ht="18" hidden="1" customHeight="1"/>
    <row r="527" spans="1:62" s="137" customFormat="1" ht="18" hidden="1" customHeight="1">
      <c r="A527" s="426"/>
      <c r="B527" s="1944" t="s">
        <v>1010</v>
      </c>
      <c r="C527" s="2079"/>
      <c r="D527" s="2079"/>
      <c r="E527" s="2079"/>
      <c r="F527" s="2079"/>
      <c r="G527" s="2079"/>
      <c r="H527" s="2079"/>
      <c r="I527" s="2079"/>
      <c r="J527" s="2079"/>
      <c r="K527" s="2079"/>
      <c r="L527" s="2079"/>
      <c r="M527" s="2166" t="str">
        <f>CONCATENATE(IF(IsMhp,"MHP §7314(c)",""),"  ",IF(IsSerna,"FWHG §303(c)",""),"  ",IF(IsVhhp,"",""))</f>
        <v xml:space="preserve">MHP §7314(c)    </v>
      </c>
      <c r="N527" s="2079"/>
      <c r="O527" s="2079"/>
      <c r="P527" s="2079"/>
      <c r="Q527" s="2079"/>
      <c r="R527" s="2079"/>
      <c r="S527" s="2079"/>
      <c r="T527" s="2079"/>
      <c r="U527" s="2079"/>
      <c r="V527" s="2079"/>
      <c r="W527" s="2079"/>
      <c r="X527" s="2079"/>
      <c r="Y527" s="2079"/>
      <c r="Z527" s="2079"/>
      <c r="AA527" s="2079"/>
      <c r="AB527" s="2079"/>
      <c r="AC527" s="2079"/>
      <c r="AD527" s="2079"/>
      <c r="AE527" s="2079"/>
      <c r="AF527" s="2079"/>
      <c r="AG527" s="2079"/>
      <c r="AH527" s="2079"/>
      <c r="AI527" s="2079"/>
      <c r="AJ527" s="2079"/>
      <c r="AK527" s="2079"/>
      <c r="AL527" s="1004"/>
      <c r="AM527" s="1004"/>
      <c r="AN527" s="136"/>
      <c r="AO527" s="1629"/>
      <c r="AP527" s="136"/>
      <c r="AQ527" s="136"/>
      <c r="AR527" s="136"/>
      <c r="AS527" s="58"/>
      <c r="AT527" s="120"/>
      <c r="AU527" s="346"/>
    </row>
    <row r="528" spans="1:62" s="137" customFormat="1" ht="36" hidden="1" customHeight="1">
      <c r="A528" s="426"/>
      <c r="B528" s="1969" t="s">
        <v>1011</v>
      </c>
      <c r="C528" s="2079"/>
      <c r="D528" s="2079"/>
      <c r="E528" s="2079"/>
      <c r="F528" s="2079"/>
      <c r="G528" s="2079"/>
      <c r="H528" s="2079"/>
      <c r="I528" s="2079"/>
      <c r="J528" s="2079"/>
      <c r="K528" s="2079"/>
      <c r="L528" s="2079"/>
      <c r="M528" s="2079"/>
      <c r="N528" s="2079"/>
      <c r="O528" s="2079"/>
      <c r="P528" s="2079"/>
      <c r="Q528" s="2079"/>
      <c r="R528" s="2079"/>
      <c r="S528" s="2079"/>
      <c r="T528" s="2079"/>
      <c r="U528" s="2079"/>
      <c r="V528" s="2079"/>
      <c r="W528" s="2079"/>
      <c r="X528" s="2079"/>
      <c r="Y528" s="2079"/>
      <c r="Z528" s="2079"/>
      <c r="AA528" s="2079"/>
      <c r="AB528" s="2079"/>
      <c r="AC528" s="2079"/>
      <c r="AD528" s="2079"/>
      <c r="AE528" s="2079"/>
      <c r="AF528" s="2079"/>
      <c r="AG528" s="2079"/>
      <c r="AH528" s="2079"/>
      <c r="AI528" s="2079"/>
      <c r="AJ528" s="2079"/>
      <c r="AK528" s="2079"/>
      <c r="AL528" s="1904"/>
      <c r="AM528" s="1862"/>
      <c r="AN528" s="136"/>
      <c r="AO528" s="1701"/>
      <c r="AP528" s="136"/>
      <c r="AQ528" s="136"/>
      <c r="AR528" s="136"/>
      <c r="AS528" s="58"/>
      <c r="AT528" s="120"/>
      <c r="AU528" s="346"/>
    </row>
    <row r="529" spans="1:62" s="137" customFormat="1" ht="18" hidden="1" customHeight="1">
      <c r="A529" s="426"/>
      <c r="B529" s="58"/>
      <c r="C529" s="58"/>
      <c r="D529" s="58"/>
      <c r="E529" s="58"/>
      <c r="F529" s="58"/>
      <c r="G529" s="58"/>
      <c r="H529" s="58"/>
      <c r="I529" s="58"/>
      <c r="J529" s="58"/>
      <c r="K529" s="58"/>
      <c r="L529" s="58"/>
      <c r="M529" s="58"/>
      <c r="N529" s="58"/>
      <c r="O529" s="58"/>
      <c r="P529" s="58"/>
      <c r="Q529" s="58"/>
      <c r="R529" s="58"/>
      <c r="S529" s="58"/>
      <c r="T529" s="58"/>
      <c r="U529" s="58"/>
      <c r="V529" s="58"/>
      <c r="W529" s="58"/>
      <c r="X529" s="58"/>
      <c r="Y529" s="58"/>
      <c r="Z529" s="58"/>
      <c r="AA529" s="58"/>
      <c r="AB529" s="58"/>
      <c r="AC529" s="58"/>
      <c r="AD529" s="58"/>
      <c r="AE529" s="58"/>
      <c r="AF529" s="58"/>
      <c r="AG529" s="58"/>
      <c r="AH529" s="58"/>
      <c r="AI529" s="58"/>
      <c r="AJ529" s="58"/>
      <c r="AK529" s="58"/>
      <c r="AL529" s="58"/>
      <c r="AM529" s="58"/>
      <c r="AN529" s="58"/>
      <c r="AO529" s="426"/>
      <c r="AP529" s="58"/>
      <c r="AQ529" s="58"/>
      <c r="AR529" s="136"/>
      <c r="AS529" s="58"/>
      <c r="AT529" s="120"/>
      <c r="AU529" s="346"/>
    </row>
    <row r="530" spans="1:62" s="120" customFormat="1" ht="15.75" hidden="1" customHeight="1">
      <c r="A530" s="426"/>
      <c r="B530" s="1944" t="s">
        <v>1012</v>
      </c>
      <c r="C530" s="1970"/>
      <c r="D530" s="1970"/>
      <c r="E530" s="1970"/>
      <c r="F530" s="1970"/>
      <c r="G530" s="1970"/>
      <c r="H530" s="1970"/>
      <c r="I530" s="1970"/>
      <c r="J530" s="1970"/>
      <c r="K530" s="1970"/>
      <c r="L530" s="2367" t="str">
        <f>CONCATENATE(IF(IsMhp,"MHP §7314(e)",""),"  ",IF(IsIig,"IIG §300(c)",""),"  ",IF(IsSerna,"FWHG §303(e)",""),"  ",IF(IsVhhp,"",""))</f>
        <v xml:space="preserve">MHP §7314(e)      </v>
      </c>
      <c r="M530" s="1970"/>
      <c r="N530" s="1970"/>
      <c r="O530" s="1970"/>
      <c r="P530" s="1970"/>
      <c r="Q530" s="1970"/>
      <c r="R530" s="1970"/>
      <c r="S530" s="1970"/>
      <c r="T530" s="1970"/>
      <c r="U530" s="1970"/>
      <c r="V530" s="1970"/>
      <c r="W530" s="1970"/>
      <c r="X530" s="1970"/>
      <c r="Y530" s="1970"/>
      <c r="Z530" s="1970"/>
      <c r="AA530" s="1970"/>
      <c r="AB530" s="1970"/>
      <c r="AC530" s="1970"/>
      <c r="AD530" s="1970"/>
      <c r="AE530" s="1970"/>
      <c r="AF530" s="1970"/>
      <c r="AG530" s="1970"/>
      <c r="AH530" s="1970"/>
      <c r="AI530" s="1970"/>
      <c r="AJ530" s="1970"/>
      <c r="AK530" s="1970"/>
      <c r="AL530" s="1004"/>
      <c r="AM530" s="1004"/>
      <c r="AN530" s="58"/>
      <c r="AO530" s="758"/>
      <c r="AP530" s="735"/>
      <c r="AQ530" s="735"/>
      <c r="AR530" s="735"/>
      <c r="AS530" s="735"/>
      <c r="AT530" s="1653"/>
      <c r="AU530" s="1653"/>
      <c r="AV530" s="1653"/>
      <c r="AW530" s="1653"/>
      <c r="AX530" s="1653"/>
      <c r="AY530" s="1653"/>
      <c r="AZ530" s="1653"/>
      <c r="BA530" s="1653"/>
      <c r="BB530" s="1653"/>
      <c r="BC530" s="1653"/>
      <c r="BD530" s="1653"/>
      <c r="BE530" s="1653"/>
      <c r="BF530" s="1653"/>
      <c r="BG530" s="1653"/>
      <c r="BH530" s="1653"/>
      <c r="BI530" s="1653"/>
      <c r="BJ530" s="1653"/>
    </row>
    <row r="531" spans="1:62" s="737" customFormat="1" ht="36" hidden="1" customHeight="1">
      <c r="A531" s="426"/>
      <c r="B531" s="2181" t="s">
        <v>1013</v>
      </c>
      <c r="C531" s="2182"/>
      <c r="D531" s="2182"/>
      <c r="E531" s="2182"/>
      <c r="F531" s="2182"/>
      <c r="G531" s="2182"/>
      <c r="H531" s="2182"/>
      <c r="I531" s="2182"/>
      <c r="J531" s="2182"/>
      <c r="K531" s="2182"/>
      <c r="L531" s="2182"/>
      <c r="M531" s="2182"/>
      <c r="N531" s="2182"/>
      <c r="O531" s="2182"/>
      <c r="P531" s="2182"/>
      <c r="Q531" s="2182"/>
      <c r="R531" s="2182"/>
      <c r="S531" s="2182"/>
      <c r="T531" s="2182"/>
      <c r="U531" s="2182"/>
      <c r="V531" s="2182"/>
      <c r="W531" s="2182"/>
      <c r="X531" s="2182"/>
      <c r="Y531" s="2182"/>
      <c r="Z531" s="2182"/>
      <c r="AA531" s="2182"/>
      <c r="AB531" s="2182"/>
      <c r="AC531" s="2182"/>
      <c r="AD531" s="2182"/>
      <c r="AE531" s="2182"/>
      <c r="AF531" s="2182"/>
      <c r="AG531" s="2182"/>
      <c r="AH531" s="2182"/>
      <c r="AI531" s="2182"/>
      <c r="AJ531" s="2182"/>
      <c r="AK531" s="2182"/>
      <c r="AL531" s="1904"/>
      <c r="AM531" s="1862"/>
      <c r="AN531" s="58"/>
      <c r="AO531" s="757"/>
      <c r="AP531" s="757"/>
      <c r="AQ531" s="757"/>
      <c r="AR531" s="1653"/>
      <c r="AS531" s="1653"/>
      <c r="AT531" s="1552"/>
      <c r="AU531" s="1653"/>
      <c r="AV531" s="1552"/>
      <c r="AW531" s="1552"/>
      <c r="AX531" s="1552"/>
      <c r="AY531" s="1552"/>
      <c r="AZ531" s="1552"/>
      <c r="BA531" s="1552"/>
      <c r="BB531" s="1552"/>
      <c r="BC531" s="1552"/>
      <c r="BD531" s="1552"/>
      <c r="BE531" s="1552"/>
      <c r="BF531" s="1552"/>
      <c r="BG531" s="1552"/>
      <c r="BH531" s="1552"/>
      <c r="BI531" s="1552"/>
      <c r="BJ531" s="1552"/>
    </row>
    <row r="532" spans="1:62" s="120" customFormat="1" ht="18" hidden="1" customHeight="1">
      <c r="A532" s="426"/>
      <c r="B532" s="58"/>
      <c r="C532" s="58"/>
      <c r="D532" s="58"/>
      <c r="E532" s="58"/>
      <c r="F532" s="58"/>
      <c r="G532" s="58"/>
      <c r="H532" s="58"/>
      <c r="I532" s="58"/>
      <c r="J532" s="58"/>
      <c r="K532" s="58"/>
      <c r="L532" s="58"/>
      <c r="M532" s="58"/>
      <c r="N532" s="58"/>
      <c r="O532" s="58"/>
      <c r="P532" s="58"/>
      <c r="Q532" s="58"/>
      <c r="R532" s="58"/>
      <c r="S532" s="58"/>
      <c r="T532" s="58"/>
      <c r="U532" s="58"/>
      <c r="V532" s="58"/>
      <c r="W532" s="58"/>
      <c r="X532" s="58"/>
      <c r="Y532" s="58"/>
      <c r="Z532" s="58"/>
      <c r="AA532" s="58"/>
      <c r="AB532" s="58"/>
      <c r="AC532" s="58"/>
      <c r="AD532" s="58"/>
      <c r="AE532" s="58"/>
      <c r="AF532" s="58"/>
      <c r="AG532" s="58"/>
      <c r="AH532" s="58"/>
      <c r="AI532" s="58"/>
      <c r="AJ532" s="58"/>
      <c r="AK532" s="58"/>
      <c r="AN532" s="58"/>
      <c r="AO532" s="58"/>
      <c r="AP532" s="58"/>
      <c r="AQ532" s="58"/>
      <c r="AR532" s="58"/>
      <c r="AS532" s="58"/>
      <c r="AU532" s="241"/>
    </row>
    <row r="533" spans="1:62" s="58" customFormat="1" ht="18" hidden="1" customHeight="1">
      <c r="B533" s="1944" t="s">
        <v>1014</v>
      </c>
      <c r="C533" s="1945"/>
      <c r="D533" s="1945"/>
      <c r="E533" s="1945"/>
      <c r="F533" s="1945"/>
      <c r="G533" s="2166" t="str">
        <f>CONCATENATE(IF(IsMhp,"MHP §7314(a)(2)(F)",""),"  ",IF(IsIig,"IIG §300(d)",""),"  ",IF(IsSerna,"FWHG §303(F)",""),"  ",IF(IsVhhp,"",""))</f>
        <v xml:space="preserve">MHP §7314(a)(2)(F)      </v>
      </c>
      <c r="H533" s="1945"/>
      <c r="I533" s="1945"/>
      <c r="J533" s="1945"/>
      <c r="K533" s="1945"/>
      <c r="L533" s="1945"/>
      <c r="M533" s="1945"/>
      <c r="N533" s="1945"/>
      <c r="O533" s="1945"/>
      <c r="P533" s="1945"/>
      <c r="Q533" s="1945"/>
      <c r="R533" s="1945"/>
      <c r="S533" s="1945"/>
      <c r="T533" s="1945"/>
      <c r="U533" s="1945"/>
      <c r="V533" s="1945"/>
      <c r="W533" s="1945"/>
      <c r="X533" s="1945"/>
      <c r="Y533" s="1945"/>
      <c r="Z533" s="1945"/>
      <c r="AA533" s="1945"/>
      <c r="AB533" s="1945"/>
      <c r="AC533" s="1945"/>
      <c r="AD533" s="1945"/>
      <c r="AE533" s="1945"/>
      <c r="AF533" s="1945"/>
      <c r="AG533" s="1945"/>
      <c r="AH533" s="1945"/>
      <c r="AI533" s="1945"/>
      <c r="AJ533" s="1945"/>
      <c r="AK533" s="1945"/>
    </row>
    <row r="534" spans="1:62" s="58" customFormat="1" ht="36" hidden="1" customHeight="1">
      <c r="B534" s="1802" t="s">
        <v>1015</v>
      </c>
      <c r="C534" s="1945"/>
      <c r="D534" s="1945"/>
      <c r="E534" s="1945"/>
      <c r="F534" s="1945"/>
      <c r="G534" s="1945"/>
      <c r="H534" s="1945"/>
      <c r="I534" s="1945"/>
      <c r="J534" s="1945"/>
      <c r="K534" s="1945"/>
      <c r="L534" s="1945"/>
      <c r="M534" s="1945"/>
      <c r="N534" s="1945"/>
      <c r="O534" s="1945"/>
      <c r="P534" s="1945"/>
      <c r="Q534" s="1945"/>
      <c r="R534" s="1945"/>
      <c r="S534" s="1945"/>
      <c r="T534" s="1945"/>
      <c r="U534" s="1945"/>
      <c r="V534" s="1945"/>
      <c r="W534" s="1945"/>
      <c r="X534" s="1945"/>
      <c r="Y534" s="1945"/>
      <c r="Z534" s="1945"/>
      <c r="AA534" s="1945"/>
      <c r="AB534" s="1945"/>
      <c r="AC534" s="1945"/>
      <c r="AD534" s="1945"/>
      <c r="AE534" s="1945"/>
      <c r="AF534" s="1945"/>
      <c r="AG534" s="1945"/>
      <c r="AH534" s="1945"/>
      <c r="AI534" s="1945"/>
      <c r="AJ534" s="1945"/>
      <c r="AK534" s="1945"/>
    </row>
    <row r="535" spans="1:62" s="58" customFormat="1" ht="18" hidden="1" customHeight="1">
      <c r="B535" s="1802" t="s">
        <v>1016</v>
      </c>
      <c r="C535" s="1945"/>
      <c r="D535" s="1945"/>
      <c r="E535" s="1945"/>
      <c r="F535" s="1945"/>
      <c r="G535" s="1945"/>
      <c r="H535" s="1945"/>
      <c r="I535" s="1945"/>
      <c r="J535" s="1945"/>
      <c r="K535" s="1945"/>
      <c r="L535" s="1945"/>
      <c r="M535" s="1945"/>
      <c r="N535" s="1945"/>
      <c r="O535" s="1945"/>
      <c r="P535" s="1945"/>
      <c r="Q535" s="1945"/>
      <c r="R535" s="1945"/>
      <c r="S535" s="1945"/>
      <c r="T535" s="1945"/>
      <c r="U535" s="1945"/>
      <c r="V535" s="1945"/>
      <c r="W535" s="1945"/>
      <c r="X535" s="1945"/>
      <c r="Y535" s="1945"/>
      <c r="Z535" s="1945"/>
      <c r="AA535" s="1945"/>
      <c r="AB535" s="1945"/>
      <c r="AC535" s="1945"/>
      <c r="AD535" s="1945"/>
      <c r="AE535" s="1945"/>
      <c r="AF535" s="1945"/>
      <c r="AG535" s="1945"/>
      <c r="AH535" s="1945"/>
      <c r="AI535" s="1945"/>
      <c r="AJ535" s="1945"/>
      <c r="AK535" s="1945"/>
      <c r="AL535" s="1904"/>
      <c r="AM535" s="1862"/>
    </row>
    <row r="536" spans="1:62" s="58" customFormat="1" ht="103.35" hidden="1" customHeight="1">
      <c r="B536" s="1802" t="s">
        <v>1017</v>
      </c>
      <c r="C536" s="1945"/>
      <c r="D536" s="1945"/>
      <c r="E536" s="1945"/>
      <c r="F536" s="1945"/>
      <c r="G536" s="1945"/>
      <c r="H536" s="1945"/>
      <c r="I536" s="1945"/>
      <c r="J536" s="1945"/>
      <c r="K536" s="1945"/>
      <c r="L536" s="1945"/>
      <c r="M536" s="1945"/>
      <c r="N536" s="1945"/>
      <c r="O536" s="1945"/>
      <c r="P536" s="1945"/>
      <c r="Q536" s="1945"/>
      <c r="R536" s="1945"/>
      <c r="S536" s="1945"/>
      <c r="T536" s="1945"/>
      <c r="U536" s="1945"/>
      <c r="V536" s="1945"/>
      <c r="W536" s="1945"/>
      <c r="X536" s="1945"/>
      <c r="Y536" s="1945"/>
      <c r="Z536" s="1945"/>
      <c r="AA536" s="1945"/>
      <c r="AB536" s="1945"/>
      <c r="AC536" s="1945"/>
      <c r="AD536" s="1945"/>
      <c r="AE536" s="1945"/>
      <c r="AF536" s="1945"/>
      <c r="AG536" s="1945"/>
      <c r="AH536" s="1945"/>
      <c r="AI536" s="1945"/>
      <c r="AJ536" s="1945"/>
      <c r="AK536" s="1945"/>
    </row>
    <row r="537" spans="1:62" s="58" customFormat="1" ht="105" hidden="1" customHeight="1">
      <c r="B537" s="2271" t="s">
        <v>558</v>
      </c>
      <c r="C537" s="1777"/>
      <c r="D537" s="1778"/>
      <c r="E537" s="1937" t="str">
        <f>'Document Checklist-Full List'!$E$112</f>
        <v>47. Shared Parking examination</v>
      </c>
      <c r="F537" s="1777"/>
      <c r="G537" s="1777"/>
      <c r="H537" s="1777"/>
      <c r="I537" s="1777"/>
      <c r="J537" s="1777"/>
      <c r="K537" s="1777"/>
      <c r="L537" s="1777"/>
      <c r="M537" s="1778"/>
      <c r="N537" s="1937" t="str">
        <f>'Document Checklist-Full List'!$N$112</f>
        <v>An examination of the feasibility of shared parking shall include, at a minimum, identification of parking facilities on contiguous properties or nearby properties that would not require users to cross a street and then consideration of the apparent availability of those facilities for shared parking. (Government Code 65863.1(i)). If not provided at Application due date, examination of the shared parking shall be submitted to the Department prior to the execution and approval of the Standard Agreement.</v>
      </c>
      <c r="O537" s="1777"/>
      <c r="P537" s="1777"/>
      <c r="Q537" s="1777"/>
      <c r="R537" s="1777"/>
      <c r="S537" s="1777"/>
      <c r="T537" s="1777"/>
      <c r="U537" s="1777"/>
      <c r="V537" s="1777"/>
      <c r="W537" s="1777"/>
      <c r="X537" s="1777"/>
      <c r="Y537" s="1777"/>
      <c r="Z537" s="1777"/>
      <c r="AA537" s="1777"/>
      <c r="AB537" s="1777"/>
      <c r="AC537" s="1777"/>
      <c r="AD537" s="1777"/>
      <c r="AE537" s="1778"/>
      <c r="AF537" s="1886" t="s">
        <v>559</v>
      </c>
      <c r="AG537" s="1777"/>
      <c r="AH537" s="1777"/>
      <c r="AI537" s="1777"/>
      <c r="AJ537" s="1777"/>
      <c r="AK537" s="1778"/>
      <c r="AL537" s="1872"/>
      <c r="AM537" s="1862"/>
      <c r="AN537" s="136"/>
    </row>
    <row r="538" spans="1:62" s="58" customFormat="1" ht="18" hidden="1" customHeight="1"/>
    <row r="539" spans="1:62" s="474" customFormat="1" ht="18" hidden="1" customHeight="1">
      <c r="A539" s="138"/>
      <c r="B539" s="1944" t="s">
        <v>1018</v>
      </c>
      <c r="C539" s="1964"/>
      <c r="D539" s="1964"/>
      <c r="E539" s="1964"/>
      <c r="F539" s="1964"/>
      <c r="G539" s="1964"/>
      <c r="H539" s="1964"/>
      <c r="I539" s="2166" t="str">
        <f>CONCATENATE(IF(IsMhp,"MHP §7315",""),"  ",IF(IsIig,"IIG §301",""),"  ",IF(IsSerna,"FWHG §304",""),"  ",IF(IsVhhp,"",""))</f>
        <v xml:space="preserve">MHP §7315      </v>
      </c>
      <c r="J539" s="1964"/>
      <c r="K539" s="1964"/>
      <c r="L539" s="1964"/>
      <c r="M539" s="1964"/>
      <c r="N539" s="1964"/>
      <c r="O539" s="1964"/>
      <c r="P539" s="1964"/>
      <c r="Q539" s="1964"/>
      <c r="R539" s="1964"/>
      <c r="S539" s="1964"/>
      <c r="T539" s="1964"/>
      <c r="U539" s="1964"/>
      <c r="V539" s="1964"/>
      <c r="W539" s="1964"/>
      <c r="X539" s="1964"/>
      <c r="Y539" s="1964"/>
      <c r="Z539" s="1964"/>
      <c r="AA539" s="1964"/>
      <c r="AB539" s="1964"/>
      <c r="AC539" s="1964"/>
      <c r="AD539" s="1964"/>
      <c r="AE539" s="1964"/>
      <c r="AF539" s="1964"/>
      <c r="AG539" s="1964"/>
      <c r="AH539" s="1964"/>
      <c r="AI539" s="1964"/>
      <c r="AJ539" s="1964"/>
      <c r="AK539" s="1964"/>
      <c r="AL539" s="1663"/>
      <c r="AM539" s="1663"/>
      <c r="AN539" s="58"/>
      <c r="AO539" s="716"/>
      <c r="AP539" s="123"/>
      <c r="AQ539" s="123"/>
      <c r="AR539" s="123"/>
      <c r="AS539" s="57"/>
      <c r="AT539" s="55"/>
    </row>
    <row r="540" spans="1:62" s="474" customFormat="1" ht="54" hidden="1" customHeight="1">
      <c r="A540" s="138"/>
      <c r="B540" s="2365" t="s">
        <v>1019</v>
      </c>
      <c r="C540" s="1964"/>
      <c r="D540" s="1964"/>
      <c r="E540" s="1964"/>
      <c r="F540" s="1964"/>
      <c r="G540" s="1964"/>
      <c r="H540" s="1964"/>
      <c r="I540" s="1964"/>
      <c r="J540" s="1964"/>
      <c r="K540" s="1964"/>
      <c r="L540" s="1964"/>
      <c r="M540" s="1964"/>
      <c r="N540" s="1964"/>
      <c r="O540" s="1964"/>
      <c r="P540" s="1964"/>
      <c r="Q540" s="1964"/>
      <c r="R540" s="1964"/>
      <c r="S540" s="1964"/>
      <c r="T540" s="1964"/>
      <c r="U540" s="1964"/>
      <c r="V540" s="1964"/>
      <c r="W540" s="1964"/>
      <c r="X540" s="1964"/>
      <c r="Y540" s="1964"/>
      <c r="Z540" s="1964"/>
      <c r="AA540" s="1964"/>
      <c r="AB540" s="1964"/>
      <c r="AC540" s="1964"/>
      <c r="AD540" s="1964"/>
      <c r="AE540" s="1964"/>
      <c r="AF540" s="1964"/>
      <c r="AG540" s="1964"/>
      <c r="AH540" s="1964"/>
      <c r="AI540" s="1964"/>
      <c r="AJ540" s="1964"/>
      <c r="AK540" s="1964"/>
      <c r="AL540" s="754"/>
      <c r="AM540" s="754"/>
      <c r="AN540" s="58"/>
      <c r="AO540" s="716"/>
      <c r="AP540" s="123"/>
      <c r="AQ540" s="123"/>
      <c r="AR540" s="123"/>
      <c r="AS540" s="57"/>
      <c r="AT540" s="55"/>
    </row>
    <row r="541" spans="1:62" s="95" customFormat="1" ht="36" hidden="1" customHeight="1">
      <c r="B541" s="2006" t="s">
        <v>1020</v>
      </c>
      <c r="C541" s="1888"/>
      <c r="D541" s="1888"/>
      <c r="E541" s="1888"/>
      <c r="F541" s="1888"/>
      <c r="G541" s="1888"/>
      <c r="H541" s="1888"/>
      <c r="I541" s="1888"/>
      <c r="J541" s="1888"/>
      <c r="K541" s="1888"/>
      <c r="L541" s="1888"/>
      <c r="M541" s="1888"/>
      <c r="N541" s="1888"/>
      <c r="O541" s="1888"/>
      <c r="P541" s="1888"/>
      <c r="Q541" s="1888"/>
      <c r="R541" s="1888"/>
      <c r="S541" s="1888"/>
      <c r="T541" s="1888"/>
      <c r="U541" s="1888"/>
      <c r="V541" s="1888"/>
      <c r="W541" s="1888"/>
      <c r="X541" s="1888"/>
      <c r="Y541" s="1888"/>
      <c r="Z541" s="1888"/>
      <c r="AA541" s="1888"/>
      <c r="AB541" s="1888"/>
      <c r="AC541" s="1888"/>
      <c r="AD541" s="1888"/>
      <c r="AE541" s="1888"/>
      <c r="AF541" s="1888"/>
      <c r="AG541" s="1888"/>
      <c r="AH541" s="1888"/>
      <c r="AI541" s="1888"/>
      <c r="AJ541" s="1888"/>
      <c r="AK541" s="1888"/>
    </row>
    <row r="542" spans="1:62" s="474" customFormat="1" ht="18" hidden="1" customHeight="1">
      <c r="A542" s="1744"/>
      <c r="B542" s="2095" t="str">
        <f>IF(vmIndianCountry="Indian Country","Does the proposed Project trigger relocation requirements imposed by virtue of 24 C.F.R. 1000.14?","Does the proposed Project trigger State Relocation Assistance Law?")</f>
        <v>Does the proposed Project trigger State Relocation Assistance Law?</v>
      </c>
      <c r="C542" s="1964"/>
      <c r="D542" s="1964"/>
      <c r="E542" s="1964"/>
      <c r="F542" s="1964"/>
      <c r="G542" s="1964"/>
      <c r="H542" s="1964"/>
      <c r="I542" s="1964"/>
      <c r="J542" s="1964"/>
      <c r="K542" s="1964"/>
      <c r="L542" s="1964"/>
      <c r="M542" s="1964"/>
      <c r="N542" s="1964"/>
      <c r="O542" s="1964"/>
      <c r="P542" s="1964"/>
      <c r="Q542" s="1964"/>
      <c r="R542" s="1964"/>
      <c r="S542" s="1964"/>
      <c r="T542" s="1964"/>
      <c r="U542" s="1964"/>
      <c r="V542" s="1964"/>
      <c r="W542" s="1964"/>
      <c r="X542" s="1964"/>
      <c r="Y542" s="1964"/>
      <c r="Z542" s="1964"/>
      <c r="AA542" s="1964"/>
      <c r="AB542" s="1964"/>
      <c r="AC542" s="1964"/>
      <c r="AD542" s="1964"/>
      <c r="AE542" s="1964"/>
      <c r="AF542" s="1964"/>
      <c r="AG542" s="1964"/>
      <c r="AH542" s="1964"/>
      <c r="AI542" s="1964"/>
      <c r="AJ542" s="1964"/>
      <c r="AK542" s="1889"/>
      <c r="AL542" s="1958"/>
      <c r="AM542" s="1862"/>
      <c r="AN542" s="58"/>
      <c r="AO542" s="1629"/>
      <c r="AP542" s="136"/>
      <c r="AQ542" s="136"/>
      <c r="AR542" s="123"/>
      <c r="AS542" s="57"/>
      <c r="AT542" s="55"/>
    </row>
    <row r="543" spans="1:62" s="474" customFormat="1" ht="19.5" hidden="1" customHeight="1">
      <c r="A543" s="1744"/>
      <c r="B543" s="2094" t="s">
        <v>1021</v>
      </c>
      <c r="C543" s="1877"/>
      <c r="D543" s="1877"/>
      <c r="E543" s="1877"/>
      <c r="F543" s="1877"/>
      <c r="G543" s="1877"/>
      <c r="H543" s="1877"/>
      <c r="I543" s="1877"/>
      <c r="J543" s="1877"/>
      <c r="K543" s="1877"/>
      <c r="L543" s="1877"/>
      <c r="M543" s="1877"/>
      <c r="N543" s="1877"/>
      <c r="O543" s="1877"/>
      <c r="P543" s="1877"/>
      <c r="Q543" s="1877"/>
      <c r="R543" s="1877"/>
      <c r="S543" s="1877"/>
      <c r="T543" s="1877"/>
      <c r="U543" s="1877"/>
      <c r="V543" s="1877"/>
      <c r="W543" s="1877"/>
      <c r="X543" s="1877"/>
      <c r="Y543" s="1877"/>
      <c r="Z543" s="1877"/>
      <c r="AA543" s="1877"/>
      <c r="AB543" s="1877"/>
      <c r="AC543" s="1877"/>
      <c r="AD543" s="1877"/>
      <c r="AE543" s="1877"/>
      <c r="AF543" s="1877"/>
      <c r="AG543" s="1877"/>
      <c r="AH543" s="1877"/>
      <c r="AI543" s="1877"/>
      <c r="AJ543" s="1877"/>
      <c r="AK543" s="1772"/>
      <c r="AL543" s="2177"/>
      <c r="AM543" s="1862"/>
      <c r="AN543" s="58"/>
      <c r="AO543" s="1629"/>
      <c r="AP543" s="136"/>
      <c r="AQ543" s="136"/>
      <c r="AR543" s="123"/>
      <c r="AS543" s="57"/>
      <c r="AT543" s="55"/>
    </row>
    <row r="544" spans="1:62" s="474" customFormat="1" ht="19.5" hidden="1" customHeight="1">
      <c r="A544" s="1744"/>
      <c r="B544" s="1938" t="s">
        <v>558</v>
      </c>
      <c r="C544" s="1877"/>
      <c r="D544" s="1877"/>
      <c r="E544" s="2387" t="str">
        <f>'Document Checklist-Full List'!$E$114</f>
        <v>48. Relocation Plan</v>
      </c>
      <c r="F544" s="1877"/>
      <c r="G544" s="1877"/>
      <c r="H544" s="1877"/>
      <c r="I544" s="1877"/>
      <c r="J544" s="1877"/>
      <c r="K544" s="1877"/>
      <c r="L544" s="1877"/>
      <c r="M544" s="1877"/>
      <c r="N544" s="2096" t="str">
        <f>'Document Checklist-Full List'!$N$114</f>
        <v>Relocation Plan.</v>
      </c>
      <c r="O544" s="1877"/>
      <c r="P544" s="1877"/>
      <c r="Q544" s="1877"/>
      <c r="R544" s="1877"/>
      <c r="S544" s="1877"/>
      <c r="T544" s="1877"/>
      <c r="U544" s="1877"/>
      <c r="V544" s="1877"/>
      <c r="W544" s="1877"/>
      <c r="X544" s="1877"/>
      <c r="Y544" s="1877"/>
      <c r="Z544" s="1877"/>
      <c r="AA544" s="1877"/>
      <c r="AB544" s="1877"/>
      <c r="AC544" s="1877"/>
      <c r="AD544" s="1877"/>
      <c r="AE544" s="1772"/>
      <c r="AF544" s="1926" t="s">
        <v>559</v>
      </c>
      <c r="AG544" s="1877"/>
      <c r="AH544" s="1877"/>
      <c r="AI544" s="1877"/>
      <c r="AJ544" s="1877"/>
      <c r="AK544" s="1772"/>
      <c r="AL544" s="1904"/>
      <c r="AM544" s="1862"/>
      <c r="AN544" s="58"/>
      <c r="AO544" s="1629"/>
      <c r="AP544" s="136"/>
      <c r="AQ544" s="136"/>
      <c r="AR544" s="123"/>
      <c r="AS544" s="57"/>
      <c r="AT544" s="55"/>
    </row>
    <row r="545" spans="1:62" s="474" customFormat="1" ht="18" hidden="1" customHeight="1">
      <c r="A545" s="1744"/>
      <c r="B545" s="2280" t="s">
        <v>1022</v>
      </c>
      <c r="C545" s="1777"/>
      <c r="D545" s="1777"/>
      <c r="E545" s="1777"/>
      <c r="F545" s="1777"/>
      <c r="G545" s="1777"/>
      <c r="H545" s="1777"/>
      <c r="I545" s="1777"/>
      <c r="J545" s="1777"/>
      <c r="K545" s="1777"/>
      <c r="L545" s="1777"/>
      <c r="M545" s="1777"/>
      <c r="N545" s="1777"/>
      <c r="O545" s="1777"/>
      <c r="P545" s="1777"/>
      <c r="Q545" s="1777"/>
      <c r="R545" s="1777"/>
      <c r="S545" s="1777"/>
      <c r="T545" s="1777"/>
      <c r="U545" s="1777"/>
      <c r="V545" s="1777"/>
      <c r="W545" s="1777"/>
      <c r="X545" s="1777"/>
      <c r="Y545" s="1777"/>
      <c r="Z545" s="1777"/>
      <c r="AA545" s="1777"/>
      <c r="AB545" s="1777"/>
      <c r="AC545" s="1777"/>
      <c r="AD545" s="1777"/>
      <c r="AE545" s="1777"/>
      <c r="AF545" s="1777"/>
      <c r="AG545" s="1777"/>
      <c r="AH545" s="1777"/>
      <c r="AI545" s="1777"/>
      <c r="AJ545" s="1777"/>
      <c r="AK545" s="1777"/>
      <c r="AL545" s="1777"/>
      <c r="AM545" s="1778"/>
      <c r="AN545" s="58"/>
      <c r="AO545" s="1629"/>
      <c r="AP545" s="136"/>
      <c r="AQ545" s="136"/>
      <c r="AR545" s="123"/>
      <c r="AS545" s="57"/>
      <c r="AT545" s="55"/>
    </row>
    <row r="546" spans="1:62" s="474" customFormat="1" ht="54" hidden="1" customHeight="1">
      <c r="A546" s="1744"/>
      <c r="B546" s="2086"/>
      <c r="C546" s="1861"/>
      <c r="D546" s="1861"/>
      <c r="E546" s="1861"/>
      <c r="F546" s="1861"/>
      <c r="G546" s="1861"/>
      <c r="H546" s="1861"/>
      <c r="I546" s="1861"/>
      <c r="J546" s="1861"/>
      <c r="K546" s="1861"/>
      <c r="L546" s="1861"/>
      <c r="M546" s="1861"/>
      <c r="N546" s="1861"/>
      <c r="O546" s="1861"/>
      <c r="P546" s="1861"/>
      <c r="Q546" s="1861"/>
      <c r="R546" s="1861"/>
      <c r="S546" s="1861"/>
      <c r="T546" s="1861"/>
      <c r="U546" s="1861"/>
      <c r="V546" s="1861"/>
      <c r="W546" s="1861"/>
      <c r="X546" s="1861"/>
      <c r="Y546" s="1861"/>
      <c r="Z546" s="1861"/>
      <c r="AA546" s="1861"/>
      <c r="AB546" s="1861"/>
      <c r="AC546" s="1861"/>
      <c r="AD546" s="1861"/>
      <c r="AE546" s="1861"/>
      <c r="AF546" s="1861"/>
      <c r="AG546" s="1861"/>
      <c r="AH546" s="1861"/>
      <c r="AI546" s="1861"/>
      <c r="AJ546" s="1861"/>
      <c r="AK546" s="1861"/>
      <c r="AL546" s="1861"/>
      <c r="AM546" s="1862"/>
      <c r="AN546" s="58"/>
      <c r="AO546" s="716"/>
      <c r="AP546" s="123"/>
      <c r="AQ546" s="123"/>
      <c r="AR546" s="123"/>
      <c r="AS546" s="57"/>
      <c r="AT546" s="55"/>
    </row>
    <row r="547" spans="1:62" s="58" customFormat="1" ht="18" hidden="1" customHeight="1"/>
    <row r="548" spans="1:62" s="137" customFormat="1" ht="18" hidden="1" customHeight="1">
      <c r="A548" s="426"/>
      <c r="B548" s="1944" t="s">
        <v>1023</v>
      </c>
      <c r="C548" s="2079"/>
      <c r="D548" s="2079"/>
      <c r="E548" s="2079"/>
      <c r="F548" s="2079"/>
      <c r="G548" s="2079"/>
      <c r="H548" s="2079"/>
      <c r="I548" s="2079"/>
      <c r="J548" s="2079"/>
      <c r="K548" s="2166" t="str">
        <f>CONCATENATE(IF(IsMhp,"MHP §7314(d)",""),"  ",IF(IsSerna,"FWHG §303(d)",""),"  ",IF(IsVhhp,"",""))</f>
        <v xml:space="preserve">MHP §7314(d)    </v>
      </c>
      <c r="L548" s="2079"/>
      <c r="M548" s="2079"/>
      <c r="N548" s="2079"/>
      <c r="O548" s="2079"/>
      <c r="P548" s="2079"/>
      <c r="Q548" s="2079"/>
      <c r="R548" s="2079"/>
      <c r="S548" s="2079"/>
      <c r="T548" s="2079"/>
      <c r="U548" s="2079"/>
      <c r="V548" s="2079"/>
      <c r="W548" s="2079"/>
      <c r="X548" s="2079"/>
      <c r="Y548" s="2079"/>
      <c r="Z548" s="2079"/>
      <c r="AA548" s="2079"/>
      <c r="AB548" s="2079"/>
      <c r="AC548" s="2079"/>
      <c r="AD548" s="2079"/>
      <c r="AE548" s="2079"/>
      <c r="AF548" s="2079"/>
      <c r="AG548" s="2079"/>
      <c r="AH548" s="2079"/>
      <c r="AI548" s="2079"/>
      <c r="AJ548" s="2079"/>
      <c r="AK548" s="2079"/>
      <c r="AL548" s="1004"/>
      <c r="AM548" s="1004"/>
      <c r="AN548" s="58"/>
      <c r="AP548" s="58"/>
      <c r="AQ548" s="58"/>
      <c r="AR548" s="58"/>
      <c r="AS548" s="58"/>
      <c r="AT548" s="120"/>
      <c r="AU548" s="241"/>
      <c r="AV548" s="120"/>
      <c r="AW548" s="120"/>
      <c r="AX548" s="120"/>
      <c r="AY548" s="120"/>
      <c r="AZ548" s="120"/>
      <c r="BA548" s="120"/>
      <c r="BB548" s="120"/>
      <c r="BC548" s="120"/>
      <c r="BD548" s="120"/>
      <c r="BE548" s="120"/>
      <c r="BF548" s="120"/>
      <c r="BG548" s="120"/>
      <c r="BH548" s="120"/>
      <c r="BI548" s="120"/>
      <c r="BJ548" s="120"/>
    </row>
    <row r="549" spans="1:62" s="120" customFormat="1" ht="35.25" hidden="1" customHeight="1">
      <c r="A549" s="426"/>
      <c r="B549" s="1935" t="s">
        <v>1024</v>
      </c>
      <c r="C549" s="1970"/>
      <c r="D549" s="1970"/>
      <c r="E549" s="1970"/>
      <c r="F549" s="1970"/>
      <c r="G549" s="1970"/>
      <c r="H549" s="1970"/>
      <c r="I549" s="1970"/>
      <c r="J549" s="1970"/>
      <c r="K549" s="1970"/>
      <c r="L549" s="1970"/>
      <c r="M549" s="1970"/>
      <c r="N549" s="1970"/>
      <c r="O549" s="1970"/>
      <c r="P549" s="1970"/>
      <c r="Q549" s="1970"/>
      <c r="R549" s="1970"/>
      <c r="S549" s="1970"/>
      <c r="T549" s="1970"/>
      <c r="U549" s="1970"/>
      <c r="V549" s="1970"/>
      <c r="W549" s="1970"/>
      <c r="X549" s="1970"/>
      <c r="Y549" s="1970"/>
      <c r="Z549" s="1970"/>
      <c r="AA549" s="1970"/>
      <c r="AB549" s="1970"/>
      <c r="AC549" s="1970"/>
      <c r="AD549" s="1970"/>
      <c r="AE549" s="1970"/>
      <c r="AF549" s="1970"/>
      <c r="AG549" s="1970"/>
      <c r="AH549" s="1970"/>
      <c r="AI549" s="1970"/>
      <c r="AJ549" s="1970"/>
      <c r="AK549" s="1970"/>
      <c r="AL549" s="1904"/>
      <c r="AM549" s="1862"/>
      <c r="AN549" s="136"/>
      <c r="AO549" s="1701"/>
      <c r="AP549" s="58"/>
      <c r="AQ549" s="58"/>
      <c r="AR549" s="58"/>
      <c r="AS549" s="58"/>
      <c r="AU549" s="241"/>
    </row>
    <row r="550" spans="1:62" s="120" customFormat="1" ht="18" customHeight="1">
      <c r="A550" s="426"/>
      <c r="B550" s="58"/>
      <c r="C550" s="58"/>
      <c r="D550" s="58"/>
      <c r="E550" s="58"/>
      <c r="F550" s="58"/>
      <c r="G550" s="58"/>
      <c r="H550" s="58"/>
      <c r="I550" s="58"/>
      <c r="J550" s="58"/>
      <c r="K550" s="58"/>
      <c r="L550" s="58"/>
      <c r="M550" s="58"/>
      <c r="N550" s="58"/>
      <c r="O550" s="58"/>
      <c r="P550" s="58"/>
      <c r="Q550" s="58"/>
      <c r="R550" s="58"/>
      <c r="S550" s="58"/>
      <c r="T550" s="58"/>
      <c r="U550" s="58"/>
      <c r="V550" s="58"/>
      <c r="W550" s="58"/>
      <c r="X550" s="58"/>
      <c r="Y550" s="58"/>
      <c r="Z550" s="58"/>
      <c r="AA550" s="58"/>
      <c r="AB550" s="58"/>
      <c r="AC550" s="58"/>
      <c r="AD550" s="58"/>
      <c r="AE550" s="58"/>
      <c r="AF550" s="58"/>
      <c r="AG550" s="58"/>
      <c r="AH550" s="58"/>
      <c r="AI550" s="58"/>
      <c r="AJ550" s="58"/>
      <c r="AK550" s="58"/>
      <c r="AL550" s="58"/>
      <c r="AM550" s="58"/>
      <c r="AN550" s="58"/>
      <c r="AP550" s="735"/>
      <c r="AQ550" s="735"/>
      <c r="AR550" s="58"/>
      <c r="AS550" s="58"/>
      <c r="AU550" s="241"/>
    </row>
    <row r="551" spans="1:62" s="120" customFormat="1" ht="18" customHeight="1">
      <c r="A551" s="426"/>
      <c r="B551" s="1974" t="s">
        <v>1025</v>
      </c>
      <c r="C551" s="1970"/>
      <c r="D551" s="1970"/>
      <c r="E551" s="1970"/>
      <c r="F551" s="1970"/>
      <c r="G551" s="1970"/>
      <c r="H551" s="1970"/>
      <c r="I551" s="1970"/>
      <c r="J551" s="1970"/>
      <c r="K551" s="1970"/>
      <c r="L551" s="1970"/>
      <c r="M551" s="1970"/>
      <c r="N551" s="1970"/>
      <c r="O551" s="1970"/>
      <c r="P551" s="1970"/>
      <c r="Q551" s="1970"/>
      <c r="R551" s="1970"/>
      <c r="S551" s="1970"/>
      <c r="T551" s="1970"/>
      <c r="U551" s="1970"/>
      <c r="V551" s="1970"/>
      <c r="W551" s="1970"/>
      <c r="X551" s="1970"/>
      <c r="Y551" s="1970"/>
      <c r="Z551" s="1970"/>
      <c r="AA551" s="1970"/>
      <c r="AB551" s="1970"/>
      <c r="AC551" s="1970"/>
      <c r="AD551" s="1970"/>
      <c r="AE551" s="1970"/>
      <c r="AF551" s="1970"/>
      <c r="AG551" s="1970"/>
      <c r="AH551" s="1970"/>
      <c r="AI551" s="1970"/>
      <c r="AJ551" s="1970"/>
      <c r="AK551" s="1970"/>
      <c r="AL551" s="1970"/>
      <c r="AM551" s="1970"/>
      <c r="AN551" s="58"/>
      <c r="AO551" s="58"/>
      <c r="AP551" s="58"/>
      <c r="AQ551" s="58"/>
      <c r="AR551" s="58"/>
      <c r="AS551" s="58"/>
      <c r="AU551" s="241"/>
    </row>
    <row r="552" spans="1:62" s="120" customFormat="1" ht="54" customHeight="1">
      <c r="A552" s="426"/>
      <c r="B552" s="2269" t="s">
        <v>1026</v>
      </c>
      <c r="C552" s="1970"/>
      <c r="D552" s="1970"/>
      <c r="E552" s="1970"/>
      <c r="F552" s="1970"/>
      <c r="G552" s="1970"/>
      <c r="H552" s="1970"/>
      <c r="I552" s="1970"/>
      <c r="J552" s="1970"/>
      <c r="K552" s="1970"/>
      <c r="L552" s="1970"/>
      <c r="M552" s="1970"/>
      <c r="N552" s="1970"/>
      <c r="O552" s="1970"/>
      <c r="P552" s="1970"/>
      <c r="Q552" s="1970"/>
      <c r="R552" s="1970"/>
      <c r="S552" s="1970"/>
      <c r="T552" s="1970"/>
      <c r="U552" s="1970"/>
      <c r="V552" s="1970"/>
      <c r="W552" s="1970"/>
      <c r="X552" s="1970"/>
      <c r="Y552" s="1970"/>
      <c r="Z552" s="1970"/>
      <c r="AA552" s="1970"/>
      <c r="AB552" s="1970"/>
      <c r="AC552" s="1970"/>
      <c r="AD552" s="1970"/>
      <c r="AE552" s="1970"/>
      <c r="AF552" s="1970"/>
      <c r="AG552" s="1970"/>
      <c r="AH552" s="1970"/>
      <c r="AI552" s="1970"/>
      <c r="AJ552" s="1970"/>
      <c r="AK552" s="1970"/>
      <c r="AL552" s="762"/>
      <c r="AM552" s="762"/>
      <c r="AN552" s="58"/>
      <c r="AO552" s="58"/>
      <c r="AP552" s="58"/>
      <c r="AQ552" s="58"/>
      <c r="AR552" s="58"/>
      <c r="AS552" s="58"/>
      <c r="AU552" s="241"/>
    </row>
    <row r="553" spans="1:62" s="120" customFormat="1" ht="40.5" customHeight="1">
      <c r="A553" s="426"/>
      <c r="B553" s="2191" t="s">
        <v>1027</v>
      </c>
      <c r="C553" s="1970"/>
      <c r="D553" s="1970"/>
      <c r="E553" s="1970"/>
      <c r="F553" s="1970"/>
      <c r="G553" s="1970"/>
      <c r="H553" s="1970"/>
      <c r="I553" s="1970"/>
      <c r="J553" s="1970"/>
      <c r="K553" s="1970"/>
      <c r="L553" s="1970"/>
      <c r="M553" s="1970"/>
      <c r="N553" s="1970"/>
      <c r="O553" s="1970"/>
      <c r="P553" s="1970"/>
      <c r="Q553" s="1970"/>
      <c r="R553" s="1970"/>
      <c r="S553" s="1970"/>
      <c r="T553" s="1970"/>
      <c r="U553" s="1970"/>
      <c r="V553" s="1970"/>
      <c r="W553" s="1970"/>
      <c r="X553" s="1970"/>
      <c r="Y553" s="1970"/>
      <c r="Z553" s="1970"/>
      <c r="AA553" s="1970"/>
      <c r="AB553" s="1970"/>
      <c r="AC553" s="1970"/>
      <c r="AD553" s="1970"/>
      <c r="AE553" s="1970"/>
      <c r="AF553" s="2282" t="s">
        <v>1028</v>
      </c>
      <c r="AG553" s="1970"/>
      <c r="AH553" s="1970"/>
      <c r="AI553" s="1657"/>
      <c r="AJ553" s="2364" t="s">
        <v>1029</v>
      </c>
      <c r="AK553" s="1970"/>
      <c r="AL553" s="1970"/>
      <c r="AM553" s="1970"/>
      <c r="AN553" s="58"/>
      <c r="AO553" s="58"/>
      <c r="AP553" s="58"/>
      <c r="AQ553" s="58"/>
      <c r="AR553" s="58"/>
      <c r="AS553" s="58"/>
      <c r="AU553" s="241"/>
    </row>
    <row r="554" spans="1:62" s="120" customFormat="1" ht="36" customHeight="1">
      <c r="A554" s="426"/>
      <c r="B554" s="2103" t="s">
        <v>1030</v>
      </c>
      <c r="C554" s="1970"/>
      <c r="D554" s="1970"/>
      <c r="E554" s="1970"/>
      <c r="F554" s="1970"/>
      <c r="G554" s="1970"/>
      <c r="H554" s="1970"/>
      <c r="I554" s="1970"/>
      <c r="J554" s="1970"/>
      <c r="K554" s="1970"/>
      <c r="L554" s="1970"/>
      <c r="M554" s="1970"/>
      <c r="N554" s="1970"/>
      <c r="O554" s="1970"/>
      <c r="P554" s="1970"/>
      <c r="Q554" s="1970"/>
      <c r="R554" s="1970"/>
      <c r="S554" s="1970"/>
      <c r="T554" s="1970"/>
      <c r="U554" s="1970"/>
      <c r="V554" s="1970"/>
      <c r="W554" s="1970"/>
      <c r="X554" s="1970"/>
      <c r="Y554" s="1970"/>
      <c r="Z554" s="1970"/>
      <c r="AA554" s="1970"/>
      <c r="AB554" s="1970"/>
      <c r="AC554" s="1970"/>
      <c r="AD554" s="1970"/>
      <c r="AE554" s="1970"/>
      <c r="AF554" s="1968"/>
      <c r="AG554" s="1861"/>
      <c r="AH554" s="1862"/>
      <c r="AI554" s="2"/>
      <c r="AJ554" s="2067"/>
      <c r="AK554" s="1861"/>
      <c r="AL554" s="1861"/>
      <c r="AM554" s="1862"/>
      <c r="AN554" s="58"/>
      <c r="AO554" s="58"/>
      <c r="AP554" s="58"/>
      <c r="AQ554" s="58"/>
      <c r="AR554" s="58"/>
      <c r="AS554" s="58"/>
      <c r="AU554" s="241"/>
    </row>
    <row r="555" spans="1:62" s="120" customFormat="1" ht="18" customHeight="1">
      <c r="A555" s="426"/>
      <c r="B555" s="2103" t="s">
        <v>1031</v>
      </c>
      <c r="C555" s="1970"/>
      <c r="D555" s="1970"/>
      <c r="E555" s="1970"/>
      <c r="F555" s="1970"/>
      <c r="G555" s="1970"/>
      <c r="H555" s="1970"/>
      <c r="I555" s="1970"/>
      <c r="J555" s="1970"/>
      <c r="K555" s="1970"/>
      <c r="L555" s="1970"/>
      <c r="M555" s="1970"/>
      <c r="N555" s="1970"/>
      <c r="O555" s="1970"/>
      <c r="P555" s="1970"/>
      <c r="Q555" s="1970"/>
      <c r="R555" s="1970"/>
      <c r="S555" s="1970"/>
      <c r="T555" s="1970"/>
      <c r="U555" s="1970"/>
      <c r="V555" s="1970"/>
      <c r="W555" s="1970"/>
      <c r="X555" s="1970"/>
      <c r="Y555" s="1970"/>
      <c r="Z555" s="1970"/>
      <c r="AA555" s="1970"/>
      <c r="AB555" s="1970"/>
      <c r="AC555" s="1970"/>
      <c r="AD555" s="1970"/>
      <c r="AE555" s="1970"/>
      <c r="AF555" s="1968"/>
      <c r="AG555" s="1861"/>
      <c r="AH555" s="1862"/>
      <c r="AI555" s="384"/>
      <c r="AJ555" s="2067"/>
      <c r="AK555" s="1861"/>
      <c r="AL555" s="1861"/>
      <c r="AM555" s="1862"/>
      <c r="AN555" s="58"/>
      <c r="AO555" s="58"/>
      <c r="AP555" s="58"/>
      <c r="AQ555" s="58"/>
      <c r="AR555" s="58"/>
      <c r="AS555" s="58"/>
      <c r="AU555" s="241"/>
    </row>
    <row r="556" spans="1:62" s="120" customFormat="1" ht="18" customHeight="1">
      <c r="A556" s="426"/>
      <c r="B556" s="2103" t="s">
        <v>1032</v>
      </c>
      <c r="C556" s="1970"/>
      <c r="D556" s="1970"/>
      <c r="E556" s="1970"/>
      <c r="F556" s="1970"/>
      <c r="G556" s="1970"/>
      <c r="H556" s="1970"/>
      <c r="I556" s="1970"/>
      <c r="J556" s="1970"/>
      <c r="K556" s="1970"/>
      <c r="L556" s="1970"/>
      <c r="M556" s="1970"/>
      <c r="N556" s="1970"/>
      <c r="O556" s="1970"/>
      <c r="P556" s="1970"/>
      <c r="Q556" s="1970"/>
      <c r="R556" s="1970"/>
      <c r="S556" s="1970"/>
      <c r="T556" s="1970"/>
      <c r="U556" s="1970"/>
      <c r="V556" s="1970"/>
      <c r="W556" s="1970"/>
      <c r="X556" s="1970"/>
      <c r="Y556" s="1970"/>
      <c r="Z556" s="1970"/>
      <c r="AA556" s="1970"/>
      <c r="AB556" s="1970"/>
      <c r="AC556" s="1970"/>
      <c r="AD556" s="1970"/>
      <c r="AE556" s="1970"/>
      <c r="AF556" s="1968"/>
      <c r="AG556" s="1861"/>
      <c r="AH556" s="1862"/>
      <c r="AI556" s="384"/>
      <c r="AJ556" s="2067"/>
      <c r="AK556" s="1861"/>
      <c r="AL556" s="1861"/>
      <c r="AM556" s="1862"/>
      <c r="AN556" s="58"/>
      <c r="AO556" s="58"/>
      <c r="AP556" s="58"/>
      <c r="AQ556" s="58"/>
      <c r="AR556" s="58"/>
      <c r="AS556" s="58"/>
      <c r="AU556" s="241"/>
    </row>
    <row r="557" spans="1:62" s="136" customFormat="1" ht="18" customHeight="1">
      <c r="A557" s="58"/>
      <c r="B557" s="2103" t="s">
        <v>1033</v>
      </c>
      <c r="C557" s="2167"/>
      <c r="D557" s="2167"/>
      <c r="E557" s="2167"/>
      <c r="F557" s="2167"/>
      <c r="G557" s="2167"/>
      <c r="H557" s="2167"/>
      <c r="I557" s="2167"/>
      <c r="J557" s="2167"/>
      <c r="K557" s="2167"/>
      <c r="L557" s="2167"/>
      <c r="M557" s="2167"/>
      <c r="N557" s="2167"/>
      <c r="O557" s="2167"/>
      <c r="P557" s="2167"/>
      <c r="Q557" s="2167"/>
      <c r="R557" s="2167"/>
      <c r="S557" s="2167"/>
      <c r="T557" s="2167"/>
      <c r="U557" s="2167"/>
      <c r="V557" s="2167"/>
      <c r="W557" s="2167"/>
      <c r="X557" s="2167"/>
      <c r="Y557" s="2167"/>
      <c r="Z557" s="2167"/>
      <c r="AA557" s="2167"/>
      <c r="AB557" s="2167"/>
      <c r="AC557" s="2167"/>
      <c r="AD557" s="2167"/>
      <c r="AE557" s="2167"/>
      <c r="AF557" s="1968"/>
      <c r="AG557" s="1861"/>
      <c r="AH557" s="1862"/>
      <c r="AI557" s="384"/>
      <c r="AJ557" s="2067"/>
      <c r="AK557" s="1861"/>
      <c r="AL557" s="1861"/>
      <c r="AM557" s="1862"/>
    </row>
    <row r="558" spans="1:62" s="120" customFormat="1" ht="18" customHeight="1">
      <c r="A558" s="426"/>
      <c r="B558" s="2103" t="s">
        <v>1034</v>
      </c>
      <c r="C558" s="1970"/>
      <c r="D558" s="1970"/>
      <c r="E558" s="1970"/>
      <c r="F558" s="1970"/>
      <c r="G558" s="1970"/>
      <c r="H558" s="1970"/>
      <c r="I558" s="1970"/>
      <c r="J558" s="1970"/>
      <c r="K558" s="1970"/>
      <c r="L558" s="1970"/>
      <c r="M558" s="1970"/>
      <c r="N558" s="1970"/>
      <c r="O558" s="1970"/>
      <c r="P558" s="1970"/>
      <c r="Q558" s="1970"/>
      <c r="R558" s="1970"/>
      <c r="S558" s="1970"/>
      <c r="T558" s="1970"/>
      <c r="U558" s="1970"/>
      <c r="V558" s="1970"/>
      <c r="W558" s="1970"/>
      <c r="X558" s="1970"/>
      <c r="Y558" s="1970"/>
      <c r="Z558" s="1970"/>
      <c r="AA558" s="1970"/>
      <c r="AB558" s="1970"/>
      <c r="AC558" s="1970"/>
      <c r="AD558" s="1970"/>
      <c r="AE558" s="1970"/>
      <c r="AF558" s="1968"/>
      <c r="AG558" s="1861"/>
      <c r="AH558" s="1862"/>
      <c r="AI558" s="384"/>
      <c r="AJ558" s="2067"/>
      <c r="AK558" s="1861"/>
      <c r="AL558" s="1861"/>
      <c r="AM558" s="1862"/>
      <c r="AN558" s="58"/>
      <c r="AO558" s="58"/>
      <c r="AP558" s="58"/>
      <c r="AQ558" s="58"/>
      <c r="AR558" s="58"/>
      <c r="AS558" s="58"/>
      <c r="AU558" s="241"/>
    </row>
    <row r="559" spans="1:62" s="120" customFormat="1" ht="18" customHeight="1">
      <c r="A559" s="426"/>
      <c r="B559" s="2103" t="s">
        <v>1035</v>
      </c>
      <c r="C559" s="1970"/>
      <c r="D559" s="1970"/>
      <c r="E559" s="1970"/>
      <c r="F559" s="1970"/>
      <c r="G559" s="1970"/>
      <c r="H559" s="1970"/>
      <c r="I559" s="1970"/>
      <c r="J559" s="1970"/>
      <c r="K559" s="1970"/>
      <c r="L559" s="1970"/>
      <c r="M559" s="1970"/>
      <c r="N559" s="1970"/>
      <c r="O559" s="1970"/>
      <c r="P559" s="1970"/>
      <c r="Q559" s="1970"/>
      <c r="R559" s="1970"/>
      <c r="S559" s="1970"/>
      <c r="T559" s="1970"/>
      <c r="U559" s="1970"/>
      <c r="V559" s="1970"/>
      <c r="W559" s="1970"/>
      <c r="X559" s="1970"/>
      <c r="Y559" s="1970"/>
      <c r="Z559" s="1970"/>
      <c r="AA559" s="1970"/>
      <c r="AB559" s="1970"/>
      <c r="AC559" s="1970"/>
      <c r="AD559" s="1970"/>
      <c r="AE559" s="1970"/>
      <c r="AF559" s="1968"/>
      <c r="AG559" s="1861"/>
      <c r="AH559" s="1862"/>
      <c r="AI559" s="384"/>
      <c r="AJ559" s="2067"/>
      <c r="AK559" s="1861"/>
      <c r="AL559" s="1861"/>
      <c r="AM559" s="1862"/>
      <c r="AN559" s="58"/>
      <c r="AO559" s="58"/>
      <c r="AP559" s="58"/>
      <c r="AQ559" s="58"/>
      <c r="AR559" s="58"/>
      <c r="AS559" s="58"/>
      <c r="AU559" s="241"/>
    </row>
    <row r="560" spans="1:62" s="120" customFormat="1" ht="36" customHeight="1">
      <c r="A560" s="426"/>
      <c r="B560" s="2103" t="s">
        <v>1036</v>
      </c>
      <c r="C560" s="1970"/>
      <c r="D560" s="1970"/>
      <c r="E560" s="1970"/>
      <c r="F560" s="1970"/>
      <c r="G560" s="1970"/>
      <c r="H560" s="1970"/>
      <c r="I560" s="1970"/>
      <c r="J560" s="1970"/>
      <c r="K560" s="1970"/>
      <c r="L560" s="1970"/>
      <c r="M560" s="1970"/>
      <c r="N560" s="1970"/>
      <c r="O560" s="1970"/>
      <c r="P560" s="1970"/>
      <c r="Q560" s="1970"/>
      <c r="R560" s="1970"/>
      <c r="S560" s="1970"/>
      <c r="T560" s="1970"/>
      <c r="U560" s="1970"/>
      <c r="V560" s="1970"/>
      <c r="W560" s="1970"/>
      <c r="X560" s="1970"/>
      <c r="Y560" s="1970"/>
      <c r="Z560" s="1970"/>
      <c r="AA560" s="1970"/>
      <c r="AB560" s="1970"/>
      <c r="AC560" s="1970"/>
      <c r="AD560" s="1970"/>
      <c r="AE560" s="1970"/>
      <c r="AF560" s="1968"/>
      <c r="AG560" s="1861"/>
      <c r="AH560" s="1862"/>
      <c r="AI560" s="384"/>
      <c r="AJ560" s="2067"/>
      <c r="AK560" s="1861"/>
      <c r="AL560" s="1861"/>
      <c r="AM560" s="1862"/>
      <c r="AN560" s="58"/>
      <c r="AO560" s="58"/>
      <c r="AP560" s="58"/>
      <c r="AQ560" s="58"/>
      <c r="AR560" s="58"/>
      <c r="AS560" s="58"/>
      <c r="AU560" s="241"/>
    </row>
    <row r="561" spans="1:62" s="120" customFormat="1" ht="18" customHeight="1">
      <c r="A561" s="426"/>
      <c r="B561" s="2103" t="s">
        <v>1037</v>
      </c>
      <c r="C561" s="1970"/>
      <c r="D561" s="1970"/>
      <c r="E561" s="1970"/>
      <c r="F561" s="1970"/>
      <c r="G561" s="1970"/>
      <c r="H561" s="1970"/>
      <c r="I561" s="1970"/>
      <c r="J561" s="1970"/>
      <c r="K561" s="1970"/>
      <c r="L561" s="1970"/>
      <c r="M561" s="1970"/>
      <c r="N561" s="1970"/>
      <c r="O561" s="1970"/>
      <c r="P561" s="1970"/>
      <c r="Q561" s="1970"/>
      <c r="R561" s="1970"/>
      <c r="S561" s="1970"/>
      <c r="T561" s="1970"/>
      <c r="U561" s="1970"/>
      <c r="V561" s="1970"/>
      <c r="W561" s="1970"/>
      <c r="X561" s="1970"/>
      <c r="Y561" s="1970"/>
      <c r="Z561" s="1970"/>
      <c r="AA561" s="1970"/>
      <c r="AB561" s="1970"/>
      <c r="AC561" s="1970"/>
      <c r="AD561" s="1970"/>
      <c r="AE561" s="1970"/>
      <c r="AF561" s="1968"/>
      <c r="AG561" s="1861"/>
      <c r="AH561" s="1862"/>
      <c r="AI561" s="384"/>
      <c r="AJ561" s="2067"/>
      <c r="AK561" s="1861"/>
      <c r="AL561" s="1861"/>
      <c r="AM561" s="1862"/>
      <c r="AN561" s="58"/>
      <c r="AO561" s="58"/>
      <c r="AP561" s="58"/>
      <c r="AQ561" s="58"/>
      <c r="AR561" s="58"/>
      <c r="AS561" s="58"/>
      <c r="AU561" s="241"/>
    </row>
    <row r="562" spans="1:62" s="120" customFormat="1" ht="18" customHeight="1">
      <c r="A562" s="426"/>
      <c r="B562" s="2103" t="s">
        <v>1038</v>
      </c>
      <c r="C562" s="1970"/>
      <c r="D562" s="1970"/>
      <c r="E562" s="1970"/>
      <c r="F562" s="1970"/>
      <c r="G562" s="1970"/>
      <c r="H562" s="1970"/>
      <c r="I562" s="1970"/>
      <c r="J562" s="1970"/>
      <c r="K562" s="1970"/>
      <c r="L562" s="1970"/>
      <c r="M562" s="1970"/>
      <c r="N562" s="1970"/>
      <c r="O562" s="1970"/>
      <c r="P562" s="1970"/>
      <c r="Q562" s="1970"/>
      <c r="R562" s="1970"/>
      <c r="S562" s="1970"/>
      <c r="T562" s="1970"/>
      <c r="U562" s="1970"/>
      <c r="V562" s="1970"/>
      <c r="W562" s="1970"/>
      <c r="X562" s="1970"/>
      <c r="Y562" s="1970"/>
      <c r="Z562" s="1970"/>
      <c r="AA562" s="1970"/>
      <c r="AB562" s="1970"/>
      <c r="AC562" s="1970"/>
      <c r="AD562" s="1970"/>
      <c r="AE562" s="1970"/>
      <c r="AF562" s="1968"/>
      <c r="AG562" s="1861"/>
      <c r="AH562" s="1862"/>
      <c r="AI562" s="384"/>
      <c r="AJ562" s="2067"/>
      <c r="AK562" s="1861"/>
      <c r="AL562" s="1861"/>
      <c r="AM562" s="1862"/>
      <c r="AN562" s="58"/>
      <c r="AO562" s="58"/>
      <c r="AP562" s="58"/>
      <c r="AQ562" s="58"/>
      <c r="AR562" s="58"/>
      <c r="AS562" s="58"/>
      <c r="AU562" s="241"/>
    </row>
    <row r="563" spans="1:62" s="120" customFormat="1" ht="18" customHeight="1">
      <c r="A563" s="426"/>
      <c r="B563" s="2103" t="s">
        <v>1039</v>
      </c>
      <c r="C563" s="1970"/>
      <c r="D563" s="1970"/>
      <c r="E563" s="1970"/>
      <c r="F563" s="1970"/>
      <c r="G563" s="1970"/>
      <c r="H563" s="1970"/>
      <c r="I563" s="1970"/>
      <c r="J563" s="1970"/>
      <c r="K563" s="1970"/>
      <c r="L563" s="1970"/>
      <c r="M563" s="1970"/>
      <c r="N563" s="1970"/>
      <c r="O563" s="1970"/>
      <c r="P563" s="1970"/>
      <c r="Q563" s="1970"/>
      <c r="R563" s="1970"/>
      <c r="S563" s="1970"/>
      <c r="T563" s="1970"/>
      <c r="U563" s="1970"/>
      <c r="V563" s="1970"/>
      <c r="W563" s="1970"/>
      <c r="X563" s="1970"/>
      <c r="Y563" s="1970"/>
      <c r="Z563" s="1970"/>
      <c r="AA563" s="1970"/>
      <c r="AB563" s="1970"/>
      <c r="AC563" s="1970"/>
      <c r="AD563" s="1970"/>
      <c r="AE563" s="1970"/>
      <c r="AF563" s="1968"/>
      <c r="AG563" s="1861"/>
      <c r="AH563" s="1862"/>
      <c r="AI563" s="384"/>
      <c r="AJ563" s="2067"/>
      <c r="AK563" s="1861"/>
      <c r="AL563" s="1861"/>
      <c r="AM563" s="1862"/>
      <c r="AN563" s="58"/>
      <c r="AO563" s="58"/>
      <c r="AP563" s="58"/>
      <c r="AQ563" s="58"/>
      <c r="AR563" s="58"/>
      <c r="AS563" s="58"/>
      <c r="AU563" s="241"/>
    </row>
    <row r="564" spans="1:62" s="120" customFormat="1" ht="18" customHeight="1">
      <c r="A564" s="426"/>
      <c r="B564" s="2103" t="s">
        <v>1040</v>
      </c>
      <c r="C564" s="1970"/>
      <c r="D564" s="1970"/>
      <c r="E564" s="1970"/>
      <c r="F564" s="1970"/>
      <c r="G564" s="1970"/>
      <c r="H564" s="1970"/>
      <c r="I564" s="1970"/>
      <c r="J564" s="1970"/>
      <c r="K564" s="1970"/>
      <c r="L564" s="1970"/>
      <c r="M564" s="1970"/>
      <c r="N564" s="1970"/>
      <c r="O564" s="1970"/>
      <c r="P564" s="1970"/>
      <c r="Q564" s="1970"/>
      <c r="R564" s="1970"/>
      <c r="S564" s="1970"/>
      <c r="T564" s="1970"/>
      <c r="U564" s="1970"/>
      <c r="V564" s="1970"/>
      <c r="W564" s="1970"/>
      <c r="X564" s="1970"/>
      <c r="Y564" s="1970"/>
      <c r="Z564" s="1970"/>
      <c r="AA564" s="1970"/>
      <c r="AB564" s="1970"/>
      <c r="AC564" s="1970"/>
      <c r="AD564" s="1970"/>
      <c r="AE564" s="1970"/>
      <c r="AF564" s="1968"/>
      <c r="AG564" s="1861"/>
      <c r="AH564" s="1862"/>
      <c r="AI564" s="384"/>
      <c r="AJ564" s="2067"/>
      <c r="AK564" s="1861"/>
      <c r="AL564" s="1861"/>
      <c r="AM564" s="1862"/>
      <c r="AN564" s="58"/>
      <c r="AO564" s="58"/>
      <c r="AP564" s="58"/>
      <c r="AQ564" s="58"/>
      <c r="AR564" s="58"/>
      <c r="AS564" s="58"/>
      <c r="AU564" s="241"/>
    </row>
    <row r="565" spans="1:62" s="120" customFormat="1" ht="18" customHeight="1">
      <c r="A565" s="426"/>
      <c r="B565" s="2162" t="s">
        <v>1041</v>
      </c>
      <c r="C565" s="1861"/>
      <c r="D565" s="1861"/>
      <c r="E565" s="1861"/>
      <c r="F565" s="1861"/>
      <c r="G565" s="1861"/>
      <c r="H565" s="1861"/>
      <c r="I565" s="1861"/>
      <c r="J565" s="1861"/>
      <c r="K565" s="1861"/>
      <c r="L565" s="1861"/>
      <c r="M565" s="1861"/>
      <c r="N565" s="1861"/>
      <c r="O565" s="1861"/>
      <c r="P565" s="1861"/>
      <c r="Q565" s="1861"/>
      <c r="R565" s="1861"/>
      <c r="S565" s="1861"/>
      <c r="T565" s="1861"/>
      <c r="U565" s="1861"/>
      <c r="V565" s="1861"/>
      <c r="W565" s="1861"/>
      <c r="X565" s="1861"/>
      <c r="Y565" s="1861"/>
      <c r="Z565" s="1861"/>
      <c r="AA565" s="1861"/>
      <c r="AB565" s="1861"/>
      <c r="AC565" s="1861"/>
      <c r="AD565" s="1861"/>
      <c r="AE565" s="1862"/>
      <c r="AF565" s="1968"/>
      <c r="AG565" s="1861"/>
      <c r="AH565" s="1862"/>
      <c r="AI565" s="384"/>
      <c r="AJ565" s="2067"/>
      <c r="AK565" s="1861"/>
      <c r="AL565" s="1861"/>
      <c r="AM565" s="1862"/>
      <c r="AN565" s="58"/>
      <c r="AO565" s="58"/>
      <c r="AP565" s="58"/>
      <c r="AQ565" s="58"/>
      <c r="AR565" s="58"/>
      <c r="AS565" s="58"/>
      <c r="AU565" s="241"/>
    </row>
    <row r="566" spans="1:62" s="120" customFormat="1" ht="18" customHeight="1">
      <c r="A566" s="426"/>
      <c r="B566" s="2308" t="s">
        <v>1041</v>
      </c>
      <c r="C566" s="1861"/>
      <c r="D566" s="1861"/>
      <c r="E566" s="1861"/>
      <c r="F566" s="1861"/>
      <c r="G566" s="1861"/>
      <c r="H566" s="1861"/>
      <c r="I566" s="1861"/>
      <c r="J566" s="1861"/>
      <c r="K566" s="1861"/>
      <c r="L566" s="1861"/>
      <c r="M566" s="1861"/>
      <c r="N566" s="1861"/>
      <c r="O566" s="1861"/>
      <c r="P566" s="1861"/>
      <c r="Q566" s="1861"/>
      <c r="R566" s="1861"/>
      <c r="S566" s="1861"/>
      <c r="T566" s="1861"/>
      <c r="U566" s="1861"/>
      <c r="V566" s="1861"/>
      <c r="W566" s="1861"/>
      <c r="X566" s="1861"/>
      <c r="Y566" s="1861"/>
      <c r="Z566" s="1861"/>
      <c r="AA566" s="1861"/>
      <c r="AB566" s="1861"/>
      <c r="AC566" s="1861"/>
      <c r="AD566" s="1861"/>
      <c r="AE566" s="1862"/>
      <c r="AF566" s="1968"/>
      <c r="AG566" s="1861"/>
      <c r="AH566" s="1862"/>
      <c r="AI566" s="384"/>
      <c r="AJ566" s="2067"/>
      <c r="AK566" s="1861"/>
      <c r="AL566" s="1861"/>
      <c r="AM566" s="1862"/>
      <c r="AN566" s="58"/>
      <c r="AO566" s="58"/>
      <c r="AP566" s="58"/>
      <c r="AQ566" s="58"/>
      <c r="AR566" s="58"/>
      <c r="AS566" s="58"/>
      <c r="AU566" s="241"/>
    </row>
    <row r="567" spans="1:62" s="58" customFormat="1" ht="18" customHeight="1">
      <c r="AU567" s="476"/>
    </row>
    <row r="568" spans="1:62" s="120" customFormat="1" ht="18" customHeight="1">
      <c r="A568" s="426"/>
      <c r="B568" s="2180" t="s">
        <v>1042</v>
      </c>
      <c r="C568" s="1970"/>
      <c r="D568" s="1970"/>
      <c r="E568" s="1970"/>
      <c r="F568" s="1970"/>
      <c r="G568" s="1970"/>
      <c r="H568" s="1970"/>
      <c r="I568" s="1970"/>
      <c r="J568" s="1970"/>
      <c r="K568" s="1970"/>
      <c r="L568" s="1970"/>
      <c r="M568" s="1970"/>
      <c r="N568" s="1970"/>
      <c r="O568" s="1970"/>
      <c r="P568" s="1970"/>
      <c r="Q568" s="1970"/>
      <c r="R568" s="1970"/>
      <c r="S568" s="1970"/>
      <c r="T568" s="1970"/>
      <c r="U568" s="1970"/>
      <c r="V568" s="1970"/>
      <c r="W568" s="1970"/>
      <c r="X568" s="1970"/>
      <c r="Y568" s="1970"/>
      <c r="Z568" s="1970"/>
      <c r="AA568" s="1970"/>
      <c r="AB568" s="1970"/>
      <c r="AC568" s="1970"/>
      <c r="AD568" s="1970"/>
      <c r="AE568" s="1970"/>
      <c r="AF568" s="1970"/>
      <c r="AG568" s="1970"/>
      <c r="AH568" s="1970"/>
      <c r="AI568" s="1970"/>
      <c r="AJ568" s="1970"/>
      <c r="AK568" s="1970"/>
      <c r="AL568" s="1970"/>
      <c r="AM568" s="1970"/>
      <c r="AN568" s="58"/>
      <c r="AO568" s="58"/>
      <c r="AP568" s="58"/>
      <c r="AQ568" s="58"/>
      <c r="AR568" s="58"/>
      <c r="AS568" s="58"/>
      <c r="AU568" s="241"/>
    </row>
    <row r="569" spans="1:62" s="120" customFormat="1" ht="63" customHeight="1">
      <c r="A569" s="426"/>
      <c r="B569" s="2003"/>
      <c r="C569" s="1861"/>
      <c r="D569" s="1861"/>
      <c r="E569" s="1861"/>
      <c r="F569" s="1861"/>
      <c r="G569" s="1861"/>
      <c r="H569" s="1861"/>
      <c r="I569" s="1861"/>
      <c r="J569" s="1861"/>
      <c r="K569" s="1861"/>
      <c r="L569" s="1861"/>
      <c r="M569" s="1861"/>
      <c r="N569" s="1861"/>
      <c r="O569" s="1861"/>
      <c r="P569" s="1861"/>
      <c r="Q569" s="1861"/>
      <c r="R569" s="1861"/>
      <c r="S569" s="1861"/>
      <c r="T569" s="1861"/>
      <c r="U569" s="1861"/>
      <c r="V569" s="1861"/>
      <c r="W569" s="1861"/>
      <c r="X569" s="1861"/>
      <c r="Y569" s="1861"/>
      <c r="Z569" s="1861"/>
      <c r="AA569" s="1861"/>
      <c r="AB569" s="1861"/>
      <c r="AC569" s="1861"/>
      <c r="AD569" s="1861"/>
      <c r="AE569" s="1861"/>
      <c r="AF569" s="1861"/>
      <c r="AG569" s="1861"/>
      <c r="AH569" s="1861"/>
      <c r="AI569" s="1861"/>
      <c r="AJ569" s="1861"/>
      <c r="AK569" s="1861"/>
      <c r="AL569" s="1861"/>
      <c r="AM569" s="1862"/>
      <c r="AN569" s="58"/>
      <c r="AO569" s="58"/>
      <c r="AP569" s="58"/>
      <c r="AQ569" s="58"/>
      <c r="AR569" s="58"/>
      <c r="AS569" s="58"/>
      <c r="AU569" s="241"/>
    </row>
    <row r="570" spans="1:62" s="120" customFormat="1" ht="18" customHeight="1">
      <c r="A570" s="426"/>
      <c r="B570" s="58"/>
      <c r="C570" s="58"/>
      <c r="D570" s="58"/>
      <c r="E570" s="58"/>
      <c r="F570" s="58"/>
      <c r="G570" s="58"/>
      <c r="H570" s="58"/>
      <c r="I570" s="58"/>
      <c r="J570" s="58"/>
      <c r="K570" s="58"/>
      <c r="L570" s="58"/>
      <c r="M570" s="58"/>
      <c r="N570" s="58"/>
      <c r="O570" s="58"/>
      <c r="P570" s="58"/>
      <c r="Q570" s="58"/>
      <c r="R570" s="58"/>
      <c r="S570" s="58"/>
      <c r="T570" s="58"/>
      <c r="U570" s="58"/>
      <c r="V570" s="58"/>
      <c r="W570" s="58"/>
      <c r="X570" s="58"/>
      <c r="Y570" s="58"/>
      <c r="Z570" s="58"/>
      <c r="AA570" s="58"/>
      <c r="AB570" s="58"/>
      <c r="AC570" s="58"/>
      <c r="AD570" s="58"/>
      <c r="AE570" s="58"/>
      <c r="AF570" s="58"/>
      <c r="AG570" s="58"/>
      <c r="AH570" s="58"/>
      <c r="AI570" s="58"/>
      <c r="AJ570" s="58"/>
      <c r="AK570" s="58"/>
      <c r="AL570" s="58"/>
      <c r="AM570" s="58"/>
      <c r="AN570" s="58"/>
      <c r="AO570" s="58"/>
      <c r="AP570" s="58"/>
      <c r="AQ570" s="58"/>
      <c r="AR570" s="58"/>
      <c r="AS570" s="58"/>
      <c r="AU570" s="241"/>
    </row>
    <row r="571" spans="1:62" s="58" customFormat="1" ht="18" customHeight="1">
      <c r="A571" s="426"/>
      <c r="B571" s="1791" t="s">
        <v>461</v>
      </c>
      <c r="C571" s="1945"/>
      <c r="D571" s="1945"/>
      <c r="E571" s="1945"/>
      <c r="F571" s="1945"/>
      <c r="G571" s="1945"/>
      <c r="H571" s="1945"/>
      <c r="I571" s="1945"/>
      <c r="J571" s="1945"/>
      <c r="K571" s="1945"/>
      <c r="L571" s="1945"/>
      <c r="M571" s="1945"/>
      <c r="N571" s="1945"/>
      <c r="O571" s="1945"/>
      <c r="P571" s="1945"/>
      <c r="Q571" s="1945"/>
      <c r="R571" s="1945"/>
      <c r="S571" s="1945"/>
      <c r="T571" s="1945"/>
      <c r="U571" s="1945"/>
      <c r="V571" s="1945"/>
      <c r="W571" s="1945"/>
      <c r="X571" s="1945"/>
      <c r="Y571" s="1945"/>
      <c r="Z571" s="1945"/>
      <c r="AA571" s="1945"/>
      <c r="AB571" s="1945"/>
      <c r="AC571" s="1945"/>
      <c r="AD571" s="1945"/>
      <c r="AE571" s="1945"/>
      <c r="AF571" s="1945"/>
      <c r="AG571" s="1945"/>
      <c r="AH571" s="1945"/>
      <c r="AI571" s="1945"/>
      <c r="AJ571" s="1945"/>
      <c r="AK571" s="1945"/>
      <c r="AL571" s="1945"/>
      <c r="AM571" s="1945"/>
      <c r="AO571" s="426"/>
      <c r="AT571" s="120"/>
      <c r="AU571" s="241"/>
      <c r="AV571" s="120"/>
      <c r="AW571" s="120"/>
      <c r="AX571" s="120"/>
      <c r="AY571" s="120"/>
      <c r="AZ571" s="120"/>
      <c r="BA571" s="120"/>
      <c r="BB571" s="120"/>
      <c r="BC571" s="120"/>
      <c r="BD571" s="120"/>
      <c r="BE571" s="120"/>
      <c r="BF571" s="120"/>
      <c r="BG571" s="120"/>
      <c r="BH571" s="120"/>
      <c r="BI571" s="120"/>
      <c r="BJ571" s="120"/>
    </row>
    <row r="572" spans="1:62" s="120" customFormat="1" ht="18" customHeight="1">
      <c r="A572" s="426"/>
      <c r="B572" s="55"/>
      <c r="C572" s="55"/>
      <c r="D572" s="55"/>
      <c r="E572" s="55"/>
      <c r="F572" s="55"/>
      <c r="G572" s="55"/>
      <c r="H572" s="55"/>
      <c r="I572" s="55"/>
      <c r="J572" s="55"/>
      <c r="K572" s="55"/>
      <c r="L572" s="55"/>
      <c r="M572" s="55"/>
      <c r="N572" s="55"/>
      <c r="O572" s="55"/>
      <c r="P572" s="55"/>
      <c r="Q572" s="55"/>
      <c r="R572" s="55"/>
      <c r="S572" s="55"/>
      <c r="T572" s="55"/>
      <c r="U572" s="55"/>
      <c r="V572" s="55"/>
      <c r="W572" s="55"/>
      <c r="X572" s="55"/>
      <c r="Y572" s="55"/>
      <c r="Z572" s="55"/>
      <c r="AA572" s="55"/>
      <c r="AB572" s="55"/>
      <c r="AC572" s="55"/>
      <c r="AD572" s="55"/>
      <c r="AE572" s="55"/>
      <c r="AF572" s="55"/>
      <c r="AG572" s="55"/>
      <c r="AH572" s="55"/>
      <c r="AI572" s="55"/>
      <c r="AJ572" s="55"/>
      <c r="AK572" s="55"/>
      <c r="AL572" s="55"/>
      <c r="AM572" s="95"/>
      <c r="AN572" s="57"/>
      <c r="AO572" s="58"/>
      <c r="AP572" s="58"/>
      <c r="AQ572" s="58"/>
      <c r="AR572" s="58"/>
      <c r="AS572" s="58"/>
      <c r="AU572" s="241"/>
    </row>
    <row r="573" spans="1:62" s="120" customFormat="1" ht="18" customHeight="1">
      <c r="A573" s="138"/>
      <c r="B573" s="55"/>
      <c r="C573" s="55"/>
      <c r="D573" s="55"/>
      <c r="E573" s="55"/>
      <c r="F573" s="55"/>
      <c r="G573" s="55"/>
      <c r="H573" s="55"/>
      <c r="I573" s="55"/>
      <c r="J573" s="55"/>
      <c r="K573" s="55"/>
      <c r="L573" s="55"/>
      <c r="M573" s="55"/>
      <c r="N573" s="55"/>
      <c r="O573" s="55"/>
      <c r="P573" s="55"/>
      <c r="Q573" s="55"/>
      <c r="R573" s="55"/>
      <c r="S573" s="55"/>
      <c r="T573" s="55"/>
      <c r="U573" s="55"/>
      <c r="V573" s="55"/>
      <c r="W573" s="55"/>
      <c r="X573" s="55"/>
      <c r="Y573" s="55"/>
      <c r="Z573" s="55"/>
      <c r="AA573" s="55"/>
      <c r="AB573" s="55"/>
      <c r="AC573" s="55"/>
      <c r="AD573" s="55"/>
      <c r="AE573" s="55"/>
      <c r="AF573" s="55"/>
      <c r="AG573" s="55"/>
      <c r="AH573" s="55"/>
      <c r="AI573" s="55"/>
      <c r="AJ573" s="55"/>
      <c r="AK573" s="55"/>
      <c r="AL573" s="55"/>
      <c r="AM573" s="95"/>
      <c r="AN573" s="57"/>
      <c r="AO573" s="758"/>
      <c r="AP573" s="735"/>
      <c r="AQ573" s="735"/>
      <c r="AR573" s="58"/>
      <c r="AS573" s="58"/>
      <c r="AU573" s="241"/>
    </row>
    <row r="574" spans="1:62" s="120" customFormat="1" ht="18" customHeight="1">
      <c r="A574" s="138"/>
      <c r="B574" s="55"/>
      <c r="C574" s="55"/>
      <c r="D574" s="55"/>
      <c r="E574" s="55"/>
      <c r="F574" s="55"/>
      <c r="G574" s="55"/>
      <c r="H574" s="55"/>
      <c r="I574" s="55"/>
      <c r="J574" s="55"/>
      <c r="K574" s="55"/>
      <c r="L574" s="55"/>
      <c r="M574" s="55"/>
      <c r="N574" s="55"/>
      <c r="O574" s="55"/>
      <c r="P574" s="55"/>
      <c r="Q574" s="55"/>
      <c r="R574" s="55"/>
      <c r="S574" s="55"/>
      <c r="T574" s="55"/>
      <c r="U574" s="55"/>
      <c r="V574" s="55"/>
      <c r="W574" s="55"/>
      <c r="X574" s="55"/>
      <c r="Y574" s="55"/>
      <c r="Z574" s="55"/>
      <c r="AA574" s="55"/>
      <c r="AB574" s="55"/>
      <c r="AC574" s="55"/>
      <c r="AD574" s="55"/>
      <c r="AE574" s="55"/>
      <c r="AF574" s="55"/>
      <c r="AG574" s="55"/>
      <c r="AH574" s="55"/>
      <c r="AI574" s="55"/>
      <c r="AJ574" s="55"/>
      <c r="AK574" s="55"/>
      <c r="AL574" s="55"/>
      <c r="AM574" s="95"/>
      <c r="AN574" s="57"/>
      <c r="AO574" s="426"/>
      <c r="AP574" s="58"/>
      <c r="AQ574" s="58"/>
      <c r="AR574" s="735"/>
      <c r="AS574" s="735"/>
      <c r="AT574" s="1653"/>
      <c r="AU574" s="1653"/>
      <c r="AV574" s="1653"/>
      <c r="AW574" s="1653"/>
      <c r="AX574" s="1653"/>
      <c r="AY574" s="1653"/>
      <c r="AZ574" s="1653"/>
      <c r="BA574" s="1653"/>
      <c r="BB574" s="1653"/>
      <c r="BC574" s="1653"/>
      <c r="BD574" s="1653"/>
      <c r="BE574" s="1653"/>
      <c r="BF574" s="1653"/>
      <c r="BG574" s="1653"/>
      <c r="BH574" s="1653"/>
      <c r="BI574" s="1653"/>
      <c r="BJ574" s="1653"/>
    </row>
    <row r="575" spans="1:62" s="737" customFormat="1" ht="18" customHeight="1">
      <c r="A575" s="138"/>
      <c r="B575" s="55"/>
      <c r="C575" s="55"/>
      <c r="D575" s="55"/>
      <c r="E575" s="55"/>
      <c r="F575" s="55"/>
      <c r="G575" s="55"/>
      <c r="H575" s="55"/>
      <c r="I575" s="55"/>
      <c r="J575" s="55"/>
      <c r="K575" s="55"/>
      <c r="L575" s="55"/>
      <c r="M575" s="55"/>
      <c r="N575" s="55"/>
      <c r="O575" s="55"/>
      <c r="P575" s="55"/>
      <c r="Q575" s="55"/>
      <c r="R575" s="55"/>
      <c r="S575" s="55"/>
      <c r="T575" s="55"/>
      <c r="U575" s="55"/>
      <c r="V575" s="55"/>
      <c r="W575" s="55"/>
      <c r="X575" s="55"/>
      <c r="Y575" s="55"/>
      <c r="Z575" s="55"/>
      <c r="AA575" s="55"/>
      <c r="AB575" s="55"/>
      <c r="AC575" s="55"/>
      <c r="AD575" s="55"/>
      <c r="AE575" s="55"/>
      <c r="AF575" s="55"/>
      <c r="AG575" s="55"/>
      <c r="AH575" s="55"/>
      <c r="AI575" s="55"/>
      <c r="AJ575" s="55"/>
      <c r="AK575" s="55"/>
      <c r="AL575" s="55"/>
      <c r="AM575" s="95"/>
      <c r="AN575" s="57"/>
      <c r="AO575" s="426"/>
      <c r="AP575" s="58"/>
      <c r="AQ575" s="58"/>
      <c r="AR575" s="58"/>
      <c r="AS575" s="58"/>
      <c r="AT575" s="120"/>
      <c r="AU575" s="241"/>
      <c r="AV575" s="120"/>
      <c r="AW575" s="120"/>
      <c r="AX575" s="120"/>
      <c r="AY575" s="120"/>
      <c r="AZ575" s="120"/>
      <c r="BA575" s="120"/>
      <c r="BB575" s="120"/>
      <c r="BC575" s="120"/>
      <c r="BD575" s="120"/>
      <c r="BE575" s="120"/>
      <c r="BF575" s="120"/>
      <c r="BG575" s="120"/>
      <c r="BH575" s="120"/>
      <c r="BI575" s="120"/>
      <c r="BJ575" s="120"/>
    </row>
    <row r="576" spans="1:62" s="120" customFormat="1" ht="18" customHeight="1">
      <c r="A576" s="138"/>
      <c r="B576" s="55"/>
      <c r="C576" s="55"/>
      <c r="D576" s="55"/>
      <c r="E576" s="55"/>
      <c r="F576" s="55"/>
      <c r="G576" s="55"/>
      <c r="H576" s="55"/>
      <c r="I576" s="55"/>
      <c r="J576" s="55"/>
      <c r="K576" s="55"/>
      <c r="L576" s="55"/>
      <c r="M576" s="55"/>
      <c r="N576" s="55"/>
      <c r="O576" s="55"/>
      <c r="P576" s="55"/>
      <c r="Q576" s="55"/>
      <c r="R576" s="55"/>
      <c r="S576" s="55"/>
      <c r="T576" s="55"/>
      <c r="U576" s="55"/>
      <c r="V576" s="55"/>
      <c r="W576" s="55"/>
      <c r="X576" s="55"/>
      <c r="Y576" s="55"/>
      <c r="Z576" s="55"/>
      <c r="AA576" s="55"/>
      <c r="AB576" s="55"/>
      <c r="AC576" s="55"/>
      <c r="AD576" s="55"/>
      <c r="AE576" s="55"/>
      <c r="AF576" s="55"/>
      <c r="AG576" s="55"/>
      <c r="AH576" s="55"/>
      <c r="AI576" s="55"/>
      <c r="AJ576" s="55"/>
      <c r="AK576" s="55"/>
      <c r="AL576" s="55"/>
      <c r="AM576" s="95"/>
      <c r="AN576" s="57"/>
      <c r="AO576" s="58"/>
      <c r="AP576" s="58"/>
      <c r="AQ576" s="58"/>
      <c r="AR576" s="58"/>
      <c r="AS576" s="58"/>
      <c r="AU576" s="241"/>
    </row>
    <row r="577" spans="1:62" s="120" customFormat="1" ht="18" customHeight="1">
      <c r="A577" s="138"/>
      <c r="B577" s="55"/>
      <c r="C577" s="55"/>
      <c r="D577" s="55"/>
      <c r="E577" s="55"/>
      <c r="F577" s="55"/>
      <c r="G577" s="55"/>
      <c r="H577" s="55"/>
      <c r="I577" s="55"/>
      <c r="J577" s="55"/>
      <c r="K577" s="55"/>
      <c r="L577" s="55"/>
      <c r="M577" s="55"/>
      <c r="N577" s="55"/>
      <c r="O577" s="55"/>
      <c r="P577" s="55"/>
      <c r="Q577" s="55"/>
      <c r="R577" s="55"/>
      <c r="S577" s="55"/>
      <c r="T577" s="55"/>
      <c r="U577" s="55"/>
      <c r="V577" s="55"/>
      <c r="W577" s="55"/>
      <c r="X577" s="55"/>
      <c r="Y577" s="55"/>
      <c r="Z577" s="55"/>
      <c r="AA577" s="55"/>
      <c r="AB577" s="55"/>
      <c r="AC577" s="55"/>
      <c r="AD577" s="55"/>
      <c r="AE577" s="55"/>
      <c r="AF577" s="55"/>
      <c r="AG577" s="55"/>
      <c r="AH577" s="55"/>
      <c r="AI577" s="55"/>
      <c r="AJ577" s="55"/>
      <c r="AK577" s="55"/>
      <c r="AL577" s="55"/>
      <c r="AM577" s="95"/>
      <c r="AN577" s="57"/>
      <c r="AO577" s="426"/>
      <c r="AP577" s="58"/>
      <c r="AQ577" s="58"/>
      <c r="AR577" s="58"/>
      <c r="AS577" s="58"/>
      <c r="AT577" s="58"/>
      <c r="AU577" s="476"/>
      <c r="AV577" s="58"/>
      <c r="AW577" s="58"/>
      <c r="AX577" s="58"/>
      <c r="AY577" s="58"/>
      <c r="AZ577" s="58"/>
      <c r="BA577" s="58"/>
      <c r="BB577" s="58"/>
      <c r="BC577" s="58"/>
      <c r="BD577" s="58"/>
      <c r="BE577" s="58"/>
      <c r="BF577" s="58"/>
      <c r="BG577" s="58"/>
      <c r="BH577" s="58"/>
      <c r="BI577" s="58"/>
      <c r="BJ577" s="58"/>
    </row>
    <row r="578" spans="1:62" s="58" customFormat="1" ht="18" customHeight="1">
      <c r="A578" s="138"/>
      <c r="B578" s="55"/>
      <c r="C578" s="55"/>
      <c r="D578" s="55"/>
      <c r="E578" s="55"/>
      <c r="F578" s="55"/>
      <c r="G578" s="55"/>
      <c r="H578" s="55"/>
      <c r="I578" s="55"/>
      <c r="J578" s="55"/>
      <c r="K578" s="55"/>
      <c r="L578" s="55"/>
      <c r="M578" s="55"/>
      <c r="N578" s="55"/>
      <c r="O578" s="55"/>
      <c r="P578" s="55"/>
      <c r="Q578" s="55"/>
      <c r="R578" s="55"/>
      <c r="S578" s="55"/>
      <c r="T578" s="55"/>
      <c r="U578" s="55"/>
      <c r="V578" s="55"/>
      <c r="W578" s="55"/>
      <c r="X578" s="55"/>
      <c r="Y578" s="55"/>
      <c r="Z578" s="55"/>
      <c r="AA578" s="55"/>
      <c r="AB578" s="55"/>
      <c r="AC578" s="55"/>
      <c r="AD578" s="55"/>
      <c r="AE578" s="55"/>
      <c r="AF578" s="55"/>
      <c r="AG578" s="55"/>
      <c r="AH578" s="55"/>
      <c r="AI578" s="55"/>
      <c r="AJ578" s="55"/>
      <c r="AK578" s="55"/>
      <c r="AL578" s="55"/>
      <c r="AM578" s="95"/>
      <c r="AN578" s="57"/>
      <c r="AO578" s="426"/>
      <c r="AU578" s="476"/>
    </row>
    <row r="579" spans="1:62" s="58" customFormat="1" ht="18" customHeight="1">
      <c r="A579" s="138"/>
      <c r="B579" s="55"/>
      <c r="C579" s="55"/>
      <c r="D579" s="55"/>
      <c r="E579" s="55"/>
      <c r="F579" s="55"/>
      <c r="G579" s="55"/>
      <c r="H579" s="55"/>
      <c r="I579" s="55"/>
      <c r="J579" s="55"/>
      <c r="K579" s="55"/>
      <c r="L579" s="55"/>
      <c r="M579" s="55"/>
      <c r="N579" s="55"/>
      <c r="O579" s="55"/>
      <c r="P579" s="55"/>
      <c r="Q579" s="55"/>
      <c r="R579" s="55"/>
      <c r="S579" s="55"/>
      <c r="T579" s="55"/>
      <c r="U579" s="55"/>
      <c r="V579" s="55"/>
      <c r="W579" s="55"/>
      <c r="X579" s="55"/>
      <c r="Y579" s="55"/>
      <c r="Z579" s="55"/>
      <c r="AA579" s="55"/>
      <c r="AB579" s="55"/>
      <c r="AC579" s="55"/>
      <c r="AD579" s="55"/>
      <c r="AE579" s="55"/>
      <c r="AF579" s="55"/>
      <c r="AG579" s="55"/>
      <c r="AH579" s="55"/>
      <c r="AI579" s="55"/>
      <c r="AJ579" s="55"/>
      <c r="AK579" s="55"/>
      <c r="AL579" s="55"/>
      <c r="AM579" s="95"/>
      <c r="AN579" s="57"/>
      <c r="AU579" s="476"/>
    </row>
    <row r="580" spans="1:62" s="58" customFormat="1" ht="18" customHeight="1">
      <c r="A580" s="138"/>
      <c r="B580" s="55"/>
      <c r="C580" s="55"/>
      <c r="D580" s="55"/>
      <c r="E580" s="55"/>
      <c r="F580" s="55"/>
      <c r="G580" s="55"/>
      <c r="H580" s="55"/>
      <c r="I580" s="55"/>
      <c r="J580" s="55"/>
      <c r="K580" s="55"/>
      <c r="L580" s="55"/>
      <c r="M580" s="55"/>
      <c r="N580" s="55"/>
      <c r="O580" s="55"/>
      <c r="P580" s="55"/>
      <c r="Q580" s="55"/>
      <c r="R580" s="55"/>
      <c r="S580" s="55"/>
      <c r="T580" s="55"/>
      <c r="U580" s="55"/>
      <c r="V580" s="55"/>
      <c r="W580" s="55"/>
      <c r="X580" s="55"/>
      <c r="Y580" s="55"/>
      <c r="Z580" s="55"/>
      <c r="AA580" s="55"/>
      <c r="AB580" s="55"/>
      <c r="AC580" s="55"/>
      <c r="AD580" s="55"/>
      <c r="AE580" s="55"/>
      <c r="AF580" s="55"/>
      <c r="AG580" s="55"/>
      <c r="AH580" s="55"/>
      <c r="AI580" s="55"/>
      <c r="AJ580" s="55"/>
      <c r="AK580" s="55"/>
      <c r="AL580" s="55"/>
      <c r="AM580" s="95"/>
      <c r="AN580" s="57"/>
      <c r="AO580" s="426"/>
      <c r="AU580" s="476"/>
    </row>
    <row r="581" spans="1:62" s="58" customFormat="1" ht="18" customHeight="1">
      <c r="A581" s="138"/>
      <c r="B581" s="55"/>
      <c r="C581" s="55"/>
      <c r="D581" s="55"/>
      <c r="E581" s="55"/>
      <c r="F581" s="55"/>
      <c r="G581" s="55"/>
      <c r="H581" s="55"/>
      <c r="I581" s="55"/>
      <c r="J581" s="55"/>
      <c r="K581" s="55"/>
      <c r="L581" s="55"/>
      <c r="M581" s="55"/>
      <c r="N581" s="55"/>
      <c r="O581" s="55"/>
      <c r="P581" s="55"/>
      <c r="Q581" s="55"/>
      <c r="R581" s="55"/>
      <c r="S581" s="55"/>
      <c r="T581" s="55"/>
      <c r="U581" s="55"/>
      <c r="V581" s="55"/>
      <c r="W581" s="55"/>
      <c r="X581" s="55"/>
      <c r="Y581" s="55"/>
      <c r="Z581" s="55"/>
      <c r="AA581" s="55"/>
      <c r="AB581" s="55"/>
      <c r="AC581" s="55"/>
      <c r="AD581" s="55"/>
      <c r="AE581" s="55"/>
      <c r="AF581" s="55"/>
      <c r="AG581" s="55"/>
      <c r="AH581" s="55"/>
      <c r="AI581" s="55"/>
      <c r="AJ581" s="55"/>
      <c r="AK581" s="55"/>
      <c r="AL581" s="55"/>
      <c r="AM581" s="95"/>
      <c r="AN581" s="57"/>
      <c r="AO581" s="426"/>
      <c r="AU581" s="476"/>
    </row>
    <row r="582" spans="1:62" s="58" customFormat="1" ht="18" customHeight="1">
      <c r="A582" s="138"/>
      <c r="B582" s="55"/>
      <c r="C582" s="55"/>
      <c r="D582" s="55"/>
      <c r="E582" s="55"/>
      <c r="F582" s="55"/>
      <c r="G582" s="55"/>
      <c r="H582" s="55"/>
      <c r="I582" s="55"/>
      <c r="J582" s="55"/>
      <c r="K582" s="55"/>
      <c r="L582" s="55"/>
      <c r="M582" s="55"/>
      <c r="N582" s="55"/>
      <c r="O582" s="55"/>
      <c r="P582" s="55"/>
      <c r="Q582" s="55"/>
      <c r="R582" s="55"/>
      <c r="S582" s="55"/>
      <c r="T582" s="55"/>
      <c r="U582" s="55"/>
      <c r="V582" s="55"/>
      <c r="W582" s="55"/>
      <c r="X582" s="55"/>
      <c r="Y582" s="55"/>
      <c r="Z582" s="55"/>
      <c r="AA582" s="55"/>
      <c r="AB582" s="55"/>
      <c r="AC582" s="55"/>
      <c r="AD582" s="55"/>
      <c r="AE582" s="55"/>
      <c r="AF582" s="55"/>
      <c r="AG582" s="55"/>
      <c r="AH582" s="55"/>
      <c r="AI582" s="55"/>
      <c r="AJ582" s="55"/>
      <c r="AK582" s="55"/>
      <c r="AL582" s="55"/>
      <c r="AM582" s="95"/>
      <c r="AN582" s="57"/>
      <c r="AU582" s="476"/>
    </row>
    <row r="583" spans="1:62" s="58" customFormat="1" ht="18" customHeight="1">
      <c r="A583" s="138"/>
      <c r="B583" s="55"/>
      <c r="C583" s="55"/>
      <c r="D583" s="55"/>
      <c r="E583" s="55"/>
      <c r="F583" s="55"/>
      <c r="G583" s="55"/>
      <c r="H583" s="55"/>
      <c r="I583" s="55"/>
      <c r="J583" s="55"/>
      <c r="K583" s="55"/>
      <c r="L583" s="55"/>
      <c r="M583" s="55"/>
      <c r="N583" s="55"/>
      <c r="O583" s="55"/>
      <c r="P583" s="55"/>
      <c r="Q583" s="55"/>
      <c r="R583" s="55"/>
      <c r="S583" s="55"/>
      <c r="T583" s="55"/>
      <c r="U583" s="55"/>
      <c r="V583" s="55"/>
      <c r="W583" s="55"/>
      <c r="X583" s="55"/>
      <c r="Y583" s="55"/>
      <c r="Z583" s="55"/>
      <c r="AA583" s="55"/>
      <c r="AB583" s="55"/>
      <c r="AC583" s="55"/>
      <c r="AD583" s="55"/>
      <c r="AE583" s="55"/>
      <c r="AF583" s="55"/>
      <c r="AG583" s="55"/>
      <c r="AH583" s="55"/>
      <c r="AI583" s="55"/>
      <c r="AJ583" s="55"/>
      <c r="AK583" s="55"/>
      <c r="AL583" s="55"/>
      <c r="AM583" s="95"/>
      <c r="AN583" s="57"/>
      <c r="AO583" s="426"/>
      <c r="AU583" s="476"/>
    </row>
    <row r="584" spans="1:62" s="58" customFormat="1" ht="18" customHeight="1">
      <c r="A584" s="138"/>
      <c r="B584" s="55"/>
      <c r="C584" s="55"/>
      <c r="D584" s="55"/>
      <c r="E584" s="55"/>
      <c r="F584" s="55"/>
      <c r="G584" s="55"/>
      <c r="H584" s="55"/>
      <c r="I584" s="55"/>
      <c r="J584" s="55"/>
      <c r="K584" s="55"/>
      <c r="L584" s="55"/>
      <c r="M584" s="55"/>
      <c r="N584" s="55"/>
      <c r="O584" s="55"/>
      <c r="P584" s="55"/>
      <c r="Q584" s="55"/>
      <c r="R584" s="55"/>
      <c r="S584" s="55"/>
      <c r="T584" s="55"/>
      <c r="U584" s="55"/>
      <c r="V584" s="55"/>
      <c r="W584" s="55"/>
      <c r="X584" s="55"/>
      <c r="Y584" s="55"/>
      <c r="Z584" s="55"/>
      <c r="AA584" s="55"/>
      <c r="AB584" s="55"/>
      <c r="AC584" s="55"/>
      <c r="AD584" s="55"/>
      <c r="AE584" s="55"/>
      <c r="AF584" s="55"/>
      <c r="AG584" s="55"/>
      <c r="AH584" s="55"/>
      <c r="AI584" s="55"/>
      <c r="AJ584" s="55"/>
      <c r="AK584" s="55"/>
      <c r="AL584" s="55"/>
      <c r="AM584" s="95"/>
      <c r="AN584" s="57"/>
      <c r="AO584" s="426"/>
      <c r="AU584" s="476"/>
    </row>
    <row r="585" spans="1:62" s="58" customFormat="1" ht="18" customHeight="1">
      <c r="A585" s="138"/>
      <c r="B585" s="55"/>
      <c r="C585" s="55"/>
      <c r="D585" s="55"/>
      <c r="E585" s="55"/>
      <c r="F585" s="55"/>
      <c r="G585" s="55"/>
      <c r="H585" s="55"/>
      <c r="I585" s="55"/>
      <c r="J585" s="55"/>
      <c r="K585" s="55"/>
      <c r="L585" s="55"/>
      <c r="M585" s="55"/>
      <c r="N585" s="55"/>
      <c r="O585" s="55"/>
      <c r="P585" s="55"/>
      <c r="Q585" s="55"/>
      <c r="R585" s="55"/>
      <c r="S585" s="55"/>
      <c r="T585" s="55"/>
      <c r="U585" s="55"/>
      <c r="V585" s="55"/>
      <c r="W585" s="55"/>
      <c r="X585" s="55"/>
      <c r="Y585" s="55"/>
      <c r="Z585" s="55"/>
      <c r="AA585" s="55"/>
      <c r="AB585" s="55"/>
      <c r="AC585" s="55"/>
      <c r="AD585" s="55"/>
      <c r="AE585" s="55"/>
      <c r="AF585" s="55"/>
      <c r="AG585" s="55"/>
      <c r="AH585" s="55"/>
      <c r="AI585" s="55"/>
      <c r="AJ585" s="55"/>
      <c r="AK585" s="55"/>
      <c r="AL585" s="55"/>
      <c r="AM585" s="95"/>
      <c r="AN585" s="57"/>
      <c r="AU585" s="476"/>
    </row>
    <row r="586" spans="1:62" s="58" customFormat="1" ht="18" customHeight="1">
      <c r="A586" s="138"/>
      <c r="B586" s="55"/>
      <c r="C586" s="55"/>
      <c r="D586" s="55"/>
      <c r="E586" s="55"/>
      <c r="F586" s="55"/>
      <c r="G586" s="55"/>
      <c r="H586" s="55"/>
      <c r="I586" s="55"/>
      <c r="J586" s="55"/>
      <c r="K586" s="55"/>
      <c r="L586" s="55"/>
      <c r="M586" s="55"/>
      <c r="N586" s="55"/>
      <c r="O586" s="55"/>
      <c r="P586" s="55"/>
      <c r="Q586" s="55"/>
      <c r="R586" s="55"/>
      <c r="S586" s="55"/>
      <c r="T586" s="55"/>
      <c r="U586" s="55"/>
      <c r="V586" s="55"/>
      <c r="W586" s="55"/>
      <c r="X586" s="55"/>
      <c r="Y586" s="55"/>
      <c r="Z586" s="55"/>
      <c r="AA586" s="55"/>
      <c r="AB586" s="55"/>
      <c r="AC586" s="55"/>
      <c r="AD586" s="55"/>
      <c r="AE586" s="55"/>
      <c r="AF586" s="55"/>
      <c r="AG586" s="55"/>
      <c r="AH586" s="55"/>
      <c r="AI586" s="55"/>
      <c r="AJ586" s="55"/>
      <c r="AK586" s="55"/>
      <c r="AL586" s="55"/>
      <c r="AM586" s="95"/>
      <c r="AN586" s="57"/>
      <c r="AO586" s="426"/>
      <c r="AU586" s="476"/>
    </row>
    <row r="587" spans="1:62" s="58" customFormat="1" ht="18" customHeight="1">
      <c r="A587" s="138"/>
      <c r="B587" s="55"/>
      <c r="C587" s="55"/>
      <c r="D587" s="55"/>
      <c r="E587" s="55"/>
      <c r="F587" s="55"/>
      <c r="G587" s="55"/>
      <c r="H587" s="55"/>
      <c r="I587" s="55"/>
      <c r="J587" s="55"/>
      <c r="K587" s="55"/>
      <c r="L587" s="55"/>
      <c r="M587" s="55"/>
      <c r="N587" s="55"/>
      <c r="O587" s="55"/>
      <c r="P587" s="55"/>
      <c r="Q587" s="55"/>
      <c r="R587" s="55"/>
      <c r="S587" s="55"/>
      <c r="T587" s="55"/>
      <c r="U587" s="55"/>
      <c r="V587" s="55"/>
      <c r="W587" s="55"/>
      <c r="X587" s="55"/>
      <c r="Y587" s="55"/>
      <c r="Z587" s="55"/>
      <c r="AA587" s="55"/>
      <c r="AB587" s="55"/>
      <c r="AC587" s="55"/>
      <c r="AD587" s="55"/>
      <c r="AE587" s="55"/>
      <c r="AF587" s="55"/>
      <c r="AG587" s="55"/>
      <c r="AH587" s="55"/>
      <c r="AI587" s="55"/>
      <c r="AJ587" s="55"/>
      <c r="AK587" s="55"/>
      <c r="AL587" s="55"/>
      <c r="AM587" s="95"/>
      <c r="AN587" s="57"/>
      <c r="AO587" s="426"/>
      <c r="AU587" s="476"/>
    </row>
    <row r="588" spans="1:62" s="58" customFormat="1" ht="18" customHeight="1">
      <c r="A588" s="138"/>
      <c r="B588" s="55"/>
      <c r="C588" s="55"/>
      <c r="D588" s="55"/>
      <c r="E588" s="55"/>
      <c r="F588" s="55"/>
      <c r="G588" s="55"/>
      <c r="H588" s="55"/>
      <c r="I588" s="55"/>
      <c r="J588" s="55"/>
      <c r="K588" s="55"/>
      <c r="L588" s="55"/>
      <c r="M588" s="55"/>
      <c r="N588" s="55"/>
      <c r="O588" s="55"/>
      <c r="P588" s="55"/>
      <c r="Q588" s="55"/>
      <c r="R588" s="55"/>
      <c r="S588" s="55"/>
      <c r="T588" s="55"/>
      <c r="U588" s="55"/>
      <c r="V588" s="55"/>
      <c r="W588" s="55"/>
      <c r="X588" s="55"/>
      <c r="Y588" s="55"/>
      <c r="Z588" s="55"/>
      <c r="AA588" s="55"/>
      <c r="AB588" s="55"/>
      <c r="AC588" s="55"/>
      <c r="AD588" s="55"/>
      <c r="AE588" s="55"/>
      <c r="AF588" s="55"/>
      <c r="AG588" s="55"/>
      <c r="AH588" s="55"/>
      <c r="AI588" s="55"/>
      <c r="AJ588" s="55"/>
      <c r="AK588" s="55"/>
      <c r="AL588" s="55"/>
      <c r="AM588" s="95"/>
      <c r="AN588" s="57"/>
      <c r="AU588" s="476"/>
    </row>
    <row r="589" spans="1:62" s="58" customFormat="1" ht="18" customHeight="1">
      <c r="A589" s="138"/>
      <c r="B589" s="55"/>
      <c r="C589" s="55"/>
      <c r="D589" s="55"/>
      <c r="E589" s="55"/>
      <c r="F589" s="55"/>
      <c r="G589" s="55"/>
      <c r="H589" s="55"/>
      <c r="I589" s="55"/>
      <c r="J589" s="55"/>
      <c r="K589" s="55"/>
      <c r="L589" s="55"/>
      <c r="M589" s="55"/>
      <c r="N589" s="55"/>
      <c r="O589" s="55"/>
      <c r="P589" s="55"/>
      <c r="Q589" s="55"/>
      <c r="R589" s="55"/>
      <c r="S589" s="55"/>
      <c r="T589" s="55"/>
      <c r="U589" s="55"/>
      <c r="V589" s="55"/>
      <c r="W589" s="55"/>
      <c r="X589" s="55"/>
      <c r="Y589" s="55"/>
      <c r="Z589" s="55"/>
      <c r="AA589" s="55"/>
      <c r="AB589" s="55"/>
      <c r="AC589" s="55"/>
      <c r="AD589" s="55"/>
      <c r="AE589" s="55"/>
      <c r="AF589" s="55"/>
      <c r="AG589" s="55"/>
      <c r="AH589" s="55"/>
      <c r="AI589" s="55"/>
      <c r="AJ589" s="55"/>
      <c r="AK589" s="55"/>
      <c r="AL589" s="55"/>
      <c r="AM589" s="95"/>
      <c r="AN589" s="57"/>
      <c r="AO589" s="426"/>
      <c r="AU589" s="476"/>
    </row>
    <row r="590" spans="1:62" s="58" customFormat="1" ht="18" customHeight="1">
      <c r="A590" s="138"/>
      <c r="B590" s="55"/>
      <c r="C590" s="55"/>
      <c r="D590" s="55"/>
      <c r="E590" s="55"/>
      <c r="F590" s="55"/>
      <c r="G590" s="55"/>
      <c r="H590" s="55"/>
      <c r="I590" s="55"/>
      <c r="J590" s="55"/>
      <c r="K590" s="55"/>
      <c r="L590" s="55"/>
      <c r="M590" s="55"/>
      <c r="N590" s="55"/>
      <c r="O590" s="55"/>
      <c r="P590" s="55"/>
      <c r="Q590" s="55"/>
      <c r="R590" s="55"/>
      <c r="S590" s="55"/>
      <c r="T590" s="55"/>
      <c r="U590" s="55"/>
      <c r="V590" s="55"/>
      <c r="W590" s="55"/>
      <c r="X590" s="55"/>
      <c r="Y590" s="55"/>
      <c r="Z590" s="55"/>
      <c r="AA590" s="55"/>
      <c r="AB590" s="55"/>
      <c r="AC590" s="55"/>
      <c r="AD590" s="55"/>
      <c r="AE590" s="55"/>
      <c r="AF590" s="55"/>
      <c r="AG590" s="55"/>
      <c r="AH590" s="55"/>
      <c r="AI590" s="55"/>
      <c r="AJ590" s="55"/>
      <c r="AK590" s="55"/>
      <c r="AL590" s="55"/>
      <c r="AM590" s="95"/>
      <c r="AN590" s="57"/>
      <c r="AO590" s="426"/>
      <c r="AU590" s="476"/>
    </row>
    <row r="591" spans="1:62" s="58" customFormat="1" ht="18" customHeight="1">
      <c r="A591" s="138"/>
      <c r="B591" s="55"/>
      <c r="C591" s="55"/>
      <c r="D591" s="55"/>
      <c r="E591" s="55"/>
      <c r="F591" s="55"/>
      <c r="G591" s="55"/>
      <c r="H591" s="55"/>
      <c r="I591" s="55"/>
      <c r="J591" s="55"/>
      <c r="K591" s="55"/>
      <c r="L591" s="55"/>
      <c r="M591" s="55"/>
      <c r="N591" s="55"/>
      <c r="O591" s="55"/>
      <c r="P591" s="55"/>
      <c r="Q591" s="55"/>
      <c r="R591" s="55"/>
      <c r="S591" s="55"/>
      <c r="T591" s="55"/>
      <c r="U591" s="55"/>
      <c r="V591" s="55"/>
      <c r="W591" s="55"/>
      <c r="X591" s="55"/>
      <c r="Y591" s="55"/>
      <c r="Z591" s="55"/>
      <c r="AA591" s="55"/>
      <c r="AB591" s="55"/>
      <c r="AC591" s="55"/>
      <c r="AD591" s="55"/>
      <c r="AE591" s="55"/>
      <c r="AF591" s="55"/>
      <c r="AG591" s="55"/>
      <c r="AH591" s="55"/>
      <c r="AI591" s="55"/>
      <c r="AJ591" s="55"/>
      <c r="AK591" s="55"/>
      <c r="AL591" s="55"/>
      <c r="AM591" s="95"/>
      <c r="AN591" s="57"/>
      <c r="AO591" s="426"/>
      <c r="AU591" s="476"/>
    </row>
    <row r="592" spans="1:62" s="58" customFormat="1" ht="18" customHeight="1">
      <c r="A592" s="138"/>
      <c r="B592" s="55"/>
      <c r="C592" s="55"/>
      <c r="D592" s="55"/>
      <c r="E592" s="55"/>
      <c r="F592" s="55"/>
      <c r="G592" s="55"/>
      <c r="H592" s="55"/>
      <c r="I592" s="55"/>
      <c r="J592" s="55"/>
      <c r="K592" s="55"/>
      <c r="L592" s="55"/>
      <c r="M592" s="55"/>
      <c r="N592" s="55"/>
      <c r="O592" s="55"/>
      <c r="P592" s="55"/>
      <c r="Q592" s="55"/>
      <c r="R592" s="55"/>
      <c r="S592" s="55"/>
      <c r="T592" s="55"/>
      <c r="U592" s="55"/>
      <c r="V592" s="55"/>
      <c r="W592" s="55"/>
      <c r="X592" s="55"/>
      <c r="Y592" s="55"/>
      <c r="Z592" s="55"/>
      <c r="AA592" s="55"/>
      <c r="AB592" s="55"/>
      <c r="AC592" s="55"/>
      <c r="AD592" s="55"/>
      <c r="AE592" s="55"/>
      <c r="AF592" s="55"/>
      <c r="AG592" s="55"/>
      <c r="AH592" s="55"/>
      <c r="AI592" s="55"/>
      <c r="AJ592" s="55"/>
      <c r="AK592" s="55"/>
      <c r="AL592" s="55"/>
      <c r="AM592" s="95"/>
      <c r="AN592" s="57"/>
      <c r="AO592" s="426"/>
      <c r="AU592" s="476"/>
    </row>
    <row r="593" spans="1:62" s="58" customFormat="1" ht="18" customHeight="1">
      <c r="A593" s="138"/>
      <c r="B593" s="55"/>
      <c r="C593" s="55"/>
      <c r="D593" s="55"/>
      <c r="E593" s="55"/>
      <c r="F593" s="55"/>
      <c r="G593" s="55"/>
      <c r="H593" s="55"/>
      <c r="I593" s="55"/>
      <c r="J593" s="55"/>
      <c r="K593" s="55"/>
      <c r="L593" s="55"/>
      <c r="M593" s="55"/>
      <c r="N593" s="55"/>
      <c r="O593" s="55"/>
      <c r="P593" s="55"/>
      <c r="Q593" s="55"/>
      <c r="R593" s="55"/>
      <c r="S593" s="55"/>
      <c r="T593" s="55"/>
      <c r="U593" s="55"/>
      <c r="V593" s="55"/>
      <c r="W593" s="55"/>
      <c r="X593" s="55"/>
      <c r="Y593" s="55"/>
      <c r="Z593" s="55"/>
      <c r="AA593" s="55"/>
      <c r="AB593" s="55"/>
      <c r="AC593" s="55"/>
      <c r="AD593" s="55"/>
      <c r="AE593" s="55"/>
      <c r="AF593" s="55"/>
      <c r="AG593" s="55"/>
      <c r="AH593" s="55"/>
      <c r="AI593" s="55"/>
      <c r="AJ593" s="55"/>
      <c r="AK593" s="55"/>
      <c r="AL593" s="55"/>
      <c r="AM593" s="95"/>
      <c r="AN593" s="57"/>
      <c r="AO593" s="426"/>
      <c r="AU593" s="476"/>
    </row>
    <row r="594" spans="1:62" s="58" customFormat="1" ht="18" customHeight="1">
      <c r="A594" s="138"/>
      <c r="B594" s="55"/>
      <c r="C594" s="55"/>
      <c r="D594" s="55"/>
      <c r="E594" s="55"/>
      <c r="F594" s="55"/>
      <c r="G594" s="55"/>
      <c r="H594" s="55"/>
      <c r="I594" s="55"/>
      <c r="J594" s="55"/>
      <c r="K594" s="55"/>
      <c r="L594" s="55"/>
      <c r="M594" s="55"/>
      <c r="N594" s="55"/>
      <c r="O594" s="55"/>
      <c r="P594" s="55"/>
      <c r="Q594" s="55"/>
      <c r="R594" s="55"/>
      <c r="S594" s="55"/>
      <c r="T594" s="55"/>
      <c r="U594" s="55"/>
      <c r="V594" s="55"/>
      <c r="W594" s="55"/>
      <c r="X594" s="55"/>
      <c r="Y594" s="55"/>
      <c r="Z594" s="55"/>
      <c r="AA594" s="55"/>
      <c r="AB594" s="55"/>
      <c r="AC594" s="55"/>
      <c r="AD594" s="55"/>
      <c r="AE594" s="55"/>
      <c r="AF594" s="55"/>
      <c r="AG594" s="55"/>
      <c r="AH594" s="55"/>
      <c r="AI594" s="55"/>
      <c r="AJ594" s="55"/>
      <c r="AK594" s="55"/>
      <c r="AL594" s="55"/>
      <c r="AM594" s="95"/>
      <c r="AN594" s="57"/>
      <c r="AO594" s="426"/>
      <c r="AU594" s="476"/>
    </row>
    <row r="595" spans="1:62" s="58" customFormat="1" ht="18" customHeight="1">
      <c r="A595" s="138"/>
      <c r="B595" s="55"/>
      <c r="C595" s="55"/>
      <c r="D595" s="55"/>
      <c r="E595" s="55"/>
      <c r="F595" s="55"/>
      <c r="G595" s="55"/>
      <c r="H595" s="55"/>
      <c r="I595" s="55"/>
      <c r="J595" s="55"/>
      <c r="K595" s="55"/>
      <c r="L595" s="55"/>
      <c r="M595" s="55"/>
      <c r="N595" s="55"/>
      <c r="O595" s="55"/>
      <c r="P595" s="55"/>
      <c r="Q595" s="55"/>
      <c r="R595" s="55"/>
      <c r="S595" s="55"/>
      <c r="T595" s="55"/>
      <c r="U595" s="55"/>
      <c r="V595" s="55"/>
      <c r="W595" s="55"/>
      <c r="X595" s="55"/>
      <c r="Y595" s="55"/>
      <c r="Z595" s="55"/>
      <c r="AA595" s="55"/>
      <c r="AB595" s="55"/>
      <c r="AC595" s="55"/>
      <c r="AD595" s="55"/>
      <c r="AE595" s="55"/>
      <c r="AF595" s="55"/>
      <c r="AG595" s="55"/>
      <c r="AH595" s="55"/>
      <c r="AI595" s="55"/>
      <c r="AJ595" s="55"/>
      <c r="AK595" s="55"/>
      <c r="AL595" s="55"/>
      <c r="AM595" s="95"/>
      <c r="AN595" s="57"/>
      <c r="AO595" s="426"/>
      <c r="AU595" s="476"/>
    </row>
    <row r="596" spans="1:62" s="58" customFormat="1" ht="18" customHeight="1">
      <c r="A596" s="138"/>
      <c r="B596" s="55"/>
      <c r="C596" s="55"/>
      <c r="D596" s="55"/>
      <c r="E596" s="55"/>
      <c r="F596" s="55"/>
      <c r="G596" s="55"/>
      <c r="H596" s="55"/>
      <c r="I596" s="55"/>
      <c r="J596" s="55"/>
      <c r="K596" s="55"/>
      <c r="L596" s="55"/>
      <c r="M596" s="55"/>
      <c r="N596" s="55"/>
      <c r="O596" s="55"/>
      <c r="P596" s="55"/>
      <c r="Q596" s="55"/>
      <c r="R596" s="55"/>
      <c r="S596" s="55"/>
      <c r="T596" s="55"/>
      <c r="U596" s="55"/>
      <c r="V596" s="55"/>
      <c r="W596" s="55"/>
      <c r="X596" s="55"/>
      <c r="Y596" s="55"/>
      <c r="Z596" s="55"/>
      <c r="AA596" s="55"/>
      <c r="AB596" s="55"/>
      <c r="AC596" s="55"/>
      <c r="AD596" s="55"/>
      <c r="AE596" s="55"/>
      <c r="AF596" s="55"/>
      <c r="AG596" s="55"/>
      <c r="AH596" s="55"/>
      <c r="AI596" s="55"/>
      <c r="AJ596" s="55"/>
      <c r="AK596" s="55"/>
      <c r="AL596" s="55"/>
      <c r="AM596" s="95"/>
      <c r="AN596" s="57"/>
      <c r="AO596" s="90"/>
      <c r="AP596" s="57"/>
      <c r="AQ596" s="57"/>
      <c r="AR596" s="57"/>
      <c r="AS596" s="57"/>
      <c r="AT596" s="55"/>
      <c r="AU596" s="55"/>
      <c r="AV596" s="55"/>
      <c r="AW596" s="55"/>
      <c r="AX596" s="55"/>
      <c r="AY596" s="55"/>
      <c r="AZ596" s="55"/>
      <c r="BA596" s="55"/>
      <c r="BB596" s="55"/>
      <c r="BC596" s="55"/>
      <c r="BD596" s="55"/>
      <c r="BE596" s="55"/>
      <c r="BF596" s="55"/>
      <c r="BG596" s="55"/>
      <c r="BH596" s="55"/>
      <c r="BI596" s="55"/>
      <c r="BJ596" s="55"/>
    </row>
  </sheetData>
  <sheetProtection algorithmName="SHA-512" hashValue="cX9WTA1DFy2bJ/18CJTELjHJipcg+sgUxqyFUyENv13GVcQ8NzcYpZD3XmpJQ8c3TZeiZCgtWHWbgaSO9haMcA==" saltValue="yFcP8eBovxWIzfkElnlhlw==" spinCount="100000" sheet="1" objects="1" scenarios="1"/>
  <protectedRanges>
    <protectedRange sqref="AK6 J7 AL162 B167 I178 O181 F180:F181 Y180:Y181 B188:AM190 AL191 H207 E208:E209 T208:T209 AF208:AF209 AH207 AK210 AL211:AL213 H221 F221 AL233 AL273 AL282 AL291 AL225 B205" name="Range3"/>
    <protectedRange sqref="AK6:AM6" name="Range1"/>
    <protectedRange sqref="AK6 J8:J9" name="Range4"/>
  </protectedRanges>
  <mergeCells count="1799">
    <mergeCell ref="AP20:AQ20"/>
    <mergeCell ref="AL20:AM20"/>
    <mergeCell ref="AL22:AM22"/>
    <mergeCell ref="B51:U51"/>
    <mergeCell ref="AL159:AM159"/>
    <mergeCell ref="P468:X468"/>
    <mergeCell ref="B81:L81"/>
    <mergeCell ref="X84:AB84"/>
    <mergeCell ref="AL89:AM89"/>
    <mergeCell ref="AF467:AI467"/>
    <mergeCell ref="B351:P351"/>
    <mergeCell ref="T346:V346"/>
    <mergeCell ref="T348:V348"/>
    <mergeCell ref="AF274:AK274"/>
    <mergeCell ref="B175:AM175"/>
    <mergeCell ref="AF329:AK329"/>
    <mergeCell ref="B259:AK259"/>
    <mergeCell ref="AC381:AD381"/>
    <mergeCell ref="AL323:AM323"/>
    <mergeCell ref="AF308:AK308"/>
    <mergeCell ref="E391:G391"/>
    <mergeCell ref="AL231:AM231"/>
    <mergeCell ref="N336:AE336"/>
    <mergeCell ref="AJ195:AM195"/>
    <mergeCell ref="AG373:AM373"/>
    <mergeCell ref="B344:AM344"/>
    <mergeCell ref="L162:AB162"/>
    <mergeCell ref="AF302:AK302"/>
    <mergeCell ref="B217:T217"/>
    <mergeCell ref="H190:M190"/>
    <mergeCell ref="B360:D360"/>
    <mergeCell ref="AF247:AH247"/>
    <mergeCell ref="B5:S5"/>
    <mergeCell ref="T5:AA5"/>
    <mergeCell ref="B7:I7"/>
    <mergeCell ref="B8:I8"/>
    <mergeCell ref="B9:I9"/>
    <mergeCell ref="J7:AH7"/>
    <mergeCell ref="J9:AH9"/>
    <mergeCell ref="J8:AH8"/>
    <mergeCell ref="AL64:AM64"/>
    <mergeCell ref="AC80:AD80"/>
    <mergeCell ref="B96:AK96"/>
    <mergeCell ref="L94:AE94"/>
    <mergeCell ref="B13:AM13"/>
    <mergeCell ref="B15:AM16"/>
    <mergeCell ref="V22:AK22"/>
    <mergeCell ref="AL32:AM32"/>
    <mergeCell ref="B28:I28"/>
    <mergeCell ref="B11:AM11"/>
    <mergeCell ref="B6:AC6"/>
    <mergeCell ref="AL38:AM38"/>
    <mergeCell ref="AD6:AJ6"/>
    <mergeCell ref="AK6:AM6"/>
    <mergeCell ref="D30:S30"/>
    <mergeCell ref="B91:AC91"/>
    <mergeCell ref="D58:S58"/>
    <mergeCell ref="B48:AK48"/>
    <mergeCell ref="B80:L80"/>
    <mergeCell ref="AL75:AM75"/>
    <mergeCell ref="D63:S63"/>
    <mergeCell ref="B37:D37"/>
    <mergeCell ref="AL91:AM91"/>
    <mergeCell ref="AF92:AK92"/>
    <mergeCell ref="AN233:AO233"/>
    <mergeCell ref="AP233:AQ233"/>
    <mergeCell ref="AN191:AO191"/>
    <mergeCell ref="AP191:AQ191"/>
    <mergeCell ref="E231:M231"/>
    <mergeCell ref="B267:L267"/>
    <mergeCell ref="AI242:AM242"/>
    <mergeCell ref="E331:M331"/>
    <mergeCell ref="N185:AE185"/>
    <mergeCell ref="AL336:AM336"/>
    <mergeCell ref="AI357:AM357"/>
    <mergeCell ref="AF265:AK265"/>
    <mergeCell ref="B231:D231"/>
    <mergeCell ref="AL286:AM286"/>
    <mergeCell ref="B314:D314"/>
    <mergeCell ref="B229:AK229"/>
    <mergeCell ref="AL184:AM184"/>
    <mergeCell ref="AH188:AM188"/>
    <mergeCell ref="AL327:AM327"/>
    <mergeCell ref="J262:AM262"/>
    <mergeCell ref="AL321:AM321"/>
    <mergeCell ref="E284:M284"/>
    <mergeCell ref="AF212:AK212"/>
    <mergeCell ref="B213:D213"/>
    <mergeCell ref="F220:G220"/>
    <mergeCell ref="E338:M338"/>
    <mergeCell ref="AF294:AK294"/>
    <mergeCell ref="AF240:AH240"/>
    <mergeCell ref="AL311:AM311"/>
    <mergeCell ref="AF275:AK275"/>
    <mergeCell ref="E302:M302"/>
    <mergeCell ref="I256:O256"/>
    <mergeCell ref="AL93:AM93"/>
    <mergeCell ref="AC162:AE162"/>
    <mergeCell ref="E179:N179"/>
    <mergeCell ref="B261:AK261"/>
    <mergeCell ref="AL338:AM338"/>
    <mergeCell ref="AL211:AM211"/>
    <mergeCell ref="E361:M361"/>
    <mergeCell ref="B214:AK214"/>
    <mergeCell ref="AL291:AM291"/>
    <mergeCell ref="AF286:AK286"/>
    <mergeCell ref="B245:N245"/>
    <mergeCell ref="AG228:AM228"/>
    <mergeCell ref="E328:M328"/>
    <mergeCell ref="N303:AE303"/>
    <mergeCell ref="AB411:AF411"/>
    <mergeCell ref="D380:I380"/>
    <mergeCell ref="M398:N398"/>
    <mergeCell ref="D382:I382"/>
    <mergeCell ref="M400:N400"/>
    <mergeCell ref="S403:T403"/>
    <mergeCell ref="B403:H403"/>
    <mergeCell ref="W219:AM219"/>
    <mergeCell ref="E213:L213"/>
    <mergeCell ref="AF291:AK291"/>
    <mergeCell ref="B256:H256"/>
    <mergeCell ref="O241:AE241"/>
    <mergeCell ref="S404:T404"/>
    <mergeCell ref="AJ203:AM203"/>
    <mergeCell ref="T411:X411"/>
    <mergeCell ref="AF561:AH561"/>
    <mergeCell ref="E286:M286"/>
    <mergeCell ref="B167:AM167"/>
    <mergeCell ref="K548:AK548"/>
    <mergeCell ref="B487:F487"/>
    <mergeCell ref="B513:D513"/>
    <mergeCell ref="AI251:AM251"/>
    <mergeCell ref="K379:L379"/>
    <mergeCell ref="K439:O439"/>
    <mergeCell ref="N373:AA373"/>
    <mergeCell ref="G491:I491"/>
    <mergeCell ref="F435:H435"/>
    <mergeCell ref="B457:G457"/>
    <mergeCell ref="AA492:AM492"/>
    <mergeCell ref="G477:K477"/>
    <mergeCell ref="Z414:AA414"/>
    <mergeCell ref="V481:X481"/>
    <mergeCell ref="D413:H413"/>
    <mergeCell ref="N537:AE537"/>
    <mergeCell ref="AE479:AG479"/>
    <mergeCell ref="AF340:AK340"/>
    <mergeCell ref="B518:N518"/>
    <mergeCell ref="S457:U457"/>
    <mergeCell ref="M481:Q481"/>
    <mergeCell ref="AC468:AE468"/>
    <mergeCell ref="V422:W422"/>
    <mergeCell ref="AL513:AM513"/>
    <mergeCell ref="E323:M323"/>
    <mergeCell ref="AB373:AF373"/>
    <mergeCell ref="B370:AK370"/>
    <mergeCell ref="N301:AE301"/>
    <mergeCell ref="AL306:AM306"/>
    <mergeCell ref="B30:C30"/>
    <mergeCell ref="B54:AM54"/>
    <mergeCell ref="AL157:AM157"/>
    <mergeCell ref="AL34:AM34"/>
    <mergeCell ref="E544:M544"/>
    <mergeCell ref="AB484:AD484"/>
    <mergeCell ref="G492:N492"/>
    <mergeCell ref="B509:D509"/>
    <mergeCell ref="Y482:AA482"/>
    <mergeCell ref="AF369:AM369"/>
    <mergeCell ref="B454:G454"/>
    <mergeCell ref="S448:W448"/>
    <mergeCell ref="T381:U381"/>
    <mergeCell ref="B354:AM354"/>
    <mergeCell ref="AF464:AI464"/>
    <mergeCell ref="N420:T420"/>
    <mergeCell ref="AG374:AM374"/>
    <mergeCell ref="X421:AD421"/>
    <mergeCell ref="B247:N247"/>
    <mergeCell ref="S481:U481"/>
    <mergeCell ref="B535:AK535"/>
    <mergeCell ref="N300:AE300"/>
    <mergeCell ref="N316:AE316"/>
    <mergeCell ref="B163:AK163"/>
    <mergeCell ref="AL163:AM163"/>
    <mergeCell ref="B162:D162"/>
    <mergeCell ref="AF131:AK131"/>
    <mergeCell ref="B250:N250"/>
    <mergeCell ref="AF250:AH250"/>
    <mergeCell ref="W199:Z199"/>
    <mergeCell ref="B121:AK121"/>
    <mergeCell ref="R199:V199"/>
    <mergeCell ref="AL273:AM273"/>
    <mergeCell ref="V480:X480"/>
    <mergeCell ref="E510:M510"/>
    <mergeCell ref="N508:AE508"/>
    <mergeCell ref="B471:N471"/>
    <mergeCell ref="P469:X469"/>
    <mergeCell ref="P391:R391"/>
    <mergeCell ref="N421:T421"/>
    <mergeCell ref="AL304:AM304"/>
    <mergeCell ref="AF293:AK293"/>
    <mergeCell ref="H392:I392"/>
    <mergeCell ref="N311:AE311"/>
    <mergeCell ref="N332:AE332"/>
    <mergeCell ref="K401:L401"/>
    <mergeCell ref="Y480:AA480"/>
    <mergeCell ref="AB481:AD481"/>
    <mergeCell ref="AL294:AM294"/>
    <mergeCell ref="V421:W421"/>
    <mergeCell ref="AF336:AK336"/>
    <mergeCell ref="B469:J469"/>
    <mergeCell ref="D387:AM387"/>
    <mergeCell ref="AJ472:AM472"/>
    <mergeCell ref="AJ466:AM466"/>
    <mergeCell ref="M486:Q486"/>
    <mergeCell ref="AC467:AE467"/>
    <mergeCell ref="G209:S209"/>
    <mergeCell ref="B212:D212"/>
    <mergeCell ref="E212:L212"/>
    <mergeCell ref="M212:AE212"/>
    <mergeCell ref="AF211:AK211"/>
    <mergeCell ref="B285:D285"/>
    <mergeCell ref="Z290:AE290"/>
    <mergeCell ref="E332:M332"/>
    <mergeCell ref="B537:D537"/>
    <mergeCell ref="B324:D324"/>
    <mergeCell ref="V482:X482"/>
    <mergeCell ref="Z425:AA425"/>
    <mergeCell ref="T438:W438"/>
    <mergeCell ref="I435:L435"/>
    <mergeCell ref="B482:F482"/>
    <mergeCell ref="B485:F485"/>
    <mergeCell ref="N275:AE275"/>
    <mergeCell ref="E511:M511"/>
    <mergeCell ref="B310:K310"/>
    <mergeCell ref="V395:X395"/>
    <mergeCell ref="L131:AE131"/>
    <mergeCell ref="AA198:AC198"/>
    <mergeCell ref="B90:W90"/>
    <mergeCell ref="AC210:AJ210"/>
    <mergeCell ref="AL253:AM253"/>
    <mergeCell ref="Z221:AC221"/>
    <mergeCell ref="AD200:AI200"/>
    <mergeCell ref="AI181:AM181"/>
    <mergeCell ref="S482:U482"/>
    <mergeCell ref="Y478:AA478"/>
    <mergeCell ref="M479:Q479"/>
    <mergeCell ref="AL183:AM183"/>
    <mergeCell ref="W201:Z201"/>
    <mergeCell ref="AF320:AK320"/>
    <mergeCell ref="AI241:AM241"/>
    <mergeCell ref="B125:AK125"/>
    <mergeCell ref="AL154:AM154"/>
    <mergeCell ref="S392:U392"/>
    <mergeCell ref="AF162:AK162"/>
    <mergeCell ref="AL162:AM162"/>
    <mergeCell ref="B160:AK160"/>
    <mergeCell ref="B158:AK158"/>
    <mergeCell ref="AL158:AM158"/>
    <mergeCell ref="B157:AK157"/>
    <mergeCell ref="AL146:AM146"/>
    <mergeCell ref="E276:M276"/>
    <mergeCell ref="AJ464:AM464"/>
    <mergeCell ref="B387:C387"/>
    <mergeCell ref="AF328:AK328"/>
    <mergeCell ref="W203:Z203"/>
    <mergeCell ref="AF508:AK508"/>
    <mergeCell ref="N324:AE324"/>
    <mergeCell ref="Y392:Z392"/>
    <mergeCell ref="E392:G392"/>
    <mergeCell ref="Q347:S347"/>
    <mergeCell ref="AF471:AI471"/>
    <mergeCell ref="P467:X467"/>
    <mergeCell ref="V478:X478"/>
    <mergeCell ref="AK400:AM400"/>
    <mergeCell ref="V485:X485"/>
    <mergeCell ref="F2:M2"/>
    <mergeCell ref="Z412:AA412"/>
    <mergeCell ref="B413:C413"/>
    <mergeCell ref="M401:N401"/>
    <mergeCell ref="B151:AK151"/>
    <mergeCell ref="AL145:AM145"/>
    <mergeCell ref="AL362:AM362"/>
    <mergeCell ref="N186:AE186"/>
    <mergeCell ref="B221:E221"/>
    <mergeCell ref="AJ197:AM197"/>
    <mergeCell ref="Y399:Z399"/>
    <mergeCell ref="E293:M293"/>
    <mergeCell ref="AC268:AE268"/>
    <mergeCell ref="AH349:AJ349"/>
    <mergeCell ref="B236:AM236"/>
    <mergeCell ref="AL74:AM74"/>
    <mergeCell ref="V391:X391"/>
    <mergeCell ref="AC81:AD81"/>
    <mergeCell ref="AK396:AM396"/>
    <mergeCell ref="K378:L378"/>
    <mergeCell ref="AD390:AF391"/>
    <mergeCell ref="AD348:AH348"/>
    <mergeCell ref="AK397:AM397"/>
    <mergeCell ref="O400:P400"/>
    <mergeCell ref="B462:AM462"/>
    <mergeCell ref="E501:M501"/>
    <mergeCell ref="AK453:AM453"/>
    <mergeCell ref="M391:O391"/>
    <mergeCell ref="AL511:AM511"/>
    <mergeCell ref="AB483:AD483"/>
    <mergeCell ref="AF501:AK501"/>
    <mergeCell ref="L530:AK530"/>
    <mergeCell ref="AJ566:AM566"/>
    <mergeCell ref="AF282:AK282"/>
    <mergeCell ref="AE484:AG484"/>
    <mergeCell ref="E316:M316"/>
    <mergeCell ref="S393:U393"/>
    <mergeCell ref="B326:K326"/>
    <mergeCell ref="E301:M301"/>
    <mergeCell ref="AF283:AK283"/>
    <mergeCell ref="AD399:AG399"/>
    <mergeCell ref="AJ561:AM561"/>
    <mergeCell ref="Y467:AB467"/>
    <mergeCell ref="K470:N470"/>
    <mergeCell ref="I398:J398"/>
    <mergeCell ref="N330:AE330"/>
    <mergeCell ref="N305:AE305"/>
    <mergeCell ref="AJ555:AM555"/>
    <mergeCell ref="M527:AK527"/>
    <mergeCell ref="AH396:AJ396"/>
    <mergeCell ref="B459:AM459"/>
    <mergeCell ref="P392:R392"/>
    <mergeCell ref="AL293:AM293"/>
    <mergeCell ref="B490:AM490"/>
    <mergeCell ref="J412:K412"/>
    <mergeCell ref="AJ390:AM391"/>
    <mergeCell ref="V380:AA380"/>
    <mergeCell ref="B305:D305"/>
    <mergeCell ref="B43:C43"/>
    <mergeCell ref="AJ84:AM84"/>
    <mergeCell ref="B122:AK122"/>
    <mergeCell ref="AC83:AD83"/>
    <mergeCell ref="B84:L84"/>
    <mergeCell ref="AI245:AM245"/>
    <mergeCell ref="AJ557:AM557"/>
    <mergeCell ref="T382:U382"/>
    <mergeCell ref="AJ564:AM564"/>
    <mergeCell ref="AF564:AH564"/>
    <mergeCell ref="AE483:AG483"/>
    <mergeCell ref="AB482:AD482"/>
    <mergeCell ref="Y492:Z492"/>
    <mergeCell ref="N509:AE509"/>
    <mergeCell ref="AJ553:AM553"/>
    <mergeCell ref="B498:AK498"/>
    <mergeCell ref="B546:AM546"/>
    <mergeCell ref="B556:AE556"/>
    <mergeCell ref="D525:AK525"/>
    <mergeCell ref="B536:AK536"/>
    <mergeCell ref="B561:AE561"/>
    <mergeCell ref="B560:AE560"/>
    <mergeCell ref="B540:AK540"/>
    <mergeCell ref="AL537:AM537"/>
    <mergeCell ref="B507:AK507"/>
    <mergeCell ref="AF472:AI472"/>
    <mergeCell ref="M453:O453"/>
    <mergeCell ref="AF466:AI466"/>
    <mergeCell ref="AL330:AM330"/>
    <mergeCell ref="N227:W227"/>
    <mergeCell ref="L221:M221"/>
    <mergeCell ref="AF227:AK227"/>
    <mergeCell ref="V221:Y221"/>
    <mergeCell ref="B180:E180"/>
    <mergeCell ref="Z220:AC220"/>
    <mergeCell ref="C144:AK144"/>
    <mergeCell ref="AC270:AE270"/>
    <mergeCell ref="AL356:AM356"/>
    <mergeCell ref="B32:AK32"/>
    <mergeCell ref="AL314:AM314"/>
    <mergeCell ref="N276:AE276"/>
    <mergeCell ref="B439:F439"/>
    <mergeCell ref="N278:AE278"/>
    <mergeCell ref="B283:D283"/>
    <mergeCell ref="T208:W208"/>
    <mergeCell ref="Q411:Q414"/>
    <mergeCell ref="AF179:AM179"/>
    <mergeCell ref="AA196:AC196"/>
    <mergeCell ref="B381:C381"/>
    <mergeCell ref="B53:C53"/>
    <mergeCell ref="AL51:AM51"/>
    <mergeCell ref="AL37:AM37"/>
    <mergeCell ref="AF284:AK284"/>
    <mergeCell ref="N323:AE323"/>
    <mergeCell ref="AB374:AF374"/>
    <mergeCell ref="E308:M308"/>
    <mergeCell ref="K382:L382"/>
    <mergeCell ref="C107:AK107"/>
    <mergeCell ref="O401:P401"/>
    <mergeCell ref="AL283:AM283"/>
    <mergeCell ref="B83:L83"/>
    <mergeCell ref="X82:AB82"/>
    <mergeCell ref="AE80:AI80"/>
    <mergeCell ref="Q87:AK87"/>
    <mergeCell ref="D130:AK130"/>
    <mergeCell ref="B58:C58"/>
    <mergeCell ref="E93:K93"/>
    <mergeCell ref="AL100:AM100"/>
    <mergeCell ref="B92:D92"/>
    <mergeCell ref="B194:AM194"/>
    <mergeCell ref="AL277:AM277"/>
    <mergeCell ref="AF306:AK306"/>
    <mergeCell ref="AB349:AG349"/>
    <mergeCell ref="L310:O310"/>
    <mergeCell ref="D101:AK101"/>
    <mergeCell ref="U188:AA188"/>
    <mergeCell ref="AF185:AK185"/>
    <mergeCell ref="AA195:AC195"/>
    <mergeCell ref="AH190:AM190"/>
    <mergeCell ref="AA197:AC197"/>
    <mergeCell ref="P280:AM280"/>
    <mergeCell ref="O248:AE248"/>
    <mergeCell ref="AA199:AC199"/>
    <mergeCell ref="M213:AE213"/>
    <mergeCell ref="Q220:U220"/>
    <mergeCell ref="E208:F208"/>
    <mergeCell ref="AD203:AI203"/>
    <mergeCell ref="O79:AC79"/>
    <mergeCell ref="C100:AK100"/>
    <mergeCell ref="B64:AK64"/>
    <mergeCell ref="AF253:AK253"/>
    <mergeCell ref="AL215:AM215"/>
    <mergeCell ref="AJ491:AM491"/>
    <mergeCell ref="AC472:AE472"/>
    <mergeCell ref="P466:X466"/>
    <mergeCell ref="Q399:R399"/>
    <mergeCell ref="B404:H404"/>
    <mergeCell ref="M477:Q478"/>
    <mergeCell ref="N361:AE361"/>
    <mergeCell ref="B378:C378"/>
    <mergeCell ref="W346:AC346"/>
    <mergeCell ref="AI359:AM359"/>
    <mergeCell ref="B374:M374"/>
    <mergeCell ref="AL337:AM337"/>
    <mergeCell ref="B140:AK140"/>
    <mergeCell ref="B384:C384"/>
    <mergeCell ref="G417:H417"/>
    <mergeCell ref="B226:AA226"/>
    <mergeCell ref="AL185:AM185"/>
    <mergeCell ref="B177:AM177"/>
    <mergeCell ref="AL320:AM320"/>
    <mergeCell ref="AA390:AC391"/>
    <mergeCell ref="O246:AE246"/>
    <mergeCell ref="B388:E388"/>
    <mergeCell ref="X268:AB268"/>
    <mergeCell ref="B386:C386"/>
    <mergeCell ref="B246:N246"/>
    <mergeCell ref="AL156:AM156"/>
    <mergeCell ref="E162:K162"/>
    <mergeCell ref="U180:X180"/>
    <mergeCell ref="B154:AK154"/>
    <mergeCell ref="B156:AK156"/>
    <mergeCell ref="C141:N141"/>
    <mergeCell ref="E307:M307"/>
    <mergeCell ref="B36:AG36"/>
    <mergeCell ref="B61:AM61"/>
    <mergeCell ref="AJ82:AM82"/>
    <mergeCell ref="B302:D302"/>
    <mergeCell ref="D53:S53"/>
    <mergeCell ref="D47:S47"/>
    <mergeCell ref="N190:T190"/>
    <mergeCell ref="AH189:AM189"/>
    <mergeCell ref="P195:Q195"/>
    <mergeCell ref="AL285:AM285"/>
    <mergeCell ref="P197:Q197"/>
    <mergeCell ref="AL77:AM77"/>
    <mergeCell ref="AF37:AK37"/>
    <mergeCell ref="AD197:AI197"/>
    <mergeCell ref="AL48:AM48"/>
    <mergeCell ref="B74:N74"/>
    <mergeCell ref="AD395:AG395"/>
    <mergeCell ref="AL144:AM144"/>
    <mergeCell ref="B330:D330"/>
    <mergeCell ref="AL137:AM137"/>
    <mergeCell ref="AC84:AD84"/>
    <mergeCell ref="D106:AK106"/>
    <mergeCell ref="C127:AK127"/>
    <mergeCell ref="T80:W80"/>
    <mergeCell ref="B296:D296"/>
    <mergeCell ref="N321:AE321"/>
    <mergeCell ref="E94:K94"/>
    <mergeCell ref="B197:N197"/>
    <mergeCell ref="X208:AE208"/>
    <mergeCell ref="AL56:AM56"/>
    <mergeCell ref="U190:AA190"/>
    <mergeCell ref="N283:AE283"/>
    <mergeCell ref="B94:D94"/>
    <mergeCell ref="J222:K222"/>
    <mergeCell ref="R195:V195"/>
    <mergeCell ref="B220:E220"/>
    <mergeCell ref="AK210:AM210"/>
    <mergeCell ref="AF183:AK183"/>
    <mergeCell ref="AA200:AC200"/>
    <mergeCell ref="B195:N195"/>
    <mergeCell ref="Q230:V230"/>
    <mergeCell ref="E131:K131"/>
    <mergeCell ref="AF184:AK184"/>
    <mergeCell ref="AF164:AK164"/>
    <mergeCell ref="AJ200:AM200"/>
    <mergeCell ref="D114:AK114"/>
    <mergeCell ref="H220:K220"/>
    <mergeCell ref="H143:L143"/>
    <mergeCell ref="D108:AK108"/>
    <mergeCell ref="C142:L142"/>
    <mergeCell ref="AB190:AG190"/>
    <mergeCell ref="B119:AK119"/>
    <mergeCell ref="T209:W209"/>
    <mergeCell ref="AF209:AH209"/>
    <mergeCell ref="M210:Q210"/>
    <mergeCell ref="AG220:AI220"/>
    <mergeCell ref="AH207:AM207"/>
    <mergeCell ref="AG221:AI221"/>
    <mergeCell ref="C133:AK133"/>
    <mergeCell ref="AB188:AG188"/>
    <mergeCell ref="U217:AM217"/>
    <mergeCell ref="B208:D208"/>
    <mergeCell ref="M124:N124"/>
    <mergeCell ref="AL33:AM33"/>
    <mergeCell ref="N296:AE296"/>
    <mergeCell ref="D105:AK105"/>
    <mergeCell ref="AL35:AM35"/>
    <mergeCell ref="AL70:AM70"/>
    <mergeCell ref="AJ83:AM83"/>
    <mergeCell ref="B116:D116"/>
    <mergeCell ref="AL296:AM296"/>
    <mergeCell ref="B139:AK139"/>
    <mergeCell ref="AL127:AM127"/>
    <mergeCell ref="D103:AK103"/>
    <mergeCell ref="D134:AK134"/>
    <mergeCell ref="B201:N201"/>
    <mergeCell ref="B69:AK69"/>
    <mergeCell ref="B41:AK41"/>
    <mergeCell ref="M219:T219"/>
    <mergeCell ref="L146:AE146"/>
    <mergeCell ref="R203:V203"/>
    <mergeCell ref="AL295:AM295"/>
    <mergeCell ref="B225:AB225"/>
    <mergeCell ref="X90:AC90"/>
    <mergeCell ref="B45:AK45"/>
    <mergeCell ref="C99:V99"/>
    <mergeCell ref="AE82:AI82"/>
    <mergeCell ref="B153:AK153"/>
    <mergeCell ref="AF243:AH243"/>
    <mergeCell ref="AJ201:AM201"/>
    <mergeCell ref="B193:M193"/>
    <mergeCell ref="L116:AE116"/>
    <mergeCell ref="W195:Z195"/>
    <mergeCell ref="B89:W89"/>
    <mergeCell ref="M81:S81"/>
    <mergeCell ref="AF566:AH566"/>
    <mergeCell ref="J260:AM260"/>
    <mergeCell ref="E291:M291"/>
    <mergeCell ref="B497:Q497"/>
    <mergeCell ref="B334:K334"/>
    <mergeCell ref="B169:Q169"/>
    <mergeCell ref="B349:P349"/>
    <mergeCell ref="E502:M502"/>
    <mergeCell ref="B564:AE564"/>
    <mergeCell ref="B566:AE566"/>
    <mergeCell ref="E313:M313"/>
    <mergeCell ref="M435:O435"/>
    <mergeCell ref="D419:J419"/>
    <mergeCell ref="W197:Z197"/>
    <mergeCell ref="B262:I262"/>
    <mergeCell ref="AF241:AH241"/>
    <mergeCell ref="E306:M306"/>
    <mergeCell ref="AI208:AM209"/>
    <mergeCell ref="B211:D211"/>
    <mergeCell ref="AD195:AI195"/>
    <mergeCell ref="N320:AE320"/>
    <mergeCell ref="N314:AE314"/>
    <mergeCell ref="AD221:AF221"/>
    <mergeCell ref="AL186:AM186"/>
    <mergeCell ref="E320:M320"/>
    <mergeCell ref="B173:O173"/>
    <mergeCell ref="AF338:AK338"/>
    <mergeCell ref="B361:D361"/>
    <mergeCell ref="AL324:AM324"/>
    <mergeCell ref="AL264:AM264"/>
    <mergeCell ref="B495:D495"/>
    <mergeCell ref="E492:F492"/>
    <mergeCell ref="AJ199:AM199"/>
    <mergeCell ref="B228:AF228"/>
    <mergeCell ref="L37:AE37"/>
    <mergeCell ref="X83:AB83"/>
    <mergeCell ref="E183:M183"/>
    <mergeCell ref="AL96:AM96"/>
    <mergeCell ref="B38:AK38"/>
    <mergeCell ref="T82:W82"/>
    <mergeCell ref="AF77:AK77"/>
    <mergeCell ref="B304:D304"/>
    <mergeCell ref="E311:M311"/>
    <mergeCell ref="D112:AK112"/>
    <mergeCell ref="AJ198:AM198"/>
    <mergeCell ref="B290:I290"/>
    <mergeCell ref="T267:W267"/>
    <mergeCell ref="AD199:AI199"/>
    <mergeCell ref="C98:AK98"/>
    <mergeCell ref="AF93:AK93"/>
    <mergeCell ref="AL97:AM97"/>
    <mergeCell ref="B146:D146"/>
    <mergeCell ref="AL116:AM116"/>
    <mergeCell ref="B161:AK161"/>
    <mergeCell ref="E146:K146"/>
    <mergeCell ref="B79:N79"/>
    <mergeCell ref="B63:C63"/>
    <mergeCell ref="N284:AE284"/>
    <mergeCell ref="AL191:AM191"/>
    <mergeCell ref="P310:AM310"/>
    <mergeCell ref="AL213:AM213"/>
    <mergeCell ref="B292:D292"/>
    <mergeCell ref="B202:N202"/>
    <mergeCell ref="AL161:AM161"/>
    <mergeCell ref="V210:Z210"/>
    <mergeCell ref="N264:AE264"/>
    <mergeCell ref="B215:R215"/>
    <mergeCell ref="E253:M253"/>
    <mergeCell ref="AD393:AF393"/>
    <mergeCell ref="B410:AM410"/>
    <mergeCell ref="AL302:AM302"/>
    <mergeCell ref="B473:J473"/>
    <mergeCell ref="H457:J457"/>
    <mergeCell ref="M483:Q483"/>
    <mergeCell ref="B467:N467"/>
    <mergeCell ref="N315:AE315"/>
    <mergeCell ref="B223:AM223"/>
    <mergeCell ref="B210:L210"/>
    <mergeCell ref="AJ202:AM202"/>
    <mergeCell ref="R210:U210"/>
    <mergeCell ref="AL229:AM229"/>
    <mergeCell ref="AI247:AM247"/>
    <mergeCell ref="B244:N244"/>
    <mergeCell ref="O243:AE243"/>
    <mergeCell ref="B282:D282"/>
    <mergeCell ref="AB480:AD480"/>
    <mergeCell ref="AF335:AK335"/>
    <mergeCell ref="T380:U380"/>
    <mergeCell ref="B263:D263"/>
    <mergeCell ref="N277:AE277"/>
    <mergeCell ref="O250:AE250"/>
    <mergeCell ref="E312:M312"/>
    <mergeCell ref="N312:AE312"/>
    <mergeCell ref="AF270:AI270"/>
    <mergeCell ref="B340:D340"/>
    <mergeCell ref="B257:I257"/>
    <mergeCell ref="AC225:AK225"/>
    <mergeCell ref="R178:AM178"/>
    <mergeCell ref="L92:AE92"/>
    <mergeCell ref="E184:M184"/>
    <mergeCell ref="N313:AE313"/>
    <mergeCell ref="AF303:AK303"/>
    <mergeCell ref="V486:X486"/>
    <mergeCell ref="AF420:AG420"/>
    <mergeCell ref="B329:D329"/>
    <mergeCell ref="B331:D331"/>
    <mergeCell ref="AC464:AE464"/>
    <mergeCell ref="P465:X465"/>
    <mergeCell ref="AE482:AG482"/>
    <mergeCell ref="Q351:AA351"/>
    <mergeCell ref="Z257:AD257"/>
    <mergeCell ref="AL275:AM275"/>
    <mergeCell ref="J392:L392"/>
    <mergeCell ref="AF417:AG417"/>
    <mergeCell ref="AF273:AK273"/>
    <mergeCell ref="AL305:AM305"/>
    <mergeCell ref="B461:AM461"/>
    <mergeCell ref="Q350:AA350"/>
    <mergeCell ref="N265:AE265"/>
    <mergeCell ref="G480:K480"/>
    <mergeCell ref="Q397:R397"/>
    <mergeCell ref="S398:T398"/>
    <mergeCell ref="AI346:AM346"/>
    <mergeCell ref="D411:H411"/>
    <mergeCell ref="B486:F486"/>
    <mergeCell ref="AJ468:AM468"/>
    <mergeCell ref="N183:AE183"/>
    <mergeCell ref="B191:AK191"/>
    <mergeCell ref="B559:AE559"/>
    <mergeCell ref="AH419:AM419"/>
    <mergeCell ref="D412:H412"/>
    <mergeCell ref="AJ413:AM413"/>
    <mergeCell ref="N422:T422"/>
    <mergeCell ref="AD417:AE417"/>
    <mergeCell ref="B416:AM416"/>
    <mergeCell ref="T522:AK522"/>
    <mergeCell ref="AL524:AM524"/>
    <mergeCell ref="N502:AE502"/>
    <mergeCell ref="B545:AM545"/>
    <mergeCell ref="AH486:AJ486"/>
    <mergeCell ref="AJ556:AM556"/>
    <mergeCell ref="AF473:AI473"/>
    <mergeCell ref="AC466:AE466"/>
    <mergeCell ref="L422:M422"/>
    <mergeCell ref="AF553:AH553"/>
    <mergeCell ref="V487:X487"/>
    <mergeCell ref="Y470:AB470"/>
    <mergeCell ref="B510:D510"/>
    <mergeCell ref="B480:F480"/>
    <mergeCell ref="AL501:AM501"/>
    <mergeCell ref="AH420:AM420"/>
    <mergeCell ref="B466:J466"/>
    <mergeCell ref="AJ558:AM558"/>
    <mergeCell ref="X422:AD422"/>
    <mergeCell ref="AJ470:AM470"/>
    <mergeCell ref="B474:J474"/>
    <mergeCell ref="AK435:AM435"/>
    <mergeCell ref="B488:R488"/>
    <mergeCell ref="AB486:AD486"/>
    <mergeCell ref="H454:J454"/>
    <mergeCell ref="I539:AK539"/>
    <mergeCell ref="AL502:AM502"/>
    <mergeCell ref="E513:M513"/>
    <mergeCell ref="AF495:AK495"/>
    <mergeCell ref="B552:AK552"/>
    <mergeCell ref="B508:D508"/>
    <mergeCell ref="B520:D520"/>
    <mergeCell ref="E495:M495"/>
    <mergeCell ref="E491:F491"/>
    <mergeCell ref="L414:P414"/>
    <mergeCell ref="AH482:AJ482"/>
    <mergeCell ref="AL516:AM516"/>
    <mergeCell ref="AC465:AE465"/>
    <mergeCell ref="AL509:AM509"/>
    <mergeCell ref="E508:M508"/>
    <mergeCell ref="B494:AM494"/>
    <mergeCell ref="S479:U479"/>
    <mergeCell ref="AE435:AJ435"/>
    <mergeCell ref="Y487:AA487"/>
    <mergeCell ref="AF468:AI468"/>
    <mergeCell ref="P472:X472"/>
    <mergeCell ref="X438:Z438"/>
    <mergeCell ref="B430:H430"/>
    <mergeCell ref="B468:J468"/>
    <mergeCell ref="AL499:AM499"/>
    <mergeCell ref="K419:K422"/>
    <mergeCell ref="B427:AM427"/>
    <mergeCell ref="B465:J465"/>
    <mergeCell ref="K466:N466"/>
    <mergeCell ref="P473:X473"/>
    <mergeCell ref="AJ474:AM474"/>
    <mergeCell ref="Y471:AB471"/>
    <mergeCell ref="D129:AK129"/>
    <mergeCell ref="I404:J404"/>
    <mergeCell ref="B346:P346"/>
    <mergeCell ref="AF281:AM281"/>
    <mergeCell ref="AD392:AF392"/>
    <mergeCell ref="AL322:AM322"/>
    <mergeCell ref="M268:S268"/>
    <mergeCell ref="B411:C411"/>
    <mergeCell ref="B126:AK126"/>
    <mergeCell ref="AL126:AM126"/>
    <mergeCell ref="B203:N203"/>
    <mergeCell ref="H207:I207"/>
    <mergeCell ref="B258:AK258"/>
    <mergeCell ref="AL143:AM143"/>
    <mergeCell ref="O245:AE245"/>
    <mergeCell ref="AI79:AM79"/>
    <mergeCell ref="AD91:AK91"/>
    <mergeCell ref="P256:AM256"/>
    <mergeCell ref="P202:Q202"/>
    <mergeCell ref="B406:AM406"/>
    <mergeCell ref="AH402:AJ402"/>
    <mergeCell ref="B409:AM409"/>
    <mergeCell ref="N360:AE360"/>
    <mergeCell ref="T270:W270"/>
    <mergeCell ref="AA397:AC397"/>
    <mergeCell ref="O404:P404"/>
    <mergeCell ref="M399:N399"/>
    <mergeCell ref="B275:D275"/>
    <mergeCell ref="E292:M292"/>
    <mergeCell ref="B277:D277"/>
    <mergeCell ref="B362:D362"/>
    <mergeCell ref="D379:I379"/>
    <mergeCell ref="AL525:AM525"/>
    <mergeCell ref="Q401:R401"/>
    <mergeCell ref="AK398:AM398"/>
    <mergeCell ref="B289:K289"/>
    <mergeCell ref="AL312:AM312"/>
    <mergeCell ref="B347:P347"/>
    <mergeCell ref="E303:M303"/>
    <mergeCell ref="B376:E376"/>
    <mergeCell ref="B380:C380"/>
    <mergeCell ref="B412:C412"/>
    <mergeCell ref="D385:AM385"/>
    <mergeCell ref="N331:AE331"/>
    <mergeCell ref="N513:AE513"/>
    <mergeCell ref="K473:N473"/>
    <mergeCell ref="K469:N469"/>
    <mergeCell ref="B472:J472"/>
    <mergeCell ref="Y473:AB473"/>
    <mergeCell ref="O518:AK518"/>
    <mergeCell ref="B438:F438"/>
    <mergeCell ref="AH488:AJ488"/>
    <mergeCell ref="N511:AE511"/>
    <mergeCell ref="AF512:AK512"/>
    <mergeCell ref="V484:X484"/>
    <mergeCell ref="Y485:AA485"/>
    <mergeCell ref="M480:Q480"/>
    <mergeCell ref="G484:K484"/>
    <mergeCell ref="W417:X417"/>
    <mergeCell ref="B417:D417"/>
    <mergeCell ref="AB478:AD478"/>
    <mergeCell ref="B519:AK519"/>
    <mergeCell ref="N510:AE510"/>
    <mergeCell ref="N512:AE512"/>
    <mergeCell ref="B504:AK504"/>
    <mergeCell ref="AJ467:AM467"/>
    <mergeCell ref="AB414:AF414"/>
    <mergeCell ref="D18:T18"/>
    <mergeCell ref="B365:AK365"/>
    <mergeCell ref="S399:T399"/>
    <mergeCell ref="AE382:AM382"/>
    <mergeCell ref="B25:AK25"/>
    <mergeCell ref="F342:AM342"/>
    <mergeCell ref="AC269:AE269"/>
    <mergeCell ref="B237:AM237"/>
    <mergeCell ref="B22:C22"/>
    <mergeCell ref="B40:C40"/>
    <mergeCell ref="E37:K37"/>
    <mergeCell ref="B135:D135"/>
    <mergeCell ref="B164:D164"/>
    <mergeCell ref="B182:AM182"/>
    <mergeCell ref="B60:C60"/>
    <mergeCell ref="AJ81:AM81"/>
    <mergeCell ref="W196:Z196"/>
    <mergeCell ref="AL87:AM87"/>
    <mergeCell ref="AF94:AK94"/>
    <mergeCell ref="B339:D339"/>
    <mergeCell ref="AC99:AD99"/>
    <mergeCell ref="AE81:AI81"/>
    <mergeCell ref="L318:O318"/>
    <mergeCell ref="I397:J397"/>
    <mergeCell ref="O181:U181"/>
    <mergeCell ref="AD400:AG400"/>
    <mergeCell ref="AL292:AM292"/>
    <mergeCell ref="N274:AE274"/>
    <mergeCell ref="AL25:AM25"/>
    <mergeCell ref="AL18:AM18"/>
    <mergeCell ref="X71:Z71"/>
    <mergeCell ref="S33:AK33"/>
    <mergeCell ref="B70:AK70"/>
    <mergeCell ref="B35:AK35"/>
    <mergeCell ref="AJ270:AM270"/>
    <mergeCell ref="H188:M188"/>
    <mergeCell ref="J411:K411"/>
    <mergeCell ref="V382:AA382"/>
    <mergeCell ref="E77:K77"/>
    <mergeCell ref="B34:U34"/>
    <mergeCell ref="B77:D77"/>
    <mergeCell ref="B294:D294"/>
    <mergeCell ref="D50:S50"/>
    <mergeCell ref="D60:S60"/>
    <mergeCell ref="P326:AM326"/>
    <mergeCell ref="E227:M227"/>
    <mergeCell ref="B181:E181"/>
    <mergeCell ref="L77:AE77"/>
    <mergeCell ref="X282:AE282"/>
    <mergeCell ref="N291:W291"/>
    <mergeCell ref="X291:AE291"/>
    <mergeCell ref="B372:AM372"/>
    <mergeCell ref="D20:T20"/>
    <mergeCell ref="AB189:AG189"/>
    <mergeCell ref="D22:T22"/>
    <mergeCell ref="B155:AH155"/>
    <mergeCell ref="K398:L398"/>
    <mergeCell ref="O395:T395"/>
    <mergeCell ref="B368:AK368"/>
    <mergeCell ref="B402:H402"/>
    <mergeCell ref="E336:M336"/>
    <mergeCell ref="AL41:AM41"/>
    <mergeCell ref="B238:AM238"/>
    <mergeCell ref="E211:L211"/>
    <mergeCell ref="P289:AM289"/>
    <mergeCell ref="E294:M294"/>
    <mergeCell ref="U444:Z444"/>
    <mergeCell ref="B440:H440"/>
    <mergeCell ref="O417:P417"/>
    <mergeCell ref="AJ412:AM412"/>
    <mergeCell ref="AC380:AD380"/>
    <mergeCell ref="K380:L380"/>
    <mergeCell ref="AE381:AM381"/>
    <mergeCell ref="Q346:S346"/>
    <mergeCell ref="B343:AM343"/>
    <mergeCell ref="I401:J401"/>
    <mergeCell ref="I403:J403"/>
    <mergeCell ref="M397:N397"/>
    <mergeCell ref="B260:I260"/>
    <mergeCell ref="P393:R393"/>
    <mergeCell ref="O74:AK74"/>
    <mergeCell ref="X80:AB80"/>
    <mergeCell ref="B85:AK85"/>
    <mergeCell ref="C143:G143"/>
    <mergeCell ref="R201:V201"/>
    <mergeCell ref="J219:K219"/>
    <mergeCell ref="AF249:AH249"/>
    <mergeCell ref="AE84:AI84"/>
    <mergeCell ref="E92:K92"/>
    <mergeCell ref="M142:P142"/>
    <mergeCell ref="AL149:AM149"/>
    <mergeCell ref="B433:AM433"/>
    <mergeCell ref="E322:M322"/>
    <mergeCell ref="AL274:AM274"/>
    <mergeCell ref="B444:H444"/>
    <mergeCell ref="B286:D286"/>
    <mergeCell ref="M392:O392"/>
    <mergeCell ref="M382:R382"/>
    <mergeCell ref="AA399:AC399"/>
    <mergeCell ref="AK350:AM350"/>
    <mergeCell ref="B445:H445"/>
    <mergeCell ref="B377:AM377"/>
    <mergeCell ref="Y393:Z393"/>
    <mergeCell ref="AF332:AK332"/>
    <mergeCell ref="Q404:R404"/>
    <mergeCell ref="B318:K318"/>
    <mergeCell ref="AF337:AK337"/>
    <mergeCell ref="AF331:AK331"/>
    <mergeCell ref="B352:AM352"/>
    <mergeCell ref="B414:C414"/>
    <mergeCell ref="AD346:AH346"/>
    <mergeCell ref="B332:D332"/>
    <mergeCell ref="B300:D300"/>
    <mergeCell ref="N339:AE339"/>
    <mergeCell ref="B345:AK345"/>
    <mergeCell ref="AL308:AM308"/>
    <mergeCell ref="AC382:AD382"/>
    <mergeCell ref="AG390:AI391"/>
    <mergeCell ref="I430:AM430"/>
    <mergeCell ref="B356:AK356"/>
    <mergeCell ref="B401:H401"/>
    <mergeCell ref="AD396:AG396"/>
    <mergeCell ref="E304:M304"/>
    <mergeCell ref="AA400:AC400"/>
    <mergeCell ref="AF300:AK300"/>
    <mergeCell ref="P471:X471"/>
    <mergeCell ref="M375:P376"/>
    <mergeCell ref="U453:W453"/>
    <mergeCell ref="B369:AE369"/>
    <mergeCell ref="B336:D336"/>
    <mergeCell ref="AL361:AM361"/>
    <mergeCell ref="AL313:AM313"/>
    <mergeCell ref="AL345:AM345"/>
    <mergeCell ref="B456:AM456"/>
    <mergeCell ref="O492:P492"/>
    <mergeCell ref="AJ465:AM465"/>
    <mergeCell ref="P438:R438"/>
    <mergeCell ref="T414:X414"/>
    <mergeCell ref="AL367:AM367"/>
    <mergeCell ref="S485:U485"/>
    <mergeCell ref="V483:X483"/>
    <mergeCell ref="V402:AG402"/>
    <mergeCell ref="B428:AM428"/>
    <mergeCell ref="E314:M314"/>
    <mergeCell ref="Z411:AA411"/>
    <mergeCell ref="F376:L376"/>
    <mergeCell ref="B449:I449"/>
    <mergeCell ref="E362:M362"/>
    <mergeCell ref="M378:R378"/>
    <mergeCell ref="R425:S425"/>
    <mergeCell ref="T439:W439"/>
    <mergeCell ref="AA444:AB444"/>
    <mergeCell ref="I399:J399"/>
    <mergeCell ref="K403:L403"/>
    <mergeCell ref="Q492:R492"/>
    <mergeCell ref="AF491:AI491"/>
    <mergeCell ref="G487:K487"/>
    <mergeCell ref="AT297:AT301"/>
    <mergeCell ref="L280:O280"/>
    <mergeCell ref="Y465:AB465"/>
    <mergeCell ref="AF304:AK304"/>
    <mergeCell ref="Z413:AA413"/>
    <mergeCell ref="U419:U422"/>
    <mergeCell ref="AB350:AG350"/>
    <mergeCell ref="O403:P403"/>
    <mergeCell ref="J414:K414"/>
    <mergeCell ref="B383:AM383"/>
    <mergeCell ref="AA457:AC457"/>
    <mergeCell ref="V378:AA378"/>
    <mergeCell ref="M404:N404"/>
    <mergeCell ref="T417:V417"/>
    <mergeCell ref="I400:J400"/>
    <mergeCell ref="E339:M339"/>
    <mergeCell ref="J393:L393"/>
    <mergeCell ref="E287:M287"/>
    <mergeCell ref="N328:AE328"/>
    <mergeCell ref="AD444:AI444"/>
    <mergeCell ref="B308:D308"/>
    <mergeCell ref="B464:J464"/>
    <mergeCell ref="B295:D295"/>
    <mergeCell ref="M393:O393"/>
    <mergeCell ref="G299:AM299"/>
    <mergeCell ref="B337:D337"/>
    <mergeCell ref="B312:D312"/>
    <mergeCell ref="D381:I381"/>
    <mergeCell ref="B443:AM443"/>
    <mergeCell ref="E417:F417"/>
    <mergeCell ref="AF419:AG419"/>
    <mergeCell ref="AH395:AJ395"/>
    <mergeCell ref="B571:AM571"/>
    <mergeCell ref="AL507:AM507"/>
    <mergeCell ref="AF465:AI465"/>
    <mergeCell ref="AI347:AK347"/>
    <mergeCell ref="AF559:AH559"/>
    <mergeCell ref="AF563:AH563"/>
    <mergeCell ref="AF556:AH556"/>
    <mergeCell ref="V400:X400"/>
    <mergeCell ref="H391:I391"/>
    <mergeCell ref="P448:Q448"/>
    <mergeCell ref="S478:U478"/>
    <mergeCell ref="B342:E342"/>
    <mergeCell ref="Y396:Z396"/>
    <mergeCell ref="J449:K449"/>
    <mergeCell ref="AH479:AJ479"/>
    <mergeCell ref="Y398:Z398"/>
    <mergeCell ref="AF560:AH560"/>
    <mergeCell ref="N374:AA374"/>
    <mergeCell ref="AH481:AJ481"/>
    <mergeCell ref="AF554:AH554"/>
    <mergeCell ref="L425:P425"/>
    <mergeCell ref="P464:X464"/>
    <mergeCell ref="AB425:AF425"/>
    <mergeCell ref="Q396:R396"/>
    <mergeCell ref="P470:X470"/>
    <mergeCell ref="G481:K481"/>
    <mergeCell ref="L457:R457"/>
    <mergeCell ref="AF562:AH562"/>
    <mergeCell ref="AF513:AK513"/>
    <mergeCell ref="AF558:AH558"/>
    <mergeCell ref="Y481:AA481"/>
    <mergeCell ref="AJ562:AM562"/>
    <mergeCell ref="B568:AM568"/>
    <mergeCell ref="B553:AE553"/>
    <mergeCell ref="P474:AI474"/>
    <mergeCell ref="B188:G188"/>
    <mergeCell ref="Q402:R402"/>
    <mergeCell ref="AL549:AM549"/>
    <mergeCell ref="B422:C422"/>
    <mergeCell ref="U218:AM218"/>
    <mergeCell ref="B328:D328"/>
    <mergeCell ref="AE380:AM380"/>
    <mergeCell ref="O402:P402"/>
    <mergeCell ref="Y411:Y414"/>
    <mergeCell ref="K402:L402"/>
    <mergeCell ref="B382:C382"/>
    <mergeCell ref="AL316:AM316"/>
    <mergeCell ref="J290:Y290"/>
    <mergeCell ref="AF330:AK330"/>
    <mergeCell ref="AC378:AD378"/>
    <mergeCell ref="AF324:AK324"/>
    <mergeCell ref="G208:S208"/>
    <mergeCell ref="B268:L268"/>
    <mergeCell ref="M484:Q484"/>
    <mergeCell ref="H221:I221"/>
    <mergeCell ref="B273:D273"/>
    <mergeCell ref="AL365:AM365"/>
    <mergeCell ref="B280:K280"/>
    <mergeCell ref="AL301:AM301"/>
    <mergeCell ref="AF362:AK362"/>
    <mergeCell ref="AL368:AM368"/>
    <mergeCell ref="B240:N240"/>
    <mergeCell ref="B321:D321"/>
    <mergeCell ref="M270:S270"/>
    <mergeCell ref="AD79:AH79"/>
    <mergeCell ref="M82:S82"/>
    <mergeCell ref="B224:AM224"/>
    <mergeCell ref="U357:AH357"/>
    <mergeCell ref="D378:I378"/>
    <mergeCell ref="L421:M421"/>
    <mergeCell ref="E330:M330"/>
    <mergeCell ref="AL141:AM141"/>
    <mergeCell ref="O463:O474"/>
    <mergeCell ref="B159:AK159"/>
    <mergeCell ref="B375:E375"/>
    <mergeCell ref="G478:K478"/>
    <mergeCell ref="B278:D278"/>
    <mergeCell ref="B338:D338"/>
    <mergeCell ref="AI246:AM246"/>
    <mergeCell ref="AJ268:AM268"/>
    <mergeCell ref="B316:D316"/>
    <mergeCell ref="B272:AK272"/>
    <mergeCell ref="AH397:AJ397"/>
    <mergeCell ref="B147:AK147"/>
    <mergeCell ref="N338:AE338"/>
    <mergeCell ref="N340:AE340"/>
    <mergeCell ref="S396:T396"/>
    <mergeCell ref="D414:H414"/>
    <mergeCell ref="L411:P411"/>
    <mergeCell ref="S477:AJ477"/>
    <mergeCell ref="U358:AH358"/>
    <mergeCell ref="P334:AM334"/>
    <mergeCell ref="X435:AA435"/>
    <mergeCell ref="AL347:AM347"/>
    <mergeCell ref="J366:AM366"/>
    <mergeCell ref="AJ393:AM393"/>
    <mergeCell ref="AJ563:AM563"/>
    <mergeCell ref="B534:AK534"/>
    <mergeCell ref="D524:AK524"/>
    <mergeCell ref="N520:AE520"/>
    <mergeCell ref="AJ473:AM473"/>
    <mergeCell ref="AH401:AJ401"/>
    <mergeCell ref="N362:AE362"/>
    <mergeCell ref="M402:N402"/>
    <mergeCell ref="B475:AM475"/>
    <mergeCell ref="R414:S414"/>
    <mergeCell ref="V401:X401"/>
    <mergeCell ref="AH400:AJ400"/>
    <mergeCell ref="AB413:AF413"/>
    <mergeCell ref="B531:AK531"/>
    <mergeCell ref="AF511:AK511"/>
    <mergeCell ref="AF510:AK510"/>
    <mergeCell ref="B483:F483"/>
    <mergeCell ref="AB488:AD488"/>
    <mergeCell ref="Y488:AA488"/>
    <mergeCell ref="S486:U486"/>
    <mergeCell ref="G483:K483"/>
    <mergeCell ref="D384:AM384"/>
    <mergeCell ref="B399:H399"/>
    <mergeCell ref="B460:AM460"/>
    <mergeCell ref="S483:U483"/>
    <mergeCell ref="Y390:Z391"/>
    <mergeCell ref="S401:T401"/>
    <mergeCell ref="AE378:AM378"/>
    <mergeCell ref="V393:X393"/>
    <mergeCell ref="B367:AK367"/>
    <mergeCell ref="B502:D502"/>
    <mergeCell ref="AC473:AE473"/>
    <mergeCell ref="AC453:AE453"/>
    <mergeCell ref="B270:L270"/>
    <mergeCell ref="B10:AM10"/>
    <mergeCell ref="B190:G190"/>
    <mergeCell ref="B301:D301"/>
    <mergeCell ref="AL542:AM542"/>
    <mergeCell ref="B512:D512"/>
    <mergeCell ref="AI240:AM240"/>
    <mergeCell ref="B303:D303"/>
    <mergeCell ref="AL544:AM544"/>
    <mergeCell ref="Y483:AA483"/>
    <mergeCell ref="AF268:AI268"/>
    <mergeCell ref="AF301:AK301"/>
    <mergeCell ref="C104:AK104"/>
    <mergeCell ref="AF295:AK295"/>
    <mergeCell ref="J28:AM28"/>
    <mergeCell ref="Y417:Z417"/>
    <mergeCell ref="B393:D393"/>
    <mergeCell ref="N188:T188"/>
    <mergeCell ref="E321:M321"/>
    <mergeCell ref="Q400:R400"/>
    <mergeCell ref="AF290:AM290"/>
    <mergeCell ref="B50:C50"/>
    <mergeCell ref="K448:O448"/>
    <mergeCell ref="D115:AK115"/>
    <mergeCell ref="AL122:AM122"/>
    <mergeCell ref="L164:AE164"/>
    <mergeCell ref="V399:X399"/>
    <mergeCell ref="AB412:AF412"/>
    <mergeCell ref="AL543:AM543"/>
    <mergeCell ref="AL495:AM495"/>
    <mergeCell ref="AL505:AM505"/>
    <mergeCell ref="B565:AE565"/>
    <mergeCell ref="AF311:AK311"/>
    <mergeCell ref="AJ411:AM411"/>
    <mergeCell ref="B227:D227"/>
    <mergeCell ref="B558:AE558"/>
    <mergeCell ref="B451:AM451"/>
    <mergeCell ref="B549:AK549"/>
    <mergeCell ref="AB487:AD487"/>
    <mergeCell ref="N501:AE501"/>
    <mergeCell ref="B527:L527"/>
    <mergeCell ref="AJ559:AM559"/>
    <mergeCell ref="B555:AE555"/>
    <mergeCell ref="G533:AK533"/>
    <mergeCell ref="B557:AE557"/>
    <mergeCell ref="B530:K530"/>
    <mergeCell ref="AH480:AJ480"/>
    <mergeCell ref="B563:AE563"/>
    <mergeCell ref="B562:AE562"/>
    <mergeCell ref="Q453:T453"/>
    <mergeCell ref="S480:U480"/>
    <mergeCell ref="P463:AM463"/>
    <mergeCell ref="AJ269:AM269"/>
    <mergeCell ref="B398:H398"/>
    <mergeCell ref="AL370:AM370"/>
    <mergeCell ref="S391:U391"/>
    <mergeCell ref="AL287:AM287"/>
    <mergeCell ref="AL263:AM263"/>
    <mergeCell ref="W347:AC347"/>
    <mergeCell ref="N293:AE293"/>
    <mergeCell ref="M269:S269"/>
    <mergeCell ref="AE419:AE422"/>
    <mergeCell ref="L413:P413"/>
    <mergeCell ref="AL512:AM512"/>
    <mergeCell ref="AL520:AM520"/>
    <mergeCell ref="AF509:AK509"/>
    <mergeCell ref="B506:AK506"/>
    <mergeCell ref="B274:D274"/>
    <mergeCell ref="Y479:AA479"/>
    <mergeCell ref="AL331:AM331"/>
    <mergeCell ref="S400:T400"/>
    <mergeCell ref="S488:U488"/>
    <mergeCell ref="S402:T402"/>
    <mergeCell ref="B373:M373"/>
    <mergeCell ref="X420:AD420"/>
    <mergeCell ref="B481:F481"/>
    <mergeCell ref="V381:AA381"/>
    <mergeCell ref="B327:D327"/>
    <mergeCell ref="B385:C385"/>
    <mergeCell ref="B392:D392"/>
    <mergeCell ref="E393:G393"/>
    <mergeCell ref="AL510:AM510"/>
    <mergeCell ref="B503:AK503"/>
    <mergeCell ref="B470:J470"/>
    <mergeCell ref="AB438:AG438"/>
    <mergeCell ref="G479:K479"/>
    <mergeCell ref="AG411:AG414"/>
    <mergeCell ref="AH421:AM421"/>
    <mergeCell ref="AF316:AK316"/>
    <mergeCell ref="AF314:AK314"/>
    <mergeCell ref="N292:AE292"/>
    <mergeCell ref="N286:AE286"/>
    <mergeCell ref="AH483:AJ483"/>
    <mergeCell ref="Y484:AA484"/>
    <mergeCell ref="AB417:AC417"/>
    <mergeCell ref="AF502:AK502"/>
    <mergeCell ref="B484:F484"/>
    <mergeCell ref="B500:AK500"/>
    <mergeCell ref="AJ471:AM471"/>
    <mergeCell ref="AA448:AI448"/>
    <mergeCell ref="K468:N468"/>
    <mergeCell ref="B379:C379"/>
    <mergeCell ref="AA392:AC392"/>
    <mergeCell ref="B170:AM170"/>
    <mergeCell ref="AH351:AJ351"/>
    <mergeCell ref="W200:Z200"/>
    <mergeCell ref="AL265:AM265"/>
    <mergeCell ref="AF246:AH246"/>
    <mergeCell ref="B171:AM171"/>
    <mergeCell ref="E340:M340"/>
    <mergeCell ref="N287:AE287"/>
    <mergeCell ref="V488:X488"/>
    <mergeCell ref="B204:AM204"/>
    <mergeCell ref="B205:AM205"/>
    <mergeCell ref="N273:W273"/>
    <mergeCell ref="X273:AE273"/>
    <mergeCell ref="B435:E435"/>
    <mergeCell ref="AL335:AM335"/>
    <mergeCell ref="E329:M329"/>
    <mergeCell ref="AL303:AM303"/>
    <mergeCell ref="B239:AM239"/>
    <mergeCell ref="I396:J396"/>
    <mergeCell ref="AH398:AJ398"/>
    <mergeCell ref="B400:H400"/>
    <mergeCell ref="B358:T358"/>
    <mergeCell ref="B357:T357"/>
    <mergeCell ref="AF323:AK323"/>
    <mergeCell ref="B20:C20"/>
    <mergeCell ref="B320:D320"/>
    <mergeCell ref="I440:K440"/>
    <mergeCell ref="B271:AK271"/>
    <mergeCell ref="B453:F453"/>
    <mergeCell ref="N231:AE231"/>
    <mergeCell ref="B207:G207"/>
    <mergeCell ref="AL225:AM225"/>
    <mergeCell ref="B233:H233"/>
    <mergeCell ref="AC82:AD82"/>
    <mergeCell ref="AD196:AI196"/>
    <mergeCell ref="AD198:AI198"/>
    <mergeCell ref="O193:Z193"/>
    <mergeCell ref="AL300:AM300"/>
    <mergeCell ref="D113:AK113"/>
    <mergeCell ref="AI250:AM250"/>
    <mergeCell ref="AE83:AI83"/>
    <mergeCell ref="AI243:AM243"/>
    <mergeCell ref="AI249:AM249"/>
    <mergeCell ref="B264:D264"/>
    <mergeCell ref="N263:AE263"/>
    <mergeCell ref="N295:AE295"/>
    <mergeCell ref="AI248:AM248"/>
    <mergeCell ref="AL259:AM259"/>
    <mergeCell ref="B311:D311"/>
    <mergeCell ref="AL55:AM55"/>
    <mergeCell ref="M80:S80"/>
    <mergeCell ref="E116:K116"/>
    <mergeCell ref="AF146:AK146"/>
    <mergeCell ref="AK349:AM349"/>
    <mergeCell ref="E265:M265"/>
    <mergeCell ref="T425:X425"/>
    <mergeCell ref="AF269:AI269"/>
    <mergeCell ref="B97:AK97"/>
    <mergeCell ref="L93:AE93"/>
    <mergeCell ref="AL152:AM152"/>
    <mergeCell ref="B152:AK152"/>
    <mergeCell ref="L220:P220"/>
    <mergeCell ref="AJ220:AM220"/>
    <mergeCell ref="AF245:AH245"/>
    <mergeCell ref="AA396:AC396"/>
    <mergeCell ref="AF296:AK296"/>
    <mergeCell ref="M396:N396"/>
    <mergeCell ref="E327:M327"/>
    <mergeCell ref="E263:M263"/>
    <mergeCell ref="AF264:AK264"/>
    <mergeCell ref="AJ196:AM196"/>
    <mergeCell ref="D421:J421"/>
    <mergeCell ref="H393:I393"/>
    <mergeCell ref="F388:AM388"/>
    <mergeCell ref="B124:L124"/>
    <mergeCell ref="AF287:AK287"/>
    <mergeCell ref="B248:N248"/>
    <mergeCell ref="AA210:AB210"/>
    <mergeCell ref="B366:I366"/>
    <mergeCell ref="X270:AB270"/>
    <mergeCell ref="B408:AM408"/>
    <mergeCell ref="J413:K413"/>
    <mergeCell ref="AL261:AM261"/>
    <mergeCell ref="Y401:Z401"/>
    <mergeCell ref="V396:X396"/>
    <mergeCell ref="M267:S267"/>
    <mergeCell ref="E335:M335"/>
    <mergeCell ref="AL360:AM360"/>
    <mergeCell ref="T58:AM58"/>
    <mergeCell ref="B93:D93"/>
    <mergeCell ref="N282:W282"/>
    <mergeCell ref="AF307:AK307"/>
    <mergeCell ref="B3:AM3"/>
    <mergeCell ref="AL535:AM535"/>
    <mergeCell ref="B432:AM432"/>
    <mergeCell ref="AF135:AK135"/>
    <mergeCell ref="K438:O438"/>
    <mergeCell ref="E283:M283"/>
    <mergeCell ref="E277:M277"/>
    <mergeCell ref="B71:W71"/>
    <mergeCell ref="E285:M285"/>
    <mergeCell ref="B522:S522"/>
    <mergeCell ref="M84:S84"/>
    <mergeCell ref="B515:AM515"/>
    <mergeCell ref="AH487:AJ487"/>
    <mergeCell ref="U435:W435"/>
    <mergeCell ref="E278:M278"/>
    <mergeCell ref="B68:AK68"/>
    <mergeCell ref="B76:AK76"/>
    <mergeCell ref="B131:D131"/>
    <mergeCell ref="B307:D307"/>
    <mergeCell ref="AF315:AK315"/>
    <mergeCell ref="AF422:AG422"/>
    <mergeCell ref="AE257:AM257"/>
    <mergeCell ref="G485:K485"/>
    <mergeCell ref="B511:D511"/>
    <mergeCell ref="AG392:AI392"/>
    <mergeCell ref="E512:M512"/>
    <mergeCell ref="B505:AK505"/>
    <mergeCell ref="B499:AK499"/>
    <mergeCell ref="Y469:AM469"/>
    <mergeCell ref="W198:Z198"/>
    <mergeCell ref="K181:N181"/>
    <mergeCell ref="B528:AK528"/>
    <mergeCell ref="B554:AE554"/>
    <mergeCell ref="AF537:AK537"/>
    <mergeCell ref="AL508:AM508"/>
    <mergeCell ref="AK351:AM351"/>
    <mergeCell ref="B397:H397"/>
    <mergeCell ref="N419:T419"/>
    <mergeCell ref="D420:J420"/>
    <mergeCell ref="E305:M305"/>
    <mergeCell ref="AH413:AI413"/>
    <mergeCell ref="AL135:AM135"/>
    <mergeCell ref="AE481:AG481"/>
    <mergeCell ref="E296:M296"/>
    <mergeCell ref="AF278:AK278"/>
    <mergeCell ref="AL164:AM164"/>
    <mergeCell ref="H448:I448"/>
    <mergeCell ref="Z281:AE281"/>
    <mergeCell ref="R200:V200"/>
    <mergeCell ref="AB226:AM226"/>
    <mergeCell ref="AA401:AC401"/>
    <mergeCell ref="N327:AE327"/>
    <mergeCell ref="AJ267:AM267"/>
    <mergeCell ref="J391:L391"/>
    <mergeCell ref="R202:V202"/>
    <mergeCell ref="J491:AE491"/>
    <mergeCell ref="Y453:AB453"/>
    <mergeCell ref="L334:O334"/>
    <mergeCell ref="V220:Y220"/>
    <mergeCell ref="M207:AG207"/>
    <mergeCell ref="AJ560:AM560"/>
    <mergeCell ref="AF276:AK276"/>
    <mergeCell ref="AJ554:AM554"/>
    <mergeCell ref="B543:AK543"/>
    <mergeCell ref="AL531:AM531"/>
    <mergeCell ref="B542:AK542"/>
    <mergeCell ref="L420:M420"/>
    <mergeCell ref="AF319:AK319"/>
    <mergeCell ref="E295:M295"/>
    <mergeCell ref="AF277:AK277"/>
    <mergeCell ref="N544:AE544"/>
    <mergeCell ref="M485:Q485"/>
    <mergeCell ref="AF520:AK520"/>
    <mergeCell ref="Y466:AB466"/>
    <mergeCell ref="AE487:AG487"/>
    <mergeCell ref="S487:U487"/>
    <mergeCell ref="K464:N464"/>
    <mergeCell ref="Y468:AB468"/>
    <mergeCell ref="B501:D501"/>
    <mergeCell ref="G486:K486"/>
    <mergeCell ref="B434:G434"/>
    <mergeCell ref="U492:X492"/>
    <mergeCell ref="AG453:AJ453"/>
    <mergeCell ref="M403:N403"/>
    <mergeCell ref="AH485:AJ485"/>
    <mergeCell ref="G482:K482"/>
    <mergeCell ref="B424:AM424"/>
    <mergeCell ref="S484:U484"/>
    <mergeCell ref="S492:T492"/>
    <mergeCell ref="D425:H425"/>
    <mergeCell ref="AF322:AK322"/>
    <mergeCell ref="B421:C421"/>
    <mergeCell ref="AF555:AH555"/>
    <mergeCell ref="B548:J548"/>
    <mergeCell ref="K381:L381"/>
    <mergeCell ref="X439:Z439"/>
    <mergeCell ref="B478:F478"/>
    <mergeCell ref="N294:AE294"/>
    <mergeCell ref="B56:AK56"/>
    <mergeCell ref="AL45:AM45"/>
    <mergeCell ref="L281:Y281"/>
    <mergeCell ref="AF116:AK116"/>
    <mergeCell ref="AD401:AG401"/>
    <mergeCell ref="AJ444:AK444"/>
    <mergeCell ref="N307:AE307"/>
    <mergeCell ref="B355:AM355"/>
    <mergeCell ref="B198:N198"/>
    <mergeCell ref="Y464:AB464"/>
    <mergeCell ref="B350:P350"/>
    <mergeCell ref="AJ80:AM80"/>
    <mergeCell ref="C132:AK132"/>
    <mergeCell ref="D145:AK145"/>
    <mergeCell ref="E135:K135"/>
    <mergeCell ref="D109:AK109"/>
    <mergeCell ref="AL142:AM142"/>
    <mergeCell ref="W230:AD230"/>
    <mergeCell ref="N253:AE253"/>
    <mergeCell ref="E209:F209"/>
    <mergeCell ref="M83:S83"/>
    <mergeCell ref="B218:T218"/>
    <mergeCell ref="B353:AM353"/>
    <mergeCell ref="Y397:Z397"/>
    <mergeCell ref="W348:AC348"/>
    <mergeCell ref="L289:O289"/>
    <mergeCell ref="AJ565:AM565"/>
    <mergeCell ref="K472:N472"/>
    <mergeCell ref="Y181:AB181"/>
    <mergeCell ref="AE485:AG485"/>
    <mergeCell ref="B299:F299"/>
    <mergeCell ref="Q221:U221"/>
    <mergeCell ref="E315:M315"/>
    <mergeCell ref="L412:P412"/>
    <mergeCell ref="AE379:AM379"/>
    <mergeCell ref="K474:N474"/>
    <mergeCell ref="AF312:AK312"/>
    <mergeCell ref="J221:K221"/>
    <mergeCell ref="AD398:AG398"/>
    <mergeCell ref="X419:AD419"/>
    <mergeCell ref="B539:H539"/>
    <mergeCell ref="B234:AM234"/>
    <mergeCell ref="O251:AE251"/>
    <mergeCell ref="B541:AK541"/>
    <mergeCell ref="B442:AM442"/>
    <mergeCell ref="E300:M300"/>
    <mergeCell ref="X448:Y448"/>
    <mergeCell ref="B276:D276"/>
    <mergeCell ref="V392:X392"/>
    <mergeCell ref="AD202:AI202"/>
    <mergeCell ref="B185:D185"/>
    <mergeCell ref="AL329:AM329"/>
    <mergeCell ref="AH414:AI414"/>
    <mergeCell ref="I395:N395"/>
    <mergeCell ref="AK399:AM399"/>
    <mergeCell ref="AJ414:AM414"/>
    <mergeCell ref="K404:L404"/>
    <mergeCell ref="AF292:AK292"/>
    <mergeCell ref="T83:W83"/>
    <mergeCell ref="B174:AM174"/>
    <mergeCell ref="V419:W419"/>
    <mergeCell ref="O244:AE244"/>
    <mergeCell ref="AF208:AH208"/>
    <mergeCell ref="E273:M273"/>
    <mergeCell ref="N184:AE184"/>
    <mergeCell ref="B293:D293"/>
    <mergeCell ref="B322:D322"/>
    <mergeCell ref="AL307:AM307"/>
    <mergeCell ref="B196:N196"/>
    <mergeCell ref="B319:D319"/>
    <mergeCell ref="AL131:AM131"/>
    <mergeCell ref="AL85:AM85"/>
    <mergeCell ref="D128:AK128"/>
    <mergeCell ref="AL132:AM132"/>
    <mergeCell ref="B313:D313"/>
    <mergeCell ref="E324:M324"/>
    <mergeCell ref="P198:Q198"/>
    <mergeCell ref="AF327:AK327"/>
    <mergeCell ref="F221:G221"/>
    <mergeCell ref="M211:AE211"/>
    <mergeCell ref="N304:AE304"/>
    <mergeCell ref="B284:D284"/>
    <mergeCell ref="AL227:AM227"/>
    <mergeCell ref="X179:AD179"/>
    <mergeCell ref="AF242:AH242"/>
    <mergeCell ref="AF267:AI267"/>
    <mergeCell ref="AI358:AM358"/>
    <mergeCell ref="AA201:AC201"/>
    <mergeCell ref="AH399:AJ399"/>
    <mergeCell ref="T379:U379"/>
    <mergeCell ref="B4:AM4"/>
    <mergeCell ref="O396:P396"/>
    <mergeCell ref="AL278:AM278"/>
    <mergeCell ref="AJ392:AM392"/>
    <mergeCell ref="B251:N251"/>
    <mergeCell ref="AF251:AH251"/>
    <mergeCell ref="X209:AE209"/>
    <mergeCell ref="AL271:AM271"/>
    <mergeCell ref="O398:P398"/>
    <mergeCell ref="U359:AH359"/>
    <mergeCell ref="Q349:AA349"/>
    <mergeCell ref="AL233:AM233"/>
    <mergeCell ref="W202:Z202"/>
    <mergeCell ref="F375:L375"/>
    <mergeCell ref="AF248:AH248"/>
    <mergeCell ref="AI244:AM244"/>
    <mergeCell ref="AB351:AG351"/>
    <mergeCell ref="W99:Z99"/>
    <mergeCell ref="O242:AE242"/>
    <mergeCell ref="B315:D315"/>
    <mergeCell ref="N322:AE322"/>
    <mergeCell ref="D386:AM386"/>
    <mergeCell ref="AH350:AJ350"/>
    <mergeCell ref="E319:M319"/>
    <mergeCell ref="B266:G266"/>
    <mergeCell ref="Y227:AE227"/>
    <mergeCell ref="Q348:S348"/>
    <mergeCell ref="H189:M189"/>
    <mergeCell ref="P201:Q201"/>
    <mergeCell ref="B291:D291"/>
    <mergeCell ref="P318:AM318"/>
    <mergeCell ref="AF213:AK213"/>
    <mergeCell ref="D40:S40"/>
    <mergeCell ref="V18:AK18"/>
    <mergeCell ref="D102:AK102"/>
    <mergeCell ref="B33:R33"/>
    <mergeCell ref="O179:W179"/>
    <mergeCell ref="D43:S43"/>
    <mergeCell ref="B479:F479"/>
    <mergeCell ref="G453:I453"/>
    <mergeCell ref="B436:H436"/>
    <mergeCell ref="B179:D179"/>
    <mergeCell ref="P199:Q199"/>
    <mergeCell ref="B148:AK148"/>
    <mergeCell ref="AE230:AM230"/>
    <mergeCell ref="B419:C419"/>
    <mergeCell ref="B306:D306"/>
    <mergeCell ref="S397:T397"/>
    <mergeCell ref="P196:Q196"/>
    <mergeCell ref="AC379:AD379"/>
    <mergeCell ref="B192:AM192"/>
    <mergeCell ref="T269:W269"/>
    <mergeCell ref="J257:Y257"/>
    <mergeCell ref="AD347:AH347"/>
    <mergeCell ref="AL276:AM276"/>
    <mergeCell ref="K417:N417"/>
    <mergeCell ref="B476:AM476"/>
    <mergeCell ref="O124:AK124"/>
    <mergeCell ref="M379:R379"/>
    <mergeCell ref="AD201:AI201"/>
    <mergeCell ref="B209:D209"/>
    <mergeCell ref="AA202:AC202"/>
    <mergeCell ref="B230:P230"/>
    <mergeCell ref="F180:T180"/>
    <mergeCell ref="B569:AM569"/>
    <mergeCell ref="AK402:AM402"/>
    <mergeCell ref="N221:P221"/>
    <mergeCell ref="V479:X479"/>
    <mergeCell ref="AK401:AM401"/>
    <mergeCell ref="B75:AK75"/>
    <mergeCell ref="T268:W268"/>
    <mergeCell ref="AC470:AE470"/>
    <mergeCell ref="B491:D491"/>
    <mergeCell ref="AF360:AK360"/>
    <mergeCell ref="AH422:AM422"/>
    <mergeCell ref="B186:D186"/>
    <mergeCell ref="X267:AB267"/>
    <mergeCell ref="I411:I414"/>
    <mergeCell ref="I445:J445"/>
    <mergeCell ref="X269:AB269"/>
    <mergeCell ref="U187:AM187"/>
    <mergeCell ref="L326:O326"/>
    <mergeCell ref="B189:G189"/>
    <mergeCell ref="AH412:AI412"/>
    <mergeCell ref="E264:M264"/>
    <mergeCell ref="E520:M520"/>
    <mergeCell ref="O240:AE240"/>
    <mergeCell ref="O397:P397"/>
    <mergeCell ref="B82:L82"/>
    <mergeCell ref="AF321:AK321"/>
    <mergeCell ref="AC267:AE267"/>
    <mergeCell ref="T81:W81"/>
    <mergeCell ref="E164:K164"/>
    <mergeCell ref="X89:AK89"/>
    <mergeCell ref="X81:AB81"/>
    <mergeCell ref="B216:T216"/>
    <mergeCell ref="B2:E2"/>
    <mergeCell ref="AD220:AF220"/>
    <mergeCell ref="AA395:AC395"/>
    <mergeCell ref="I178:Q178"/>
    <mergeCell ref="AK477:AM488"/>
    <mergeCell ref="AD397:AG397"/>
    <mergeCell ref="Q398:R398"/>
    <mergeCell ref="B178:H178"/>
    <mergeCell ref="AB193:AM193"/>
    <mergeCell ref="AL76:AM76"/>
    <mergeCell ref="B47:C47"/>
    <mergeCell ref="B55:AK55"/>
    <mergeCell ref="B17:AM17"/>
    <mergeCell ref="V20:AK20"/>
    <mergeCell ref="C110:AK110"/>
    <mergeCell ref="AF263:AK263"/>
    <mergeCell ref="Y395:Z395"/>
    <mergeCell ref="M482:Q482"/>
    <mergeCell ref="E274:M274"/>
    <mergeCell ref="AL148:AM148"/>
    <mergeCell ref="T347:V347"/>
    <mergeCell ref="V379:AA379"/>
    <mergeCell ref="AF244:AH244"/>
    <mergeCell ref="B364:AM364"/>
    <mergeCell ref="O247:AE247"/>
    <mergeCell ref="C137:AK137"/>
    <mergeCell ref="L444:Q444"/>
    <mergeCell ref="P200:Q200"/>
    <mergeCell ref="B18:C18"/>
    <mergeCell ref="J425:K425"/>
    <mergeCell ref="N337:AE337"/>
    <mergeCell ref="B87:P87"/>
    <mergeCell ref="B44:S44"/>
    <mergeCell ref="Y180:AM180"/>
    <mergeCell ref="E360:M360"/>
    <mergeCell ref="AF361:AK361"/>
    <mergeCell ref="P452:Y452"/>
    <mergeCell ref="Y472:AB472"/>
    <mergeCell ref="AF565:AH565"/>
    <mergeCell ref="B523:AK523"/>
    <mergeCell ref="B348:P348"/>
    <mergeCell ref="AL212:AM212"/>
    <mergeCell ref="P435:T435"/>
    <mergeCell ref="AL519:AM519"/>
    <mergeCell ref="B200:N200"/>
    <mergeCell ref="AL214:AM214"/>
    <mergeCell ref="AA393:AC393"/>
    <mergeCell ref="Q403:R403"/>
    <mergeCell ref="B551:AM551"/>
    <mergeCell ref="N319:AE319"/>
    <mergeCell ref="AF557:AH557"/>
    <mergeCell ref="AE486:AG486"/>
    <mergeCell ref="N306:AE306"/>
    <mergeCell ref="AE478:AG478"/>
    <mergeCell ref="AF313:AK313"/>
    <mergeCell ref="B254:AM254"/>
    <mergeCell ref="V181:X181"/>
    <mergeCell ref="N302:AE302"/>
    <mergeCell ref="B187:T187"/>
    <mergeCell ref="AF285:AK285"/>
    <mergeCell ref="E186:M186"/>
    <mergeCell ref="E275:M275"/>
    <mergeCell ref="B390:X390"/>
    <mergeCell ref="N335:AE335"/>
    <mergeCell ref="B533:F533"/>
    <mergeCell ref="AL282:AM282"/>
    <mergeCell ref="K400:L400"/>
    <mergeCell ref="M380:R380"/>
    <mergeCell ref="Q417:R417"/>
    <mergeCell ref="B235:AK235"/>
    <mergeCell ref="AF305:AK305"/>
    <mergeCell ref="W457:Z457"/>
    <mergeCell ref="B222:I222"/>
    <mergeCell ref="D422:J422"/>
    <mergeCell ref="K397:L397"/>
    <mergeCell ref="B420:C420"/>
    <mergeCell ref="B447:AM447"/>
    <mergeCell ref="B287:D287"/>
    <mergeCell ref="B298:M298"/>
    <mergeCell ref="M381:R381"/>
    <mergeCell ref="V398:X398"/>
    <mergeCell ref="B253:D253"/>
    <mergeCell ref="O249:AE249"/>
    <mergeCell ref="B359:T359"/>
    <mergeCell ref="AA398:AC398"/>
    <mergeCell ref="N495:AE495"/>
    <mergeCell ref="I444:J444"/>
    <mergeCell ref="AE488:AG488"/>
    <mergeCell ref="AF421:AG421"/>
    <mergeCell ref="P439:R439"/>
    <mergeCell ref="L419:M419"/>
    <mergeCell ref="Y486:AA486"/>
    <mergeCell ref="Y400:Z400"/>
    <mergeCell ref="N285:AE285"/>
    <mergeCell ref="AL272:AM272"/>
    <mergeCell ref="AL315:AM315"/>
    <mergeCell ref="AF544:AK544"/>
    <mergeCell ref="B493:AM493"/>
    <mergeCell ref="B281:K281"/>
    <mergeCell ref="B463:N463"/>
    <mergeCell ref="K453:L453"/>
    <mergeCell ref="T413:X413"/>
    <mergeCell ref="B425:C425"/>
    <mergeCell ref="B242:N242"/>
    <mergeCell ref="AL258:AM258"/>
    <mergeCell ref="AH478:AJ478"/>
    <mergeCell ref="AB479:AD479"/>
    <mergeCell ref="I436:K436"/>
    <mergeCell ref="AL339:AM339"/>
    <mergeCell ref="AL528:AM528"/>
    <mergeCell ref="B516:AK516"/>
    <mergeCell ref="AB435:AD435"/>
    <mergeCell ref="K399:L399"/>
    <mergeCell ref="T412:X412"/>
    <mergeCell ref="O399:P399"/>
    <mergeCell ref="AH438:AJ438"/>
    <mergeCell ref="E537:M537"/>
    <mergeCell ref="B544:D544"/>
    <mergeCell ref="E509:M509"/>
    <mergeCell ref="R413:S413"/>
    <mergeCell ref="R411:S411"/>
    <mergeCell ref="B269:L269"/>
    <mergeCell ref="AL284:AM284"/>
    <mergeCell ref="G439:I439"/>
    <mergeCell ref="B323:D323"/>
    <mergeCell ref="B243:N243"/>
    <mergeCell ref="B265:D265"/>
    <mergeCell ref="AF339:AK339"/>
    <mergeCell ref="B492:D492"/>
    <mergeCell ref="R198:V198"/>
    <mergeCell ref="B199:N199"/>
    <mergeCell ref="U216:AM216"/>
    <mergeCell ref="AH411:AI411"/>
    <mergeCell ref="Q375:AM376"/>
    <mergeCell ref="N329:AE329"/>
    <mergeCell ref="AL92:AM92"/>
    <mergeCell ref="O141:X141"/>
    <mergeCell ref="AL94:AM94"/>
    <mergeCell ref="F181:J181"/>
    <mergeCell ref="V397:X397"/>
    <mergeCell ref="AH484:AJ484"/>
    <mergeCell ref="AL98:AM98"/>
    <mergeCell ref="C111:AK111"/>
    <mergeCell ref="R444:S444"/>
    <mergeCell ref="AJ448:AK448"/>
    <mergeCell ref="AF470:AI470"/>
    <mergeCell ref="AC471:AE471"/>
    <mergeCell ref="K465:N465"/>
    <mergeCell ref="T378:U378"/>
    <mergeCell ref="K396:L396"/>
    <mergeCell ref="B395:H396"/>
    <mergeCell ref="I402:J402"/>
    <mergeCell ref="B249:N249"/>
    <mergeCell ref="B241:N241"/>
    <mergeCell ref="AA203:AC203"/>
    <mergeCell ref="AC181:AH181"/>
    <mergeCell ref="AF231:AK231"/>
    <mergeCell ref="U219:V219"/>
    <mergeCell ref="U233:AK233"/>
    <mergeCell ref="I233:L233"/>
    <mergeCell ref="M487:Q487"/>
    <mergeCell ref="R196:V196"/>
    <mergeCell ref="B183:D183"/>
    <mergeCell ref="B335:D335"/>
    <mergeCell ref="B431:AM431"/>
    <mergeCell ref="AB485:AD485"/>
    <mergeCell ref="AL319:AM319"/>
    <mergeCell ref="R412:S412"/>
    <mergeCell ref="B407:AM407"/>
    <mergeCell ref="AL332:AM332"/>
    <mergeCell ref="AG393:AI393"/>
    <mergeCell ref="AK395:AM395"/>
    <mergeCell ref="AL340:AM340"/>
    <mergeCell ref="G438:I438"/>
    <mergeCell ref="T84:W84"/>
    <mergeCell ref="V420:W420"/>
    <mergeCell ref="AL328:AM328"/>
    <mergeCell ref="B448:G448"/>
    <mergeCell ref="N308:AE308"/>
    <mergeCell ref="AE480:AG480"/>
    <mergeCell ref="E337:M337"/>
    <mergeCell ref="P203:Q203"/>
    <mergeCell ref="R197:V197"/>
    <mergeCell ref="B219:I219"/>
    <mergeCell ref="L135:AE135"/>
    <mergeCell ref="AF186:AK186"/>
    <mergeCell ref="B184:D184"/>
    <mergeCell ref="E185:M185"/>
    <mergeCell ref="B166:AM166"/>
    <mergeCell ref="U189:AA189"/>
    <mergeCell ref="N189:T189"/>
    <mergeCell ref="E282:M282"/>
  </mergeCells>
  <phoneticPr fontId="154" type="noConversion"/>
  <conditionalFormatting sqref="K523 K528 K531 K549 AL274:AL278 AL283:AL287 AL292:AL296 AL335:AL336 AL341">
    <cfRule type="cellIs" dxfId="1815" priority="573" operator="equal">
      <formula>"No"</formula>
    </cfRule>
  </conditionalFormatting>
  <conditionalFormatting sqref="AL371">
    <cfRule type="cellIs" dxfId="1814" priority="497" operator="equal">
      <formula>"No"</formula>
    </cfRule>
  </conditionalFormatting>
  <conditionalFormatting sqref="AL531 AL549">
    <cfRule type="cellIs" dxfId="1813" priority="571" operator="equal">
      <formula>"No"</formula>
    </cfRule>
  </conditionalFormatting>
  <conditionalFormatting sqref="AL157">
    <cfRule type="cellIs" dxfId="1812" priority="538" operator="equal">
      <formula>"No"</formula>
    </cfRule>
    <cfRule type="cellIs" dxfId="1811" priority="546" operator="equal">
      <formula>"No"</formula>
    </cfRule>
  </conditionalFormatting>
  <conditionalFormatting sqref="AL524 AL528">
    <cfRule type="cellIs" dxfId="1810" priority="545" operator="equal">
      <formula>"No"</formula>
    </cfRule>
  </conditionalFormatting>
  <conditionalFormatting sqref="AL516">
    <cfRule type="cellIs" dxfId="1809" priority="544" operator="equal">
      <formula>"No"</formula>
    </cfRule>
  </conditionalFormatting>
  <conditionalFormatting sqref="AL499 AL507">
    <cfRule type="cellIs" dxfId="1808" priority="542" operator="equal">
      <formula>"No"</formula>
    </cfRule>
  </conditionalFormatting>
  <conditionalFormatting sqref="AE230">
    <cfRule type="cellIs" dxfId="1807" priority="507" operator="equal">
      <formula>"ERROR"</formula>
    </cfRule>
  </conditionalFormatting>
  <conditionalFormatting sqref="AL352:AM352">
    <cfRule type="cellIs" dxfId="1806" priority="500" operator="equal">
      <formula>"Yes"</formula>
    </cfRule>
  </conditionalFormatting>
  <conditionalFormatting sqref="E392:E393 H392:H393 J392:J393 M392:M393 P392:P393 S392:S393 V392:V393">
    <cfRule type="expression" dxfId="1805" priority="458" stopIfTrue="1">
      <formula>$AU$321=TRUE</formula>
    </cfRule>
  </conditionalFormatting>
  <conditionalFormatting sqref="B395 I396 J397 M396">
    <cfRule type="expression" dxfId="1804" priority="459" stopIfTrue="1">
      <formula>#REF!=TRUE</formula>
    </cfRule>
  </conditionalFormatting>
  <conditionalFormatting sqref="AG374">
    <cfRule type="expression" dxfId="1803" priority="460" stopIfTrue="1">
      <formula>#REF!="Yes"</formula>
    </cfRule>
  </conditionalFormatting>
  <conditionalFormatting sqref="O395">
    <cfRule type="expression" dxfId="1802" priority="455" stopIfTrue="1">
      <formula>#REF!=TRUE</formula>
    </cfRule>
  </conditionalFormatting>
  <conditionalFormatting sqref="I395">
    <cfRule type="expression" dxfId="1801" priority="456" stopIfTrue="1">
      <formula>#REF!=TRUE</formula>
    </cfRule>
  </conditionalFormatting>
  <conditionalFormatting sqref="J398">
    <cfRule type="expression" dxfId="1800" priority="454" stopIfTrue="1">
      <formula>#REF!=TRUE</formula>
    </cfRule>
  </conditionalFormatting>
  <conditionalFormatting sqref="J399:J404">
    <cfRule type="expression" dxfId="1799" priority="453" stopIfTrue="1">
      <formula>#REF!=TRUE</formula>
    </cfRule>
  </conditionalFormatting>
  <conditionalFormatting sqref="AL300:AL306 AL308">
    <cfRule type="cellIs" dxfId="1798" priority="407" operator="equal">
      <formula>"No"</formula>
    </cfRule>
  </conditionalFormatting>
  <conditionalFormatting sqref="AL345">
    <cfRule type="cellIs" dxfId="1797" priority="413" operator="equal">
      <formula>"No"</formula>
    </cfRule>
  </conditionalFormatting>
  <conditionalFormatting sqref="AL311:AL314 AL316">
    <cfRule type="cellIs" dxfId="1796" priority="406" operator="equal">
      <formula>"No"</formula>
    </cfRule>
  </conditionalFormatting>
  <conditionalFormatting sqref="AL319:AL322 AL324">
    <cfRule type="cellIs" dxfId="1795" priority="405" operator="equal">
      <formula>"No"</formula>
    </cfRule>
  </conditionalFormatting>
  <conditionalFormatting sqref="AL327:AL330 AL332:AL333">
    <cfRule type="cellIs" dxfId="1794" priority="404" operator="equal">
      <formula>"No"</formula>
    </cfRule>
  </conditionalFormatting>
  <conditionalFormatting sqref="AL508:AL512">
    <cfRule type="cellIs" dxfId="1793" priority="400" operator="equal">
      <formula>"No"</formula>
    </cfRule>
    <cfRule type="cellIs" dxfId="1792" priority="401" operator="equal">
      <formula>"No"</formula>
    </cfRule>
  </conditionalFormatting>
  <conditionalFormatting sqref="AL544">
    <cfRule type="cellIs" dxfId="1791" priority="398" operator="equal">
      <formula>"No"</formula>
    </cfRule>
    <cfRule type="cellIs" dxfId="1790" priority="399" operator="equal">
      <formula>"No"</formula>
    </cfRule>
  </conditionalFormatting>
  <conditionalFormatting sqref="AL543">
    <cfRule type="cellIs" dxfId="1789" priority="396" operator="equal">
      <formula>"No"</formula>
    </cfRule>
    <cfRule type="cellIs" dxfId="1788" priority="397" operator="equal">
      <formula>"No"</formula>
    </cfRule>
  </conditionalFormatting>
  <conditionalFormatting sqref="AL520">
    <cfRule type="cellIs" dxfId="1787" priority="394" operator="equal">
      <formula>"No"</formula>
    </cfRule>
    <cfRule type="cellIs" dxfId="1786" priority="395" operator="equal">
      <formula>"No"</formula>
    </cfRule>
  </conditionalFormatting>
  <conditionalFormatting sqref="AL495">
    <cfRule type="cellIs" dxfId="1785" priority="391" operator="equal">
      <formula>"No"</formula>
    </cfRule>
    <cfRule type="cellIs" dxfId="1784" priority="392" operator="equal">
      <formula>"No"</formula>
    </cfRule>
  </conditionalFormatting>
  <conditionalFormatting sqref="AL307">
    <cfRule type="cellIs" dxfId="1783" priority="386" operator="equal">
      <formula>"No"</formula>
    </cfRule>
  </conditionalFormatting>
  <conditionalFormatting sqref="AL315">
    <cfRule type="cellIs" dxfId="1782" priority="385" operator="equal">
      <formula>"No"</formula>
    </cfRule>
  </conditionalFormatting>
  <conditionalFormatting sqref="AL323">
    <cfRule type="cellIs" dxfId="1781" priority="384" operator="equal">
      <formula>"No"</formula>
    </cfRule>
  </conditionalFormatting>
  <conditionalFormatting sqref="AL331">
    <cfRule type="cellIs" dxfId="1780" priority="383" operator="equal">
      <formula>"No"</formula>
    </cfRule>
  </conditionalFormatting>
  <conditionalFormatting sqref="AL231">
    <cfRule type="cellIs" dxfId="1779" priority="380" operator="equal">
      <formula>"No"</formula>
    </cfRule>
  </conditionalFormatting>
  <conditionalFormatting sqref="AL183:AL185">
    <cfRule type="cellIs" dxfId="1778" priority="379" operator="equal">
      <formula>"No"</formula>
    </cfRule>
  </conditionalFormatting>
  <conditionalFormatting sqref="AL356:AM356">
    <cfRule type="cellIs" dxfId="1777" priority="674" operator="lessThan">
      <formula>#REF!</formula>
    </cfRule>
  </conditionalFormatting>
  <conditionalFormatting sqref="B208:E208 B209:D209 G208:G209 T208:T209 AI208">
    <cfRule type="expression" dxfId="1776" priority="362">
      <formula>$G$230="N/A"</formula>
    </cfRule>
  </conditionalFormatting>
  <conditionalFormatting sqref="M210 R210:V210 AA210:AB210">
    <cfRule type="expression" dxfId="1775" priority="359" stopIfTrue="1">
      <formula>$G$230="N/A"</formula>
    </cfRule>
    <cfRule type="expression" dxfId="1774" priority="360">
      <formula>$G$230=0.09</formula>
    </cfRule>
  </conditionalFormatting>
  <conditionalFormatting sqref="E209">
    <cfRule type="expression" dxfId="1773" priority="354">
      <formula>$G$230="N/A"</formula>
    </cfRule>
  </conditionalFormatting>
  <conditionalFormatting sqref="AL154">
    <cfRule type="cellIs" dxfId="1772" priority="351" operator="equal">
      <formula>"No"</formula>
    </cfRule>
    <cfRule type="cellIs" dxfId="1771" priority="352" operator="equal">
      <formula>"No"</formula>
    </cfRule>
  </conditionalFormatting>
  <conditionalFormatting sqref="AL51">
    <cfRule type="cellIs" dxfId="1770" priority="336" operator="equal">
      <formula>"No"</formula>
    </cfRule>
  </conditionalFormatting>
  <conditionalFormatting sqref="AL45">
    <cfRule type="cellIs" dxfId="1769" priority="334" operator="equal">
      <formula>"No"</formula>
    </cfRule>
  </conditionalFormatting>
  <conditionalFormatting sqref="AL55">
    <cfRule type="cellIs" dxfId="1768" priority="333" operator="equal">
      <formula>"No"</formula>
    </cfRule>
  </conditionalFormatting>
  <conditionalFormatting sqref="AL215">
    <cfRule type="cellIs" dxfId="1767" priority="323" operator="equal">
      <formula>"No"</formula>
    </cfRule>
  </conditionalFormatting>
  <conditionalFormatting sqref="AL519">
    <cfRule type="cellIs" dxfId="1766" priority="314" operator="equal">
      <formula>"No"</formula>
    </cfRule>
  </conditionalFormatting>
  <conditionalFormatting sqref="AL362">
    <cfRule type="cellIs" dxfId="1765" priority="309" operator="equal">
      <formula>"No"</formula>
    </cfRule>
  </conditionalFormatting>
  <conditionalFormatting sqref="B210">
    <cfRule type="expression" dxfId="1764" priority="297">
      <formula>$G$230=0.04</formula>
    </cfRule>
    <cfRule type="expression" dxfId="1763" priority="298" stopIfTrue="1">
      <formula>$G$230="N/A"</formula>
    </cfRule>
  </conditionalFormatting>
  <conditionalFormatting sqref="AQ16">
    <cfRule type="cellIs" dxfId="1762" priority="291" operator="equal">
      <formula>"O"</formula>
    </cfRule>
    <cfRule type="cellIs" dxfId="1761" priority="292" operator="equal">
      <formula>"x"</formula>
    </cfRule>
  </conditionalFormatting>
  <conditionalFormatting sqref="AL76:AL77">
    <cfRule type="cellIs" dxfId="1760" priority="269" operator="equal">
      <formula>"No"</formula>
    </cfRule>
    <cfRule type="cellIs" dxfId="1759" priority="270" operator="equal">
      <formula>"No"</formula>
    </cfRule>
  </conditionalFormatting>
  <conditionalFormatting sqref="B54">
    <cfRule type="cellIs" dxfId="1758" priority="266" operator="equal">
      <formula>"Yes"</formula>
    </cfRule>
  </conditionalFormatting>
  <conditionalFormatting sqref="AL156">
    <cfRule type="cellIs" dxfId="1757" priority="263" operator="equal">
      <formula>"No"</formula>
    </cfRule>
  </conditionalFormatting>
  <conditionalFormatting sqref="AL93">
    <cfRule type="cellIs" dxfId="1756" priority="260" operator="equal">
      <formula>"No"</formula>
    </cfRule>
    <cfRule type="cellIs" dxfId="1755" priority="261" operator="equal">
      <formula>"No"</formula>
    </cfRule>
  </conditionalFormatting>
  <conditionalFormatting sqref="AL94">
    <cfRule type="cellIs" dxfId="1754" priority="258" operator="equal">
      <formula>"No"</formula>
    </cfRule>
    <cfRule type="cellIs" dxfId="1753" priority="259" operator="equal">
      <formula>"No"</formula>
    </cfRule>
  </conditionalFormatting>
  <conditionalFormatting sqref="AL272">
    <cfRule type="cellIs" dxfId="1752" priority="255" operator="equal">
      <formula>"No"</formula>
    </cfRule>
  </conditionalFormatting>
  <conditionalFormatting sqref="AL152">
    <cfRule type="cellIs" dxfId="1751" priority="249" operator="equal">
      <formula>"No"</formula>
    </cfRule>
    <cfRule type="cellIs" dxfId="1750" priority="250" operator="equal">
      <formula>"No"</formula>
    </cfRule>
  </conditionalFormatting>
  <conditionalFormatting sqref="B30:C30">
    <cfRule type="cellIs" dxfId="1749" priority="230" operator="equal">
      <formula>"Yes"</formula>
    </cfRule>
  </conditionalFormatting>
  <conditionalFormatting sqref="B40:C40">
    <cfRule type="cellIs" dxfId="1748" priority="229" operator="equal">
      <formula>"Yes"</formula>
    </cfRule>
  </conditionalFormatting>
  <conditionalFormatting sqref="B43:C43">
    <cfRule type="cellIs" dxfId="1747" priority="228" operator="equal">
      <formula>"Yes"</formula>
    </cfRule>
  </conditionalFormatting>
  <conditionalFormatting sqref="B47:C47">
    <cfRule type="cellIs" dxfId="1746" priority="227" operator="equal">
      <formula>"Yes"</formula>
    </cfRule>
  </conditionalFormatting>
  <conditionalFormatting sqref="B50:C50">
    <cfRule type="cellIs" dxfId="1745" priority="226" operator="equal">
      <formula>"Yes"</formula>
    </cfRule>
  </conditionalFormatting>
  <conditionalFormatting sqref="B53:C53">
    <cfRule type="cellIs" dxfId="1744" priority="225" operator="equal">
      <formula>"Yes"</formula>
    </cfRule>
  </conditionalFormatting>
  <conditionalFormatting sqref="D30:S30">
    <cfRule type="expression" dxfId="1743" priority="222">
      <formula>$B$30="Yes"</formula>
    </cfRule>
  </conditionalFormatting>
  <conditionalFormatting sqref="D40:S40">
    <cfRule type="expression" dxfId="1742" priority="221">
      <formula>$B$40="Yes"</formula>
    </cfRule>
  </conditionalFormatting>
  <conditionalFormatting sqref="D43:S43">
    <cfRule type="expression" dxfId="1741" priority="220">
      <formula>$B$43="Yes"</formula>
    </cfRule>
  </conditionalFormatting>
  <conditionalFormatting sqref="D47:S47">
    <cfRule type="expression" dxfId="1740" priority="219">
      <formula>$B$47="Yes"</formula>
    </cfRule>
  </conditionalFormatting>
  <conditionalFormatting sqref="D50:S50">
    <cfRule type="expression" dxfId="1739" priority="218">
      <formula>$B$50="Yes"</formula>
    </cfRule>
  </conditionalFormatting>
  <conditionalFormatting sqref="D53:S53">
    <cfRule type="expression" dxfId="1738" priority="217">
      <formula>$B$53="Yes"</formula>
    </cfRule>
  </conditionalFormatting>
  <conditionalFormatting sqref="AH396:AM401">
    <cfRule type="cellIs" dxfId="1737" priority="207" operator="greaterThan">
      <formula>0</formula>
    </cfRule>
  </conditionalFormatting>
  <conditionalFormatting sqref="AL41">
    <cfRule type="cellIs" dxfId="1736" priority="199" operator="equal">
      <formula>"No"</formula>
    </cfRule>
  </conditionalFormatting>
  <conditionalFormatting sqref="AL32:AM32">
    <cfRule type="cellIs" dxfId="1735" priority="180" operator="equal">
      <formula>"No"</formula>
    </cfRule>
  </conditionalFormatting>
  <conditionalFormatting sqref="AL33:AM33">
    <cfRule type="cellIs" dxfId="1734" priority="178" operator="equal">
      <formula>"No"</formula>
    </cfRule>
  </conditionalFormatting>
  <conditionalFormatting sqref="AL97:AM97 AL98">
    <cfRule type="cellIs" dxfId="1733" priority="174" operator="equal">
      <formula>"No"</formula>
    </cfRule>
  </conditionalFormatting>
  <conditionalFormatting sqref="AL91:AL92">
    <cfRule type="cellIs" dxfId="1732" priority="170" operator="equal">
      <formula>"No"</formula>
    </cfRule>
    <cfRule type="cellIs" dxfId="1731" priority="171" operator="equal">
      <formula>"No"</formula>
    </cfRule>
  </conditionalFormatting>
  <conditionalFormatting sqref="B61">
    <cfRule type="cellIs" dxfId="1730" priority="167" operator="equal">
      <formula>"Yes"</formula>
    </cfRule>
  </conditionalFormatting>
  <conditionalFormatting sqref="B60:C60">
    <cfRule type="cellIs" dxfId="1729" priority="166" operator="equal">
      <formula>"Yes"</formula>
    </cfRule>
  </conditionalFormatting>
  <conditionalFormatting sqref="D60:S60">
    <cfRule type="expression" dxfId="1728" priority="165">
      <formula>$B$53="Yes"</formula>
    </cfRule>
  </conditionalFormatting>
  <conditionalFormatting sqref="B63:C63">
    <cfRule type="cellIs" dxfId="1727" priority="164" operator="equal">
      <formula>"Yes"</formula>
    </cfRule>
  </conditionalFormatting>
  <conditionalFormatting sqref="D63:S63">
    <cfRule type="expression" dxfId="1726" priority="163">
      <formula>$B$53="Yes"</formula>
    </cfRule>
  </conditionalFormatting>
  <conditionalFormatting sqref="AL340">
    <cfRule type="cellIs" dxfId="1725" priority="162" operator="equal">
      <formula>"No"</formula>
    </cfRule>
  </conditionalFormatting>
  <conditionalFormatting sqref="AL337:AL339">
    <cfRule type="cellIs" dxfId="1724" priority="159" operator="equal">
      <formula>"No"</formula>
    </cfRule>
  </conditionalFormatting>
  <conditionalFormatting sqref="AL258">
    <cfRule type="cellIs" dxfId="1723" priority="155" operator="equal">
      <formula>"No"</formula>
    </cfRule>
  </conditionalFormatting>
  <conditionalFormatting sqref="X208:X209 AF208:AF209">
    <cfRule type="expression" dxfId="1722" priority="691">
      <formula>$G$229="N/A"</formula>
    </cfRule>
  </conditionalFormatting>
  <conditionalFormatting sqref="AL92">
    <cfRule type="cellIs" dxfId="1721" priority="148" operator="equal">
      <formula>"No"</formula>
    </cfRule>
    <cfRule type="cellIs" dxfId="1720" priority="149" operator="equal">
      <formula>"No"</formula>
    </cfRule>
  </conditionalFormatting>
  <conditionalFormatting sqref="AL186">
    <cfRule type="cellIs" dxfId="1719" priority="142" operator="equal">
      <formula>"No"</formula>
    </cfRule>
  </conditionalFormatting>
  <conditionalFormatting sqref="AL64">
    <cfRule type="cellIs" dxfId="1718" priority="140" operator="equal">
      <formula>"No"</formula>
    </cfRule>
    <cfRule type="cellIs" dxfId="1717" priority="141" operator="equal">
      <formula>"No"</formula>
    </cfRule>
  </conditionalFormatting>
  <conditionalFormatting sqref="AL505">
    <cfRule type="cellIs" dxfId="1716" priority="135" operator="equal">
      <formula>"No"</formula>
    </cfRule>
  </conditionalFormatting>
  <conditionalFormatting sqref="AL116">
    <cfRule type="cellIs" dxfId="1715" priority="133" operator="equal">
      <formula>"No"</formula>
    </cfRule>
    <cfRule type="cellIs" dxfId="1714" priority="134" operator="equal">
      <formula>"No"</formula>
    </cfRule>
  </conditionalFormatting>
  <conditionalFormatting sqref="AL100">
    <cfRule type="cellIs" dxfId="1713" priority="131" operator="equal">
      <formula>"No"</formula>
    </cfRule>
  </conditionalFormatting>
  <conditionalFormatting sqref="AL253">
    <cfRule type="cellIs" dxfId="1712" priority="127" operator="equal">
      <formula>"No"</formula>
    </cfRule>
  </conditionalFormatting>
  <conditionalFormatting sqref="AL214:AM214">
    <cfRule type="expression" dxfId="1711" priority="873">
      <formula>#REF!=""</formula>
    </cfRule>
    <cfRule type="expression" dxfId="1710" priority="874">
      <formula>#REF!="No"</formula>
    </cfRule>
  </conditionalFormatting>
  <conditionalFormatting sqref="AL525">
    <cfRule type="cellIs" dxfId="1709" priority="119" operator="equal">
      <formula>"No"</formula>
    </cfRule>
  </conditionalFormatting>
  <conditionalFormatting sqref="AL537">
    <cfRule type="cellIs" dxfId="1708" priority="116" operator="equal">
      <formula>"No"</formula>
    </cfRule>
    <cfRule type="cellIs" dxfId="1707" priority="117" operator="equal">
      <formula>"No"</formula>
    </cfRule>
  </conditionalFormatting>
  <conditionalFormatting sqref="B18:C18">
    <cfRule type="expression" dxfId="1706" priority="105">
      <formula>$B$18="Yes"</formula>
    </cfRule>
    <cfRule type="expression" dxfId="1705" priority="108">
      <formula>$B$18="No"</formula>
    </cfRule>
  </conditionalFormatting>
  <conditionalFormatting sqref="D18:T18">
    <cfRule type="expression" dxfId="1704" priority="104">
      <formula>$B$18="Yes"</formula>
    </cfRule>
  </conditionalFormatting>
  <conditionalFormatting sqref="B20:C20">
    <cfRule type="expression" dxfId="1703" priority="99">
      <formula>$B$20="Yes"</formula>
    </cfRule>
    <cfRule type="expression" dxfId="1702" priority="100">
      <formula>$B$20="No"</formula>
    </cfRule>
  </conditionalFormatting>
  <conditionalFormatting sqref="D20:T20">
    <cfRule type="expression" dxfId="1701" priority="98">
      <formula>$B$20="Yes"</formula>
    </cfRule>
  </conditionalFormatting>
  <conditionalFormatting sqref="D22:T22">
    <cfRule type="expression" dxfId="1700" priority="95">
      <formula>$B$22="Yes"</formula>
    </cfRule>
  </conditionalFormatting>
  <conditionalFormatting sqref="AL18:AM18">
    <cfRule type="expression" dxfId="1699" priority="93">
      <formula>$AL$18="Yes"</formula>
    </cfRule>
    <cfRule type="expression" dxfId="1698" priority="94">
      <formula>$AL$18="No"</formula>
    </cfRule>
  </conditionalFormatting>
  <conditionalFormatting sqref="V18:AK18">
    <cfRule type="expression" dxfId="1697" priority="91">
      <formula>$AL$18="Yes"</formula>
    </cfRule>
  </conditionalFormatting>
  <conditionalFormatting sqref="AP20:AQ20">
    <cfRule type="expression" dxfId="1696" priority="89">
      <formula>$AP$20="Yes"</formula>
    </cfRule>
    <cfRule type="expression" dxfId="1695" priority="90">
      <formula>$AP$20="No"</formula>
    </cfRule>
  </conditionalFormatting>
  <conditionalFormatting sqref="AL22:AM22">
    <cfRule type="expression" dxfId="1694" priority="86">
      <formula>$AL$22="Yes"</formula>
    </cfRule>
    <cfRule type="expression" dxfId="1693" priority="87">
      <formula>$AL$22="No"</formula>
    </cfRule>
  </conditionalFormatting>
  <conditionalFormatting sqref="V22:AK22">
    <cfRule type="expression" dxfId="1692" priority="85">
      <formula>$AL$22="Yes"</formula>
    </cfRule>
  </conditionalFormatting>
  <conditionalFormatting sqref="W99:Z99">
    <cfRule type="expression" dxfId="1691" priority="83">
      <formula>IF(YEARFRAC(W99,AppDueDate,0)&lt;2,TRUE,FALSE)</formula>
    </cfRule>
  </conditionalFormatting>
  <conditionalFormatting sqref="AL164">
    <cfRule type="cellIs" dxfId="1690" priority="77" operator="equal">
      <formula>"No"</formula>
    </cfRule>
    <cfRule type="cellIs" dxfId="1689" priority="78" operator="equal">
      <formula>"No"</formula>
    </cfRule>
  </conditionalFormatting>
  <conditionalFormatting sqref="AL127">
    <cfRule type="cellIs" dxfId="1688" priority="76" operator="equal">
      <formula>"No"</formula>
    </cfRule>
  </conditionalFormatting>
  <conditionalFormatting sqref="AL137">
    <cfRule type="cellIs" dxfId="1687" priority="73" operator="equal">
      <formula>"No"</formula>
    </cfRule>
  </conditionalFormatting>
  <conditionalFormatting sqref="AL145:AM145">
    <cfRule type="cellIs" dxfId="1686" priority="68" operator="equal">
      <formula>FALSE</formula>
    </cfRule>
    <cfRule type="cellIs" dxfId="1685" priority="69" operator="equal">
      <formula>TRUE</formula>
    </cfRule>
  </conditionalFormatting>
  <conditionalFormatting sqref="AL144:AL145">
    <cfRule type="cellIs" dxfId="1684" priority="67" operator="equal">
      <formula>"No"</formula>
    </cfRule>
  </conditionalFormatting>
  <conditionalFormatting sqref="AL148">
    <cfRule type="cellIs" dxfId="1683" priority="66" operator="equal">
      <formula>"No"</formula>
    </cfRule>
  </conditionalFormatting>
  <conditionalFormatting sqref="AL131">
    <cfRule type="cellIs" dxfId="1682" priority="63" operator="equal">
      <formula>"No"</formula>
    </cfRule>
  </conditionalFormatting>
  <conditionalFormatting sqref="AL135">
    <cfRule type="cellIs" dxfId="1681" priority="62" operator="equal">
      <formula>"No"</formula>
    </cfRule>
  </conditionalFormatting>
  <conditionalFormatting sqref="AL146">
    <cfRule type="cellIs" dxfId="1680" priority="61" operator="equal">
      <formula>"No"</formula>
    </cfRule>
  </conditionalFormatting>
  <conditionalFormatting sqref="AL132">
    <cfRule type="cellIs" dxfId="1679" priority="60" operator="equal">
      <formula>"No"</formula>
    </cfRule>
  </conditionalFormatting>
  <conditionalFormatting sqref="AD263:AE265">
    <cfRule type="cellIs" dxfId="1678" priority="58" operator="equal">
      <formula>FALSE</formula>
    </cfRule>
    <cfRule type="cellIs" dxfId="1677" priority="59" operator="equal">
      <formula>TRUE</formula>
    </cfRule>
  </conditionalFormatting>
  <conditionalFormatting sqref="X263:Z265">
    <cfRule type="expression" dxfId="1676" priority="55">
      <formula>X263=""</formula>
    </cfRule>
    <cfRule type="expression" dxfId="1675" priority="56">
      <formula>(X263=FALSE)</formula>
    </cfRule>
    <cfRule type="cellIs" dxfId="1674" priority="57" operator="equal">
      <formula>TRUE</formula>
    </cfRule>
  </conditionalFormatting>
  <conditionalFormatting sqref="AL263:AL265">
    <cfRule type="cellIs" dxfId="1673" priority="54" operator="equal">
      <formula>"No"</formula>
    </cfRule>
  </conditionalFormatting>
  <conditionalFormatting sqref="AL335">
    <cfRule type="cellIs" dxfId="1672" priority="53" operator="equal">
      <formula>"No"</formula>
    </cfRule>
  </conditionalFormatting>
  <conditionalFormatting sqref="AL35:AM35">
    <cfRule type="cellIs" dxfId="1671" priority="52" operator="equal">
      <formula>"No"</formula>
    </cfRule>
  </conditionalFormatting>
  <conditionalFormatting sqref="AL56">
    <cfRule type="cellIs" dxfId="1670" priority="51" operator="equal">
      <formula>"No"</formula>
    </cfRule>
  </conditionalFormatting>
  <conditionalFormatting sqref="AL85:AM85">
    <cfRule type="cellIs" dxfId="1669" priority="50" operator="equal">
      <formula>"No"</formula>
    </cfRule>
  </conditionalFormatting>
  <conditionalFormatting sqref="AL501:AL502">
    <cfRule type="cellIs" dxfId="1668" priority="48" operator="equal">
      <formula>"No"</formula>
    </cfRule>
    <cfRule type="cellIs" dxfId="1667" priority="49" operator="equal">
      <formula>"No"</formula>
    </cfRule>
  </conditionalFormatting>
  <conditionalFormatting sqref="B58:C58">
    <cfRule type="cellIs" dxfId="1666" priority="47" operator="equal">
      <formula>"Yes"</formula>
    </cfRule>
  </conditionalFormatting>
  <conditionalFormatting sqref="D58:S58">
    <cfRule type="expression" dxfId="1665" priority="46">
      <formula>$B$53="Yes"</formula>
    </cfRule>
  </conditionalFormatting>
  <conditionalFormatting sqref="V20:AK20">
    <cfRule type="expression" dxfId="1664" priority="875">
      <formula>$AP$20="Yes"</formula>
    </cfRule>
  </conditionalFormatting>
  <conditionalFormatting sqref="AL20:AM20">
    <cfRule type="expression" dxfId="1663" priority="41">
      <formula>$AL$20="Yes"</formula>
    </cfRule>
    <cfRule type="expression" dxfId="1662" priority="42">
      <formula>$AL$20="No"</formula>
    </cfRule>
  </conditionalFormatting>
  <conditionalFormatting sqref="AL191:AQ191">
    <cfRule type="cellIs" dxfId="1661" priority="40" operator="equal">
      <formula>"No"</formula>
    </cfRule>
  </conditionalFormatting>
  <conditionalFormatting sqref="AL161">
    <cfRule type="cellIs" dxfId="1660" priority="37" operator="equal">
      <formula>"No"</formula>
    </cfRule>
  </conditionalFormatting>
  <conditionalFormatting sqref="AL158">
    <cfRule type="cellIs" dxfId="1659" priority="36" operator="equal">
      <formula>"No"</formula>
    </cfRule>
  </conditionalFormatting>
  <conditionalFormatting sqref="AL162">
    <cfRule type="cellIs" dxfId="1658" priority="34" operator="equal">
      <formula>"Included"</formula>
    </cfRule>
    <cfRule type="cellIs" dxfId="1657" priority="35" operator="equal">
      <formula>"Not Included"</formula>
    </cfRule>
  </conditionalFormatting>
  <conditionalFormatting sqref="AL211">
    <cfRule type="cellIs" dxfId="1656" priority="32" operator="equal">
      <formula>"Included"</formula>
    </cfRule>
    <cfRule type="cellIs" dxfId="1655" priority="33" operator="equal">
      <formula>"Not Included"</formula>
    </cfRule>
  </conditionalFormatting>
  <conditionalFormatting sqref="AL212">
    <cfRule type="cellIs" dxfId="1654" priority="30" operator="equal">
      <formula>"Included"</formula>
    </cfRule>
    <cfRule type="cellIs" dxfId="1653" priority="31" operator="equal">
      <formula>"Not Included"</formula>
    </cfRule>
  </conditionalFormatting>
  <conditionalFormatting sqref="AL213">
    <cfRule type="cellIs" dxfId="1652" priority="28" operator="equal">
      <formula>"Included"</formula>
    </cfRule>
    <cfRule type="cellIs" dxfId="1651" priority="29" operator="equal">
      <formula>"Not Included"</formula>
    </cfRule>
  </conditionalFormatting>
  <conditionalFormatting sqref="AL227">
    <cfRule type="cellIs" dxfId="1650" priority="26" operator="equal">
      <formula>"Included"</formula>
    </cfRule>
    <cfRule type="cellIs" dxfId="1649" priority="27" operator="equal">
      <formula>"Not Included"</formula>
    </cfRule>
  </conditionalFormatting>
  <conditionalFormatting sqref="AL233">
    <cfRule type="cellIs" dxfId="1648" priority="24" operator="equal">
      <formula>"Included"</formula>
    </cfRule>
    <cfRule type="cellIs" dxfId="1647" priority="25" operator="equal">
      <formula>"Not Included"</formula>
    </cfRule>
  </conditionalFormatting>
  <conditionalFormatting sqref="AL282">
    <cfRule type="cellIs" dxfId="1646" priority="22" operator="equal">
      <formula>"Included"</formula>
    </cfRule>
    <cfRule type="cellIs" dxfId="1645" priority="23" operator="equal">
      <formula>"Not Included"</formula>
    </cfRule>
  </conditionalFormatting>
  <conditionalFormatting sqref="AL291">
    <cfRule type="cellIs" dxfId="1644" priority="20" operator="equal">
      <formula>"Included"</formula>
    </cfRule>
    <cfRule type="cellIs" dxfId="1643" priority="21" operator="equal">
      <formula>"Not Included"</formula>
    </cfRule>
  </conditionalFormatting>
  <conditionalFormatting sqref="AL360">
    <cfRule type="cellIs" dxfId="1642" priority="18" operator="equal">
      <formula>"Included"</formula>
    </cfRule>
    <cfRule type="cellIs" dxfId="1641" priority="19" operator="equal">
      <formula>"Not Included"</formula>
    </cfRule>
  </conditionalFormatting>
  <conditionalFormatting sqref="AL361">
    <cfRule type="cellIs" dxfId="1640" priority="16" operator="equal">
      <formula>"Included"</formula>
    </cfRule>
    <cfRule type="cellIs" dxfId="1639" priority="17" operator="equal">
      <formula>"Not Included"</formula>
    </cfRule>
  </conditionalFormatting>
  <conditionalFormatting sqref="AL273">
    <cfRule type="cellIs" dxfId="1638" priority="14" operator="equal">
      <formula>"Included"</formula>
    </cfRule>
    <cfRule type="cellIs" dxfId="1637" priority="15" operator="equal">
      <formula>"Not Included"</formula>
    </cfRule>
  </conditionalFormatting>
  <conditionalFormatting sqref="AL162 AL211:AL213 AL273 AL282 AL291 AL360:AL361">
    <cfRule type="containsText" dxfId="1636" priority="13" operator="containsText" text="Not Applicable">
      <formula>NOT(ISERROR(SEARCH("Not Applicable",AL162)))</formula>
    </cfRule>
  </conditionalFormatting>
  <conditionalFormatting sqref="AL360:AM360">
    <cfRule type="containsText" dxfId="1635" priority="10" operator="containsText" text="Not Changed">
      <formula>NOT(ISERROR(SEARCH("Not Changed",AL360)))</formula>
    </cfRule>
  </conditionalFormatting>
  <conditionalFormatting sqref="AL227:AM227">
    <cfRule type="containsText" dxfId="1634" priority="9" operator="containsText" text="Not Applicable">
      <formula>NOT(ISERROR(SEARCH("Not Applicable",AL227)))</formula>
    </cfRule>
  </conditionalFormatting>
  <conditionalFormatting sqref="AL191:AM191">
    <cfRule type="containsText" dxfId="1633" priority="3" operator="containsText" text="Yes">
      <formula>NOT(ISERROR(SEARCH("Yes",AL191)))</formula>
    </cfRule>
    <cfRule type="containsText" dxfId="1632" priority="4" operator="containsText" text="No">
      <formula>NOT(ISERROR(SEARCH("No",AL191)))</formula>
    </cfRule>
  </conditionalFormatting>
  <conditionalFormatting sqref="AK210:AM210">
    <cfRule type="containsText" dxfId="1631" priority="1" operator="containsText" text="no">
      <formula>NOT(ISERROR(SEARCH("no",AK210)))</formula>
    </cfRule>
    <cfRule type="containsText" dxfId="1630" priority="2" operator="containsText" text="yes">
      <formula>NOT(ISERROR(SEARCH("yes",AK210)))</formula>
    </cfRule>
  </conditionalFormatting>
  <dataValidations count="31">
    <dataValidation type="list" allowBlank="1" showInputMessage="1" showErrorMessage="1" sqref="B18 B20 B30 B40 B43 B47 B50 B53 B58 B60 B63 B376 AL158 AB374 AP20 AK210 AL18 AL20 AL22 AL25:AM25 AL32:AM32 AL33 AL34:AM35 AL37 AL38:AM38 AL41:AM41 AL45 AL48:AM48 AL51:AM51 AL55:AM56 AL70:AM70 AL74:AM76 AL85:AM85 AL87:AM87 AL89:AM89 AL96:AL98 AL100 AL122:AM122 AL126:AM126 AL156 AL214 AL215:AM215 AL352:AM353 AL356:AM356 AL516:AM516 AL542:AM544 AM96 AL161" xr:uid="{00000000-0002-0000-0600-000000000000}">
      <formula1>"Yes,No"</formula1>
    </dataValidation>
    <dataValidation type="list" allowBlank="1" showInputMessage="1" showErrorMessage="1" sqref="B411:C414 B419:C422 B425:C425 E417:F417 J222 J411:K414 J425:K425 K515:K516 K519 K523 K528 K531 K549 L419:M422 O417:P417 R411:S414 R425:S425 V419:W422 W417:X417 Z411:AA414 Z425:AA425 AA196:AA203 AD417:AE417 AF419:AG422 AL527:AL528 AH411:AI414 AL64 AL77 AL91:AL94 AL116 AL127 AL132 AL137 AL141:AL144 AL152 AL154 AL158:AL159 AL163 AL161 AL191:AQ191 AL524:AL525 AL535 AL548:AL549 AL225 AL156 AL229 AL258:AL259 AL261 AL271:AL272 AL345 AL356 AL530:AL531 AL365 AL367:AL368 AL370:AL371 AL515 AL519" xr:uid="{00000000-0002-0000-0600-000001000000}">
      <formula1>"Yes, No"</formula1>
    </dataValidation>
    <dataValidation type="list" allowBlank="1" showInputMessage="1" showErrorMessage="1" sqref="E208:E209 AF554:AF566 AL37 AL131:AM131 AL135:AM135 AL146:AM146 AL183:AL186 AL263:AM265 AL335:AM340 AL362:AM362 AL507:AM507 AL515:AM515 AL527:AM527 AL530:AM530 AL548:AM548" xr:uid="{00000000-0002-0000-0600-000002000000}">
      <formula1>"Yes,No,N/A"</formula1>
    </dataValidation>
    <dataValidation type="list" allowBlank="1" showInputMessage="1" showErrorMessage="1" sqref="AL231:AM231 AL253:AM253 AL341:AM341 AL274:AM278 AL283:AM287 AL300:AM308 AL311:AM316 AL319:AM324 AL327:AM333 AL335:AM335 AL292:AM296" xr:uid="{00000000-0002-0000-0600-000003000000}">
      <formula1>"Yes, No,N/A"</formula1>
    </dataValidation>
    <dataValidation type="list" allowBlank="1" showInputMessage="1" showErrorMessage="1" sqref="B378:C382 E491:F491 E492 K378:L382 O492 S492:T492 T378:T382 U378:U379 U381:U382 Y492:Z492 AC378:AD382 AL37:AM37 AL64:AM64 AL77:AM77 AL91:AM94 AL116:AM116 AL508:AM513 AL537:AM537 AL543:AM544 AL520:AM520 AL495:AM495 AL499:AM499 AL501:AM502 AL505:AM505" xr:uid="{00000000-0002-0000-0600-000004000000}">
      <formula1>"Yes, No, N/A"</formula1>
    </dataValidation>
    <dataValidation type="list" allowBlank="1" sqref="G352:G353" xr:uid="{00000000-0002-0000-0600-000005000000}">
      <formula1>"Fee Title,Leasehold Interest,Enforceable Option to Lease or Purchase,Disposition and Development Agreement,Exclusive Right to Negotiate,Land Sales Contract"</formula1>
    </dataValidation>
    <dataValidation type="list" allowBlank="1" showInputMessage="1" showErrorMessage="1" sqref="F376" xr:uid="{00000000-0002-0000-0600-000006000000}">
      <formula1>"Private,Public"</formula1>
    </dataValidation>
    <dataValidation type="list" allowBlank="1" showInputMessage="1" showErrorMessage="1" sqref="M479:M487" xr:uid="{00000000-0002-0000-0600-000007000000}">
      <formula1>"Owner,Tenant"</formula1>
    </dataValidation>
    <dataValidation type="list" allowBlank="1" showInputMessage="1" showErrorMessage="1" sqref="G479:G483" xr:uid="{00000000-0002-0000-0600-000008000000}">
      <formula1>"Gas,Electric,Propane,Solar"</formula1>
    </dataValidation>
    <dataValidation type="list" allowBlank="1" showInputMessage="1" showErrorMessage="1" sqref="G484" xr:uid="{00000000-0002-0000-0600-000009000000}">
      <formula1>"Public,Private,Well"</formula1>
    </dataValidation>
    <dataValidation type="list" allowBlank="1" showInputMessage="1" showErrorMessage="1" sqref="Y465:Y468 Y470:Y473" xr:uid="{00000000-0002-0000-0600-00000A000000}">
      <formula1>"NNN,Other"</formula1>
    </dataValidation>
    <dataValidation type="list" allowBlank="1" showInputMessage="1" showErrorMessage="1" sqref="AB226:AM226" xr:uid="{00000000-0002-0000-0600-00000B000000}">
      <formula1>"Non-metropolitan Counties,Rural Housing Service (RHS) Eligible Area,Small City Status"</formula1>
    </dataValidation>
    <dataValidation type="list" allowBlank="1" showInputMessage="1" showErrorMessage="1" sqref="I258:Y258 J257:Y257 J290 L281" xr:uid="{00000000-0002-0000-0600-00000F000000}">
      <formula1>ListEligibleSponsorTypes</formula1>
    </dataValidation>
    <dataValidation type="list" allowBlank="1" showInputMessage="1" showErrorMessage="1" sqref="AA396:AA401" xr:uid="{00000000-0002-0000-0600-000010000000}">
      <formula1>"Flat,Townhouse,Detached"</formula1>
    </dataValidation>
    <dataValidation type="list" allowBlank="1" showInputMessage="1" showErrorMessage="1" sqref="B36" xr:uid="{00000000-0002-0000-0600-000011000000}">
      <formula1>"Defined by the U.S Census Bureau,In an unincorporated area within an urban service area designated in the local general plan for urban development &amp; served by sewer/water"</formula1>
    </dataValidation>
    <dataValidation type="list" allowBlank="1" showInputMessage="1" showErrorMessage="1" sqref="H207:I207" xr:uid="{00000000-0002-0000-0600-000013000000}">
      <formula1>"4%,None"</formula1>
    </dataValidation>
    <dataValidation type="list" allowBlank="1" showInputMessage="1" showErrorMessage="1" sqref="X90" xr:uid="{00000000-0002-0000-0600-000014000000}">
      <formula1>"Indian Country,Fee land,Trust Land"</formula1>
    </dataValidation>
    <dataValidation type="list" allowBlank="1" showInputMessage="1" showErrorMessage="1" sqref="AE230:AM230" xr:uid="{00000000-0002-0000-0600-000015000000}">
      <formula1>OFFSET(AO229,1,MATCH($AL$229,$AO$229:$AP$229,0)-1,COUNTA(OFFSET($AO$229,1,MATCH($AL$229,$AO$229:$AP$229,0)-1,8,1)),1)</formula1>
    </dataValidation>
    <dataValidation type="list" allowBlank="1" showInputMessage="1" showErrorMessage="1" sqref="G484:K486" xr:uid="{00000000-0002-0000-0600-000016000000}">
      <formula1>"Public,Private"</formula1>
    </dataValidation>
    <dataValidation type="list" allowBlank="1" showInputMessage="1" showErrorMessage="1" sqref="AF241:AH251" xr:uid="{00000000-0002-0000-0600-000017000000}">
      <formula1>"Part Time, Full Time"</formula1>
    </dataValidation>
    <dataValidation type="list" allowBlank="1" showInputMessage="1" showErrorMessage="1" sqref="I178:Q178" xr:uid="{00000000-0002-0000-0600-000018000000}">
      <formula1>"New Construction,Acquisition &amp; Rehabilitation,Rehabilitation,New Construction &amp; Acq/Rehab,Adaptive Reuse"</formula1>
    </dataValidation>
    <dataValidation type="list" allowBlank="1" showInputMessage="1" showErrorMessage="1" sqref="M124:N124 AL148:AM148" xr:uid="{00000000-0002-0000-0600-000019000000}">
      <formula1>"TRUE,FALSE"</formula1>
    </dataValidation>
    <dataValidation type="list" allowBlank="1" showInputMessage="1" showErrorMessage="1" sqref="X71:Z71" xr:uid="{00000000-0002-0000-0600-00001A000000}">
      <formula1>"SHMHP,TOD,Both"</formula1>
    </dataValidation>
    <dataValidation type="list" allowBlank="1" showInputMessage="1" showErrorMessage="1" sqref="AI79:AM79" xr:uid="{00000000-0002-0000-0600-00001B000000}">
      <formula1>"Sponsor, Sponsor Principal"</formula1>
    </dataValidation>
    <dataValidation type="list" allowBlank="1" showInputMessage="1" showErrorMessage="1" sqref="T81:W84 T268:W270" xr:uid="{00000000-0002-0000-0600-00001C000000}">
      <formula1>"Agricultural Hslds, Homeless, Special Needs, Supportive Housing, Veteran"</formula1>
    </dataValidation>
    <dataValidation type="list" allowBlank="1" showInputMessage="1" showErrorMessage="1" sqref="K263:M265 AL263:AM265" xr:uid="{00000000-0002-0000-0600-00001D000000}">
      <formula1>$AQ$88:$AQ$91</formula1>
    </dataValidation>
    <dataValidation type="list" allowBlank="1" showInputMessage="1" showErrorMessage="1" sqref="X81:AB84 X268:AB270" xr:uid="{00000000-0002-0000-0600-00001F000000}">
      <formula1>"HCD - Regulated, 4% TCAC, 9% TCAC, Other"</formula1>
    </dataValidation>
    <dataValidation type="list" allowBlank="1" showInputMessage="1" showErrorMessage="1" sqref="AK6:AM6 AL233:AQ233" xr:uid="{B8D199C8-ABC8-48D7-8DFB-EC3D9B8C9112}">
      <formula1>"1,2,3"</formula1>
    </dataValidation>
    <dataValidation type="list" allowBlank="1" showInputMessage="1" showErrorMessage="1" sqref="AL162 AL211:AL213 AL227 AL233 AL282 AL291 AL273" xr:uid="{57B60F7A-4DD3-41C8-8ABB-287727635605}">
      <formula1>"Included, Not Included, Not Applicable"</formula1>
    </dataValidation>
    <dataValidation type="list" allowBlank="1" showInputMessage="1" showErrorMessage="1" sqref="AL360:AM360" xr:uid="{15F8DD80-0DDC-4128-92FB-D74A7CF14CA5}">
      <formula1>"Included, Not Included, Not Changed"</formula1>
    </dataValidation>
    <dataValidation type="list" allowBlank="1" showInputMessage="1" showErrorMessage="1" sqref="AL361:AM361" xr:uid="{B2B93272-62E2-44AF-A278-DB4AF0B4851C}">
      <formula1>"Included, Not Included"</formula1>
    </dataValidation>
  </dataValidations>
  <hyperlinks>
    <hyperlink ref="O141" r:id="rId1" xr:uid="{00000000-0004-0000-0600-000000000000}"/>
    <hyperlink ref="M142" r:id="rId2" xr:uid="{00000000-0004-0000-0600-000001000000}"/>
    <hyperlink ref="H143" r:id="rId3" xr:uid="{00000000-0004-0000-0600-000002000000}"/>
    <hyperlink ref="AC225" r:id="rId4" xr:uid="{00000000-0004-0000-0600-000004000000}"/>
    <hyperlink ref="AG228" r:id="rId5" xr:uid="{00000000-0004-0000-0600-000005000000}"/>
    <hyperlink ref="N274" location="'Entity Org Docs'!A1" display="'Entity Org Docs'!A1" xr:uid="{00000000-0004-0000-0600-000007000000}"/>
    <hyperlink ref="N283" location="'Entity Org Docs'!A1" display="'Entity Org Docs'!A1" xr:uid="{00000000-0004-0000-0600-000009000000}"/>
    <hyperlink ref="N292" location="'Entity Org Docs'!A1" display="'Entity Org Docs'!A1" xr:uid="{00000000-0004-0000-0600-00000B000000}"/>
    <hyperlink ref="N300" location="'Sponsor Certification'!A1" display="'Sponsor Certification'!A1" xr:uid="{00000000-0004-0000-0600-00000C000000}"/>
    <hyperlink ref="N301" location="'Entity Org Docs'!A1" display="'Entity Org Docs'!A1" xr:uid="{00000000-0004-0000-0600-00000D000000}"/>
    <hyperlink ref="N304" r:id="rId6" display="https://www.documents.dgs.ca.gov/dgs/fmc/pdf/std204.pdf" xr:uid="{00000000-0004-0000-0600-00000E000000}"/>
    <hyperlink ref="N305" r:id="rId7" display="https://fiscal.ca.gov/wp-content/uploads/2019/08/GovtTINForm_000.pdf" xr:uid="{00000000-0004-0000-0600-00000F000000}"/>
    <hyperlink ref="N311" location="'Sponsor Certification'!A1" display="'Sponsor Certification'!A1" xr:uid="{00000000-0004-0000-0600-000010000000}"/>
    <hyperlink ref="N312" location="'Entity Org Docs'!A1" display="'Entity Org Docs'!A1" xr:uid="{00000000-0004-0000-0600-000011000000}"/>
    <hyperlink ref="N319" location="'Sponsor Certification'!A1" display="'Sponsor Certification'!A1" xr:uid="{00000000-0004-0000-0600-000012000000}"/>
    <hyperlink ref="N320" location="'Entity Org Docs'!A1" display="'Entity Org Docs'!A1" xr:uid="{00000000-0004-0000-0600-000013000000}"/>
    <hyperlink ref="N327" location="'Sponsor Certification'!A1" display="'Sponsor Certification'!A1" xr:uid="{00000000-0004-0000-0600-000014000000}"/>
    <hyperlink ref="N328" location="'Entity Org Docs'!A1" display="'Entity Org Docs'!A1" xr:uid="{00000000-0004-0000-0600-000015000000}"/>
    <hyperlink ref="N335" location="'Sponsor Certification'!A1" display="'Sponsor Certification'!A1" xr:uid="{00000000-0004-0000-0600-000016000000}"/>
    <hyperlink ref="N338" location="'Entity Org Docs'!A1" display="'Entity Org Docs'!A1" xr:uid="{00000000-0004-0000-0600-000017000000}"/>
    <hyperlink ref="AC162:AE162" r:id="rId8" display="https://leginfo.legislature.ca.gov/faces/codes_displaySection.xhtml?lawCode=HSC&amp;sectionNum=50675.7." xr:uid="{3B5E0E04-6B2A-4257-850D-B1ED04D7F9C7}"/>
    <hyperlink ref="Y227:AE227" r:id="rId9" display="https://www.treasurer.ca.gov/sites/default/files/2025-11/rural-status.pdf" xr:uid="{0EB18615-4120-4E88-8BC7-B39E72C41515}"/>
    <hyperlink ref="X273" location="'Sponsor Certification'!A1" display="Reference Sponsor Certification Worksheet." xr:uid="{AD5BD56D-5BE0-4854-B63A-3116115E2F20}"/>
    <hyperlink ref="X282" location="'Sponsor Certification'!A1" display="Reference Sponsor Certification Worksheet." xr:uid="{04568943-9701-4F54-A0AD-6B69CD8F0622}"/>
    <hyperlink ref="X291" location="'Sponsor Certification'!A1" display="Reference Sponsor Certification Worksheet." xr:uid="{F5F97A76-1D63-4BE8-8D20-0A144AABB560}"/>
    <hyperlink ref="AC225:AK225" r:id="rId10" display="Documentation of rural status" xr:uid="{12111757-F4F6-4B66-846C-EDAF7ED6AEA1}"/>
  </hyperlinks>
  <printOptions horizontalCentered="1"/>
  <pageMargins left="0" right="0.25" top="0" bottom="0" header="0.25" footer="0.25"/>
  <pageSetup scale="65" orientation="portrait" r:id="rId11"/>
  <headerFooter>
    <oddFooter>&amp;L&amp;F&amp;C&amp;P of &amp;N&amp;R &amp;A</oddFooter>
  </headerFooter>
  <rowBreaks count="4" manualBreakCount="4">
    <brk id="232" min="1" max="38" man="1"/>
    <brk id="371" min="1" max="38" man="1"/>
    <brk id="432" min="1" max="38" man="1"/>
    <brk id="496" min="1" max="38" man="1"/>
  </rowBreaks>
  <legacyDrawing r:id="rId12"/>
  <extLst>
    <ext xmlns:x14="http://schemas.microsoft.com/office/spreadsheetml/2009/9/main" uri="{CCE6A557-97BC-4b89-ADB6-D9C93CAAB3DF}">
      <x14:dataValidations xmlns:xm="http://schemas.microsoft.com/office/excel/2006/main" count="2">
        <x14:dataValidation type="list" allowBlank="1" showInputMessage="1" showErrorMessage="1" xr:uid="{3A77A9CD-3B41-4603-AA8E-CB0CF09DE415}">
          <x14:formula1>
            <xm:f>Dropdowns!$G$1:$G$58</xm:f>
          </x14:formula1>
          <xm:sqref>F181:J181</xm:sqref>
        </x14:dataValidation>
        <x14:dataValidation type="list" allowBlank="1" showInputMessage="1" showErrorMessage="1" xr:uid="{A3C94196-8BF2-4B12-9F72-885D5EE72EF0}">
          <x14:formula1>
            <xm:f>Dropdowns!B79:B91</xm:f>
          </x14:formula1>
          <xm:sqref>B196:N203</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ContactList"/>
  <dimension ref="A1:AO30"/>
  <sheetViews>
    <sheetView showGridLines="0" zoomScaleNormal="100" zoomScaleSheetLayoutView="100" workbookViewId="0">
      <selection activeCell="A48" sqref="A48"/>
    </sheetView>
  </sheetViews>
  <sheetFormatPr defaultColWidth="9.28515625" defaultRowHeight="18" customHeight="1"/>
  <cols>
    <col min="1" max="1" width="8.7109375" style="426" customWidth="1"/>
    <col min="2" max="2" width="20.7109375" style="426" customWidth="1"/>
    <col min="3" max="3" width="33.5703125" style="476" customWidth="1"/>
    <col min="4" max="4" width="20.7109375" style="478" customWidth="1"/>
    <col min="5" max="5" width="23.7109375" style="476" customWidth="1"/>
    <col min="6" max="6" width="22.7109375" style="476" customWidth="1"/>
    <col min="7" max="7" width="13.28515625" style="476" customWidth="1"/>
    <col min="8" max="8" width="8.42578125" style="426" customWidth="1"/>
    <col min="9" max="9" width="12.28515625" style="426" customWidth="1"/>
    <col min="10" max="10" width="18.7109375" style="476" customWidth="1"/>
    <col min="11" max="11" width="25.7109375" style="476" customWidth="1"/>
    <col min="12" max="12" width="17.28515625" style="476" customWidth="1"/>
    <col min="13" max="13" width="15.5703125" style="476" customWidth="1"/>
    <col min="14" max="14" width="17.28515625" style="476" customWidth="1"/>
    <col min="15" max="15" width="25.7109375" style="476" customWidth="1"/>
    <col min="16" max="16" width="14" style="476" customWidth="1"/>
    <col min="17" max="17" width="15.5703125" style="476" customWidth="1"/>
    <col min="18" max="18" width="19.7109375" style="476" customWidth="1"/>
    <col min="19" max="19" width="14.7109375" style="476" customWidth="1"/>
    <col min="20" max="20" width="9.5703125" style="426" customWidth="1"/>
    <col min="21" max="21" width="13.28515625" style="426" customWidth="1"/>
    <col min="22" max="39" width="4.28515625" style="426" customWidth="1"/>
    <col min="40" max="40" width="9.28515625" style="426" customWidth="1"/>
    <col min="41" max="16384" width="9.28515625" style="426"/>
  </cols>
  <sheetData>
    <row r="1" spans="1:39" ht="18" customHeight="1">
      <c r="B1" s="2430" t="s">
        <v>1043</v>
      </c>
      <c r="C1" s="2008"/>
      <c r="D1" s="2008"/>
      <c r="E1" s="2008"/>
      <c r="F1" s="2008"/>
      <c r="G1" s="2008"/>
      <c r="H1" s="2008"/>
    </row>
    <row r="2" spans="1:39" s="90" customFormat="1" ht="18" customHeight="1">
      <c r="I2" s="1668"/>
      <c r="J2" s="350"/>
      <c r="K2" s="350"/>
      <c r="L2" s="350"/>
      <c r="M2" s="350"/>
      <c r="N2" s="350"/>
      <c r="O2" s="350"/>
      <c r="P2" s="350"/>
      <c r="Q2" s="350"/>
      <c r="R2" s="350"/>
      <c r="S2" s="350"/>
      <c r="T2" s="1668"/>
      <c r="U2" s="1668"/>
      <c r="V2" s="139"/>
      <c r="W2" s="139"/>
      <c r="X2" s="139"/>
      <c r="Y2" s="139"/>
      <c r="Z2" s="139"/>
      <c r="AA2" s="139"/>
      <c r="AB2" s="139"/>
      <c r="AC2" s="139"/>
      <c r="AD2" s="139"/>
      <c r="AE2" s="139"/>
      <c r="AF2" s="139"/>
      <c r="AG2" s="139"/>
      <c r="AH2" s="139"/>
      <c r="AI2" s="139"/>
      <c r="AJ2" s="139"/>
      <c r="AK2" s="139"/>
      <c r="AL2" s="139"/>
      <c r="AM2" s="139"/>
    </row>
    <row r="3" spans="1:39" s="138" customFormat="1" ht="18" customHeight="1">
      <c r="B3" s="2431"/>
      <c r="C3" s="2431"/>
      <c r="D3" s="951"/>
      <c r="E3" s="326"/>
      <c r="F3" s="326"/>
      <c r="G3" s="326"/>
      <c r="H3" s="142"/>
      <c r="I3" s="142"/>
      <c r="J3" s="326"/>
      <c r="K3" s="326"/>
      <c r="L3" s="326"/>
      <c r="M3" s="326"/>
      <c r="N3" s="326"/>
      <c r="O3" s="326"/>
      <c r="P3" s="326"/>
      <c r="Q3" s="326"/>
      <c r="R3" s="326"/>
      <c r="S3" s="326"/>
      <c r="T3" s="142"/>
      <c r="U3" s="142"/>
      <c r="V3" s="109"/>
      <c r="W3" s="109"/>
      <c r="X3" s="109"/>
      <c r="Y3" s="109"/>
      <c r="Z3" s="109"/>
      <c r="AA3" s="109"/>
      <c r="AB3" s="109"/>
      <c r="AC3" s="109"/>
      <c r="AD3" s="109"/>
      <c r="AE3" s="109"/>
      <c r="AF3" s="109"/>
      <c r="AG3" s="109"/>
      <c r="AH3" s="109"/>
      <c r="AI3" s="109"/>
      <c r="AJ3" s="109"/>
      <c r="AK3" s="109"/>
      <c r="AL3" s="109"/>
      <c r="AM3" s="109"/>
    </row>
    <row r="4" spans="1:39" s="176" customFormat="1" ht="36" customHeight="1">
      <c r="B4" s="1461" t="s">
        <v>1044</v>
      </c>
      <c r="C4" s="1005" t="s">
        <v>1045</v>
      </c>
      <c r="D4" s="1006" t="s">
        <v>1046</v>
      </c>
      <c r="E4" s="1006" t="s">
        <v>747</v>
      </c>
      <c r="F4" s="1005" t="s">
        <v>1047</v>
      </c>
      <c r="G4" s="1005" t="s">
        <v>784</v>
      </c>
      <c r="H4" s="1005" t="s">
        <v>705</v>
      </c>
      <c r="I4" s="1006" t="s">
        <v>1048</v>
      </c>
      <c r="J4" s="1007" t="s">
        <v>1049</v>
      </c>
      <c r="K4" s="1005" t="s">
        <v>1050</v>
      </c>
      <c r="L4" s="1005" t="s">
        <v>1051</v>
      </c>
      <c r="M4" s="1005" t="s">
        <v>1052</v>
      </c>
      <c r="N4" s="1008" t="s">
        <v>1053</v>
      </c>
      <c r="O4" s="1005" t="s">
        <v>1054</v>
      </c>
      <c r="P4" s="1005" t="s">
        <v>1055</v>
      </c>
      <c r="Q4" s="1005" t="s">
        <v>1056</v>
      </c>
      <c r="R4" s="1006" t="s">
        <v>1057</v>
      </c>
      <c r="S4" s="1005" t="s">
        <v>1058</v>
      </c>
      <c r="T4" s="1005" t="s">
        <v>1059</v>
      </c>
      <c r="U4" s="793" t="s">
        <v>1060</v>
      </c>
      <c r="V4" s="142"/>
      <c r="W4" s="142"/>
      <c r="X4" s="142"/>
      <c r="Y4" s="142"/>
      <c r="Z4" s="142"/>
      <c r="AA4" s="142"/>
      <c r="AB4" s="142"/>
      <c r="AC4" s="142"/>
      <c r="AD4" s="142"/>
      <c r="AE4" s="142"/>
      <c r="AF4" s="142"/>
      <c r="AG4" s="142"/>
      <c r="AH4" s="142"/>
      <c r="AI4" s="142"/>
      <c r="AJ4" s="142"/>
      <c r="AK4" s="142"/>
      <c r="AL4" s="142"/>
      <c r="AM4" s="142"/>
    </row>
    <row r="5" spans="1:39" s="143" customFormat="1" ht="36" customHeight="1">
      <c r="B5" s="1012" t="s">
        <v>744</v>
      </c>
      <c r="C5" s="1013"/>
      <c r="D5" s="1665"/>
      <c r="E5" s="1013"/>
      <c r="F5" s="1014"/>
      <c r="G5" s="1014"/>
      <c r="H5" s="1015"/>
      <c r="I5" s="1729"/>
      <c r="J5" s="1014"/>
      <c r="K5" s="1014"/>
      <c r="L5" s="1016"/>
      <c r="M5" s="1017"/>
      <c r="N5" s="1014"/>
      <c r="O5" s="1014"/>
      <c r="P5" s="1016"/>
      <c r="Q5" s="1017"/>
      <c r="R5" s="1665"/>
      <c r="S5" s="1665"/>
      <c r="T5" s="1729"/>
      <c r="U5" s="1729"/>
      <c r="V5" s="383"/>
      <c r="W5" s="383"/>
      <c r="X5" s="383"/>
      <c r="Y5" s="383"/>
      <c r="Z5" s="383"/>
      <c r="AA5" s="383"/>
      <c r="AB5" s="383"/>
      <c r="AC5" s="383"/>
      <c r="AD5" s="383"/>
      <c r="AE5" s="383"/>
      <c r="AF5" s="383"/>
      <c r="AG5" s="383"/>
      <c r="AH5" s="383"/>
      <c r="AI5" s="383"/>
      <c r="AJ5" s="383"/>
      <c r="AK5" s="383"/>
      <c r="AL5" s="383"/>
      <c r="AM5" s="383"/>
    </row>
    <row r="6" spans="1:39" s="138" customFormat="1" ht="36" hidden="1" customHeight="1">
      <c r="A6" s="143"/>
      <c r="B6" s="1012" t="s">
        <v>759</v>
      </c>
      <c r="C6" s="1013"/>
      <c r="D6" s="1665"/>
      <c r="E6" s="1013"/>
      <c r="F6" s="1014"/>
      <c r="G6" s="1014"/>
      <c r="H6" s="1015"/>
      <c r="I6" s="1729"/>
      <c r="J6" s="1014"/>
      <c r="K6" s="1014"/>
      <c r="L6" s="1016"/>
      <c r="M6" s="1017"/>
      <c r="N6" s="1014"/>
      <c r="O6" s="1014"/>
      <c r="P6" s="1016"/>
      <c r="Q6" s="1017"/>
      <c r="R6" s="1011"/>
      <c r="S6" s="1011"/>
      <c r="T6" s="1010"/>
      <c r="U6" s="305"/>
      <c r="V6" s="142"/>
      <c r="W6" s="142"/>
      <c r="X6" s="142"/>
      <c r="Y6" s="142"/>
      <c r="Z6" s="142"/>
      <c r="AA6" s="142"/>
      <c r="AB6" s="142"/>
      <c r="AC6" s="142"/>
      <c r="AD6" s="142"/>
      <c r="AE6" s="142"/>
      <c r="AF6" s="142"/>
      <c r="AG6" s="142"/>
      <c r="AH6" s="142"/>
      <c r="AI6" s="142"/>
      <c r="AJ6" s="142"/>
      <c r="AK6" s="142"/>
      <c r="AL6" s="142"/>
      <c r="AM6" s="142"/>
    </row>
    <row r="7" spans="1:39" s="138" customFormat="1" ht="36" hidden="1" customHeight="1">
      <c r="A7" s="143"/>
      <c r="B7" s="1012" t="s">
        <v>762</v>
      </c>
      <c r="C7" s="1013"/>
      <c r="D7" s="1665"/>
      <c r="E7" s="1013"/>
      <c r="F7" s="1014"/>
      <c r="G7" s="1014"/>
      <c r="H7" s="1015"/>
      <c r="I7" s="1729"/>
      <c r="J7" s="1014"/>
      <c r="K7" s="1014"/>
      <c r="L7" s="1016"/>
      <c r="M7" s="1017"/>
      <c r="N7" s="1014"/>
      <c r="O7" s="1014"/>
      <c r="P7" s="1016"/>
      <c r="Q7" s="1017"/>
      <c r="R7" s="1665"/>
      <c r="S7" s="1665"/>
      <c r="T7" s="1729"/>
      <c r="U7" s="1729"/>
      <c r="V7" s="142"/>
      <c r="W7" s="142"/>
      <c r="X7" s="142"/>
      <c r="Y7" s="142"/>
      <c r="Z7" s="142"/>
      <c r="AA7" s="142"/>
      <c r="AB7" s="142"/>
      <c r="AC7" s="142"/>
      <c r="AD7" s="142"/>
      <c r="AE7" s="142"/>
      <c r="AF7" s="142"/>
      <c r="AG7" s="142"/>
      <c r="AH7" s="142"/>
      <c r="AI7" s="142"/>
      <c r="AJ7" s="142"/>
      <c r="AK7" s="142"/>
      <c r="AL7" s="142"/>
      <c r="AM7" s="142"/>
    </row>
    <row r="8" spans="1:39" s="138" customFormat="1" ht="36" hidden="1" customHeight="1">
      <c r="B8" s="1012" t="s">
        <v>1061</v>
      </c>
      <c r="C8" s="1013"/>
      <c r="D8" s="1665"/>
      <c r="E8" s="1665"/>
      <c r="F8" s="1014"/>
      <c r="G8" s="1014"/>
      <c r="H8" s="1015"/>
      <c r="I8" s="1729"/>
      <c r="J8" s="1014"/>
      <c r="K8" s="1014"/>
      <c r="L8" s="1016"/>
      <c r="M8" s="1017"/>
      <c r="N8" s="1014"/>
      <c r="O8" s="1014"/>
      <c r="P8" s="1016"/>
      <c r="Q8" s="1017"/>
      <c r="R8" s="1665"/>
      <c r="S8" s="1665"/>
      <c r="T8" s="1729"/>
      <c r="U8" s="1729"/>
      <c r="V8" s="142"/>
      <c r="W8" s="142"/>
      <c r="X8" s="142"/>
      <c r="Y8" s="142"/>
      <c r="Z8" s="142"/>
      <c r="AA8" s="142"/>
      <c r="AB8" s="142"/>
      <c r="AC8" s="142"/>
      <c r="AD8" s="142"/>
      <c r="AE8" s="142"/>
      <c r="AF8" s="142"/>
      <c r="AG8" s="142"/>
      <c r="AH8" s="142"/>
      <c r="AI8" s="142"/>
      <c r="AJ8" s="142"/>
      <c r="AK8" s="142"/>
      <c r="AL8" s="142"/>
      <c r="AM8" s="142"/>
    </row>
    <row r="9" spans="1:39" s="138" customFormat="1" ht="36" hidden="1" customHeight="1">
      <c r="B9" s="1012" t="s">
        <v>766</v>
      </c>
      <c r="C9" s="1658" t="str">
        <f>IF(vmMGP&gt;0,vmMGP,"")</f>
        <v/>
      </c>
      <c r="D9" s="1665"/>
      <c r="E9" s="1665"/>
      <c r="F9" s="1014"/>
      <c r="G9" s="1014"/>
      <c r="H9" s="1015"/>
      <c r="I9" s="1729"/>
      <c r="J9" s="1014"/>
      <c r="K9" s="1014"/>
      <c r="L9" s="1016"/>
      <c r="M9" s="1017"/>
      <c r="N9" s="1014"/>
      <c r="O9" s="1014"/>
      <c r="P9" s="1016"/>
      <c r="Q9" s="1017"/>
      <c r="R9" s="1665"/>
      <c r="S9" s="1665"/>
      <c r="T9" s="1729"/>
      <c r="U9" s="1729"/>
      <c r="V9" s="142"/>
      <c r="W9" s="142"/>
      <c r="X9" s="142"/>
      <c r="Y9" s="142"/>
      <c r="Z9" s="142"/>
      <c r="AA9" s="142"/>
      <c r="AB9" s="142"/>
      <c r="AC9" s="142"/>
      <c r="AD9" s="142"/>
      <c r="AE9" s="142"/>
      <c r="AF9" s="142"/>
      <c r="AG9" s="142"/>
      <c r="AH9" s="142"/>
      <c r="AI9" s="142"/>
      <c r="AJ9" s="142"/>
      <c r="AK9" s="142"/>
      <c r="AL9" s="142"/>
      <c r="AM9" s="142"/>
    </row>
    <row r="10" spans="1:39" s="138" customFormat="1" ht="36" hidden="1" customHeight="1">
      <c r="B10" s="1012" t="s">
        <v>1062</v>
      </c>
      <c r="C10" s="1658" t="str">
        <f>IF(vmAGP1&gt;0,vmAGP1,"")</f>
        <v/>
      </c>
      <c r="D10" s="1665"/>
      <c r="E10" s="1665"/>
      <c r="F10" s="1014"/>
      <c r="G10" s="1014"/>
      <c r="H10" s="1015"/>
      <c r="I10" s="1729"/>
      <c r="J10" s="1014"/>
      <c r="K10" s="1014"/>
      <c r="L10" s="1016"/>
      <c r="M10" s="1017"/>
      <c r="N10" s="1014"/>
      <c r="O10" s="1014"/>
      <c r="P10" s="1016"/>
      <c r="Q10" s="1017"/>
      <c r="R10" s="1665"/>
      <c r="S10" s="1665"/>
      <c r="T10" s="1729"/>
      <c r="U10" s="1729"/>
      <c r="V10" s="142"/>
      <c r="W10" s="142"/>
      <c r="X10" s="142"/>
      <c r="Y10" s="142"/>
      <c r="Z10" s="142"/>
      <c r="AA10" s="142"/>
      <c r="AB10" s="142"/>
      <c r="AC10" s="142"/>
      <c r="AD10" s="142"/>
      <c r="AE10" s="142"/>
      <c r="AF10" s="142"/>
      <c r="AG10" s="142"/>
      <c r="AH10" s="142"/>
      <c r="AI10" s="142"/>
      <c r="AJ10" s="142"/>
      <c r="AK10" s="142"/>
      <c r="AL10" s="142"/>
      <c r="AM10" s="142"/>
    </row>
    <row r="11" spans="1:39" s="138" customFormat="1" ht="36" hidden="1" customHeight="1">
      <c r="B11" s="1012" t="s">
        <v>1063</v>
      </c>
      <c r="C11" s="1658" t="str">
        <f>IF(vmAGP2&gt;0,vmAGP2,"")</f>
        <v/>
      </c>
      <c r="D11" s="1665"/>
      <c r="E11" s="1665"/>
      <c r="F11" s="1014"/>
      <c r="G11" s="1014"/>
      <c r="H11" s="1015"/>
      <c r="I11" s="1729"/>
      <c r="J11" s="1014"/>
      <c r="K11" s="1014"/>
      <c r="L11" s="1016"/>
      <c r="M11" s="1017"/>
      <c r="N11" s="1014"/>
      <c r="O11" s="1014"/>
      <c r="P11" s="1016"/>
      <c r="Q11" s="1017"/>
      <c r="R11" s="1665"/>
      <c r="S11" s="1665"/>
      <c r="T11" s="1729"/>
      <c r="U11" s="1729"/>
      <c r="V11" s="142"/>
      <c r="W11" s="142"/>
      <c r="X11" s="142"/>
      <c r="Y11" s="142"/>
      <c r="Z11" s="142"/>
      <c r="AA11" s="142"/>
      <c r="AB11" s="142"/>
      <c r="AC11" s="142"/>
      <c r="AD11" s="142"/>
      <c r="AE11" s="142"/>
      <c r="AF11" s="142"/>
      <c r="AG11" s="142"/>
      <c r="AH11" s="142"/>
      <c r="AI11" s="142"/>
      <c r="AJ11" s="142"/>
      <c r="AK11" s="142"/>
      <c r="AL11" s="142"/>
      <c r="AM11" s="142"/>
    </row>
    <row r="12" spans="1:39" s="138" customFormat="1" ht="36" hidden="1" customHeight="1">
      <c r="B12" s="1012" t="s">
        <v>769</v>
      </c>
      <c r="C12" s="1658" t="str">
        <f>IF(vmManagerLLC&gt;0,vmManagerLLC,"")</f>
        <v/>
      </c>
      <c r="D12" s="1665"/>
      <c r="E12" s="1665"/>
      <c r="F12" s="1014"/>
      <c r="G12" s="1014"/>
      <c r="H12" s="1015"/>
      <c r="I12" s="1729"/>
      <c r="J12" s="1014"/>
      <c r="K12" s="1014"/>
      <c r="L12" s="1016"/>
      <c r="M12" s="1017"/>
      <c r="N12" s="1014"/>
      <c r="O12" s="1014"/>
      <c r="P12" s="1016"/>
      <c r="Q12" s="1017"/>
      <c r="R12" s="1665"/>
      <c r="S12" s="1665"/>
      <c r="T12" s="1729"/>
      <c r="U12" s="1729"/>
      <c r="V12" s="142"/>
      <c r="W12" s="142"/>
      <c r="X12" s="142"/>
      <c r="Y12" s="142"/>
      <c r="Z12" s="142"/>
      <c r="AA12" s="142"/>
      <c r="AB12" s="142"/>
      <c r="AC12" s="142"/>
      <c r="AD12" s="142"/>
      <c r="AE12" s="142"/>
      <c r="AF12" s="142"/>
      <c r="AG12" s="142"/>
      <c r="AH12" s="142"/>
      <c r="AI12" s="142"/>
      <c r="AJ12" s="142"/>
      <c r="AK12" s="142"/>
      <c r="AL12" s="142"/>
      <c r="AM12" s="142"/>
    </row>
    <row r="13" spans="1:39" s="138" customFormat="1" ht="36" hidden="1" customHeight="1">
      <c r="B13" s="1012" t="s">
        <v>1064</v>
      </c>
      <c r="C13" s="1665"/>
      <c r="D13" s="1658"/>
      <c r="E13" s="1658"/>
      <c r="F13" s="1014"/>
      <c r="G13" s="1014"/>
      <c r="H13" s="1015"/>
      <c r="I13" s="1729"/>
      <c r="J13" s="1018"/>
      <c r="K13" s="1018"/>
      <c r="L13" s="1019"/>
      <c r="M13" s="1020"/>
      <c r="N13" s="1014"/>
      <c r="O13" s="1014"/>
      <c r="P13" s="1016"/>
      <c r="Q13" s="1017"/>
      <c r="R13" s="1658"/>
      <c r="S13" s="1658"/>
      <c r="T13" s="1660"/>
      <c r="U13" s="1660"/>
      <c r="V13" s="142"/>
      <c r="W13" s="142"/>
      <c r="X13" s="142"/>
      <c r="Y13" s="142"/>
      <c r="Z13" s="142"/>
      <c r="AA13" s="142"/>
      <c r="AB13" s="142"/>
      <c r="AC13" s="142"/>
      <c r="AD13" s="142"/>
      <c r="AE13" s="142"/>
      <c r="AF13" s="142"/>
      <c r="AG13" s="142"/>
      <c r="AH13" s="142"/>
      <c r="AI13" s="142"/>
      <c r="AJ13" s="142"/>
      <c r="AK13" s="142"/>
      <c r="AL13" s="142"/>
      <c r="AM13" s="142"/>
    </row>
    <row r="14" spans="1:39" s="138" customFormat="1" ht="36" hidden="1" customHeight="1">
      <c r="B14" s="1012" t="s">
        <v>1065</v>
      </c>
      <c r="C14" s="1665"/>
      <c r="D14" s="1658"/>
      <c r="E14" s="1658"/>
      <c r="F14" s="1014"/>
      <c r="G14" s="1014"/>
      <c r="H14" s="1015"/>
      <c r="I14" s="1729"/>
      <c r="J14" s="1018"/>
      <c r="K14" s="1018"/>
      <c r="L14" s="1019"/>
      <c r="M14" s="1020"/>
      <c r="N14" s="1014"/>
      <c r="O14" s="1014"/>
      <c r="P14" s="1016"/>
      <c r="Q14" s="1017"/>
      <c r="R14" s="1658"/>
      <c r="S14" s="1658"/>
      <c r="T14" s="1660"/>
      <c r="U14" s="1660"/>
      <c r="V14" s="142"/>
      <c r="W14" s="142"/>
      <c r="X14" s="142"/>
      <c r="Y14" s="142"/>
      <c r="Z14" s="142"/>
      <c r="AA14" s="142"/>
      <c r="AB14" s="142"/>
      <c r="AC14" s="142"/>
      <c r="AD14" s="142"/>
      <c r="AE14" s="142"/>
      <c r="AF14" s="142"/>
      <c r="AG14" s="142"/>
      <c r="AH14" s="142"/>
      <c r="AI14" s="142"/>
      <c r="AJ14" s="142"/>
      <c r="AK14" s="142"/>
      <c r="AL14" s="142"/>
      <c r="AM14" s="142"/>
    </row>
    <row r="15" spans="1:39" s="138" customFormat="1" ht="36" hidden="1" customHeight="1">
      <c r="B15" s="1012" t="s">
        <v>1066</v>
      </c>
      <c r="C15" s="1665"/>
      <c r="D15" s="1658"/>
      <c r="E15" s="1658"/>
      <c r="F15" s="1014"/>
      <c r="G15" s="1014"/>
      <c r="H15" s="1015"/>
      <c r="I15" s="1729"/>
      <c r="J15" s="1018"/>
      <c r="K15" s="1018"/>
      <c r="L15" s="1019"/>
      <c r="M15" s="1020"/>
      <c r="N15" s="1014"/>
      <c r="O15" s="1014"/>
      <c r="P15" s="1016"/>
      <c r="Q15" s="1017"/>
      <c r="R15" s="1658"/>
      <c r="S15" s="1658"/>
      <c r="T15" s="1660"/>
      <c r="U15" s="1660"/>
      <c r="V15" s="142"/>
      <c r="W15" s="142"/>
      <c r="X15" s="142"/>
      <c r="Y15" s="142"/>
      <c r="Z15" s="142"/>
      <c r="AA15" s="142"/>
      <c r="AB15" s="142"/>
      <c r="AC15" s="142"/>
      <c r="AD15" s="142"/>
      <c r="AE15" s="142"/>
      <c r="AF15" s="142"/>
      <c r="AG15" s="142"/>
      <c r="AH15" s="142"/>
      <c r="AI15" s="142"/>
      <c r="AJ15" s="142"/>
      <c r="AK15" s="142"/>
      <c r="AL15" s="142"/>
      <c r="AM15" s="142"/>
    </row>
    <row r="16" spans="1:39" s="138" customFormat="1" ht="36" hidden="1" customHeight="1">
      <c r="B16" s="1012" t="s">
        <v>1067</v>
      </c>
      <c r="C16" s="1665"/>
      <c r="D16" s="1658"/>
      <c r="E16" s="1658"/>
      <c r="F16" s="1014"/>
      <c r="G16" s="1014"/>
      <c r="H16" s="1015"/>
      <c r="I16" s="1729"/>
      <c r="J16" s="1018"/>
      <c r="K16" s="1018"/>
      <c r="L16" s="1019"/>
      <c r="M16" s="1020"/>
      <c r="N16" s="1014"/>
      <c r="O16" s="1014"/>
      <c r="P16" s="1016"/>
      <c r="Q16" s="1017"/>
      <c r="R16" s="1658"/>
      <c r="S16" s="1658"/>
      <c r="T16" s="1660"/>
      <c r="U16" s="1660"/>
      <c r="V16" s="142"/>
      <c r="W16" s="142"/>
      <c r="X16" s="142"/>
      <c r="Y16" s="142"/>
      <c r="Z16" s="142"/>
      <c r="AA16" s="142"/>
      <c r="AB16" s="142"/>
      <c r="AC16" s="142"/>
      <c r="AD16" s="142"/>
      <c r="AE16" s="142"/>
      <c r="AF16" s="142"/>
      <c r="AG16" s="142"/>
      <c r="AH16" s="142"/>
      <c r="AI16" s="142"/>
      <c r="AJ16" s="142"/>
      <c r="AK16" s="142"/>
      <c r="AL16" s="142"/>
      <c r="AM16" s="142"/>
    </row>
    <row r="17" spans="2:41" s="138" customFormat="1" ht="36" hidden="1" customHeight="1">
      <c r="B17" s="1012" t="s">
        <v>1068</v>
      </c>
      <c r="C17" s="1665"/>
      <c r="D17" s="1658"/>
      <c r="E17" s="1658"/>
      <c r="F17" s="1014"/>
      <c r="G17" s="1014"/>
      <c r="H17" s="1015"/>
      <c r="I17" s="1729"/>
      <c r="J17" s="1018"/>
      <c r="K17" s="1018"/>
      <c r="L17" s="1019"/>
      <c r="M17" s="1020"/>
      <c r="N17" s="1014"/>
      <c r="O17" s="1014"/>
      <c r="P17" s="1016"/>
      <c r="Q17" s="1017"/>
      <c r="R17" s="1658"/>
      <c r="S17" s="1658"/>
      <c r="T17" s="1660"/>
      <c r="U17" s="1660"/>
      <c r="V17" s="142"/>
      <c r="W17" s="142"/>
      <c r="X17" s="142"/>
      <c r="Y17" s="142"/>
      <c r="Z17" s="142"/>
      <c r="AA17" s="142"/>
      <c r="AB17" s="142"/>
      <c r="AC17" s="142"/>
      <c r="AD17" s="142"/>
      <c r="AE17" s="142"/>
      <c r="AF17" s="142"/>
      <c r="AG17" s="142"/>
      <c r="AH17" s="142"/>
      <c r="AI17" s="142"/>
      <c r="AJ17" s="142"/>
      <c r="AK17" s="142"/>
      <c r="AL17" s="142"/>
      <c r="AM17" s="142"/>
    </row>
    <row r="18" spans="2:41" s="138" customFormat="1" ht="36" hidden="1" customHeight="1">
      <c r="B18" s="1012" t="s">
        <v>1069</v>
      </c>
      <c r="C18" s="1665"/>
      <c r="D18" s="1658"/>
      <c r="E18" s="1658"/>
      <c r="F18" s="1014"/>
      <c r="G18" s="1014"/>
      <c r="H18" s="1015"/>
      <c r="I18" s="1729"/>
      <c r="J18" s="1018"/>
      <c r="K18" s="1018"/>
      <c r="L18" s="1019"/>
      <c r="M18" s="1020"/>
      <c r="N18" s="1014"/>
      <c r="O18" s="1014"/>
      <c r="P18" s="1016"/>
      <c r="Q18" s="1017"/>
      <c r="R18" s="1658"/>
      <c r="S18" s="1658"/>
      <c r="T18" s="1660"/>
      <c r="U18" s="1660"/>
      <c r="V18" s="142"/>
      <c r="W18" s="142"/>
      <c r="X18" s="142"/>
      <c r="Y18" s="142"/>
      <c r="Z18" s="142"/>
      <c r="AA18" s="142"/>
      <c r="AB18" s="142"/>
      <c r="AC18" s="142"/>
      <c r="AD18" s="142"/>
      <c r="AE18" s="142"/>
      <c r="AF18" s="142"/>
      <c r="AG18" s="142"/>
      <c r="AH18" s="142"/>
      <c r="AI18" s="142"/>
      <c r="AJ18" s="142"/>
      <c r="AK18" s="142"/>
      <c r="AL18" s="142"/>
      <c r="AM18" s="142"/>
    </row>
    <row r="19" spans="2:41" s="138" customFormat="1" ht="36" hidden="1" customHeight="1">
      <c r="B19" s="1021" t="s">
        <v>1070</v>
      </c>
      <c r="C19" s="1665"/>
      <c r="D19" s="1658"/>
      <c r="E19" s="1658"/>
      <c r="F19" s="1014"/>
      <c r="G19" s="1014"/>
      <c r="H19" s="1015"/>
      <c r="I19" s="1729"/>
      <c r="J19" s="1014"/>
      <c r="K19" s="1014"/>
      <c r="L19" s="1016"/>
      <c r="M19" s="1017"/>
      <c r="N19" s="1014"/>
      <c r="O19" s="1014"/>
      <c r="P19" s="1016"/>
      <c r="Q19" s="1017"/>
      <c r="R19" s="1665"/>
      <c r="S19" s="1665"/>
      <c r="T19" s="1729"/>
      <c r="U19" s="1729"/>
      <c r="V19" s="142"/>
      <c r="W19" s="142"/>
      <c r="X19" s="142"/>
      <c r="Y19" s="142"/>
      <c r="Z19" s="142"/>
      <c r="AA19" s="142"/>
      <c r="AB19" s="142"/>
      <c r="AC19" s="142"/>
      <c r="AD19" s="142"/>
      <c r="AE19" s="142"/>
      <c r="AF19" s="142"/>
      <c r="AG19" s="142"/>
      <c r="AH19" s="142"/>
      <c r="AI19" s="142"/>
      <c r="AJ19" s="142"/>
      <c r="AK19" s="142"/>
      <c r="AL19" s="142"/>
      <c r="AM19" s="142"/>
    </row>
    <row r="20" spans="2:41" s="138" customFormat="1" ht="36" hidden="1" customHeight="1">
      <c r="B20" s="1022" t="s">
        <v>1041</v>
      </c>
      <c r="C20" s="1665"/>
      <c r="D20" s="1658"/>
      <c r="E20" s="1658"/>
      <c r="F20" s="1014"/>
      <c r="G20" s="1014"/>
      <c r="H20" s="1015"/>
      <c r="I20" s="1729"/>
      <c r="J20" s="1018"/>
      <c r="K20" s="1018"/>
      <c r="L20" s="1019"/>
      <c r="M20" s="1020"/>
      <c r="N20" s="1014"/>
      <c r="O20" s="1014"/>
      <c r="P20" s="1016"/>
      <c r="Q20" s="1017"/>
      <c r="R20" s="1658"/>
      <c r="S20" s="1658"/>
      <c r="T20" s="1660"/>
      <c r="U20" s="1660"/>
      <c r="V20" s="142"/>
      <c r="W20" s="142"/>
      <c r="X20" s="142"/>
      <c r="Y20" s="142"/>
      <c r="Z20" s="142"/>
      <c r="AA20" s="142"/>
      <c r="AB20" s="142"/>
      <c r="AC20" s="142"/>
      <c r="AD20" s="142"/>
      <c r="AE20" s="142"/>
      <c r="AF20" s="142"/>
      <c r="AG20" s="142"/>
      <c r="AH20" s="142"/>
      <c r="AI20" s="142"/>
      <c r="AJ20" s="142"/>
      <c r="AK20" s="142"/>
      <c r="AL20" s="142"/>
      <c r="AM20" s="142"/>
    </row>
    <row r="21" spans="2:41" s="138" customFormat="1" ht="36" hidden="1" customHeight="1">
      <c r="B21" s="1022" t="s">
        <v>1041</v>
      </c>
      <c r="C21" s="1665"/>
      <c r="D21" s="1658"/>
      <c r="E21" s="1658"/>
      <c r="F21" s="1014"/>
      <c r="G21" s="1014"/>
      <c r="H21" s="1015"/>
      <c r="I21" s="1729"/>
      <c r="J21" s="1018"/>
      <c r="K21" s="1018"/>
      <c r="L21" s="1019"/>
      <c r="M21" s="1020"/>
      <c r="N21" s="1014"/>
      <c r="O21" s="1014"/>
      <c r="P21" s="1016"/>
      <c r="Q21" s="1017"/>
      <c r="R21" s="1658"/>
      <c r="S21" s="1658"/>
      <c r="T21" s="1660"/>
      <c r="U21" s="1660"/>
      <c r="V21" s="142"/>
      <c r="W21" s="142"/>
      <c r="X21" s="142"/>
      <c r="Y21" s="142"/>
      <c r="Z21" s="142"/>
      <c r="AA21" s="142"/>
      <c r="AB21" s="142"/>
      <c r="AC21" s="142"/>
      <c r="AD21" s="142"/>
      <c r="AE21" s="142"/>
      <c r="AF21" s="142"/>
      <c r="AG21" s="142"/>
      <c r="AH21" s="142"/>
      <c r="AI21" s="142"/>
      <c r="AJ21" s="142"/>
      <c r="AK21" s="142"/>
      <c r="AL21" s="142"/>
      <c r="AM21" s="142"/>
    </row>
    <row r="22" spans="2:41" s="138" customFormat="1" ht="36" hidden="1" customHeight="1">
      <c r="B22" s="1022" t="s">
        <v>1041</v>
      </c>
      <c r="C22" s="1665"/>
      <c r="D22" s="1658"/>
      <c r="E22" s="1658"/>
      <c r="F22" s="1014"/>
      <c r="G22" s="1014"/>
      <c r="H22" s="1015"/>
      <c r="I22" s="1729"/>
      <c r="J22" s="1018"/>
      <c r="K22" s="1018"/>
      <c r="L22" s="1019"/>
      <c r="M22" s="1020"/>
      <c r="N22" s="1014"/>
      <c r="O22" s="1014"/>
      <c r="P22" s="1016"/>
      <c r="Q22" s="1017"/>
      <c r="R22" s="1658"/>
      <c r="S22" s="1658"/>
      <c r="T22" s="1660"/>
      <c r="U22" s="1660"/>
      <c r="V22" s="142"/>
      <c r="W22" s="142"/>
      <c r="X22" s="142"/>
      <c r="Y22" s="142"/>
      <c r="Z22" s="142"/>
      <c r="AA22" s="142"/>
      <c r="AB22" s="142"/>
      <c r="AC22" s="142"/>
      <c r="AD22" s="142"/>
      <c r="AE22" s="142"/>
      <c r="AF22" s="142"/>
      <c r="AG22" s="142"/>
      <c r="AH22" s="142"/>
      <c r="AI22" s="142"/>
      <c r="AJ22" s="142"/>
      <c r="AK22" s="142"/>
      <c r="AL22" s="142"/>
      <c r="AM22" s="142"/>
    </row>
    <row r="23" spans="2:41" s="138" customFormat="1" ht="18" hidden="1" customHeight="1">
      <c r="B23" s="142"/>
      <c r="C23" s="326"/>
      <c r="D23" s="432"/>
      <c r="E23" s="326"/>
      <c r="F23" s="326"/>
      <c r="G23" s="326"/>
      <c r="H23" s="142"/>
      <c r="I23" s="142"/>
      <c r="J23" s="326"/>
      <c r="K23" s="326"/>
      <c r="L23" s="326"/>
      <c r="M23" s="326"/>
      <c r="N23" s="326"/>
      <c r="O23" s="326"/>
      <c r="P23" s="326"/>
      <c r="Q23" s="326"/>
      <c r="R23" s="326"/>
      <c r="S23" s="326"/>
      <c r="T23" s="142"/>
      <c r="U23" s="142"/>
      <c r="V23" s="142"/>
      <c r="W23" s="142"/>
      <c r="X23" s="142"/>
      <c r="Y23" s="142"/>
      <c r="Z23" s="142"/>
      <c r="AA23" s="142"/>
      <c r="AB23" s="142"/>
      <c r="AC23" s="142"/>
      <c r="AD23" s="142"/>
      <c r="AE23" s="142"/>
      <c r="AF23" s="142"/>
      <c r="AG23" s="142"/>
      <c r="AH23" s="142"/>
      <c r="AI23" s="142"/>
      <c r="AJ23" s="142"/>
      <c r="AK23" s="142"/>
      <c r="AL23" s="142"/>
      <c r="AM23" s="142"/>
    </row>
    <row r="24" spans="2:41" s="138" customFormat="1" ht="36" hidden="1" customHeight="1">
      <c r="B24" s="1462" t="s">
        <v>1071</v>
      </c>
      <c r="C24" s="1005" t="s">
        <v>1072</v>
      </c>
      <c r="D24" s="1006" t="s">
        <v>1073</v>
      </c>
      <c r="E24" s="1005" t="s">
        <v>1074</v>
      </c>
      <c r="F24" s="1006" t="s">
        <v>1075</v>
      </c>
      <c r="G24" s="794" t="s">
        <v>1076</v>
      </c>
      <c r="H24" s="142"/>
      <c r="I24" s="142"/>
      <c r="J24" s="326"/>
      <c r="K24" s="326"/>
      <c r="L24" s="326"/>
      <c r="M24" s="326"/>
      <c r="N24" s="326"/>
      <c r="O24" s="326"/>
      <c r="P24" s="326"/>
      <c r="Q24" s="326"/>
      <c r="R24" s="326"/>
      <c r="S24" s="326"/>
      <c r="T24" s="142"/>
      <c r="U24" s="142"/>
      <c r="V24" s="142"/>
      <c r="W24" s="142"/>
      <c r="X24" s="142"/>
      <c r="Y24" s="142"/>
      <c r="Z24" s="142"/>
      <c r="AA24" s="142"/>
      <c r="AB24" s="142"/>
      <c r="AC24" s="142"/>
      <c r="AD24" s="142"/>
      <c r="AE24" s="142"/>
      <c r="AF24" s="142"/>
      <c r="AG24" s="142"/>
      <c r="AH24" s="142"/>
      <c r="AI24" s="142"/>
      <c r="AJ24" s="142"/>
      <c r="AK24" s="142"/>
      <c r="AL24" s="142"/>
      <c r="AM24" s="142"/>
      <c r="AN24" s="142"/>
      <c r="AO24" s="142"/>
    </row>
    <row r="25" spans="2:41" s="138" customFormat="1" ht="36" hidden="1" customHeight="1">
      <c r="B25" s="1023"/>
      <c r="C25" s="1729"/>
      <c r="D25" s="1014"/>
      <c r="E25" s="1729"/>
      <c r="F25" s="1014"/>
      <c r="G25" s="1024"/>
      <c r="H25" s="142"/>
      <c r="I25" s="142"/>
      <c r="J25" s="326"/>
      <c r="K25" s="326"/>
      <c r="L25" s="326"/>
      <c r="M25" s="326"/>
      <c r="N25" s="326"/>
      <c r="O25" s="326"/>
      <c r="P25" s="326"/>
      <c r="Q25" s="326"/>
      <c r="R25" s="326"/>
      <c r="S25" s="326"/>
      <c r="T25" s="142"/>
      <c r="U25" s="142"/>
      <c r="V25" s="142"/>
      <c r="W25" s="142"/>
      <c r="X25" s="142"/>
      <c r="Y25" s="142"/>
      <c r="Z25" s="142"/>
      <c r="AA25" s="142"/>
      <c r="AB25" s="142"/>
      <c r="AC25" s="142"/>
      <c r="AD25" s="142"/>
      <c r="AE25" s="142"/>
      <c r="AF25" s="142"/>
      <c r="AG25" s="142"/>
      <c r="AH25" s="142"/>
      <c r="AI25" s="142"/>
      <c r="AJ25" s="142"/>
      <c r="AK25" s="142"/>
      <c r="AL25" s="142"/>
      <c r="AM25" s="142"/>
      <c r="AN25" s="142"/>
      <c r="AO25" s="142"/>
    </row>
    <row r="26" spans="2:41" s="138" customFormat="1" ht="36" hidden="1" customHeight="1">
      <c r="B26" s="1023"/>
      <c r="C26" s="1729"/>
      <c r="D26" s="1014"/>
      <c r="E26" s="1729"/>
      <c r="F26" s="1014"/>
      <c r="G26" s="1024"/>
      <c r="H26" s="142"/>
      <c r="I26" s="142"/>
      <c r="J26" s="326"/>
      <c r="K26" s="326"/>
      <c r="L26" s="326"/>
      <c r="M26" s="326"/>
      <c r="N26" s="326"/>
      <c r="O26" s="326"/>
      <c r="P26" s="326"/>
      <c r="Q26" s="326"/>
      <c r="R26" s="326"/>
      <c r="S26" s="326"/>
      <c r="T26" s="142"/>
      <c r="U26" s="142"/>
      <c r="V26" s="142"/>
      <c r="W26" s="142"/>
      <c r="X26" s="142"/>
      <c r="Y26" s="142"/>
      <c r="Z26" s="142"/>
      <c r="AA26" s="142"/>
      <c r="AB26" s="142"/>
      <c r="AC26" s="142"/>
      <c r="AD26" s="142"/>
      <c r="AE26" s="142"/>
      <c r="AF26" s="142"/>
      <c r="AG26" s="142"/>
      <c r="AH26" s="142"/>
      <c r="AI26" s="142"/>
      <c r="AJ26" s="142"/>
      <c r="AK26" s="142"/>
      <c r="AL26" s="142"/>
      <c r="AM26" s="142"/>
      <c r="AN26" s="142"/>
      <c r="AO26" s="142"/>
    </row>
    <row r="27" spans="2:41" s="138" customFormat="1" ht="36" hidden="1" customHeight="1">
      <c r="B27" s="1023"/>
      <c r="C27" s="1729"/>
      <c r="D27" s="1014"/>
      <c r="E27" s="1729"/>
      <c r="F27" s="1014"/>
      <c r="G27" s="1024"/>
      <c r="H27" s="142"/>
      <c r="I27" s="142"/>
      <c r="J27" s="326"/>
      <c r="K27" s="326"/>
      <c r="L27" s="326"/>
      <c r="M27" s="326"/>
      <c r="N27" s="326"/>
      <c r="O27" s="326"/>
      <c r="P27" s="326"/>
      <c r="Q27" s="326"/>
      <c r="R27" s="326"/>
      <c r="S27" s="326"/>
      <c r="T27" s="142"/>
      <c r="U27" s="142"/>
      <c r="V27" s="142"/>
      <c r="W27" s="142"/>
      <c r="X27" s="142"/>
      <c r="Y27" s="142"/>
      <c r="Z27" s="142"/>
      <c r="AA27" s="142"/>
      <c r="AB27" s="142"/>
      <c r="AC27" s="142"/>
      <c r="AD27" s="142"/>
      <c r="AE27" s="142"/>
      <c r="AF27" s="142"/>
      <c r="AG27" s="142"/>
      <c r="AH27" s="142"/>
      <c r="AI27" s="142"/>
      <c r="AJ27" s="142"/>
      <c r="AK27" s="142"/>
      <c r="AL27" s="142"/>
      <c r="AM27" s="142"/>
      <c r="AN27" s="142"/>
      <c r="AO27" s="142"/>
    </row>
    <row r="28" spans="2:41" s="138" customFormat="1" ht="36" hidden="1" customHeight="1">
      <c r="B28" s="1025"/>
      <c r="C28" s="1010"/>
      <c r="D28" s="1009"/>
      <c r="E28" s="1010"/>
      <c r="F28" s="1009"/>
      <c r="G28" s="305"/>
      <c r="H28" s="142"/>
      <c r="I28" s="142"/>
      <c r="J28" s="326"/>
      <c r="K28" s="326"/>
      <c r="L28" s="326"/>
      <c r="M28" s="326"/>
      <c r="N28" s="326"/>
      <c r="O28" s="326"/>
      <c r="P28" s="326"/>
      <c r="Q28" s="326"/>
      <c r="R28" s="326"/>
      <c r="S28" s="326"/>
      <c r="T28" s="142"/>
      <c r="U28" s="142"/>
      <c r="V28" s="142"/>
      <c r="W28" s="142"/>
      <c r="X28" s="142"/>
      <c r="Y28" s="142"/>
      <c r="Z28" s="142"/>
      <c r="AA28" s="142"/>
      <c r="AB28" s="142"/>
      <c r="AC28" s="142"/>
      <c r="AD28" s="142"/>
      <c r="AE28" s="142"/>
      <c r="AF28" s="142"/>
      <c r="AG28" s="142"/>
      <c r="AH28" s="142"/>
      <c r="AI28" s="142"/>
      <c r="AJ28" s="142"/>
      <c r="AK28" s="142"/>
      <c r="AL28" s="142"/>
      <c r="AM28" s="142"/>
      <c r="AN28" s="142"/>
      <c r="AO28" s="142"/>
    </row>
    <row r="29" spans="2:41" s="138" customFormat="1" ht="18" customHeight="1">
      <c r="B29" s="142"/>
      <c r="C29" s="326"/>
      <c r="D29" s="432"/>
      <c r="E29" s="326"/>
      <c r="F29" s="326"/>
      <c r="G29" s="326"/>
      <c r="H29" s="142"/>
      <c r="I29" s="142"/>
      <c r="J29" s="326"/>
      <c r="K29" s="326"/>
      <c r="L29" s="326"/>
      <c r="M29" s="326"/>
      <c r="N29" s="326"/>
      <c r="O29" s="326"/>
      <c r="P29" s="326"/>
      <c r="Q29" s="326"/>
      <c r="R29" s="326"/>
      <c r="S29" s="326"/>
      <c r="T29" s="142"/>
      <c r="U29" s="142"/>
      <c r="V29" s="142"/>
      <c r="W29" s="142"/>
      <c r="X29" s="142"/>
      <c r="Y29" s="142"/>
      <c r="Z29" s="142"/>
      <c r="AA29" s="142"/>
      <c r="AB29" s="142"/>
      <c r="AC29" s="142"/>
      <c r="AD29" s="142"/>
      <c r="AE29" s="142"/>
      <c r="AF29" s="142"/>
      <c r="AG29" s="142"/>
      <c r="AH29" s="142"/>
      <c r="AI29" s="142"/>
      <c r="AJ29" s="142"/>
      <c r="AK29" s="142"/>
      <c r="AL29" s="142"/>
      <c r="AM29" s="142"/>
    </row>
    <row r="30" spans="2:41" ht="18" customHeight="1">
      <c r="B30" s="1791" t="s">
        <v>461</v>
      </c>
      <c r="C30" s="2180"/>
      <c r="D30" s="1802"/>
      <c r="E30" s="2180"/>
      <c r="F30" s="2180"/>
      <c r="G30" s="2180"/>
      <c r="H30" s="1929"/>
      <c r="I30" s="1929"/>
      <c r="J30" s="2180"/>
      <c r="K30" s="2180"/>
    </row>
  </sheetData>
  <sheetProtection algorithmName="SHA-512" hashValue="jjZUqU8wlgLLmnkP+jYbtglFeUSc8b5JP1J0Tz+Y7yXimQtdznYkE9dLQIkU07tc6KJ45hlYAM20M6mkyLzVqw==" saltValue="ORMHuAsCTuwYGxZk1t0eng==" spinCount="100000" sheet="1" objects="1" scenarios="1"/>
  <protectedRanges>
    <protectedRange sqref="C5:E8" name="Range2"/>
    <protectedRange sqref="D3" name="Range1"/>
  </protectedRanges>
  <mergeCells count="3">
    <mergeCell ref="B1:H1"/>
    <mergeCell ref="B30:K30"/>
    <mergeCell ref="B3:C3"/>
  </mergeCells>
  <dataValidations count="1">
    <dataValidation type="list" allowBlank="1" showInputMessage="1" showErrorMessage="1" sqref="D5:D12" xr:uid="{00000000-0002-0000-0800-000000000000}">
      <formula1>ListEligibleSponsorTypes</formula1>
    </dataValidation>
  </dataValidations>
  <printOptions horizontalCentered="1"/>
  <pageMargins left="0" right="0.25" top="0" bottom="0" header="0.25" footer="0.25"/>
  <pageSetup scale="65" orientation="portrait" r:id="rId1"/>
  <headerFooter>
    <oddFooter>&amp;L&amp;F&amp;C&amp;P of &amp;N&amp;R &amp;A</oddFooter>
  </headerFooter>
  <tableParts count="2">
    <tablePart r:id="rId2"/>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C89B85B6-A974-4665-81FD-D42C119237CC}">
          <x14:formula1>
            <xm:f>Dropdowns!$B$6:$B$14</xm:f>
          </x14:formula1>
          <xm:sqref>E5:E8</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DevSources"/>
  <dimension ref="A1:AC293"/>
  <sheetViews>
    <sheetView showGridLines="0" zoomScaleNormal="100" zoomScaleSheetLayoutView="100" workbookViewId="0">
      <pane ySplit="33" topLeftCell="A59" activePane="bottomLeft" state="frozen"/>
      <selection pane="bottomLeft" activeCell="B36" sqref="B36"/>
    </sheetView>
  </sheetViews>
  <sheetFormatPr defaultColWidth="9.28515625" defaultRowHeight="18" customHeight="1"/>
  <cols>
    <col min="1" max="1" width="3.7109375" style="29" customWidth="1"/>
    <col min="2" max="2" width="15.28515625" style="17" customWidth="1"/>
    <col min="3" max="3" width="9.7109375" style="17" customWidth="1"/>
    <col min="4" max="4" width="42.7109375" style="108" customWidth="1"/>
    <col min="5" max="5" width="20.7109375" style="485" customWidth="1"/>
    <col min="6" max="6" width="4" style="28" customWidth="1"/>
    <col min="7" max="8" width="14.28515625" style="28" customWidth="1"/>
    <col min="9" max="9" width="14.28515625" style="17" customWidth="1"/>
    <col min="10" max="10" width="9.42578125" style="17" bestFit="1" customWidth="1"/>
    <col min="11" max="11" width="12.42578125" style="17" bestFit="1" customWidth="1"/>
    <col min="12" max="12" width="9.28515625" style="17" customWidth="1"/>
    <col min="13" max="13" width="8" style="17" customWidth="1"/>
    <col min="14" max="14" width="19" style="17" customWidth="1"/>
    <col min="15" max="15" width="7.28515625" style="17" customWidth="1"/>
    <col min="16" max="16" width="18.28515625" style="17" customWidth="1"/>
    <col min="17" max="17" width="6.42578125" style="17" customWidth="1"/>
    <col min="18" max="21" width="12.7109375" style="335" customWidth="1"/>
    <col min="22" max="22" width="50.7109375" style="17" customWidth="1"/>
    <col min="23" max="26" width="4.28515625" style="17" customWidth="1"/>
    <col min="27" max="27" width="11.42578125" style="17" customWidth="1"/>
    <col min="28" max="28" width="13.28515625" style="17" customWidth="1"/>
    <col min="29" max="29" width="11.7109375" style="17" customWidth="1"/>
    <col min="30" max="104" width="9.28515625" style="17" customWidth="1"/>
    <col min="105" max="16384" width="9.28515625" style="17"/>
  </cols>
  <sheetData>
    <row r="1" spans="1:27" ht="18.75" customHeight="1" thickBot="1">
      <c r="A1" s="17"/>
      <c r="B1" s="104"/>
      <c r="C1" s="104"/>
      <c r="D1" s="104"/>
      <c r="E1" s="144"/>
      <c r="F1" s="104"/>
      <c r="G1" s="104"/>
      <c r="H1" s="104"/>
      <c r="I1" s="104"/>
      <c r="J1" s="104"/>
      <c r="K1" s="104"/>
      <c r="L1" s="104"/>
      <c r="M1" s="104"/>
      <c r="N1" s="104"/>
      <c r="O1" s="104"/>
      <c r="P1" s="104"/>
      <c r="Q1" s="104"/>
      <c r="R1" s="327"/>
      <c r="S1" s="327"/>
      <c r="T1" s="328"/>
      <c r="U1" s="327"/>
      <c r="V1" s="104"/>
      <c r="W1" s="104"/>
      <c r="X1" s="105"/>
      <c r="Y1" s="105"/>
      <c r="Z1" s="105"/>
    </row>
    <row r="2" spans="1:27" ht="18" customHeight="1">
      <c r="B2" s="2434" t="s">
        <v>1077</v>
      </c>
      <c r="C2" s="2435"/>
      <c r="D2" s="2436"/>
      <c r="E2" s="2433" t="s">
        <v>1078</v>
      </c>
      <c r="F2" s="1778"/>
      <c r="G2" s="1026">
        <f>SUMIF(DevSourcesTbl[Construction],"Construction",DevSourcesTbl[Residential Amount])</f>
        <v>0</v>
      </c>
      <c r="H2" s="1026">
        <f>SUMIF(DevSourcesTbl[Construction],"Construction",DevSourcesTbl[Commercial Amount])</f>
        <v>0</v>
      </c>
      <c r="I2" s="1027">
        <f>SUMIF(DevSourcesTbl[Construction],"Construction",DevSourcesTbl[Total Amount])</f>
        <v>0</v>
      </c>
      <c r="J2" s="2440" t="s">
        <v>1079</v>
      </c>
      <c r="K2" s="2441"/>
      <c r="L2" s="2442"/>
      <c r="M2" s="2454" t="s">
        <v>1080</v>
      </c>
      <c r="N2" s="2455"/>
      <c r="O2" s="2455"/>
      <c r="P2" s="2455"/>
      <c r="Q2" s="2455"/>
      <c r="R2" s="2455"/>
      <c r="S2" s="2449"/>
      <c r="T2" s="327"/>
      <c r="U2" s="2448" t="s">
        <v>1081</v>
      </c>
      <c r="V2" s="2449"/>
      <c r="W2" s="104"/>
      <c r="X2" s="104"/>
      <c r="Y2" s="105"/>
      <c r="Z2" s="105"/>
      <c r="AA2" s="105"/>
    </row>
    <row r="3" spans="1:27" ht="18" customHeight="1">
      <c r="E3" s="2433" t="s">
        <v>1082</v>
      </c>
      <c r="F3" s="1778"/>
      <c r="G3" s="1026">
        <f>SUMIF(DevSourcesTbl[Construction],"Permanent",DevSourcesTbl[Residential Amount])</f>
        <v>0</v>
      </c>
      <c r="H3" s="1026">
        <f>SUMIF(DevSourcesTbl[Construction],"Permanent",DevSourcesTbl[Commercial Amount])</f>
        <v>0</v>
      </c>
      <c r="I3" s="1027">
        <f>SUMIF(DevSourcesTbl[Construction],"Permanent",DevSourcesTbl[Total Amount])</f>
        <v>0</v>
      </c>
      <c r="J3" s="2443"/>
      <c r="K3" s="2435"/>
      <c r="L3" s="2444"/>
      <c r="M3" s="2456" t="s">
        <v>1083</v>
      </c>
      <c r="N3" s="1778"/>
      <c r="O3" s="2457" t="s">
        <v>1084</v>
      </c>
      <c r="P3" s="1953"/>
      <c r="Q3" s="1770"/>
      <c r="R3" s="1028">
        <f>SUM(DevSourcesTbl[Required
Residential
Debt Service])</f>
        <v>0</v>
      </c>
      <c r="S3" s="1029">
        <f>SUM(DevSourcesTbl[Required
Commercial
Debt Service])</f>
        <v>0</v>
      </c>
      <c r="T3" s="1028">
        <f>SUM(DevSourcesTbl[Tax-Exempt
Amount])</f>
        <v>0</v>
      </c>
      <c r="U3" s="1030">
        <f>SUM(U5:U32)</f>
        <v>0</v>
      </c>
      <c r="V3" s="1031"/>
    </row>
    <row r="4" spans="1:27" s="44" customFormat="1" ht="64.5" customHeight="1">
      <c r="A4" s="28"/>
      <c r="B4" s="1032" t="s">
        <v>1085</v>
      </c>
      <c r="C4" s="1033" t="s">
        <v>1086</v>
      </c>
      <c r="D4" s="1034" t="s">
        <v>1087</v>
      </c>
      <c r="E4" s="1034" t="s">
        <v>1088</v>
      </c>
      <c r="F4" s="796" t="s">
        <v>1089</v>
      </c>
      <c r="G4" s="797" t="s">
        <v>1090</v>
      </c>
      <c r="H4" s="797" t="s">
        <v>1091</v>
      </c>
      <c r="I4" s="1035" t="s">
        <v>1092</v>
      </c>
      <c r="J4" s="159" t="s">
        <v>1083</v>
      </c>
      <c r="K4" s="1036" t="s">
        <v>1093</v>
      </c>
      <c r="L4" s="160" t="s">
        <v>1094</v>
      </c>
      <c r="M4" s="161" t="s">
        <v>1095</v>
      </c>
      <c r="N4" s="1037" t="s">
        <v>1096</v>
      </c>
      <c r="O4" s="1038" t="s">
        <v>1097</v>
      </c>
      <c r="P4" s="1037" t="s">
        <v>1098</v>
      </c>
      <c r="Q4" s="1038" t="s">
        <v>1099</v>
      </c>
      <c r="R4" s="1039" t="s">
        <v>1100</v>
      </c>
      <c r="S4" s="162" t="s">
        <v>1101</v>
      </c>
      <c r="T4" s="1463" t="s">
        <v>1102</v>
      </c>
      <c r="U4" s="1040" t="s">
        <v>1103</v>
      </c>
      <c r="V4" s="1041" t="s">
        <v>409</v>
      </c>
      <c r="W4" s="150"/>
      <c r="X4" s="150"/>
      <c r="Y4" s="149"/>
      <c r="Z4" s="149"/>
      <c r="AA4" s="149"/>
    </row>
    <row r="5" spans="1:27" s="485" customFormat="1" ht="18" hidden="1" customHeight="1">
      <c r="A5" s="146"/>
      <c r="B5" s="976" t="str">
        <f>IF(DevSourcesTbl[[#This Row],[Committed?]]&gt;0,"Construction","")</f>
        <v/>
      </c>
      <c r="C5" s="1755"/>
      <c r="D5" s="1042"/>
      <c r="E5" s="1043"/>
      <c r="F5" s="148"/>
      <c r="G5" s="212"/>
      <c r="H5" s="212"/>
      <c r="I5" s="1044">
        <f>SUM(DevSourcesTbl[[#This Row],[Residential Amount]],DevSourcesTbl[[#This Row],[Commercial Amount]])</f>
        <v>0</v>
      </c>
      <c r="J5" s="1045"/>
      <c r="K5" s="1046"/>
      <c r="L5" s="155"/>
      <c r="M5" s="319"/>
      <c r="N5" s="1693"/>
      <c r="O5" s="320"/>
      <c r="P5" s="1047"/>
      <c r="Q5" s="1047"/>
      <c r="R5" s="1048"/>
      <c r="S5" s="329"/>
      <c r="T5" s="1049"/>
      <c r="U5" s="1050"/>
      <c r="V5" s="1051"/>
      <c r="W5" s="1711"/>
      <c r="X5" s="1711"/>
      <c r="Y5" s="147"/>
      <c r="Z5" s="147"/>
      <c r="AA5" s="147"/>
    </row>
    <row r="6" spans="1:27" s="485" customFormat="1" ht="18" hidden="1" customHeight="1">
      <c r="A6" s="146"/>
      <c r="B6" s="976" t="str">
        <f>IF(DevSourcesTbl[[#This Row],[Committed?]]&gt;0,"Construction","")</f>
        <v/>
      </c>
      <c r="C6" s="1755"/>
      <c r="D6" s="1052"/>
      <c r="E6" s="1043"/>
      <c r="F6" s="148"/>
      <c r="G6" s="212"/>
      <c r="H6" s="212"/>
      <c r="I6" s="1044">
        <f>SUM(DevSourcesTbl[[#This Row],[Residential Amount]],DevSourcesTbl[[#This Row],[Commercial Amount]])</f>
        <v>0</v>
      </c>
      <c r="J6" s="1045"/>
      <c r="K6" s="1046"/>
      <c r="L6" s="155"/>
      <c r="M6" s="319"/>
      <c r="N6" s="1693"/>
      <c r="O6" s="320"/>
      <c r="P6" s="1047"/>
      <c r="Q6" s="1047"/>
      <c r="R6" s="1048"/>
      <c r="S6" s="329"/>
      <c r="T6" s="1049"/>
      <c r="U6" s="1050"/>
      <c r="V6" s="1051"/>
      <c r="W6" s="1711"/>
      <c r="X6" s="1711"/>
      <c r="Y6" s="147"/>
      <c r="Z6" s="147"/>
      <c r="AA6" s="147"/>
    </row>
    <row r="7" spans="1:27" s="485" customFormat="1" ht="18" hidden="1" customHeight="1">
      <c r="A7" s="146"/>
      <c r="B7" s="976" t="str">
        <f>IF(DevSourcesTbl[[#This Row],[Committed?]]&gt;0,"Construction","")</f>
        <v/>
      </c>
      <c r="C7" s="153"/>
      <c r="D7" s="1053"/>
      <c r="E7" s="1043"/>
      <c r="F7" s="148"/>
      <c r="G7" s="212"/>
      <c r="H7" s="212"/>
      <c r="I7" s="1044">
        <f>SUM(DevSourcesTbl[[#This Row],[Residential Amount]],DevSourcesTbl[[#This Row],[Commercial Amount]])</f>
        <v>0</v>
      </c>
      <c r="J7" s="1045"/>
      <c r="K7" s="1046"/>
      <c r="L7" s="155"/>
      <c r="M7" s="319"/>
      <c r="N7" s="1693"/>
      <c r="O7" s="320"/>
      <c r="P7" s="1047"/>
      <c r="Q7" s="1047"/>
      <c r="R7" s="1048"/>
      <c r="S7" s="329"/>
      <c r="T7" s="1049"/>
      <c r="U7" s="1050"/>
      <c r="V7" s="1051"/>
      <c r="W7" s="1711"/>
      <c r="X7" s="1711"/>
      <c r="Y7" s="147"/>
      <c r="Z7" s="147"/>
      <c r="AA7" s="147"/>
    </row>
    <row r="8" spans="1:27" ht="36" hidden="1" customHeight="1">
      <c r="A8" s="175"/>
      <c r="B8" s="976" t="str">
        <f>IF(DevSourcesTbl[[#This Row],[Committed?]]&gt;0,"Construction","")</f>
        <v/>
      </c>
      <c r="C8" s="153"/>
      <c r="D8" s="1054"/>
      <c r="E8" s="1055"/>
      <c r="F8" s="1056"/>
      <c r="G8" s="212"/>
      <c r="H8" s="212"/>
      <c r="I8" s="1044">
        <f>SUM(DevSourcesTbl[[#This Row],[Residential Amount]],DevSourcesTbl[[#This Row],[Commercial Amount]])</f>
        <v>0</v>
      </c>
      <c r="J8" s="1045"/>
      <c r="K8" s="1046"/>
      <c r="L8" s="155"/>
      <c r="M8" s="319"/>
      <c r="N8" s="1693"/>
      <c r="O8" s="320"/>
      <c r="P8" s="1047"/>
      <c r="Q8" s="1047"/>
      <c r="R8" s="1048"/>
      <c r="S8" s="329"/>
      <c r="T8" s="1049"/>
      <c r="U8" s="1050"/>
      <c r="V8" s="1051"/>
      <c r="W8" s="105"/>
      <c r="X8" s="105"/>
      <c r="Y8" s="105"/>
    </row>
    <row r="9" spans="1:27" ht="36" hidden="1" customHeight="1">
      <c r="A9" s="175"/>
      <c r="B9" s="976" t="str">
        <f>IF(DevSourcesTbl[[#This Row],[Committed?]]&gt;0,"Construction","")</f>
        <v/>
      </c>
      <c r="C9" s="153"/>
      <c r="D9" s="1054"/>
      <c r="E9" s="1055"/>
      <c r="F9" s="1056"/>
      <c r="G9" s="212"/>
      <c r="H9" s="212"/>
      <c r="I9" s="1044">
        <f>SUM(DevSourcesTbl[[#This Row],[Residential Amount]],DevSourcesTbl[[#This Row],[Commercial Amount]])</f>
        <v>0</v>
      </c>
      <c r="J9" s="1045"/>
      <c r="K9" s="1046"/>
      <c r="L9" s="155"/>
      <c r="M9" s="319"/>
      <c r="N9" s="1693"/>
      <c r="O9" s="320"/>
      <c r="P9" s="1047"/>
      <c r="Q9" s="1047"/>
      <c r="R9" s="1048"/>
      <c r="S9" s="329"/>
      <c r="T9" s="1049"/>
      <c r="U9" s="1050"/>
      <c r="V9" s="1051"/>
      <c r="W9" s="105"/>
      <c r="X9" s="105"/>
      <c r="Y9" s="105"/>
    </row>
    <row r="10" spans="1:27" hidden="1">
      <c r="A10" s="175"/>
      <c r="B10" s="976" t="str">
        <f>IF(DevSourcesTbl[[#This Row],[Committed?]]&gt;0,"Construction","")</f>
        <v/>
      </c>
      <c r="C10" s="1057"/>
      <c r="D10" s="1730"/>
      <c r="E10" s="1043"/>
      <c r="F10" s="1058"/>
      <c r="G10" s="212"/>
      <c r="H10" s="212"/>
      <c r="I10" s="1044">
        <f>SUM(DevSourcesTbl[[#This Row],[Residential Amount]],DevSourcesTbl[[#This Row],[Commercial Amount]])</f>
        <v>0</v>
      </c>
      <c r="J10" s="1059"/>
      <c r="K10" s="1046"/>
      <c r="L10" s="1060"/>
      <c r="M10" s="1061"/>
      <c r="N10" s="1693"/>
      <c r="O10" s="1693"/>
      <c r="P10" s="1693"/>
      <c r="Q10" s="1693"/>
      <c r="R10" s="1062"/>
      <c r="S10" s="1063"/>
      <c r="T10" s="1064"/>
      <c r="U10" s="1050"/>
      <c r="V10" s="1051"/>
      <c r="W10" s="104"/>
      <c r="X10" s="105"/>
      <c r="Y10" s="105"/>
      <c r="Z10" s="105"/>
    </row>
    <row r="11" spans="1:27" hidden="1">
      <c r="A11" s="175"/>
      <c r="B11" s="976" t="str">
        <f>IF(DevSourcesTbl[[#This Row],[Committed?]]&gt;0,"Construction","")</f>
        <v/>
      </c>
      <c r="C11" s="1057"/>
      <c r="D11" s="1730"/>
      <c r="E11" s="1043"/>
      <c r="F11" s="1058"/>
      <c r="G11" s="212"/>
      <c r="H11" s="212"/>
      <c r="I11" s="1044">
        <f>SUM(DevSourcesTbl[[#This Row],[Residential Amount]],DevSourcesTbl[[#This Row],[Commercial Amount]])</f>
        <v>0</v>
      </c>
      <c r="J11" s="1059"/>
      <c r="K11" s="1046"/>
      <c r="L11" s="1060"/>
      <c r="M11" s="1061"/>
      <c r="N11" s="1693"/>
      <c r="O11" s="1693"/>
      <c r="P11" s="1693"/>
      <c r="Q11" s="1693"/>
      <c r="R11" s="1062"/>
      <c r="S11" s="1063"/>
      <c r="T11" s="1064"/>
      <c r="U11" s="1050"/>
      <c r="V11" s="1051"/>
      <c r="W11" s="104"/>
      <c r="X11" s="105"/>
      <c r="Y11" s="105"/>
      <c r="Z11" s="105"/>
    </row>
    <row r="12" spans="1:27" ht="36" hidden="1" customHeight="1">
      <c r="A12" s="175"/>
      <c r="B12" s="976" t="str">
        <f>IF(DevSourcesTbl[[#This Row],[Committed?]]&gt;0,"Construction","")</f>
        <v/>
      </c>
      <c r="C12" s="1057"/>
      <c r="D12" s="1054"/>
      <c r="E12" s="1055"/>
      <c r="F12" s="1065"/>
      <c r="G12" s="212"/>
      <c r="H12" s="212"/>
      <c r="I12" s="1044">
        <f>SUM(DevSourcesTbl[[#This Row],[Residential Amount]],DevSourcesTbl[[#This Row],[Commercial Amount]])</f>
        <v>0</v>
      </c>
      <c r="J12" s="1059"/>
      <c r="K12" s="1046"/>
      <c r="L12" s="1060"/>
      <c r="M12" s="1061"/>
      <c r="N12" s="1693"/>
      <c r="O12" s="1693"/>
      <c r="P12" s="1693"/>
      <c r="Q12" s="1693"/>
      <c r="R12" s="1062"/>
      <c r="S12" s="1063"/>
      <c r="T12" s="1064"/>
      <c r="U12" s="1050"/>
      <c r="V12" s="1051"/>
      <c r="W12" s="104"/>
      <c r="X12" s="105"/>
      <c r="Y12" s="105"/>
      <c r="Z12" s="105"/>
    </row>
    <row r="13" spans="1:27" hidden="1">
      <c r="A13" s="175"/>
      <c r="B13" s="976" t="str">
        <f>IF(DevSourcesTbl[[#This Row],[Committed?]]&gt;0,"Construction","")</f>
        <v/>
      </c>
      <c r="C13" s="1057"/>
      <c r="D13" s="1730"/>
      <c r="E13" s="1043"/>
      <c r="F13" s="1058"/>
      <c r="G13" s="212"/>
      <c r="H13" s="212"/>
      <c r="I13" s="1044">
        <f>SUM(DevSourcesTbl[[#This Row],[Residential Amount]],DevSourcesTbl[[#This Row],[Commercial Amount]])</f>
        <v>0</v>
      </c>
      <c r="J13" s="1059"/>
      <c r="K13" s="1046"/>
      <c r="L13" s="1060"/>
      <c r="M13" s="1061"/>
      <c r="N13" s="1693"/>
      <c r="O13" s="1693"/>
      <c r="P13" s="1693"/>
      <c r="Q13" s="1693"/>
      <c r="R13" s="1062"/>
      <c r="S13" s="1063"/>
      <c r="T13" s="1064"/>
      <c r="U13" s="1050"/>
      <c r="V13" s="1051"/>
      <c r="W13" s="104"/>
      <c r="X13" s="105"/>
      <c r="Y13" s="105"/>
      <c r="Z13" s="105"/>
    </row>
    <row r="14" spans="1:27" hidden="1">
      <c r="B14" s="976" t="str">
        <f>IF(DevSourcesTbl[[#This Row],[Committed?]]&gt;0,"Construction","")</f>
        <v/>
      </c>
      <c r="C14" s="1755"/>
      <c r="D14" s="1730"/>
      <c r="E14" s="1043"/>
      <c r="F14" s="1058"/>
      <c r="G14" s="212"/>
      <c r="H14" s="212"/>
      <c r="I14" s="1044">
        <f>SUM(DevSourcesTbl[[#This Row],[Residential Amount]],DevSourcesTbl[[#This Row],[Commercial Amount]])</f>
        <v>0</v>
      </c>
      <c r="J14" s="1059"/>
      <c r="K14" s="1046"/>
      <c r="L14" s="1060"/>
      <c r="M14" s="1061"/>
      <c r="N14" s="1693"/>
      <c r="O14" s="1693"/>
      <c r="P14" s="1693"/>
      <c r="Q14" s="1693"/>
      <c r="R14" s="1062"/>
      <c r="S14" s="1063"/>
      <c r="T14" s="1064"/>
      <c r="U14" s="1050"/>
      <c r="V14" s="1051"/>
      <c r="W14" s="104"/>
      <c r="X14" s="105"/>
      <c r="Y14" s="105"/>
      <c r="Z14" s="105"/>
    </row>
    <row r="15" spans="1:27" hidden="1">
      <c r="B15" s="976" t="str">
        <f>IF(DevSourcesTbl[[#This Row],[Committed?]]&gt;0,"Construction","")</f>
        <v/>
      </c>
      <c r="C15" s="1755"/>
      <c r="D15" s="798"/>
      <c r="E15" s="1043"/>
      <c r="F15" s="1058"/>
      <c r="G15" s="212"/>
      <c r="H15" s="212"/>
      <c r="I15" s="1044">
        <f>SUM(DevSourcesTbl[[#This Row],[Residential Amount]],DevSourcesTbl[[#This Row],[Commercial Amount]])</f>
        <v>0</v>
      </c>
      <c r="J15" s="1059"/>
      <c r="K15" s="1046"/>
      <c r="L15" s="1060"/>
      <c r="M15" s="1061"/>
      <c r="N15" s="1693"/>
      <c r="O15" s="1693"/>
      <c r="P15" s="1693"/>
      <c r="Q15" s="1693"/>
      <c r="R15" s="1062"/>
      <c r="S15" s="1063"/>
      <c r="T15" s="1064"/>
      <c r="U15" s="1050"/>
      <c r="V15" s="1051"/>
      <c r="W15" s="104"/>
      <c r="X15" s="105"/>
      <c r="Y15" s="105"/>
      <c r="Z15" s="105"/>
    </row>
    <row r="16" spans="1:27" hidden="1">
      <c r="B16" s="976" t="str">
        <f>IF(DevSourcesTbl[[#This Row],[Committed?]]&gt;0,"Construction","")</f>
        <v/>
      </c>
      <c r="C16" s="1755"/>
      <c r="D16" s="798"/>
      <c r="E16" s="1043"/>
      <c r="F16" s="1058"/>
      <c r="G16" s="212"/>
      <c r="H16" s="212"/>
      <c r="I16" s="1044">
        <f>SUM(DevSourcesTbl[[#This Row],[Residential Amount]],DevSourcesTbl[[#This Row],[Commercial Amount]])</f>
        <v>0</v>
      </c>
      <c r="J16" s="1059"/>
      <c r="K16" s="1046"/>
      <c r="L16" s="1060"/>
      <c r="M16" s="1061"/>
      <c r="N16" s="1693"/>
      <c r="O16" s="1693"/>
      <c r="P16" s="1693"/>
      <c r="Q16" s="1693"/>
      <c r="R16" s="1062"/>
      <c r="S16" s="1063"/>
      <c r="T16" s="1064"/>
      <c r="U16" s="1050"/>
      <c r="V16" s="1051"/>
      <c r="W16" s="104"/>
      <c r="X16" s="105"/>
      <c r="Y16" s="105"/>
      <c r="Z16" s="105"/>
    </row>
    <row r="17" spans="2:26" hidden="1">
      <c r="B17" s="976" t="str">
        <f>IF(DevSourcesTbl[[#This Row],[Committed?]]&gt;0,"Construction","")</f>
        <v/>
      </c>
      <c r="C17" s="1057"/>
      <c r="D17" s="1052"/>
      <c r="E17" s="1043"/>
      <c r="F17" s="1066"/>
      <c r="G17" s="212"/>
      <c r="H17" s="212"/>
      <c r="I17" s="1044">
        <f>SUM(DevSourcesTbl[[#This Row],[Residential Amount]],DevSourcesTbl[[#This Row],[Commercial Amount]])</f>
        <v>0</v>
      </c>
      <c r="J17" s="1059"/>
      <c r="K17" s="1046"/>
      <c r="L17" s="1060"/>
      <c r="M17" s="1061"/>
      <c r="N17" s="1693"/>
      <c r="O17" s="1693"/>
      <c r="P17" s="1693"/>
      <c r="Q17" s="1693"/>
      <c r="R17" s="1062"/>
      <c r="S17" s="1063"/>
      <c r="T17" s="1064"/>
      <c r="U17" s="1050"/>
      <c r="V17" s="1051"/>
      <c r="W17" s="104"/>
      <c r="X17" s="105"/>
      <c r="Y17" s="105"/>
      <c r="Z17" s="105"/>
    </row>
    <row r="18" spans="2:26" hidden="1">
      <c r="B18" s="976" t="str">
        <f>IF(DevSourcesTbl[[#This Row],[Committed?]]&gt;0,"Construction","")</f>
        <v/>
      </c>
      <c r="C18" s="153"/>
      <c r="D18" s="1052"/>
      <c r="E18" s="1043"/>
      <c r="F18" s="148"/>
      <c r="G18" s="212"/>
      <c r="H18" s="212"/>
      <c r="I18" s="1044">
        <f>SUM(DevSourcesTbl[[#This Row],[Residential Amount]],DevSourcesTbl[[#This Row],[Commercial Amount]])</f>
        <v>0</v>
      </c>
      <c r="J18" s="1045"/>
      <c r="K18" s="1046"/>
      <c r="L18" s="155"/>
      <c r="M18" s="319"/>
      <c r="N18" s="1047"/>
      <c r="O18" s="320"/>
      <c r="P18" s="1047"/>
      <c r="Q18" s="1047"/>
      <c r="R18" s="1048"/>
      <c r="S18" s="329"/>
      <c r="T18" s="1049"/>
      <c r="U18" s="1050"/>
      <c r="V18" s="1051"/>
      <c r="W18" s="104"/>
      <c r="X18" s="105"/>
      <c r="Y18" s="105"/>
      <c r="Z18" s="105"/>
    </row>
    <row r="19" spans="2:26" hidden="1">
      <c r="B19" s="976" t="str">
        <f>IF(DevSourcesTbl[[#This Row],[Committed?]]&gt;0,"Construction","")</f>
        <v/>
      </c>
      <c r="C19" s="1057"/>
      <c r="D19" s="1730"/>
      <c r="E19" s="1043"/>
      <c r="F19" s="1066"/>
      <c r="G19" s="212"/>
      <c r="H19" s="212"/>
      <c r="I19" s="1044">
        <f>SUM(DevSourcesTbl[[#This Row],[Residential Amount]],DevSourcesTbl[[#This Row],[Commercial Amount]])</f>
        <v>0</v>
      </c>
      <c r="J19" s="1059"/>
      <c r="K19" s="1046"/>
      <c r="L19" s="1060"/>
      <c r="M19" s="1061"/>
      <c r="N19" s="1693"/>
      <c r="O19" s="1693"/>
      <c r="P19" s="1693"/>
      <c r="Q19" s="1693"/>
      <c r="R19" s="1062"/>
      <c r="S19" s="1063"/>
      <c r="T19" s="1064"/>
      <c r="U19" s="1050"/>
      <c r="V19" s="1051"/>
      <c r="W19" s="104"/>
      <c r="X19" s="105"/>
      <c r="Y19" s="105"/>
      <c r="Z19" s="105"/>
    </row>
    <row r="20" spans="2:26" hidden="1">
      <c r="B20" s="976" t="str">
        <f>IF(DevSourcesTbl[[#This Row],[Committed?]]&gt;0,"Construction","")</f>
        <v/>
      </c>
      <c r="C20" s="1755"/>
      <c r="D20" s="1042"/>
      <c r="E20" s="1043"/>
      <c r="F20" s="1058"/>
      <c r="G20" s="212"/>
      <c r="H20" s="212"/>
      <c r="I20" s="1044">
        <f>SUM(DevSourcesTbl[[#This Row],[Residential Amount]],DevSourcesTbl[[#This Row],[Commercial Amount]])</f>
        <v>0</v>
      </c>
      <c r="J20" s="1059"/>
      <c r="K20" s="1046"/>
      <c r="L20" s="1060"/>
      <c r="M20" s="1061"/>
      <c r="N20" s="1693"/>
      <c r="O20" s="1693"/>
      <c r="P20" s="1693"/>
      <c r="Q20" s="1693"/>
      <c r="R20" s="1062"/>
      <c r="S20" s="1063"/>
      <c r="T20" s="1064"/>
      <c r="U20" s="1050"/>
      <c r="V20" s="1051"/>
      <c r="W20" s="104"/>
      <c r="X20" s="105"/>
      <c r="Y20" s="105"/>
      <c r="Z20" s="105"/>
    </row>
    <row r="21" spans="2:26" hidden="1">
      <c r="B21" s="976" t="str">
        <f>IF(DevSourcesTbl[[#This Row],[Committed?]]&gt;0,"Construction","")</f>
        <v/>
      </c>
      <c r="C21" s="1057"/>
      <c r="D21" s="1042"/>
      <c r="E21" s="1043"/>
      <c r="F21" s="1066"/>
      <c r="G21" s="212"/>
      <c r="H21" s="212"/>
      <c r="I21" s="1044">
        <f>SUM(DevSourcesTbl[[#This Row],[Residential Amount]],DevSourcesTbl[[#This Row],[Commercial Amount]])</f>
        <v>0</v>
      </c>
      <c r="J21" s="1059"/>
      <c r="K21" s="1046"/>
      <c r="L21" s="1060"/>
      <c r="M21" s="1061"/>
      <c r="N21" s="1693"/>
      <c r="O21" s="1693"/>
      <c r="P21" s="1693"/>
      <c r="Q21" s="1693"/>
      <c r="R21" s="1062"/>
      <c r="S21" s="1063"/>
      <c r="T21" s="1064"/>
      <c r="U21" s="1050"/>
      <c r="V21" s="1051"/>
      <c r="W21" s="104"/>
      <c r="X21" s="105"/>
      <c r="Y21" s="105"/>
      <c r="Z21" s="105"/>
    </row>
    <row r="22" spans="2:26" hidden="1">
      <c r="B22" s="976" t="str">
        <f>IF(DevSourcesTbl[[#This Row],[Committed?]]&gt;0,"Construction","")</f>
        <v/>
      </c>
      <c r="C22" s="1057"/>
      <c r="D22" s="1042"/>
      <c r="E22" s="1043"/>
      <c r="F22" s="1066"/>
      <c r="G22" s="212"/>
      <c r="H22" s="212"/>
      <c r="I22" s="1044">
        <f>SUM(DevSourcesTbl[[#This Row],[Residential Amount]],DevSourcesTbl[[#This Row],[Commercial Amount]])</f>
        <v>0</v>
      </c>
      <c r="J22" s="1059"/>
      <c r="K22" s="1046"/>
      <c r="L22" s="1060"/>
      <c r="M22" s="1061"/>
      <c r="N22" s="1693"/>
      <c r="O22" s="1693"/>
      <c r="P22" s="1693"/>
      <c r="Q22" s="1693"/>
      <c r="R22" s="1062"/>
      <c r="S22" s="1063"/>
      <c r="T22" s="1064"/>
      <c r="U22" s="1050"/>
      <c r="V22" s="1051"/>
      <c r="W22" s="104"/>
      <c r="X22" s="105"/>
      <c r="Y22" s="105"/>
      <c r="Z22" s="105"/>
    </row>
    <row r="23" spans="2:26" hidden="1">
      <c r="B23" s="976" t="str">
        <f>IF(DevSourcesTbl[[#This Row],[Committed?]]&gt;0,"Construction","")</f>
        <v/>
      </c>
      <c r="C23" s="1755"/>
      <c r="D23" s="1042"/>
      <c r="E23" s="1043"/>
      <c r="F23" s="1058"/>
      <c r="G23" s="212"/>
      <c r="H23" s="212"/>
      <c r="I23" s="1044">
        <f>SUM(DevSourcesTbl[[#This Row],[Residential Amount]],DevSourcesTbl[[#This Row],[Commercial Amount]])</f>
        <v>0</v>
      </c>
      <c r="J23" s="1059"/>
      <c r="K23" s="1046"/>
      <c r="L23" s="1060"/>
      <c r="M23" s="1061"/>
      <c r="N23" s="1693"/>
      <c r="O23" s="1693"/>
      <c r="P23" s="1693"/>
      <c r="Q23" s="1693"/>
      <c r="R23" s="1062"/>
      <c r="S23" s="1063"/>
      <c r="T23" s="1064"/>
      <c r="U23" s="1050"/>
      <c r="V23" s="1051"/>
      <c r="W23" s="104"/>
      <c r="X23" s="105"/>
      <c r="Y23" s="105"/>
      <c r="Z23" s="105"/>
    </row>
    <row r="24" spans="2:26" hidden="1">
      <c r="B24" s="976" t="str">
        <f>IF(DevSourcesTbl[[#This Row],[Committed?]]&gt;0,"Construction","")</f>
        <v/>
      </c>
      <c r="C24" s="1755"/>
      <c r="D24" s="1042"/>
      <c r="E24" s="1043"/>
      <c r="F24" s="1058"/>
      <c r="G24" s="212"/>
      <c r="H24" s="212"/>
      <c r="I24" s="1044">
        <f>SUM(DevSourcesTbl[[#This Row],[Residential Amount]],DevSourcesTbl[[#This Row],[Commercial Amount]])</f>
        <v>0</v>
      </c>
      <c r="J24" s="1059"/>
      <c r="K24" s="1046"/>
      <c r="L24" s="1060"/>
      <c r="M24" s="1061"/>
      <c r="N24" s="1693"/>
      <c r="O24" s="1693"/>
      <c r="P24" s="1693"/>
      <c r="Q24" s="1693"/>
      <c r="R24" s="1062"/>
      <c r="S24" s="1063"/>
      <c r="T24" s="1064"/>
      <c r="U24" s="1050"/>
      <c r="V24" s="1051"/>
      <c r="W24" s="104"/>
      <c r="X24" s="105"/>
      <c r="Y24" s="105"/>
      <c r="Z24" s="105"/>
    </row>
    <row r="25" spans="2:26" hidden="1">
      <c r="B25" s="976" t="str">
        <f>IF(DevSourcesTbl[[#This Row],[Committed?]]&gt;0,"Construction","")</f>
        <v/>
      </c>
      <c r="C25" s="1755"/>
      <c r="D25" s="1730"/>
      <c r="E25" s="1043"/>
      <c r="F25" s="1058"/>
      <c r="G25" s="212"/>
      <c r="H25" s="212"/>
      <c r="I25" s="1044">
        <f>SUM(DevSourcesTbl[[#This Row],[Residential Amount]],DevSourcesTbl[[#This Row],[Commercial Amount]])</f>
        <v>0</v>
      </c>
      <c r="J25" s="1059"/>
      <c r="K25" s="1046"/>
      <c r="L25" s="1060"/>
      <c r="M25" s="1061"/>
      <c r="N25" s="1693"/>
      <c r="O25" s="1693"/>
      <c r="P25" s="1693"/>
      <c r="Q25" s="1693"/>
      <c r="R25" s="1062"/>
      <c r="S25" s="1063"/>
      <c r="T25" s="1064"/>
      <c r="U25" s="1050"/>
      <c r="V25" s="1051"/>
      <c r="W25" s="104"/>
      <c r="X25" s="105"/>
      <c r="Y25" s="105"/>
      <c r="Z25" s="105"/>
    </row>
    <row r="26" spans="2:26" hidden="1">
      <c r="B26" s="976" t="str">
        <f>IF(DevSourcesTbl[[#This Row],[Committed?]]&gt;0,"Construction","")</f>
        <v/>
      </c>
      <c r="C26" s="1755"/>
      <c r="D26" s="798"/>
      <c r="E26" s="1043"/>
      <c r="F26" s="1058"/>
      <c r="G26" s="212"/>
      <c r="H26" s="212"/>
      <c r="I26" s="1044">
        <f>SUM(DevSourcesTbl[[#This Row],[Residential Amount]],DevSourcesTbl[[#This Row],[Commercial Amount]])</f>
        <v>0</v>
      </c>
      <c r="J26" s="1059"/>
      <c r="K26" s="1046"/>
      <c r="L26" s="1060"/>
      <c r="M26" s="1061"/>
      <c r="N26" s="1693"/>
      <c r="O26" s="1693"/>
      <c r="P26" s="1693"/>
      <c r="Q26" s="1693"/>
      <c r="R26" s="1062"/>
      <c r="S26" s="1063"/>
      <c r="T26" s="1064"/>
      <c r="U26" s="1050"/>
      <c r="V26" s="1051"/>
      <c r="W26" s="104"/>
      <c r="X26" s="105"/>
      <c r="Y26" s="105"/>
      <c r="Z26" s="105"/>
    </row>
    <row r="27" spans="2:26">
      <c r="B27" s="976" t="str">
        <f>IF(DevSourcesTbl[[#This Row],[Committed?]]&gt;0,"Construction","")</f>
        <v/>
      </c>
      <c r="C27" s="153"/>
      <c r="D27" s="933" t="s">
        <v>1104</v>
      </c>
      <c r="E27" s="1043"/>
      <c r="F27" s="148"/>
      <c r="G27" s="768">
        <f>'Project Overview'!AH207</f>
        <v>0</v>
      </c>
      <c r="H27" s="212"/>
      <c r="I27" s="1044">
        <f>SUM(DevSourcesTbl[[#This Row],[Residential Amount]],DevSourcesTbl[[#This Row],[Commercial Amount]])</f>
        <v>0</v>
      </c>
      <c r="J27" s="156"/>
      <c r="K27" s="1046"/>
      <c r="L27" s="256"/>
      <c r="M27" s="321"/>
      <c r="N27" s="1067"/>
      <c r="O27" s="322"/>
      <c r="P27" s="1067"/>
      <c r="Q27" s="1067"/>
      <c r="R27" s="1068"/>
      <c r="S27" s="330"/>
      <c r="T27" s="1069"/>
      <c r="U27" s="1050"/>
      <c r="V27" s="1051"/>
      <c r="W27" s="104"/>
      <c r="X27" s="105"/>
      <c r="Y27" s="105"/>
      <c r="Z27" s="105"/>
    </row>
    <row r="28" spans="2:26" hidden="1">
      <c r="B28" s="976" t="str">
        <f>IF(DevSourcesTbl[[#This Row],[Committed?]]&gt;0,"Construction","")</f>
        <v/>
      </c>
      <c r="C28" s="1755"/>
      <c r="D28" s="1070" t="s">
        <v>1105</v>
      </c>
      <c r="E28" s="1043"/>
      <c r="F28" s="1058"/>
      <c r="G28" s="212"/>
      <c r="H28" s="212"/>
      <c r="I28" s="1044">
        <f>SUM(DevSourcesTbl[[#This Row],[Residential Amount]],DevSourcesTbl[[#This Row],[Commercial Amount]])</f>
        <v>0</v>
      </c>
      <c r="J28" s="1059"/>
      <c r="K28" s="1046"/>
      <c r="L28" s="1060"/>
      <c r="M28" s="1061"/>
      <c r="N28" s="1693"/>
      <c r="O28" s="1693"/>
      <c r="P28" s="1693"/>
      <c r="Q28" s="1693"/>
      <c r="R28" s="1062"/>
      <c r="S28" s="1063"/>
      <c r="T28" s="1064"/>
      <c r="U28" s="1050"/>
      <c r="V28" s="1051"/>
      <c r="W28" s="104"/>
      <c r="X28" s="105"/>
      <c r="Y28" s="105"/>
      <c r="Z28" s="105"/>
    </row>
    <row r="29" spans="2:26" hidden="1">
      <c r="B29" s="976" t="str">
        <f>IF(DevSourcesTbl[[#This Row],[Committed?]]&gt;0,"Construction","")</f>
        <v/>
      </c>
      <c r="C29" s="153"/>
      <c r="D29" s="421" t="s">
        <v>1106</v>
      </c>
      <c r="E29" s="1071"/>
      <c r="F29" s="1072"/>
      <c r="G29" s="229">
        <f>IF($U$3&gt;0,$U$3,0)</f>
        <v>0</v>
      </c>
      <c r="H29" s="1073"/>
      <c r="I29" s="1044">
        <f>SUM(DevSourcesTbl[[#This Row],[Residential Amount]],DevSourcesTbl[[#This Row],[Commercial Amount]])</f>
        <v>0</v>
      </c>
      <c r="J29" s="1045"/>
      <c r="K29" s="1046"/>
      <c r="L29" s="1757"/>
      <c r="M29" s="319"/>
      <c r="N29" s="1047"/>
      <c r="O29" s="320"/>
      <c r="P29" s="1047"/>
      <c r="Q29" s="1047"/>
      <c r="R29" s="1048"/>
      <c r="S29" s="1048"/>
      <c r="T29" s="1074"/>
      <c r="U29" s="1050"/>
      <c r="V29" s="1051"/>
      <c r="W29" s="104"/>
      <c r="X29" s="105"/>
      <c r="Y29" s="105"/>
      <c r="Z29" s="105"/>
    </row>
    <row r="30" spans="2:26" hidden="1">
      <c r="B30" s="976" t="str">
        <f>IF(DevSourcesTbl[[#This Row],[Committed?]]&gt;0,"Construction","")</f>
        <v/>
      </c>
      <c r="C30" s="1755"/>
      <c r="D30" s="1070" t="s">
        <v>1107</v>
      </c>
      <c r="E30" s="1043"/>
      <c r="F30" s="1058"/>
      <c r="G30" s="212"/>
      <c r="H30" s="212"/>
      <c r="I30" s="1044">
        <f>SUM(DevSourcesTbl[[#This Row],[Residential Amount]],DevSourcesTbl[[#This Row],[Commercial Amount]])</f>
        <v>0</v>
      </c>
      <c r="J30" s="1059"/>
      <c r="K30" s="1046"/>
      <c r="L30" s="1060"/>
      <c r="M30" s="1061"/>
      <c r="N30" s="1693"/>
      <c r="O30" s="1693"/>
      <c r="P30" s="1693"/>
      <c r="Q30" s="1693"/>
      <c r="R30" s="1062"/>
      <c r="S30" s="1063"/>
      <c r="T30" s="1064"/>
      <c r="U30" s="1050"/>
      <c r="V30" s="1051"/>
      <c r="W30" s="104"/>
      <c r="X30" s="105"/>
      <c r="Y30" s="105"/>
      <c r="Z30" s="105"/>
    </row>
    <row r="31" spans="2:26" hidden="1">
      <c r="B31" s="976" t="str">
        <f>IF(DevSourcesTbl[[#This Row],[Committed?]]&gt;0,"Construction","")</f>
        <v/>
      </c>
      <c r="C31" s="1755"/>
      <c r="D31" s="1070" t="s">
        <v>1108</v>
      </c>
      <c r="E31" s="1043"/>
      <c r="F31" s="1058"/>
      <c r="G31" s="212"/>
      <c r="H31" s="212"/>
      <c r="I31" s="1044">
        <f>SUM(DevSourcesTbl[[#This Row],[Residential Amount]],DevSourcesTbl[[#This Row],[Commercial Amount]])</f>
        <v>0</v>
      </c>
      <c r="J31" s="1059"/>
      <c r="K31" s="1046"/>
      <c r="L31" s="1060"/>
      <c r="M31" s="1061"/>
      <c r="N31" s="1693"/>
      <c r="O31" s="1693"/>
      <c r="P31" s="1693"/>
      <c r="Q31" s="1693"/>
      <c r="R31" s="1062"/>
      <c r="S31" s="1063"/>
      <c r="T31" s="1064"/>
      <c r="U31" s="1050"/>
      <c r="V31" s="1051"/>
      <c r="W31" s="104"/>
      <c r="X31" s="105"/>
      <c r="Y31" s="105"/>
      <c r="Z31" s="105"/>
    </row>
    <row r="32" spans="2:26" hidden="1">
      <c r="B32" s="976" t="str">
        <f>IF(DevSourcesTbl[[#This Row],[Committed?]]&gt;0,"Construction","")</f>
        <v/>
      </c>
      <c r="C32" s="153"/>
      <c r="D32" s="1075" t="s">
        <v>1109</v>
      </c>
      <c r="E32" s="1043"/>
      <c r="F32" s="148"/>
      <c r="G32" s="212"/>
      <c r="H32" s="212"/>
      <c r="I32" s="1044">
        <f>SUM(DevSourcesTbl[[#This Row],[Residential Amount]],DevSourcesTbl[[#This Row],[Commercial Amount]])</f>
        <v>0</v>
      </c>
      <c r="J32" s="1045"/>
      <c r="K32" s="1046"/>
      <c r="L32" s="155"/>
      <c r="M32" s="1076"/>
      <c r="N32" s="1047"/>
      <c r="O32" s="1047"/>
      <c r="P32" s="1047"/>
      <c r="Q32" s="1047"/>
      <c r="R32" s="1048"/>
      <c r="S32" s="329"/>
      <c r="T32" s="1049"/>
      <c r="U32" s="1077"/>
      <c r="V32" s="430"/>
      <c r="W32" s="104"/>
      <c r="X32" s="105"/>
      <c r="Y32" s="105"/>
      <c r="Z32" s="105"/>
    </row>
    <row r="33" spans="1:26" s="28" customFormat="1" ht="21" customHeight="1">
      <c r="A33" s="44"/>
      <c r="B33" s="1078" t="s">
        <v>1110</v>
      </c>
      <c r="C33" s="1079"/>
      <c r="D33" s="1080"/>
      <c r="E33" s="1081"/>
      <c r="F33" s="1082"/>
      <c r="G33" s="1082"/>
      <c r="H33" s="1082"/>
      <c r="I33" s="1082"/>
      <c r="J33" s="1083"/>
      <c r="K33" s="1084"/>
      <c r="L33" s="1082"/>
      <c r="M33" s="1083"/>
      <c r="N33" s="1082"/>
      <c r="O33" s="1082"/>
      <c r="P33" s="1082"/>
      <c r="Q33" s="1082"/>
      <c r="R33" s="1085"/>
      <c r="S33" s="1085"/>
      <c r="T33" s="1085"/>
      <c r="U33" s="1086"/>
      <c r="V33" s="1081"/>
      <c r="W33" s="144"/>
      <c r="X33" s="1698"/>
      <c r="Y33" s="1698"/>
      <c r="Z33" s="1698"/>
    </row>
    <row r="34" spans="1:26">
      <c r="B34" s="976" t="str">
        <f>IF(DevSourcesTbl[[#This Row],[Committed?]]&gt;0,"Permanent","")</f>
        <v/>
      </c>
      <c r="C34" s="1087"/>
      <c r="D34" s="1730"/>
      <c r="E34" s="1043"/>
      <c r="F34" s="1058"/>
      <c r="G34" s="212"/>
      <c r="H34" s="212"/>
      <c r="I34" s="1044">
        <f>SUM(DevSourcesTbl[[#This Row],[Residential Amount]],DevSourcesTbl[[#This Row],[Commercial Amount]])</f>
        <v>0</v>
      </c>
      <c r="J34" s="323"/>
      <c r="K34" s="1088"/>
      <c r="L34" s="324"/>
      <c r="M34" s="157"/>
      <c r="N34" s="1089"/>
      <c r="O34" s="1089"/>
      <c r="P34" s="1089"/>
      <c r="Q34" s="1089"/>
      <c r="R34" s="1090"/>
      <c r="S34" s="331"/>
      <c r="T34" s="1464"/>
      <c r="U34" s="422"/>
      <c r="V34" s="423"/>
      <c r="W34" s="104"/>
      <c r="X34" s="105"/>
      <c r="Y34" s="105"/>
      <c r="Z34" s="105"/>
    </row>
    <row r="35" spans="1:26">
      <c r="B35" s="976" t="str">
        <f>IF(DevSourcesTbl[[#This Row],[Committed?]]&gt;0,"Permanent","")</f>
        <v/>
      </c>
      <c r="C35" s="1755"/>
      <c r="D35" s="1730"/>
      <c r="E35" s="1043"/>
      <c r="F35" s="1058"/>
      <c r="G35" s="212"/>
      <c r="H35" s="212"/>
      <c r="I35" s="1044">
        <f>SUM(DevSourcesTbl[[#This Row],[Residential Amount]],DevSourcesTbl[[#This Row],[Commercial Amount]])</f>
        <v>0</v>
      </c>
      <c r="J35" s="1076"/>
      <c r="K35" s="1088"/>
      <c r="L35" s="325"/>
      <c r="M35" s="154"/>
      <c r="N35" s="1757"/>
      <c r="O35" s="148"/>
      <c r="P35" s="1089"/>
      <c r="Q35" s="1757"/>
      <c r="R35" s="1074"/>
      <c r="S35" s="332"/>
      <c r="T35" s="1049"/>
      <c r="U35" s="1091"/>
      <c r="V35" s="1092"/>
      <c r="W35" s="104"/>
      <c r="X35" s="105"/>
      <c r="Y35" s="105"/>
      <c r="Z35" s="105"/>
    </row>
    <row r="36" spans="1:26">
      <c r="B36" s="976" t="str">
        <f>IF(DevSourcesTbl[[#This Row],[Committed?]]="Yes","Permanent","")</f>
        <v/>
      </c>
      <c r="C36" s="1563" t="str">
        <f>IF('Gap Eligibility'!E17="Meets Minimum Requirements", "Yes", "No")</f>
        <v>No</v>
      </c>
      <c r="D36" s="1093" t="s">
        <v>1111</v>
      </c>
      <c r="E36" s="1094" t="s">
        <v>125</v>
      </c>
      <c r="F36" s="1058"/>
      <c r="G36" s="768">
        <f>'Gap Eligibility'!B24</f>
        <v>0</v>
      </c>
      <c r="H36" s="768"/>
      <c r="I36" s="1095">
        <f>SUM(DevSourcesTbl[[#This Row],[Residential Amount]],DevSourcesTbl[[#This Row],[Commercial Amount]])</f>
        <v>0</v>
      </c>
      <c r="J36" s="1076"/>
      <c r="K36" s="1088"/>
      <c r="L36" s="325"/>
      <c r="M36" s="154"/>
      <c r="N36" s="1757"/>
      <c r="O36" s="148"/>
      <c r="P36" s="1089"/>
      <c r="Q36" s="1757"/>
      <c r="R36" s="1074"/>
      <c r="S36" s="332"/>
      <c r="T36" s="1049"/>
      <c r="U36" s="1091"/>
      <c r="V36" s="1092"/>
      <c r="W36" s="104"/>
      <c r="X36" s="105"/>
      <c r="Y36" s="105"/>
      <c r="Z36" s="105"/>
    </row>
    <row r="37" spans="1:26" ht="36" hidden="1" customHeight="1">
      <c r="A37" s="175"/>
      <c r="B37" s="976" t="str">
        <f>IF(DevSourcesTbl[[#This Row],[Committed?]]&gt;0,"Permanent","")</f>
        <v/>
      </c>
      <c r="C37" s="153"/>
      <c r="D37" s="1054" t="s">
        <v>1112</v>
      </c>
      <c r="E37" s="1055" t="s">
        <v>125</v>
      </c>
      <c r="F37" s="1056"/>
      <c r="G37" s="229" t="e">
        <f>'Development Budget'!#REF!</f>
        <v>#REF!</v>
      </c>
      <c r="H37" s="212"/>
      <c r="I37" s="1044" t="e">
        <f>SUM(DevSourcesTbl[[#This Row],[Residential Amount]],DevSourcesTbl[[#This Row],[Commercial Amount]])</f>
        <v>#REF!</v>
      </c>
      <c r="J37" s="1061"/>
      <c r="K37" s="1088"/>
      <c r="L37" s="1096"/>
      <c r="M37" s="1059"/>
      <c r="N37" s="1758"/>
      <c r="O37" s="1758"/>
      <c r="P37" s="1089"/>
      <c r="Q37" s="1758"/>
      <c r="R37" s="1097"/>
      <c r="S37" s="1098"/>
      <c r="T37" s="1064"/>
      <c r="U37" s="1091"/>
      <c r="V37" s="1092"/>
      <c r="W37" s="104"/>
      <c r="X37" s="105"/>
      <c r="Y37" s="105"/>
      <c r="Z37" s="105"/>
    </row>
    <row r="38" spans="1:26" ht="36" hidden="1" customHeight="1">
      <c r="A38" s="175"/>
      <c r="B38" s="976" t="str">
        <f>IF(DevSourcesTbl[[#This Row],[Committed?]]&gt;0,"Permanent","")</f>
        <v/>
      </c>
      <c r="C38" s="153"/>
      <c r="D38" s="1054" t="s">
        <v>547</v>
      </c>
      <c r="E38" s="1055" t="s">
        <v>125</v>
      </c>
      <c r="F38" s="1056"/>
      <c r="G38" s="229" t="e">
        <f>'Development Budget'!#REF!</f>
        <v>#REF!</v>
      </c>
      <c r="H38" s="212"/>
      <c r="I38" s="1044" t="e">
        <f>SUM(DevSourcesTbl[[#This Row],[Residential Amount]],DevSourcesTbl[[#This Row],[Commercial Amount]])</f>
        <v>#REF!</v>
      </c>
      <c r="J38" s="1061"/>
      <c r="K38" s="1088"/>
      <c r="L38" s="1096"/>
      <c r="M38" s="1059"/>
      <c r="N38" s="1758"/>
      <c r="O38" s="1758"/>
      <c r="P38" s="1089"/>
      <c r="Q38" s="1758"/>
      <c r="R38" s="1062">
        <f>IF('Operating Budget'!$E$132&gt;0,'Operating Budget'!$E$132,0)</f>
        <v>0</v>
      </c>
      <c r="S38" s="1098"/>
      <c r="T38" s="1064"/>
      <c r="U38" s="1091"/>
      <c r="V38" s="1092"/>
      <c r="W38" s="104"/>
      <c r="X38" s="105"/>
      <c r="Y38" s="105"/>
      <c r="Z38" s="105"/>
    </row>
    <row r="39" spans="1:26" ht="36" hidden="1" customHeight="1">
      <c r="A39" s="175"/>
      <c r="B39" s="976" t="str">
        <f>IF(DevSourcesTbl[[#This Row],[Committed?]]&gt;0,"Permanent","")</f>
        <v/>
      </c>
      <c r="C39" s="1057"/>
      <c r="D39" s="1054" t="s">
        <v>1113</v>
      </c>
      <c r="E39" s="1055" t="s">
        <v>125</v>
      </c>
      <c r="F39" s="1065">
        <v>2</v>
      </c>
      <c r="G39" s="229" t="e">
        <f>'Development Budget'!#REF!</f>
        <v>#REF!</v>
      </c>
      <c r="H39" s="212"/>
      <c r="I39" s="1044" t="e">
        <f>SUM(DevSourcesTbl[[#This Row],[Residential Amount]],DevSourcesTbl[[#This Row],[Commercial Amount]])</f>
        <v>#REF!</v>
      </c>
      <c r="J39" s="1061"/>
      <c r="K39" s="1088"/>
      <c r="L39" s="1096"/>
      <c r="M39" s="1059"/>
      <c r="N39" s="1758"/>
      <c r="O39" s="1758"/>
      <c r="P39" s="1089"/>
      <c r="Q39" s="1758"/>
      <c r="R39" s="1062">
        <f>IF('Operating Budget'!E131&gt;0,'Operating Budget'!E131,0)</f>
        <v>0</v>
      </c>
      <c r="S39" s="1098"/>
      <c r="T39" s="1064"/>
      <c r="U39" s="1091"/>
      <c r="V39" s="1092"/>
      <c r="W39" s="104"/>
      <c r="X39" s="105"/>
      <c r="Y39" s="105"/>
      <c r="Z39" s="105"/>
    </row>
    <row r="40" spans="1:26" ht="29.25" hidden="1" customHeight="1">
      <c r="A40" s="175"/>
      <c r="B40" s="976" t="str">
        <f>IF(DevSourcesTbl[[#This Row],[Committed?]]&gt;0,"Permanent","")</f>
        <v/>
      </c>
      <c r="C40" s="1057"/>
      <c r="D40" s="1054" t="s">
        <v>1114</v>
      </c>
      <c r="E40" s="1055" t="s">
        <v>125</v>
      </c>
      <c r="F40" s="1065">
        <v>2</v>
      </c>
      <c r="G40" s="229" t="e">
        <f>'Development Budget'!#REF!</f>
        <v>#REF!</v>
      </c>
      <c r="H40" s="212"/>
      <c r="I40" s="1044" t="e">
        <f>SUM(DevSourcesTbl[[#This Row],[Residential Amount]],DevSourcesTbl[[#This Row],[Commercial Amount]])</f>
        <v>#REF!</v>
      </c>
      <c r="J40" s="1061"/>
      <c r="K40" s="1088"/>
      <c r="L40" s="1096"/>
      <c r="M40" s="1059"/>
      <c r="N40" s="1758"/>
      <c r="O40" s="1758"/>
      <c r="P40" s="1089"/>
      <c r="Q40" s="1758"/>
      <c r="R40" s="1062">
        <f>IF('Operating Budget'!$E$133&gt;0,'Operating Budget'!$E$133,0)</f>
        <v>0</v>
      </c>
      <c r="S40" s="1098"/>
      <c r="T40" s="1064"/>
      <c r="U40" s="1091"/>
      <c r="V40" s="1092"/>
      <c r="W40" s="104"/>
      <c r="X40" s="105"/>
      <c r="Y40" s="105"/>
      <c r="Z40" s="105"/>
    </row>
    <row r="41" spans="1:26" ht="36" hidden="1" customHeight="1">
      <c r="A41" s="175"/>
      <c r="B41" s="976" t="str">
        <f>IF(DevSourcesTbl[[#This Row],[Committed?]]&gt;0,"Permanent","")</f>
        <v/>
      </c>
      <c r="C41" s="1057"/>
      <c r="D41" s="1054" t="s">
        <v>546</v>
      </c>
      <c r="E41" s="1055" t="s">
        <v>125</v>
      </c>
      <c r="F41" s="1065"/>
      <c r="G41" s="229" t="e">
        <f>'Development Budget'!#REF!</f>
        <v>#REF!</v>
      </c>
      <c r="H41" s="212"/>
      <c r="I41" s="1044" t="e">
        <f>SUM(DevSourcesTbl[[#This Row],[Residential Amount]],DevSourcesTbl[[#This Row],[Commercial Amount]])</f>
        <v>#REF!</v>
      </c>
      <c r="J41" s="1061"/>
      <c r="K41" s="1088"/>
      <c r="L41" s="1096"/>
      <c r="M41" s="1059"/>
      <c r="N41" s="1758"/>
      <c r="O41" s="1758"/>
      <c r="P41" s="1089"/>
      <c r="Q41" s="1758"/>
      <c r="R41" s="1062">
        <f>IF('Operating Budget'!$E$134&gt;0,'Operating Budget'!$E$134,0)</f>
        <v>0</v>
      </c>
      <c r="S41" s="1098"/>
      <c r="T41" s="1064"/>
      <c r="U41" s="1091"/>
      <c r="V41" s="1092"/>
      <c r="W41" s="104"/>
      <c r="X41" s="105"/>
      <c r="Y41" s="105"/>
      <c r="Z41" s="105"/>
    </row>
    <row r="42" spans="1:26" ht="36" hidden="1" customHeight="1">
      <c r="A42" s="175"/>
      <c r="B42" s="976" t="str">
        <f>IF(DevSourcesTbl[[#This Row],[Committed?]]&gt;0,"Permanent","")</f>
        <v/>
      </c>
      <c r="C42" s="1057"/>
      <c r="D42" s="1054" t="s">
        <v>1115</v>
      </c>
      <c r="E42" s="1055" t="s">
        <v>125</v>
      </c>
      <c r="F42" s="1065">
        <v>2</v>
      </c>
      <c r="G42" s="229" t="e">
        <f>'Development Budget'!#REF!</f>
        <v>#REF!</v>
      </c>
      <c r="H42" s="212"/>
      <c r="I42" s="1044" t="e">
        <f>SUM(DevSourcesTbl[[#This Row],[Residential Amount]],DevSourcesTbl[[#This Row],[Commercial Amount]])</f>
        <v>#REF!</v>
      </c>
      <c r="J42" s="1061"/>
      <c r="K42" s="1088"/>
      <c r="L42" s="1096"/>
      <c r="M42" s="1059"/>
      <c r="N42" s="1758"/>
      <c r="O42" s="1758"/>
      <c r="P42" s="1089"/>
      <c r="Q42" s="1758"/>
      <c r="R42" s="1062">
        <f>IF('Operating Budget'!$E$135&gt;0,'Operating Budget'!$E$135,0)</f>
        <v>0</v>
      </c>
      <c r="S42" s="1098"/>
      <c r="T42" s="1064"/>
      <c r="U42" s="1091"/>
      <c r="V42" s="1092"/>
      <c r="W42" s="104"/>
      <c r="X42" s="105"/>
      <c r="Y42" s="105"/>
      <c r="Z42" s="105"/>
    </row>
    <row r="43" spans="1:26" ht="29.25" hidden="1" customHeight="1">
      <c r="B43" s="976" t="str">
        <f>IF(DevSourcesTbl[[#This Row],[Committed?]]&gt;0,"Permanent","")</f>
        <v/>
      </c>
      <c r="C43" s="1755"/>
      <c r="D43" s="1099" t="s">
        <v>1116</v>
      </c>
      <c r="E43" s="1100" t="s">
        <v>125</v>
      </c>
      <c r="F43" s="1065">
        <v>2</v>
      </c>
      <c r="G43" s="212"/>
      <c r="H43" s="768"/>
      <c r="I43" s="1044">
        <f>SUM(DevSourcesTbl[[#This Row],[Residential Amount]],DevSourcesTbl[[#This Row],[Commercial Amount]])</f>
        <v>0</v>
      </c>
      <c r="J43" s="1076"/>
      <c r="K43" s="1088"/>
      <c r="L43" s="325"/>
      <c r="M43" s="154"/>
      <c r="N43" s="1757"/>
      <c r="O43" s="148"/>
      <c r="P43" s="1089"/>
      <c r="Q43" s="1757"/>
      <c r="R43" s="1074"/>
      <c r="S43" s="332"/>
      <c r="T43" s="1049"/>
      <c r="U43" s="1091"/>
      <c r="V43" s="1092"/>
      <c r="W43" s="104"/>
      <c r="X43" s="105"/>
      <c r="Y43" s="105"/>
      <c r="Z43" s="105"/>
    </row>
    <row r="44" spans="1:26">
      <c r="B44" s="976" t="str">
        <f>IF(DevSourcesTbl[[#This Row],[Committed?]]&gt;0,"Permanent","")</f>
        <v/>
      </c>
      <c r="C44" s="1755"/>
      <c r="D44" s="1730"/>
      <c r="E44" s="1043"/>
      <c r="F44" s="1058"/>
      <c r="G44" s="908"/>
      <c r="H44" s="212"/>
      <c r="I44" s="1044">
        <f>SUM(DevSourcesTbl[[#This Row],[Residential Amount]],DevSourcesTbl[[#This Row],[Commercial Amount]])</f>
        <v>0</v>
      </c>
      <c r="J44" s="1061"/>
      <c r="K44" s="1088"/>
      <c r="L44" s="1096"/>
      <c r="M44" s="1059"/>
      <c r="N44" s="1758"/>
      <c r="O44" s="1758"/>
      <c r="P44" s="1089"/>
      <c r="Q44" s="1758"/>
      <c r="R44" s="1101"/>
      <c r="S44" s="1098"/>
      <c r="T44" s="1064"/>
      <c r="U44" s="1091"/>
      <c r="V44" s="1092"/>
      <c r="W44" s="104"/>
      <c r="X44" s="105"/>
      <c r="Y44" s="105"/>
      <c r="Z44" s="105"/>
    </row>
    <row r="45" spans="1:26">
      <c r="B45" s="976" t="str">
        <f>IF(DevSourcesTbl[[#This Row],[Committed?]]&gt;0,"Permanent","")</f>
        <v/>
      </c>
      <c r="C45" s="1755"/>
      <c r="D45" s="798"/>
      <c r="E45" s="1043"/>
      <c r="F45" s="1058"/>
      <c r="G45" s="212"/>
      <c r="H45" s="212"/>
      <c r="I45" s="1044">
        <f>SUM(DevSourcesTbl[[#This Row],[Residential Amount]],DevSourcesTbl[[#This Row],[Commercial Amount]])</f>
        <v>0</v>
      </c>
      <c r="J45" s="1061"/>
      <c r="K45" s="1088"/>
      <c r="L45" s="1096"/>
      <c r="M45" s="1059"/>
      <c r="N45" s="1758"/>
      <c r="O45" s="1758"/>
      <c r="P45" s="1089"/>
      <c r="Q45" s="1758"/>
      <c r="R45" s="1101"/>
      <c r="S45" s="1098"/>
      <c r="T45" s="1064"/>
      <c r="U45" s="1091"/>
      <c r="V45" s="1092"/>
      <c r="W45" s="104"/>
      <c r="X45" s="105"/>
      <c r="Y45" s="105"/>
      <c r="Z45" s="105"/>
    </row>
    <row r="46" spans="1:26">
      <c r="B46" s="976" t="str">
        <f>IF(DevSourcesTbl[[#This Row],[Committed?]]&gt;0,"Permanent","")</f>
        <v/>
      </c>
      <c r="C46" s="1755"/>
      <c r="D46" s="1052"/>
      <c r="E46" s="1043"/>
      <c r="F46" s="1066"/>
      <c r="G46" s="212"/>
      <c r="H46" s="212"/>
      <c r="I46" s="1044">
        <f>SUM(DevSourcesTbl[[#This Row],[Residential Amount]],DevSourcesTbl[[#This Row],[Commercial Amount]])</f>
        <v>0</v>
      </c>
      <c r="J46" s="1061"/>
      <c r="K46" s="1088"/>
      <c r="L46" s="1096"/>
      <c r="M46" s="1059"/>
      <c r="N46" s="1758"/>
      <c r="O46" s="1758"/>
      <c r="P46" s="1089"/>
      <c r="Q46" s="1758"/>
      <c r="R46" s="1101"/>
      <c r="S46" s="1098"/>
      <c r="T46" s="1064"/>
      <c r="U46" s="1091"/>
      <c r="V46" s="1092"/>
      <c r="W46" s="104"/>
      <c r="X46" s="105"/>
      <c r="Y46" s="105"/>
      <c r="Z46" s="105"/>
    </row>
    <row r="47" spans="1:26">
      <c r="B47" s="976" t="str">
        <f>IF(DevSourcesTbl[[#This Row],[Committed?]]&gt;0,"Permanent","")</f>
        <v/>
      </c>
      <c r="C47" s="1755"/>
      <c r="D47" s="1730"/>
      <c r="E47" s="1043"/>
      <c r="F47" s="1066"/>
      <c r="G47" s="212"/>
      <c r="H47" s="212"/>
      <c r="I47" s="1044">
        <f>SUM(DevSourcesTbl[[#This Row],[Residential Amount]],DevSourcesTbl[[#This Row],[Commercial Amount]])</f>
        <v>0</v>
      </c>
      <c r="J47" s="1061"/>
      <c r="K47" s="1088"/>
      <c r="L47" s="1096"/>
      <c r="M47" s="1059"/>
      <c r="N47" s="1758"/>
      <c r="O47" s="1758"/>
      <c r="P47" s="1089"/>
      <c r="Q47" s="1758"/>
      <c r="R47" s="1101"/>
      <c r="S47" s="1098"/>
      <c r="T47" s="1064"/>
      <c r="U47" s="1091"/>
      <c r="V47" s="1092"/>
      <c r="W47" s="104"/>
      <c r="X47" s="105"/>
      <c r="Y47" s="105"/>
      <c r="Z47" s="105"/>
    </row>
    <row r="48" spans="1:26">
      <c r="B48" s="976" t="str">
        <f>IF(DevSourcesTbl[[#This Row],[Committed?]]&gt;0,"Permanent","")</f>
        <v/>
      </c>
      <c r="C48" s="1755"/>
      <c r="D48" s="1730"/>
      <c r="E48" s="1043"/>
      <c r="F48" s="148"/>
      <c r="G48" s="212"/>
      <c r="H48" s="212"/>
      <c r="I48" s="1044">
        <f>SUM(DevSourcesTbl[[#This Row],[Residential Amount]],DevSourcesTbl[[#This Row],[Commercial Amount]])</f>
        <v>0</v>
      </c>
      <c r="J48" s="1076"/>
      <c r="K48" s="1088"/>
      <c r="L48" s="325"/>
      <c r="M48" s="154"/>
      <c r="N48" s="1757"/>
      <c r="O48" s="148"/>
      <c r="P48" s="1089"/>
      <c r="Q48" s="1757"/>
      <c r="R48" s="1074"/>
      <c r="S48" s="332"/>
      <c r="T48" s="1049"/>
      <c r="U48" s="1091"/>
      <c r="V48" s="1092"/>
      <c r="W48" s="104"/>
      <c r="X48" s="105"/>
      <c r="Y48" s="105"/>
      <c r="Z48" s="105"/>
    </row>
    <row r="49" spans="2:26">
      <c r="B49" s="976" t="str">
        <f>IF(DevSourcesTbl[[#This Row],[Committed?]]&gt;0,"Permanent","")</f>
        <v/>
      </c>
      <c r="C49" s="1755"/>
      <c r="D49" s="798"/>
      <c r="E49" s="1043"/>
      <c r="F49" s="1058"/>
      <c r="G49" s="212"/>
      <c r="H49" s="212"/>
      <c r="I49" s="1044">
        <f>SUM(DevSourcesTbl[[#This Row],[Residential Amount]],DevSourcesTbl[[#This Row],[Commercial Amount]])</f>
        <v>0</v>
      </c>
      <c r="J49" s="1061"/>
      <c r="K49" s="1088"/>
      <c r="L49" s="1096"/>
      <c r="M49" s="1059"/>
      <c r="N49" s="1758"/>
      <c r="O49" s="1758"/>
      <c r="P49" s="1089"/>
      <c r="Q49" s="1758"/>
      <c r="R49" s="1101"/>
      <c r="S49" s="1098"/>
      <c r="T49" s="1064"/>
      <c r="U49" s="1091"/>
      <c r="V49" s="1092"/>
      <c r="W49" s="104"/>
      <c r="X49" s="105"/>
      <c r="Y49" s="105"/>
      <c r="Z49" s="105"/>
    </row>
    <row r="50" spans="2:26">
      <c r="B50" s="976" t="str">
        <f>IF(DevSourcesTbl[[#This Row],[Committed?]]&gt;0,"Permanent","")</f>
        <v/>
      </c>
      <c r="C50" s="1755"/>
      <c r="D50" s="1052"/>
      <c r="E50" s="1043"/>
      <c r="F50" s="1066"/>
      <c r="G50" s="212"/>
      <c r="H50" s="212"/>
      <c r="I50" s="1044">
        <f>SUM(DevSourcesTbl[[#This Row],[Residential Amount]],DevSourcesTbl[[#This Row],[Commercial Amount]])</f>
        <v>0</v>
      </c>
      <c r="J50" s="1061"/>
      <c r="K50" s="1088"/>
      <c r="L50" s="1096"/>
      <c r="M50" s="1059"/>
      <c r="N50" s="1758"/>
      <c r="O50" s="1758"/>
      <c r="P50" s="1089"/>
      <c r="Q50" s="1758"/>
      <c r="R50" s="1101"/>
      <c r="S50" s="1098"/>
      <c r="T50" s="1064"/>
      <c r="U50" s="1091"/>
      <c r="V50" s="1092"/>
      <c r="W50" s="104"/>
      <c r="X50" s="105"/>
      <c r="Y50" s="105"/>
      <c r="Z50" s="105"/>
    </row>
    <row r="51" spans="2:26">
      <c r="B51" s="976" t="str">
        <f>IF(DevSourcesTbl[[#This Row],[Committed?]]&gt;0,"Permanent","")</f>
        <v/>
      </c>
      <c r="C51" s="1755"/>
      <c r="D51" s="1730"/>
      <c r="E51" s="1043"/>
      <c r="F51" s="1066"/>
      <c r="G51" s="212"/>
      <c r="H51" s="212"/>
      <c r="I51" s="1044">
        <f>SUM(DevSourcesTbl[[#This Row],[Residential Amount]],DevSourcesTbl[[#This Row],[Commercial Amount]])</f>
        <v>0</v>
      </c>
      <c r="J51" s="1061"/>
      <c r="K51" s="1088"/>
      <c r="L51" s="1096"/>
      <c r="M51" s="1059"/>
      <c r="N51" s="1758"/>
      <c r="O51" s="1758"/>
      <c r="P51" s="1089"/>
      <c r="Q51" s="1758"/>
      <c r="R51" s="1101"/>
      <c r="S51" s="1098"/>
      <c r="T51" s="1064"/>
      <c r="U51" s="1091"/>
      <c r="V51" s="1092"/>
      <c r="W51" s="104"/>
      <c r="X51" s="105"/>
      <c r="Y51" s="105"/>
      <c r="Z51" s="105"/>
    </row>
    <row r="52" spans="2:26">
      <c r="B52" s="976" t="str">
        <f>IF(DevSourcesTbl[[#This Row],[Committed?]]&gt;0,"Permanent","")</f>
        <v/>
      </c>
      <c r="C52" s="1755"/>
      <c r="D52" s="798"/>
      <c r="E52" s="1043"/>
      <c r="F52" s="1058"/>
      <c r="G52" s="212"/>
      <c r="H52" s="212"/>
      <c r="I52" s="1044">
        <f>SUM(DevSourcesTbl[[#This Row],[Residential Amount]],DevSourcesTbl[[#This Row],[Commercial Amount]])</f>
        <v>0</v>
      </c>
      <c r="J52" s="1061"/>
      <c r="K52" s="1088"/>
      <c r="L52" s="1096"/>
      <c r="M52" s="1059"/>
      <c r="N52" s="1758"/>
      <c r="O52" s="1758"/>
      <c r="P52" s="1089"/>
      <c r="Q52" s="1758"/>
      <c r="R52" s="1101"/>
      <c r="S52" s="1098"/>
      <c r="T52" s="1064"/>
      <c r="U52" s="1091"/>
      <c r="V52" s="1092"/>
      <c r="W52" s="104"/>
      <c r="X52" s="105"/>
      <c r="Y52" s="105"/>
      <c r="Z52" s="105"/>
    </row>
    <row r="53" spans="2:26">
      <c r="B53" s="976" t="str">
        <f>IF(DevSourcesTbl[[#This Row],[Committed?]]&gt;0,"Permanent","")</f>
        <v/>
      </c>
      <c r="C53" s="1755"/>
      <c r="D53" s="798"/>
      <c r="E53" s="1043"/>
      <c r="F53" s="1058"/>
      <c r="G53" s="212"/>
      <c r="H53" s="212"/>
      <c r="I53" s="1044">
        <f>SUM(DevSourcesTbl[[#This Row],[Residential Amount]],DevSourcesTbl[[#This Row],[Commercial Amount]])</f>
        <v>0</v>
      </c>
      <c r="J53" s="1061"/>
      <c r="K53" s="1088"/>
      <c r="L53" s="1096"/>
      <c r="M53" s="1059"/>
      <c r="N53" s="1758"/>
      <c r="O53" s="1758"/>
      <c r="P53" s="1089"/>
      <c r="Q53" s="1758"/>
      <c r="R53" s="1101"/>
      <c r="S53" s="1098"/>
      <c r="T53" s="1064"/>
      <c r="U53" s="1091"/>
      <c r="V53" s="1092"/>
      <c r="W53" s="104"/>
      <c r="X53" s="105"/>
      <c r="Y53" s="105"/>
      <c r="Z53" s="105"/>
    </row>
    <row r="54" spans="2:26">
      <c r="B54" s="976" t="str">
        <f>IF(DevSourcesTbl[[#This Row],[Committed?]]&gt;0,"Permanent","")</f>
        <v/>
      </c>
      <c r="C54" s="1755"/>
      <c r="D54" s="798"/>
      <c r="E54" s="1043"/>
      <c r="F54" s="1058"/>
      <c r="G54" s="212"/>
      <c r="H54" s="212"/>
      <c r="I54" s="1044">
        <f>SUM(DevSourcesTbl[[#This Row],[Residential Amount]],DevSourcesTbl[[#This Row],[Commercial Amount]])</f>
        <v>0</v>
      </c>
      <c r="J54" s="1061"/>
      <c r="K54" s="1088"/>
      <c r="L54" s="1096"/>
      <c r="M54" s="1059"/>
      <c r="N54" s="1758"/>
      <c r="O54" s="1758"/>
      <c r="P54" s="1089"/>
      <c r="Q54" s="1758"/>
      <c r="R54" s="1101"/>
      <c r="S54" s="1098"/>
      <c r="T54" s="1064"/>
      <c r="U54" s="1091"/>
      <c r="V54" s="1092"/>
      <c r="W54" s="104"/>
      <c r="X54" s="105"/>
      <c r="Y54" s="105"/>
      <c r="Z54" s="105"/>
    </row>
    <row r="55" spans="2:26">
      <c r="B55" s="976" t="str">
        <f>IF(DevSourcesTbl[[#This Row],[Committed?]]&gt;0,"Permanent","")</f>
        <v/>
      </c>
      <c r="C55" s="1755"/>
      <c r="D55" s="798"/>
      <c r="E55" s="1043"/>
      <c r="F55" s="1058"/>
      <c r="G55" s="212"/>
      <c r="H55" s="212"/>
      <c r="I55" s="1044">
        <f>SUM(DevSourcesTbl[[#This Row],[Residential Amount]],DevSourcesTbl[[#This Row],[Commercial Amount]])</f>
        <v>0</v>
      </c>
      <c r="J55" s="1061"/>
      <c r="K55" s="1088"/>
      <c r="L55" s="1096"/>
      <c r="M55" s="1059"/>
      <c r="N55" s="1758"/>
      <c r="O55" s="1758"/>
      <c r="P55" s="1089"/>
      <c r="Q55" s="1758"/>
      <c r="R55" s="1101"/>
      <c r="S55" s="1098"/>
      <c r="T55" s="1064"/>
      <c r="U55" s="1091"/>
      <c r="V55" s="1092"/>
      <c r="W55" s="104"/>
      <c r="X55" s="105"/>
      <c r="Y55" s="105"/>
      <c r="Z55" s="105"/>
    </row>
    <row r="56" spans="2:26">
      <c r="B56" s="976" t="str">
        <f>IF(DevSourcesTbl[[#This Row],[Committed?]]&gt;0,"Permanent","")</f>
        <v/>
      </c>
      <c r="C56" s="1755"/>
      <c r="D56" s="798"/>
      <c r="E56" s="1043"/>
      <c r="F56" s="148"/>
      <c r="G56" s="212"/>
      <c r="H56" s="212"/>
      <c r="I56" s="1044">
        <f>SUM(DevSourcesTbl[[#This Row],[Residential Amount]],DevSourcesTbl[[#This Row],[Commercial Amount]])</f>
        <v>0</v>
      </c>
      <c r="J56" s="1061"/>
      <c r="K56" s="1088"/>
      <c r="L56" s="1096"/>
      <c r="M56" s="1059"/>
      <c r="N56" s="1758"/>
      <c r="O56" s="1758"/>
      <c r="P56" s="1089"/>
      <c r="Q56" s="1758"/>
      <c r="R56" s="1101"/>
      <c r="S56" s="1098"/>
      <c r="T56" s="1064"/>
      <c r="U56" s="1091"/>
      <c r="V56" s="1092"/>
      <c r="W56" s="104"/>
      <c r="X56" s="105"/>
      <c r="Y56" s="105"/>
      <c r="Z56" s="105"/>
    </row>
    <row r="57" spans="2:26">
      <c r="B57" s="976" t="str">
        <f>IF(DevSourcesTbl[[#This Row],[Committed?]]&gt;0,"Permanent","")</f>
        <v/>
      </c>
      <c r="C57" s="1755"/>
      <c r="D57" s="1102"/>
      <c r="E57" s="1043"/>
      <c r="F57" s="1058"/>
      <c r="G57" s="212"/>
      <c r="H57" s="212"/>
      <c r="I57" s="1044">
        <f>SUM(DevSourcesTbl[[#This Row],[Residential Amount]],DevSourcesTbl[[#This Row],[Commercial Amount]])</f>
        <v>0</v>
      </c>
      <c r="J57" s="1061"/>
      <c r="K57" s="1088"/>
      <c r="L57" s="1096"/>
      <c r="M57" s="1059"/>
      <c r="N57" s="1758"/>
      <c r="O57" s="1758"/>
      <c r="P57" s="1089"/>
      <c r="Q57" s="1758"/>
      <c r="R57" s="1101"/>
      <c r="S57" s="1098"/>
      <c r="T57" s="1064"/>
      <c r="U57" s="1091"/>
      <c r="V57" s="1092"/>
      <c r="W57" s="104"/>
      <c r="X57" s="105"/>
      <c r="Y57" s="105"/>
      <c r="Z57" s="105"/>
    </row>
    <row r="58" spans="2:26">
      <c r="B58" s="976" t="str">
        <f>IF(DevSourcesTbl[[#This Row],[Committed?]]&gt;0,"Permanent","")</f>
        <v/>
      </c>
      <c r="C58" s="1755"/>
      <c r="D58" s="1070" t="s">
        <v>1105</v>
      </c>
      <c r="E58" s="1043"/>
      <c r="F58" s="1058"/>
      <c r="G58" s="212"/>
      <c r="H58" s="212"/>
      <c r="I58" s="1044">
        <f>SUM(DevSourcesTbl[[#This Row],[Residential Amount]],DevSourcesTbl[[#This Row],[Commercial Amount]])</f>
        <v>0</v>
      </c>
      <c r="J58" s="1061"/>
      <c r="K58" s="1088"/>
      <c r="L58" s="1096"/>
      <c r="M58" s="1059"/>
      <c r="N58" s="1758"/>
      <c r="O58" s="1758"/>
      <c r="P58" s="1089"/>
      <c r="Q58" s="1758"/>
      <c r="R58" s="1101"/>
      <c r="S58" s="1098"/>
      <c r="T58" s="1064"/>
      <c r="U58" s="1091"/>
      <c r="V58" s="1092"/>
      <c r="W58" s="104"/>
      <c r="X58" s="105"/>
      <c r="Y58" s="105"/>
      <c r="Z58" s="105"/>
    </row>
    <row r="59" spans="2:26">
      <c r="B59" s="976" t="str">
        <f>IF(DevSourcesTbl[[#This Row],[Committed?]]&gt;0,"Permanent","")</f>
        <v/>
      </c>
      <c r="C59" s="1755"/>
      <c r="D59" s="1070" t="s">
        <v>1107</v>
      </c>
      <c r="E59" s="1043"/>
      <c r="F59" s="1058"/>
      <c r="G59" s="212"/>
      <c r="H59" s="212"/>
      <c r="I59" s="1044">
        <f>SUM(DevSourcesTbl[[#This Row],[Residential Amount]],DevSourcesTbl[[#This Row],[Commercial Amount]])</f>
        <v>0</v>
      </c>
      <c r="J59" s="1061"/>
      <c r="K59" s="1088"/>
      <c r="L59" s="1096"/>
      <c r="M59" s="1059"/>
      <c r="N59" s="1758"/>
      <c r="O59" s="1758"/>
      <c r="P59" s="1089"/>
      <c r="Q59" s="1758"/>
      <c r="R59" s="1101"/>
      <c r="S59" s="1098"/>
      <c r="T59" s="1064"/>
      <c r="U59" s="1091"/>
      <c r="V59" s="1092"/>
      <c r="W59" s="104"/>
      <c r="X59" s="105"/>
      <c r="Y59" s="105"/>
      <c r="Z59" s="105"/>
    </row>
    <row r="60" spans="2:26">
      <c r="B60" s="976" t="str">
        <f>IF(DevSourcesTbl[[#This Row],[Committed?]]&gt;0,"Permanent","")</f>
        <v/>
      </c>
      <c r="C60" s="1755"/>
      <c r="D60" s="1070" t="s">
        <v>1108</v>
      </c>
      <c r="E60" s="1043"/>
      <c r="F60" s="1058"/>
      <c r="G60" s="212"/>
      <c r="H60" s="212"/>
      <c r="I60" s="1044">
        <f>SUM(DevSourcesTbl[[#This Row],[Residential Amount]],DevSourcesTbl[[#This Row],[Commercial Amount]])</f>
        <v>0</v>
      </c>
      <c r="J60" s="1061"/>
      <c r="K60" s="1088"/>
      <c r="L60" s="1096"/>
      <c r="M60" s="1059"/>
      <c r="N60" s="1758"/>
      <c r="O60" s="1758"/>
      <c r="P60" s="1089"/>
      <c r="Q60" s="1758"/>
      <c r="R60" s="1101"/>
      <c r="S60" s="1098"/>
      <c r="T60" s="1064"/>
      <c r="U60" s="1091"/>
      <c r="V60" s="1092"/>
      <c r="W60" s="104"/>
      <c r="X60" s="105"/>
      <c r="Y60" s="105"/>
      <c r="Z60" s="105"/>
    </row>
    <row r="61" spans="2:26" ht="18.75" customHeight="1" thickBot="1">
      <c r="B61" s="976" t="str">
        <f>IF(DevSourcesTbl[[#This Row],[Committed?]]&gt;0,"Permanent","")</f>
        <v/>
      </c>
      <c r="C61" s="1755"/>
      <c r="D61" s="1075" t="s">
        <v>1109</v>
      </c>
      <c r="E61" s="1568" t="s">
        <v>1117</v>
      </c>
      <c r="F61" s="148"/>
      <c r="G61" s="212"/>
      <c r="H61" s="212"/>
      <c r="I61" s="1044">
        <f>SUM(DevSourcesTbl[[#This Row],[Residential Amount]],DevSourcesTbl[[#This Row],[Commercial Amount]])</f>
        <v>0</v>
      </c>
      <c r="J61" s="1103"/>
      <c r="K61" s="1088"/>
      <c r="L61" s="1104"/>
      <c r="M61" s="1105"/>
      <c r="N61" s="1106"/>
      <c r="O61" s="1106"/>
      <c r="P61" s="1089"/>
      <c r="Q61" s="1106"/>
      <c r="R61" s="1107"/>
      <c r="S61" s="1108"/>
      <c r="T61" s="1064"/>
      <c r="U61" s="1109"/>
      <c r="V61" s="1110"/>
      <c r="W61" s="104"/>
      <c r="X61" s="105"/>
      <c r="Y61" s="105"/>
      <c r="Z61" s="105"/>
    </row>
    <row r="62" spans="2:26">
      <c r="B62" s="104"/>
      <c r="C62" s="104"/>
      <c r="D62" s="145"/>
      <c r="E62" s="144"/>
      <c r="F62" s="144"/>
      <c r="G62" s="144"/>
      <c r="H62" s="144"/>
      <c r="I62" s="104"/>
      <c r="J62" s="104"/>
      <c r="K62" s="104"/>
      <c r="L62" s="104"/>
      <c r="M62" s="104"/>
      <c r="N62" s="104"/>
      <c r="O62" s="104"/>
      <c r="P62" s="104"/>
      <c r="Q62" s="104"/>
      <c r="R62" s="327"/>
      <c r="S62" s="327"/>
      <c r="T62" s="327"/>
      <c r="U62" s="327"/>
      <c r="V62" s="104"/>
      <c r="W62" s="104"/>
      <c r="X62" s="105"/>
      <c r="Y62" s="105"/>
      <c r="Z62" s="105"/>
    </row>
    <row r="63" spans="2:26" ht="18" customHeight="1">
      <c r="B63" s="2450" t="s">
        <v>1118</v>
      </c>
      <c r="C63" s="1777"/>
      <c r="D63" s="1777"/>
      <c r="E63" s="1777"/>
      <c r="F63" s="1778"/>
      <c r="G63" s="835"/>
      <c r="H63" s="835"/>
      <c r="I63" s="835"/>
      <c r="J63" s="835"/>
      <c r="K63" s="835"/>
      <c r="L63" s="835"/>
      <c r="M63" s="835"/>
      <c r="N63" s="835"/>
      <c r="O63" s="835"/>
      <c r="P63" s="835"/>
      <c r="Q63" s="835"/>
      <c r="R63" s="835"/>
      <c r="S63" s="835"/>
      <c r="T63" s="835"/>
      <c r="U63" s="835"/>
      <c r="V63" s="835"/>
      <c r="W63" s="104"/>
      <c r="X63" s="105"/>
      <c r="Y63" s="105"/>
      <c r="Z63" s="105"/>
    </row>
    <row r="64" spans="2:26" ht="18" customHeight="1">
      <c r="B64" s="2451" t="s">
        <v>1119</v>
      </c>
      <c r="C64" s="1777"/>
      <c r="D64" s="1778"/>
      <c r="E64" s="2453">
        <f>IF('Development Budget'!D3&gt;0,'Development Budget'!D3,0)</f>
        <v>0</v>
      </c>
      <c r="F64" s="1778"/>
      <c r="I64" s="835"/>
      <c r="J64" s="835"/>
      <c r="K64" s="835"/>
      <c r="L64" s="835"/>
      <c r="M64" s="835"/>
      <c r="N64" s="835"/>
      <c r="O64" s="835"/>
      <c r="P64" s="835"/>
      <c r="Q64" s="835"/>
      <c r="R64" s="835"/>
      <c r="S64" s="835"/>
      <c r="T64" s="835"/>
      <c r="U64" s="835"/>
      <c r="V64" s="835"/>
      <c r="W64" s="104"/>
      <c r="X64" s="105"/>
      <c r="Y64" s="105"/>
      <c r="Z64" s="105"/>
    </row>
    <row r="65" spans="2:28" ht="18" customHeight="1">
      <c r="B65" s="2446" t="s">
        <v>1120</v>
      </c>
      <c r="C65" s="1777"/>
      <c r="D65" s="1777"/>
      <c r="E65" s="2452">
        <f>I3</f>
        <v>0</v>
      </c>
      <c r="F65" s="1778"/>
      <c r="G65" s="835"/>
      <c r="H65" s="2458">
        <f>_xlfn.IFNA(SUM(I34:I35, I44:I61),"")</f>
        <v>0</v>
      </c>
      <c r="I65" s="2459"/>
      <c r="J65" s="2460" t="s">
        <v>1121</v>
      </c>
      <c r="K65" s="2461"/>
      <c r="L65" s="2461"/>
      <c r="M65" s="2461"/>
      <c r="N65" s="2462"/>
      <c r="O65" s="835"/>
      <c r="P65" s="835"/>
      <c r="Q65" s="835"/>
      <c r="R65" s="835"/>
      <c r="S65" s="835"/>
      <c r="T65" s="835"/>
      <c r="U65" s="835"/>
      <c r="V65" s="835"/>
      <c r="W65" s="104"/>
      <c r="X65" s="105"/>
      <c r="Y65" s="105"/>
      <c r="Z65" s="105"/>
    </row>
    <row r="66" spans="2:28" ht="18" customHeight="1">
      <c r="B66" s="2446" t="s">
        <v>1122</v>
      </c>
      <c r="C66" s="1777"/>
      <c r="D66" s="1777"/>
      <c r="E66" s="2447">
        <f>E64-E65</f>
        <v>0</v>
      </c>
      <c r="F66" s="1778"/>
      <c r="G66" s="835"/>
      <c r="H66" s="835"/>
      <c r="I66" s="835"/>
      <c r="J66" s="835"/>
      <c r="K66" s="835"/>
      <c r="L66" s="835"/>
      <c r="M66" s="835"/>
      <c r="N66" s="835"/>
      <c r="O66" s="835"/>
      <c r="P66" s="835"/>
      <c r="Q66" s="835"/>
      <c r="R66" s="835"/>
      <c r="S66" s="835"/>
      <c r="T66" s="835"/>
      <c r="U66" s="835"/>
      <c r="V66" s="835"/>
      <c r="W66" s="104"/>
      <c r="X66" s="105"/>
      <c r="Y66" s="105"/>
      <c r="Z66" s="105"/>
    </row>
    <row r="67" spans="2:28">
      <c r="B67" s="835"/>
      <c r="C67" s="835"/>
      <c r="D67" s="836"/>
      <c r="E67" s="835"/>
      <c r="F67" s="835"/>
      <c r="G67" s="835"/>
      <c r="H67" s="835"/>
      <c r="I67" s="835"/>
      <c r="J67" s="835"/>
      <c r="K67" s="835"/>
      <c r="L67" s="835"/>
      <c r="M67" s="835"/>
      <c r="N67" s="835"/>
      <c r="O67" s="835"/>
      <c r="P67" s="835"/>
      <c r="Q67" s="835"/>
      <c r="R67" s="835"/>
      <c r="S67" s="835"/>
      <c r="T67" s="835"/>
      <c r="U67" s="835"/>
      <c r="V67" s="835"/>
      <c r="W67" s="104"/>
      <c r="X67" s="105"/>
      <c r="Y67" s="105"/>
      <c r="Z67" s="105"/>
    </row>
    <row r="68" spans="2:28">
      <c r="B68" s="835"/>
      <c r="C68" s="835"/>
      <c r="D68" s="836"/>
      <c r="E68" s="835"/>
      <c r="F68" s="835"/>
      <c r="G68" s="835"/>
      <c r="H68" s="835"/>
      <c r="I68" s="835"/>
      <c r="J68" s="835"/>
      <c r="K68" s="835"/>
      <c r="L68" s="835"/>
      <c r="M68" s="835"/>
      <c r="N68" s="835"/>
      <c r="O68" s="835"/>
      <c r="P68" s="835"/>
      <c r="Q68" s="835"/>
      <c r="R68" s="835"/>
      <c r="S68" s="835"/>
      <c r="T68" s="835"/>
      <c r="U68" s="835"/>
      <c r="V68" s="835"/>
      <c r="W68" s="104"/>
      <c r="X68" s="105"/>
      <c r="Y68" s="105"/>
      <c r="Z68" s="105"/>
    </row>
    <row r="69" spans="2:28">
      <c r="B69" s="104"/>
      <c r="C69" s="104"/>
      <c r="D69" s="145"/>
      <c r="E69" s="144"/>
      <c r="F69" s="144"/>
      <c r="G69" s="144"/>
      <c r="H69" s="144"/>
      <c r="I69" s="104"/>
      <c r="J69" s="104"/>
      <c r="K69" s="104"/>
      <c r="L69" s="104"/>
      <c r="M69" s="104"/>
      <c r="N69" s="104"/>
      <c r="O69" s="104"/>
      <c r="P69" s="104"/>
      <c r="Q69" s="104"/>
      <c r="R69" s="327"/>
      <c r="S69" s="327"/>
      <c r="T69" s="327"/>
      <c r="U69" s="327"/>
      <c r="V69" s="104"/>
      <c r="W69" s="104"/>
      <c r="X69" s="105"/>
      <c r="Y69" s="105"/>
      <c r="Z69" s="105"/>
    </row>
    <row r="70" spans="2:28" ht="43.5" customHeight="1">
      <c r="B70" s="2432" t="s">
        <v>1123</v>
      </c>
      <c r="C70" s="1877"/>
      <c r="D70" s="1877"/>
      <c r="E70" s="1877"/>
      <c r="F70" s="1877"/>
      <c r="G70" s="1877"/>
      <c r="H70" s="1877"/>
      <c r="I70" s="1877"/>
      <c r="J70" s="26"/>
      <c r="K70" s="26"/>
      <c r="L70" s="26"/>
      <c r="M70" s="26"/>
      <c r="N70" s="26"/>
      <c r="O70" s="26"/>
      <c r="P70" s="26"/>
      <c r="Q70" s="26"/>
      <c r="R70" s="327"/>
      <c r="S70" s="327"/>
      <c r="T70" s="327"/>
      <c r="U70" s="327"/>
      <c r="V70" s="104"/>
      <c r="W70" s="104"/>
      <c r="X70" s="105"/>
      <c r="Y70" s="105"/>
      <c r="Z70" s="105"/>
    </row>
    <row r="71" spans="2:28" ht="72.75" customHeight="1">
      <c r="B71" s="2445"/>
      <c r="C71" s="1861"/>
      <c r="D71" s="1861"/>
      <c r="E71" s="1861"/>
      <c r="F71" s="1861"/>
      <c r="G71" s="1861"/>
      <c r="H71" s="1861"/>
      <c r="I71" s="1862"/>
      <c r="J71" s="70"/>
      <c r="K71" s="70"/>
      <c r="L71" s="70"/>
      <c r="M71" s="70"/>
      <c r="N71" s="70"/>
      <c r="O71" s="70"/>
      <c r="P71" s="70"/>
      <c r="Q71" s="70"/>
      <c r="R71" s="327"/>
      <c r="S71" s="327"/>
      <c r="T71" s="327"/>
      <c r="U71" s="327"/>
      <c r="V71" s="104"/>
      <c r="W71" s="104"/>
      <c r="X71" s="105"/>
      <c r="Y71" s="105"/>
      <c r="Z71" s="105"/>
    </row>
    <row r="72" spans="2:28" ht="14.25" customHeight="1">
      <c r="B72" s="208"/>
      <c r="C72" s="208"/>
      <c r="D72" s="209"/>
      <c r="E72" s="210"/>
      <c r="F72" s="210"/>
      <c r="G72" s="210"/>
      <c r="H72" s="210"/>
      <c r="I72" s="208"/>
      <c r="J72" s="208"/>
      <c r="K72" s="208"/>
      <c r="L72" s="208"/>
      <c r="M72" s="208"/>
      <c r="N72" s="208"/>
      <c r="O72" s="208"/>
      <c r="P72" s="208"/>
      <c r="Q72" s="208"/>
      <c r="R72" s="333"/>
      <c r="S72" s="333"/>
      <c r="T72" s="333"/>
      <c r="U72" s="333"/>
      <c r="V72" s="208"/>
      <c r="W72" s="208"/>
      <c r="X72" s="211"/>
      <c r="Y72" s="211"/>
      <c r="Z72" s="211"/>
    </row>
    <row r="73" spans="2:28" ht="14.25" customHeight="1">
      <c r="B73" s="208"/>
      <c r="C73" s="208"/>
      <c r="D73" s="209"/>
      <c r="E73" s="210"/>
      <c r="F73" s="210"/>
      <c r="G73" s="210"/>
      <c r="H73" s="210"/>
      <c r="I73" s="208"/>
      <c r="J73" s="208"/>
      <c r="K73" s="208"/>
      <c r="L73" s="208"/>
      <c r="M73" s="208"/>
      <c r="N73" s="208"/>
      <c r="O73" s="208"/>
      <c r="P73" s="208"/>
      <c r="Q73" s="208"/>
      <c r="R73" s="333"/>
      <c r="S73" s="333"/>
      <c r="T73" s="333"/>
      <c r="U73" s="333"/>
      <c r="V73" s="208"/>
      <c r="W73" s="208"/>
      <c r="X73" s="211"/>
      <c r="Y73" s="211"/>
      <c r="Z73" s="211"/>
    </row>
    <row r="74" spans="2:28" ht="14.25" customHeight="1">
      <c r="B74" s="208"/>
      <c r="C74" s="208"/>
      <c r="D74" s="209"/>
      <c r="E74" s="210"/>
      <c r="F74" s="210"/>
      <c r="G74" s="210"/>
      <c r="H74" s="210"/>
      <c r="I74" s="208"/>
      <c r="J74" s="208"/>
      <c r="K74" s="208"/>
      <c r="L74" s="208"/>
      <c r="M74" s="208"/>
      <c r="N74" s="208"/>
      <c r="O74" s="208"/>
      <c r="P74" s="208"/>
      <c r="Q74" s="208"/>
      <c r="R74" s="333"/>
      <c r="S74" s="333"/>
      <c r="T74" s="333"/>
      <c r="U74" s="333"/>
      <c r="V74" s="208"/>
      <c r="W74" s="208"/>
      <c r="X74" s="211"/>
      <c r="Y74" s="211"/>
      <c r="Z74" s="211"/>
    </row>
    <row r="75" spans="2:28">
      <c r="B75" s="2437" t="s">
        <v>461</v>
      </c>
      <c r="C75" s="2435"/>
      <c r="D75" s="2436"/>
      <c r="E75" s="2438"/>
      <c r="F75" s="2439"/>
      <c r="G75" s="2439"/>
      <c r="H75" s="2439"/>
      <c r="I75" s="2435"/>
      <c r="J75" s="104"/>
      <c r="K75" s="104"/>
      <c r="L75" s="104"/>
      <c r="M75" s="104"/>
      <c r="N75" s="104"/>
      <c r="O75" s="104"/>
      <c r="P75" s="104"/>
      <c r="Q75" s="104"/>
      <c r="R75" s="327"/>
      <c r="S75" s="327"/>
      <c r="T75" s="327"/>
      <c r="U75" s="327"/>
      <c r="V75" s="104"/>
      <c r="W75" s="104"/>
      <c r="X75" s="105"/>
      <c r="Y75" s="105"/>
      <c r="Z75" s="105"/>
    </row>
    <row r="76" spans="2:28">
      <c r="B76" s="104"/>
      <c r="C76" s="104"/>
      <c r="D76" s="145"/>
      <c r="E76" s="144"/>
      <c r="F76" s="144"/>
      <c r="G76" s="144"/>
      <c r="H76" s="144"/>
      <c r="I76" s="104"/>
      <c r="J76" s="104"/>
      <c r="K76" s="104"/>
      <c r="L76" s="104"/>
      <c r="M76" s="104"/>
      <c r="N76" s="104"/>
      <c r="O76" s="104"/>
      <c r="P76" s="104"/>
      <c r="Q76" s="104"/>
      <c r="R76" s="327"/>
      <c r="S76" s="327"/>
      <c r="T76" s="327"/>
      <c r="U76" s="327"/>
      <c r="V76" s="104"/>
      <c r="W76" s="104"/>
      <c r="X76" s="105"/>
      <c r="Y76" s="105"/>
      <c r="Z76" s="105"/>
    </row>
    <row r="77" spans="2:28">
      <c r="B77" s="104"/>
      <c r="C77" s="104"/>
      <c r="D77" s="145"/>
      <c r="E77" s="144"/>
      <c r="F77" s="144"/>
      <c r="G77" s="144"/>
      <c r="H77" s="144"/>
      <c r="I77" s="104"/>
      <c r="J77" s="104"/>
      <c r="K77" s="104"/>
      <c r="L77" s="104"/>
      <c r="M77" s="104"/>
      <c r="N77" s="104"/>
      <c r="O77" s="104"/>
      <c r="P77" s="104"/>
      <c r="Q77" s="104"/>
      <c r="R77" s="327"/>
      <c r="S77" s="327"/>
      <c r="T77" s="327"/>
      <c r="U77" s="327"/>
      <c r="V77" s="104"/>
      <c r="W77" s="104"/>
      <c r="X77" s="105"/>
      <c r="Y77" s="105"/>
      <c r="Z77" s="105"/>
    </row>
    <row r="78" spans="2:28">
      <c r="B78" s="104"/>
      <c r="C78" s="104"/>
      <c r="D78" s="145"/>
      <c r="E78" s="144"/>
      <c r="F78" s="144"/>
      <c r="G78" s="144"/>
      <c r="H78" s="144"/>
      <c r="I78" s="104"/>
      <c r="J78" s="104"/>
      <c r="K78" s="104"/>
      <c r="L78" s="104"/>
      <c r="M78" s="104"/>
      <c r="N78" s="104"/>
      <c r="O78" s="104"/>
      <c r="P78" s="104"/>
      <c r="Q78" s="104"/>
      <c r="R78" s="327"/>
      <c r="S78" s="327"/>
      <c r="T78" s="327"/>
      <c r="U78" s="327"/>
      <c r="V78" s="104"/>
      <c r="W78" s="104"/>
      <c r="X78" s="105"/>
      <c r="Y78" s="105"/>
      <c r="Z78" s="105"/>
    </row>
    <row r="79" spans="2:28" ht="18" customHeight="1">
      <c r="C79" s="20"/>
      <c r="D79" s="151"/>
      <c r="E79" s="19"/>
      <c r="F79" s="152"/>
      <c r="G79" s="152"/>
      <c r="H79" s="152"/>
      <c r="I79" s="20"/>
      <c r="J79" s="20"/>
      <c r="K79" s="20"/>
      <c r="L79" s="20"/>
      <c r="M79" s="20"/>
      <c r="N79" s="20"/>
      <c r="O79" s="20"/>
      <c r="P79" s="20"/>
      <c r="Q79" s="20"/>
      <c r="R79" s="334"/>
      <c r="S79" s="334"/>
      <c r="T79" s="334"/>
      <c r="U79" s="334"/>
      <c r="V79" s="20"/>
      <c r="W79" s="20"/>
      <c r="X79" s="20"/>
      <c r="Y79" s="20"/>
      <c r="Z79" s="20"/>
    </row>
    <row r="80" spans="2:28" ht="18" customHeight="1">
      <c r="B80" s="20"/>
      <c r="C80" s="20"/>
      <c r="D80" s="151"/>
      <c r="E80" s="19"/>
      <c r="F80" s="152"/>
      <c r="G80" s="152"/>
      <c r="H80" s="152"/>
      <c r="I80" s="20"/>
      <c r="J80" s="20"/>
      <c r="K80" s="20"/>
      <c r="L80" s="20"/>
      <c r="M80" s="20"/>
      <c r="N80" s="20"/>
      <c r="O80" s="20"/>
      <c r="P80" s="20"/>
      <c r="Q80" s="20"/>
      <c r="R80" s="334"/>
      <c r="S80" s="334"/>
      <c r="T80" s="334"/>
      <c r="U80" s="334"/>
      <c r="V80" s="20"/>
      <c r="W80" s="20"/>
      <c r="X80" s="20"/>
      <c r="Y80" s="20"/>
      <c r="Z80" s="20"/>
      <c r="AB80" s="20"/>
    </row>
    <row r="81" spans="2:28" ht="18" customHeight="1">
      <c r="B81" s="20"/>
      <c r="C81" s="20"/>
      <c r="D81" s="151"/>
      <c r="E81" s="19"/>
      <c r="F81" s="152"/>
      <c r="G81" s="152"/>
      <c r="H81" s="152"/>
      <c r="I81" s="20"/>
      <c r="J81" s="20"/>
      <c r="K81" s="20"/>
      <c r="L81" s="20"/>
      <c r="M81" s="20"/>
      <c r="N81" s="20"/>
      <c r="O81" s="20"/>
      <c r="P81" s="20"/>
      <c r="Q81" s="20"/>
      <c r="R81" s="334"/>
      <c r="S81" s="334"/>
      <c r="T81" s="334"/>
      <c r="U81" s="334"/>
      <c r="V81" s="20"/>
      <c r="W81" s="20"/>
      <c r="X81" s="20"/>
      <c r="Y81" s="20"/>
      <c r="Z81" s="20"/>
      <c r="AA81" s="20"/>
      <c r="AB81" s="20"/>
    </row>
    <row r="82" spans="2:28" ht="18" customHeight="1">
      <c r="B82" s="19"/>
      <c r="C82" s="20"/>
      <c r="D82" s="151"/>
      <c r="E82" s="19"/>
      <c r="F82" s="152"/>
      <c r="G82" s="152"/>
      <c r="H82" s="152"/>
      <c r="I82" s="20"/>
      <c r="J82" s="20"/>
      <c r="K82" s="20"/>
      <c r="L82" s="20"/>
      <c r="M82" s="20"/>
      <c r="N82" s="20"/>
      <c r="O82" s="20"/>
      <c r="P82" s="20"/>
      <c r="Q82" s="20"/>
      <c r="R82" s="334"/>
      <c r="S82" s="334"/>
      <c r="T82" s="334"/>
      <c r="U82" s="334"/>
      <c r="V82" s="20"/>
      <c r="W82" s="20"/>
      <c r="X82" s="20"/>
      <c r="Y82" s="20"/>
      <c r="Z82" s="20"/>
      <c r="AA82" s="20"/>
      <c r="AB82" s="20"/>
    </row>
    <row r="83" spans="2:28" ht="18" customHeight="1">
      <c r="B83" s="20"/>
      <c r="C83" s="20"/>
      <c r="D83" s="151"/>
      <c r="E83" s="19"/>
      <c r="F83" s="152"/>
      <c r="G83" s="152"/>
      <c r="H83" s="152"/>
      <c r="I83" s="20"/>
      <c r="J83" s="20"/>
      <c r="K83" s="20"/>
      <c r="L83" s="20"/>
      <c r="M83" s="20"/>
      <c r="N83" s="20"/>
      <c r="O83" s="20"/>
      <c r="P83" s="20"/>
      <c r="Q83" s="20"/>
      <c r="R83" s="334"/>
      <c r="S83" s="334"/>
      <c r="T83" s="334"/>
      <c r="U83" s="334"/>
      <c r="V83" s="20"/>
      <c r="W83" s="20"/>
      <c r="X83" s="20"/>
      <c r="Y83" s="20"/>
      <c r="Z83" s="20"/>
      <c r="AA83" s="20"/>
      <c r="AB83" s="20"/>
    </row>
    <row r="84" spans="2:28" ht="18" customHeight="1">
      <c r="B84" s="19"/>
      <c r="C84" s="20"/>
      <c r="D84" s="151"/>
      <c r="E84" s="19"/>
      <c r="F84" s="152"/>
      <c r="G84" s="152"/>
      <c r="H84" s="152"/>
      <c r="I84" s="20"/>
      <c r="J84" s="20"/>
      <c r="K84" s="20"/>
      <c r="L84" s="20"/>
      <c r="M84" s="20"/>
      <c r="N84" s="20"/>
      <c r="O84" s="20"/>
      <c r="P84" s="20"/>
      <c r="Q84" s="20"/>
      <c r="R84" s="334"/>
      <c r="S84" s="334"/>
      <c r="T84" s="334"/>
      <c r="U84" s="334"/>
      <c r="V84" s="20"/>
      <c r="W84" s="20"/>
      <c r="X84" s="20"/>
      <c r="Y84" s="20"/>
      <c r="Z84" s="20"/>
      <c r="AA84" s="20"/>
      <c r="AB84" s="20"/>
    </row>
    <row r="85" spans="2:28" ht="18" customHeight="1">
      <c r="B85" s="20"/>
      <c r="C85" s="20"/>
      <c r="D85" s="151"/>
      <c r="E85" s="19"/>
      <c r="F85" s="152"/>
      <c r="G85" s="152"/>
      <c r="H85" s="152"/>
      <c r="I85" s="20"/>
      <c r="J85" s="20"/>
      <c r="K85" s="20"/>
      <c r="L85" s="20"/>
      <c r="M85" s="20"/>
      <c r="N85" s="20"/>
      <c r="O85" s="20"/>
      <c r="P85" s="20"/>
      <c r="Q85" s="20"/>
      <c r="R85" s="334"/>
      <c r="S85" s="334"/>
      <c r="T85" s="334"/>
      <c r="U85" s="334"/>
      <c r="V85" s="20"/>
      <c r="W85" s="20"/>
      <c r="X85" s="20"/>
      <c r="Y85" s="20"/>
      <c r="Z85" s="20"/>
      <c r="AA85" s="20"/>
      <c r="AB85" s="20"/>
    </row>
    <row r="86" spans="2:28" ht="18" customHeight="1">
      <c r="B86" s="20"/>
      <c r="C86" s="20"/>
      <c r="D86" s="151"/>
      <c r="E86" s="19"/>
      <c r="F86" s="152"/>
      <c r="G86" s="152"/>
      <c r="H86" s="152"/>
      <c r="I86" s="20"/>
      <c r="J86" s="20"/>
      <c r="K86" s="20"/>
      <c r="L86" s="20"/>
      <c r="M86" s="20"/>
      <c r="N86" s="20"/>
      <c r="O86" s="20"/>
      <c r="P86" s="20"/>
      <c r="Q86" s="20"/>
      <c r="R86" s="334"/>
      <c r="S86" s="334"/>
      <c r="T86" s="334"/>
      <c r="U86" s="334"/>
      <c r="V86" s="20"/>
      <c r="W86" s="20"/>
      <c r="X86" s="20"/>
      <c r="Y86" s="20"/>
      <c r="Z86" s="20"/>
      <c r="AB86" s="20"/>
    </row>
    <row r="87" spans="2:28" ht="18" customHeight="1">
      <c r="B87" s="20"/>
      <c r="C87" s="20"/>
      <c r="D87" s="151"/>
      <c r="E87" s="19"/>
      <c r="F87" s="152"/>
      <c r="G87" s="152"/>
      <c r="H87" s="152"/>
      <c r="I87" s="20"/>
      <c r="J87" s="20"/>
      <c r="K87" s="20"/>
      <c r="L87" s="20"/>
      <c r="M87" s="20"/>
      <c r="N87" s="20"/>
      <c r="O87" s="20"/>
      <c r="P87" s="20"/>
      <c r="Q87" s="20"/>
      <c r="R87" s="334"/>
      <c r="S87" s="334"/>
      <c r="T87" s="334"/>
      <c r="U87" s="334"/>
      <c r="V87" s="20"/>
      <c r="W87" s="20"/>
      <c r="X87" s="20"/>
      <c r="Y87" s="20"/>
      <c r="Z87" s="20"/>
      <c r="AA87" s="20"/>
      <c r="AB87" s="20"/>
    </row>
    <row r="88" spans="2:28" ht="18" customHeight="1">
      <c r="B88" s="20"/>
      <c r="C88" s="20"/>
      <c r="D88" s="151"/>
      <c r="E88" s="19"/>
      <c r="F88" s="152"/>
      <c r="G88" s="152"/>
      <c r="H88" s="152"/>
      <c r="I88" s="20"/>
      <c r="J88" s="20"/>
      <c r="K88" s="20"/>
      <c r="L88" s="20"/>
      <c r="M88" s="20"/>
      <c r="N88" s="20"/>
      <c r="O88" s="20"/>
      <c r="P88" s="20"/>
      <c r="Q88" s="20"/>
      <c r="R88" s="334"/>
      <c r="S88" s="334"/>
      <c r="T88" s="334"/>
      <c r="U88" s="334"/>
      <c r="V88" s="20"/>
      <c r="W88" s="20"/>
      <c r="X88" s="20"/>
      <c r="Y88" s="20"/>
      <c r="Z88" s="20"/>
      <c r="AA88" s="20"/>
      <c r="AB88" s="20"/>
    </row>
    <row r="89" spans="2:28" ht="18" customHeight="1">
      <c r="B89" s="20"/>
      <c r="C89" s="20"/>
      <c r="D89" s="151"/>
      <c r="E89" s="19"/>
      <c r="F89" s="152"/>
      <c r="G89" s="152"/>
      <c r="H89" s="152"/>
      <c r="I89" s="20"/>
      <c r="J89" s="20"/>
      <c r="K89" s="20"/>
      <c r="L89" s="20"/>
      <c r="M89" s="20"/>
      <c r="N89" s="20"/>
      <c r="O89" s="20"/>
      <c r="P89" s="20"/>
      <c r="Q89" s="20"/>
      <c r="R89" s="334"/>
      <c r="S89" s="334"/>
      <c r="T89" s="334"/>
      <c r="U89" s="334"/>
      <c r="V89" s="20"/>
      <c r="W89" s="20"/>
      <c r="X89" s="20"/>
      <c r="Y89" s="20"/>
      <c r="Z89" s="20"/>
      <c r="AA89" s="20"/>
      <c r="AB89" s="20"/>
    </row>
    <row r="90" spans="2:28" ht="18" customHeight="1">
      <c r="B90" s="20"/>
      <c r="C90" s="20"/>
      <c r="D90" s="151"/>
      <c r="E90" s="19"/>
      <c r="F90" s="152"/>
      <c r="G90" s="152"/>
      <c r="H90" s="152"/>
      <c r="I90" s="20"/>
      <c r="J90" s="20"/>
      <c r="K90" s="20"/>
      <c r="L90" s="20"/>
      <c r="M90" s="20"/>
      <c r="N90" s="20"/>
      <c r="O90" s="20"/>
      <c r="P90" s="20"/>
      <c r="Q90" s="20"/>
      <c r="R90" s="334"/>
      <c r="S90" s="334"/>
      <c r="T90" s="334"/>
      <c r="U90" s="334"/>
      <c r="V90" s="20"/>
      <c r="W90" s="20"/>
      <c r="X90" s="20"/>
      <c r="Y90" s="20"/>
      <c r="Z90" s="20"/>
      <c r="AA90" s="20"/>
      <c r="AB90" s="20"/>
    </row>
    <row r="91" spans="2:28" ht="18" customHeight="1">
      <c r="B91" s="19"/>
      <c r="C91" s="20"/>
      <c r="D91" s="151"/>
      <c r="E91" s="19"/>
      <c r="F91" s="152"/>
      <c r="G91" s="152"/>
      <c r="H91" s="152"/>
      <c r="I91" s="20"/>
      <c r="J91" s="20"/>
      <c r="K91" s="20"/>
      <c r="L91" s="20"/>
      <c r="M91" s="20"/>
      <c r="N91" s="20"/>
      <c r="O91" s="20"/>
      <c r="P91" s="20"/>
      <c r="Q91" s="20"/>
      <c r="R91" s="334"/>
      <c r="S91" s="334"/>
      <c r="T91" s="334"/>
      <c r="U91" s="334"/>
      <c r="V91" s="20"/>
      <c r="W91" s="20"/>
      <c r="X91" s="20"/>
      <c r="Y91" s="20"/>
      <c r="Z91" s="20"/>
      <c r="AA91" s="20"/>
      <c r="AB91" s="20"/>
    </row>
    <row r="92" spans="2:28" ht="18" customHeight="1">
      <c r="B92" s="21"/>
      <c r="C92" s="20"/>
      <c r="D92" s="151"/>
      <c r="E92" s="19"/>
      <c r="F92" s="152"/>
      <c r="G92" s="152"/>
      <c r="H92" s="152"/>
      <c r="I92" s="20"/>
      <c r="J92" s="20"/>
      <c r="K92" s="20"/>
      <c r="L92" s="20"/>
      <c r="M92" s="20"/>
      <c r="N92" s="20"/>
      <c r="O92" s="20"/>
      <c r="P92" s="20"/>
      <c r="Q92" s="20"/>
      <c r="R92" s="334"/>
      <c r="S92" s="334"/>
      <c r="T92" s="334"/>
      <c r="U92" s="334"/>
      <c r="V92" s="20"/>
      <c r="W92" s="20"/>
      <c r="X92" s="20"/>
      <c r="Y92" s="20"/>
      <c r="Z92" s="20"/>
      <c r="AA92" s="20"/>
      <c r="AB92" s="20"/>
    </row>
    <row r="93" spans="2:28" ht="18" customHeight="1">
      <c r="B93" s="22"/>
      <c r="C93" s="20"/>
      <c r="D93" s="151"/>
      <c r="E93" s="19"/>
      <c r="F93" s="152"/>
      <c r="G93" s="152"/>
      <c r="H93" s="152"/>
      <c r="I93" s="20"/>
      <c r="J93" s="20"/>
      <c r="K93" s="20"/>
      <c r="L93" s="20"/>
      <c r="M93" s="20"/>
      <c r="N93" s="20"/>
      <c r="O93" s="20"/>
      <c r="P93" s="20"/>
      <c r="Q93" s="20"/>
      <c r="R93" s="334"/>
      <c r="S93" s="334"/>
      <c r="T93" s="334"/>
      <c r="U93" s="334"/>
      <c r="V93" s="20"/>
      <c r="W93" s="20"/>
      <c r="X93" s="20"/>
      <c r="Y93" s="20"/>
      <c r="Z93" s="20"/>
      <c r="AB93" s="20"/>
    </row>
    <row r="94" spans="2:28" ht="18" customHeight="1">
      <c r="B94" s="20"/>
      <c r="C94" s="20"/>
      <c r="D94" s="151"/>
      <c r="E94" s="19"/>
      <c r="F94" s="152"/>
      <c r="G94" s="152"/>
      <c r="H94" s="152"/>
      <c r="I94" s="20"/>
      <c r="J94" s="20"/>
      <c r="K94" s="20"/>
      <c r="L94" s="20"/>
      <c r="M94" s="20"/>
      <c r="N94" s="20"/>
      <c r="O94" s="20"/>
      <c r="P94" s="20"/>
      <c r="Q94" s="20"/>
      <c r="R94" s="334"/>
      <c r="S94" s="334"/>
      <c r="T94" s="334"/>
      <c r="U94" s="334"/>
      <c r="V94" s="20"/>
      <c r="W94" s="20"/>
      <c r="X94" s="20"/>
      <c r="Y94" s="20"/>
      <c r="Z94" s="20"/>
      <c r="AA94" s="20"/>
      <c r="AB94" s="20"/>
    </row>
    <row r="95" spans="2:28" ht="18" customHeight="1">
      <c r="B95" s="20"/>
      <c r="C95" s="20"/>
      <c r="D95" s="151"/>
      <c r="E95" s="19"/>
      <c r="F95" s="152"/>
      <c r="G95" s="152"/>
      <c r="H95" s="152"/>
      <c r="I95" s="20"/>
      <c r="J95" s="20"/>
      <c r="K95" s="20"/>
      <c r="L95" s="20"/>
      <c r="M95" s="20"/>
      <c r="N95" s="20"/>
      <c r="O95" s="20"/>
      <c r="P95" s="20"/>
      <c r="Q95" s="20"/>
      <c r="R95" s="334"/>
      <c r="S95" s="334"/>
      <c r="T95" s="334"/>
      <c r="U95" s="334"/>
      <c r="V95" s="20"/>
      <c r="W95" s="20"/>
      <c r="X95" s="20"/>
      <c r="Y95" s="20"/>
      <c r="Z95" s="20"/>
      <c r="AA95" s="20"/>
      <c r="AB95" s="20"/>
    </row>
    <row r="96" spans="2:28" ht="18" customHeight="1">
      <c r="B96" s="20"/>
      <c r="C96" s="20"/>
      <c r="D96" s="151"/>
      <c r="E96" s="19"/>
      <c r="F96" s="152"/>
      <c r="G96" s="152"/>
      <c r="H96" s="152"/>
      <c r="I96" s="20"/>
      <c r="J96" s="20"/>
      <c r="K96" s="20"/>
      <c r="L96" s="20"/>
      <c r="M96" s="20"/>
      <c r="N96" s="20"/>
      <c r="O96" s="20"/>
      <c r="P96" s="20"/>
      <c r="Q96" s="20"/>
      <c r="R96" s="334"/>
      <c r="S96" s="334"/>
      <c r="T96" s="334"/>
      <c r="U96" s="334"/>
      <c r="V96" s="20"/>
      <c r="W96" s="20"/>
      <c r="X96" s="20"/>
      <c r="Y96" s="20"/>
      <c r="Z96" s="20"/>
      <c r="AA96" s="20"/>
      <c r="AB96" s="20"/>
    </row>
    <row r="97" spans="2:28" ht="18" customHeight="1">
      <c r="B97" s="19"/>
      <c r="C97" s="20"/>
      <c r="D97" s="151"/>
      <c r="E97" s="19"/>
      <c r="F97" s="152"/>
      <c r="G97" s="152"/>
      <c r="H97" s="152"/>
      <c r="I97" s="20"/>
      <c r="J97" s="20"/>
      <c r="K97" s="20"/>
      <c r="L97" s="20"/>
      <c r="M97" s="20"/>
      <c r="N97" s="20"/>
      <c r="O97" s="20"/>
      <c r="P97" s="20"/>
      <c r="Q97" s="20"/>
      <c r="R97" s="334"/>
      <c r="S97" s="334"/>
      <c r="T97" s="334"/>
      <c r="U97" s="334"/>
      <c r="V97" s="20"/>
      <c r="W97" s="20"/>
      <c r="X97" s="20"/>
      <c r="Y97" s="20"/>
      <c r="Z97" s="20"/>
      <c r="AA97" s="20"/>
      <c r="AB97" s="20"/>
    </row>
    <row r="98" spans="2:28" ht="18" customHeight="1">
      <c r="B98" s="20"/>
      <c r="C98" s="20"/>
      <c r="D98" s="151"/>
      <c r="E98" s="19"/>
      <c r="F98" s="152"/>
      <c r="G98" s="152"/>
      <c r="H98" s="152"/>
      <c r="I98" s="20"/>
      <c r="J98" s="20"/>
      <c r="K98" s="20"/>
      <c r="L98" s="20"/>
      <c r="M98" s="20"/>
      <c r="N98" s="20"/>
      <c r="O98" s="20"/>
      <c r="P98" s="20"/>
      <c r="Q98" s="20"/>
      <c r="R98" s="334"/>
      <c r="S98" s="334"/>
      <c r="T98" s="334"/>
      <c r="U98" s="334"/>
      <c r="V98" s="20"/>
      <c r="W98" s="20"/>
      <c r="X98" s="20"/>
      <c r="Y98" s="20"/>
      <c r="Z98" s="20"/>
      <c r="AA98" s="20"/>
      <c r="AB98" s="20"/>
    </row>
    <row r="99" spans="2:28" ht="18" customHeight="1">
      <c r="B99" s="20"/>
      <c r="C99" s="20"/>
      <c r="D99" s="151"/>
      <c r="E99" s="19"/>
      <c r="F99" s="152"/>
      <c r="G99" s="152"/>
      <c r="H99" s="152"/>
      <c r="I99" s="20"/>
      <c r="J99" s="20"/>
      <c r="K99" s="20"/>
      <c r="L99" s="20"/>
      <c r="M99" s="20"/>
      <c r="N99" s="20"/>
      <c r="O99" s="20"/>
      <c r="P99" s="20"/>
      <c r="Q99" s="20"/>
      <c r="R99" s="334"/>
      <c r="S99" s="334"/>
      <c r="T99" s="334"/>
      <c r="U99" s="334"/>
      <c r="V99" s="20"/>
      <c r="W99" s="20"/>
      <c r="X99" s="20"/>
      <c r="Y99" s="20"/>
      <c r="Z99" s="20"/>
      <c r="AB99" s="20"/>
    </row>
    <row r="100" spans="2:28" ht="18" customHeight="1">
      <c r="B100" s="20"/>
      <c r="C100" s="20"/>
      <c r="D100" s="151"/>
      <c r="E100" s="19"/>
      <c r="F100" s="152"/>
      <c r="G100" s="152"/>
      <c r="H100" s="152"/>
      <c r="I100" s="20"/>
      <c r="J100" s="20"/>
      <c r="K100" s="20"/>
      <c r="L100" s="20"/>
      <c r="M100" s="20"/>
      <c r="N100" s="20"/>
      <c r="O100" s="20"/>
      <c r="P100" s="20"/>
      <c r="Q100" s="20"/>
      <c r="R100" s="334"/>
      <c r="S100" s="334"/>
      <c r="T100" s="334"/>
      <c r="U100" s="334"/>
      <c r="V100" s="20"/>
      <c r="W100" s="20"/>
      <c r="X100" s="20"/>
      <c r="Y100" s="20"/>
      <c r="Z100" s="20"/>
      <c r="AA100" s="20"/>
      <c r="AB100" s="20"/>
    </row>
    <row r="101" spans="2:28" ht="18" customHeight="1">
      <c r="B101" s="20"/>
      <c r="C101" s="20"/>
      <c r="D101" s="151"/>
      <c r="E101" s="19"/>
      <c r="F101" s="152"/>
      <c r="G101" s="152"/>
      <c r="H101" s="152"/>
      <c r="I101" s="20"/>
      <c r="J101" s="20"/>
      <c r="K101" s="20"/>
      <c r="L101" s="20"/>
      <c r="M101" s="20"/>
      <c r="N101" s="20"/>
      <c r="O101" s="20"/>
      <c r="P101" s="20"/>
      <c r="Q101" s="20"/>
      <c r="R101" s="334"/>
      <c r="S101" s="334"/>
      <c r="T101" s="334"/>
      <c r="U101" s="334"/>
      <c r="V101" s="20"/>
      <c r="W101" s="20"/>
      <c r="X101" s="20"/>
      <c r="Y101" s="20"/>
      <c r="Z101" s="20"/>
      <c r="AA101" s="20"/>
      <c r="AB101" s="20"/>
    </row>
    <row r="102" spans="2:28" ht="18" customHeight="1">
      <c r="B102" s="20"/>
      <c r="C102" s="20"/>
      <c r="D102" s="151"/>
      <c r="E102" s="19"/>
      <c r="F102" s="152"/>
      <c r="G102" s="152"/>
      <c r="H102" s="152"/>
      <c r="I102" s="20"/>
      <c r="J102" s="20"/>
      <c r="K102" s="20"/>
      <c r="L102" s="20"/>
      <c r="M102" s="20"/>
      <c r="N102" s="20"/>
      <c r="O102" s="20"/>
      <c r="P102" s="20"/>
      <c r="Q102" s="20"/>
      <c r="R102" s="334"/>
      <c r="S102" s="334"/>
      <c r="T102" s="334"/>
      <c r="U102" s="334"/>
      <c r="V102" s="20"/>
      <c r="W102" s="20"/>
      <c r="X102" s="20"/>
      <c r="Y102" s="20"/>
      <c r="Z102" s="20"/>
      <c r="AA102" s="20"/>
      <c r="AB102" s="20"/>
    </row>
    <row r="103" spans="2:28" ht="18" customHeight="1">
      <c r="B103" s="19"/>
      <c r="C103" s="20"/>
      <c r="D103" s="151"/>
      <c r="E103" s="19"/>
      <c r="F103" s="152"/>
      <c r="G103" s="152"/>
      <c r="H103" s="152"/>
      <c r="I103" s="20"/>
      <c r="J103" s="20"/>
      <c r="K103" s="20"/>
      <c r="L103" s="20"/>
      <c r="M103" s="20"/>
      <c r="N103" s="20"/>
      <c r="O103" s="20"/>
      <c r="P103" s="20"/>
      <c r="Q103" s="20"/>
      <c r="R103" s="334"/>
      <c r="S103" s="334"/>
      <c r="T103" s="334"/>
      <c r="U103" s="334"/>
      <c r="V103" s="20"/>
      <c r="W103" s="20"/>
      <c r="X103" s="20"/>
      <c r="Y103" s="20"/>
      <c r="Z103" s="20"/>
      <c r="AA103" s="20"/>
      <c r="AB103" s="20"/>
    </row>
    <row r="104" spans="2:28" ht="18" customHeight="1">
      <c r="B104" s="20"/>
      <c r="C104" s="20"/>
      <c r="D104" s="151"/>
      <c r="E104" s="19"/>
      <c r="F104" s="152"/>
      <c r="G104" s="152"/>
      <c r="H104" s="152"/>
      <c r="I104" s="20"/>
      <c r="J104" s="20"/>
      <c r="K104" s="20"/>
      <c r="L104" s="20"/>
      <c r="M104" s="20"/>
      <c r="N104" s="20"/>
      <c r="O104" s="20"/>
      <c r="P104" s="20"/>
      <c r="Q104" s="20"/>
      <c r="R104" s="334"/>
      <c r="S104" s="334"/>
      <c r="T104" s="334"/>
      <c r="U104" s="334"/>
      <c r="V104" s="20"/>
      <c r="W104" s="20"/>
      <c r="X104" s="20"/>
      <c r="Y104" s="20"/>
      <c r="Z104" s="20"/>
      <c r="AA104" s="20"/>
      <c r="AB104" s="20"/>
    </row>
    <row r="105" spans="2:28" ht="18" customHeight="1">
      <c r="B105" s="20"/>
      <c r="C105" s="20"/>
      <c r="D105" s="151"/>
      <c r="E105" s="19"/>
      <c r="F105" s="152"/>
      <c r="G105" s="152"/>
      <c r="H105" s="152"/>
      <c r="I105" s="20"/>
      <c r="J105" s="20"/>
      <c r="K105" s="20"/>
      <c r="L105" s="20"/>
      <c r="M105" s="20"/>
      <c r="N105" s="20"/>
      <c r="O105" s="20"/>
      <c r="P105" s="20"/>
      <c r="Q105" s="20"/>
      <c r="R105" s="334"/>
      <c r="S105" s="334"/>
      <c r="T105" s="334"/>
      <c r="U105" s="334"/>
      <c r="V105" s="20"/>
      <c r="W105" s="20"/>
      <c r="X105" s="20"/>
      <c r="Y105" s="20"/>
      <c r="Z105" s="20"/>
      <c r="AB105" s="20"/>
    </row>
    <row r="106" spans="2:28" ht="18" customHeight="1">
      <c r="B106" s="20"/>
      <c r="C106" s="20"/>
      <c r="D106" s="151"/>
      <c r="E106" s="19"/>
      <c r="F106" s="152"/>
      <c r="G106" s="152"/>
      <c r="H106" s="152"/>
      <c r="I106" s="20"/>
      <c r="J106" s="20"/>
      <c r="K106" s="20"/>
      <c r="L106" s="20"/>
      <c r="M106" s="20"/>
      <c r="N106" s="20"/>
      <c r="O106" s="20"/>
      <c r="P106" s="20"/>
      <c r="Q106" s="20"/>
      <c r="R106" s="334"/>
      <c r="S106" s="334"/>
      <c r="T106" s="334"/>
      <c r="U106" s="334"/>
      <c r="V106" s="20"/>
      <c r="W106" s="20"/>
      <c r="X106" s="20"/>
      <c r="Y106" s="20"/>
      <c r="Z106" s="20"/>
      <c r="AA106" s="20"/>
      <c r="AB106" s="20"/>
    </row>
    <row r="107" spans="2:28" ht="18" customHeight="1">
      <c r="B107" s="20"/>
      <c r="C107" s="20"/>
      <c r="D107" s="151"/>
      <c r="E107" s="19"/>
      <c r="F107" s="152"/>
      <c r="G107" s="152"/>
      <c r="H107" s="152"/>
      <c r="I107" s="20"/>
      <c r="J107" s="20"/>
      <c r="K107" s="20"/>
      <c r="L107" s="20"/>
      <c r="M107" s="20"/>
      <c r="N107" s="20"/>
      <c r="O107" s="20"/>
      <c r="P107" s="20"/>
      <c r="Q107" s="20"/>
      <c r="R107" s="334"/>
      <c r="S107" s="334"/>
      <c r="T107" s="334"/>
      <c r="U107" s="334"/>
      <c r="V107" s="20"/>
      <c r="W107" s="20"/>
      <c r="X107" s="20"/>
      <c r="Y107" s="20"/>
      <c r="Z107" s="20"/>
      <c r="AA107" s="20"/>
      <c r="AB107" s="20"/>
    </row>
    <row r="108" spans="2:28" ht="18" customHeight="1">
      <c r="B108" s="20"/>
      <c r="C108" s="20"/>
      <c r="D108" s="151"/>
      <c r="E108" s="19"/>
      <c r="F108" s="152"/>
      <c r="G108" s="152"/>
      <c r="H108" s="152"/>
      <c r="I108" s="20"/>
      <c r="J108" s="20"/>
      <c r="K108" s="20"/>
      <c r="L108" s="20"/>
      <c r="M108" s="20"/>
      <c r="N108" s="20"/>
      <c r="O108" s="20"/>
      <c r="P108" s="20"/>
      <c r="Q108" s="20"/>
      <c r="R108" s="334"/>
      <c r="S108" s="334"/>
      <c r="T108" s="334"/>
      <c r="U108" s="334"/>
      <c r="V108" s="20"/>
      <c r="W108" s="20"/>
      <c r="X108" s="20"/>
      <c r="Y108" s="20"/>
      <c r="Z108" s="20"/>
      <c r="AA108" s="20"/>
      <c r="AB108" s="20"/>
    </row>
    <row r="109" spans="2:28" ht="18" customHeight="1">
      <c r="B109" s="19"/>
      <c r="C109" s="20"/>
      <c r="D109" s="151"/>
      <c r="E109" s="19"/>
      <c r="F109" s="152"/>
      <c r="G109" s="152"/>
      <c r="H109" s="152"/>
      <c r="I109" s="20"/>
      <c r="J109" s="20"/>
      <c r="K109" s="20"/>
      <c r="L109" s="20"/>
      <c r="M109" s="20"/>
      <c r="N109" s="20"/>
      <c r="O109" s="20"/>
      <c r="P109" s="20"/>
      <c r="Q109" s="20"/>
      <c r="R109" s="334"/>
      <c r="S109" s="334"/>
      <c r="T109" s="334"/>
      <c r="U109" s="334"/>
      <c r="V109" s="20"/>
      <c r="W109" s="20"/>
      <c r="X109" s="20"/>
      <c r="Y109" s="20"/>
      <c r="Z109" s="20"/>
      <c r="AA109" s="20"/>
      <c r="AB109" s="20"/>
    </row>
    <row r="110" spans="2:28" ht="18" customHeight="1">
      <c r="B110" s="20"/>
      <c r="C110" s="20"/>
      <c r="D110" s="151"/>
      <c r="E110" s="19"/>
      <c r="F110" s="152"/>
      <c r="G110" s="152"/>
      <c r="H110" s="152"/>
      <c r="I110" s="20"/>
      <c r="J110" s="20"/>
      <c r="K110" s="20"/>
      <c r="L110" s="20"/>
      <c r="M110" s="20"/>
      <c r="N110" s="20"/>
      <c r="O110" s="20"/>
      <c r="P110" s="20"/>
      <c r="Q110" s="20"/>
      <c r="R110" s="334"/>
      <c r="S110" s="334"/>
      <c r="T110" s="334"/>
      <c r="U110" s="334"/>
      <c r="V110" s="20"/>
      <c r="W110" s="20"/>
      <c r="X110" s="20"/>
      <c r="Y110" s="20"/>
      <c r="Z110" s="20"/>
      <c r="AA110" s="20"/>
      <c r="AB110" s="20"/>
    </row>
    <row r="111" spans="2:28" ht="18" customHeight="1">
      <c r="B111" s="20"/>
      <c r="C111" s="20"/>
      <c r="D111" s="151"/>
      <c r="E111" s="19"/>
      <c r="F111" s="152"/>
      <c r="G111" s="152"/>
      <c r="H111" s="152"/>
      <c r="I111" s="20"/>
      <c r="J111" s="20"/>
      <c r="K111" s="20"/>
      <c r="L111" s="20"/>
      <c r="M111" s="20"/>
      <c r="N111" s="20"/>
      <c r="O111" s="20"/>
      <c r="P111" s="20"/>
      <c r="Q111" s="20"/>
      <c r="R111" s="334"/>
      <c r="S111" s="334"/>
      <c r="T111" s="334"/>
      <c r="U111" s="334"/>
      <c r="V111" s="20"/>
      <c r="W111" s="20"/>
      <c r="X111" s="20"/>
      <c r="Y111" s="20"/>
      <c r="Z111" s="20"/>
      <c r="AB111" s="20"/>
    </row>
    <row r="112" spans="2:28" ht="18" customHeight="1">
      <c r="B112" s="20"/>
      <c r="C112" s="20"/>
      <c r="D112" s="151"/>
      <c r="E112" s="19"/>
      <c r="F112" s="152"/>
      <c r="G112" s="152"/>
      <c r="H112" s="152"/>
      <c r="I112" s="20"/>
      <c r="J112" s="20"/>
      <c r="K112" s="20"/>
      <c r="L112" s="20"/>
      <c r="M112" s="20"/>
      <c r="N112" s="20"/>
      <c r="O112" s="20"/>
      <c r="P112" s="20"/>
      <c r="Q112" s="20"/>
      <c r="R112" s="334"/>
      <c r="S112" s="334"/>
      <c r="T112" s="334"/>
      <c r="U112" s="334"/>
      <c r="V112" s="20"/>
      <c r="W112" s="20"/>
      <c r="X112" s="20"/>
      <c r="Y112" s="20"/>
      <c r="Z112" s="20"/>
      <c r="AA112" s="20"/>
      <c r="AB112" s="20"/>
    </row>
    <row r="113" spans="2:28" ht="18" customHeight="1">
      <c r="B113" s="20"/>
      <c r="C113" s="20"/>
      <c r="D113" s="151"/>
      <c r="E113" s="19"/>
      <c r="F113" s="152"/>
      <c r="G113" s="152"/>
      <c r="H113" s="152"/>
      <c r="I113" s="20"/>
      <c r="J113" s="20"/>
      <c r="K113" s="20"/>
      <c r="L113" s="20"/>
      <c r="M113" s="20"/>
      <c r="N113" s="20"/>
      <c r="O113" s="20"/>
      <c r="P113" s="20"/>
      <c r="Q113" s="20"/>
      <c r="R113" s="334"/>
      <c r="S113" s="334"/>
      <c r="T113" s="334"/>
      <c r="U113" s="334"/>
      <c r="V113" s="20"/>
      <c r="W113" s="20"/>
      <c r="X113" s="20"/>
      <c r="Y113" s="20"/>
      <c r="Z113" s="20"/>
      <c r="AA113" s="20"/>
      <c r="AB113" s="20"/>
    </row>
    <row r="114" spans="2:28" ht="18" customHeight="1">
      <c r="B114" s="20"/>
      <c r="C114" s="20"/>
      <c r="D114" s="151"/>
      <c r="E114" s="19"/>
      <c r="F114" s="152"/>
      <c r="G114" s="152"/>
      <c r="H114" s="152"/>
      <c r="I114" s="20"/>
      <c r="J114" s="20"/>
      <c r="K114" s="20"/>
      <c r="L114" s="20"/>
      <c r="M114" s="20"/>
      <c r="N114" s="20"/>
      <c r="O114" s="20"/>
      <c r="P114" s="20"/>
      <c r="Q114" s="20"/>
      <c r="R114" s="334"/>
      <c r="S114" s="334"/>
      <c r="T114" s="334"/>
      <c r="U114" s="334"/>
      <c r="V114" s="20"/>
      <c r="W114" s="20"/>
      <c r="X114" s="20"/>
      <c r="Y114" s="20"/>
      <c r="Z114" s="20"/>
      <c r="AA114" s="20"/>
      <c r="AB114" s="20"/>
    </row>
    <row r="115" spans="2:28" ht="18" customHeight="1">
      <c r="B115" s="19"/>
      <c r="C115" s="20"/>
      <c r="D115" s="151"/>
      <c r="E115" s="19"/>
      <c r="F115" s="152"/>
      <c r="G115" s="152"/>
      <c r="H115" s="152"/>
      <c r="I115" s="20"/>
      <c r="J115" s="20"/>
      <c r="K115" s="20"/>
      <c r="L115" s="20"/>
      <c r="M115" s="20"/>
      <c r="N115" s="20"/>
      <c r="O115" s="20"/>
      <c r="P115" s="20"/>
      <c r="Q115" s="20"/>
      <c r="R115" s="334"/>
      <c r="S115" s="334"/>
      <c r="T115" s="334"/>
      <c r="U115" s="334"/>
      <c r="V115" s="20"/>
      <c r="W115" s="20"/>
      <c r="X115" s="20"/>
      <c r="Y115" s="20"/>
      <c r="Z115" s="20"/>
      <c r="AA115" s="20"/>
      <c r="AB115" s="20"/>
    </row>
    <row r="116" spans="2:28" ht="18" customHeight="1">
      <c r="B116" s="20"/>
      <c r="C116" s="20"/>
      <c r="D116" s="151"/>
      <c r="E116" s="19"/>
      <c r="F116" s="152"/>
      <c r="G116" s="152"/>
      <c r="H116" s="152"/>
      <c r="I116" s="20"/>
      <c r="J116" s="20"/>
      <c r="K116" s="20"/>
      <c r="L116" s="20"/>
      <c r="M116" s="20"/>
      <c r="N116" s="20"/>
      <c r="O116" s="20"/>
      <c r="P116" s="20"/>
      <c r="Q116" s="20"/>
      <c r="R116" s="334"/>
      <c r="S116" s="334"/>
      <c r="T116" s="334"/>
      <c r="U116" s="334"/>
      <c r="V116" s="20"/>
      <c r="W116" s="20"/>
      <c r="X116" s="20"/>
      <c r="Y116" s="20"/>
      <c r="Z116" s="20"/>
      <c r="AA116" s="20"/>
      <c r="AB116" s="20"/>
    </row>
    <row r="117" spans="2:28" ht="18" customHeight="1">
      <c r="B117" s="20"/>
      <c r="C117" s="20"/>
      <c r="D117" s="151"/>
      <c r="E117" s="19"/>
      <c r="F117" s="152"/>
      <c r="G117" s="152"/>
      <c r="H117" s="152"/>
      <c r="I117" s="20"/>
      <c r="J117" s="20"/>
      <c r="K117" s="20"/>
      <c r="L117" s="20"/>
      <c r="M117" s="20"/>
      <c r="N117" s="20"/>
      <c r="O117" s="20"/>
      <c r="P117" s="20"/>
      <c r="Q117" s="20"/>
      <c r="R117" s="334"/>
      <c r="S117" s="334"/>
      <c r="T117" s="334"/>
      <c r="U117" s="334"/>
      <c r="V117" s="20"/>
      <c r="W117" s="20"/>
      <c r="X117" s="20"/>
      <c r="Y117" s="20"/>
      <c r="Z117" s="20"/>
      <c r="AB117" s="20"/>
    </row>
    <row r="118" spans="2:28" ht="18" customHeight="1">
      <c r="B118" s="20"/>
      <c r="C118" s="20"/>
      <c r="D118" s="151"/>
      <c r="E118" s="19"/>
      <c r="F118" s="152"/>
      <c r="G118" s="152"/>
      <c r="H118" s="152"/>
      <c r="I118" s="20"/>
      <c r="J118" s="20"/>
      <c r="K118" s="20"/>
      <c r="L118" s="20"/>
      <c r="M118" s="20"/>
      <c r="N118" s="20"/>
      <c r="O118" s="20"/>
      <c r="P118" s="20"/>
      <c r="Q118" s="20"/>
      <c r="R118" s="334"/>
      <c r="S118" s="334"/>
      <c r="T118" s="334"/>
      <c r="U118" s="334"/>
      <c r="V118" s="20"/>
      <c r="W118" s="20"/>
      <c r="X118" s="20"/>
      <c r="Y118" s="20"/>
      <c r="Z118" s="20"/>
      <c r="AA118" s="20"/>
      <c r="AB118" s="20"/>
    </row>
    <row r="119" spans="2:28" ht="18" customHeight="1">
      <c r="B119" s="20"/>
      <c r="C119" s="20"/>
      <c r="D119" s="151"/>
      <c r="E119" s="19"/>
      <c r="F119" s="152"/>
      <c r="G119" s="152"/>
      <c r="H119" s="152"/>
      <c r="I119" s="20"/>
      <c r="J119" s="20"/>
      <c r="K119" s="20"/>
      <c r="L119" s="20"/>
      <c r="M119" s="20"/>
      <c r="N119" s="20"/>
      <c r="O119" s="20"/>
      <c r="P119" s="20"/>
      <c r="Q119" s="20"/>
      <c r="R119" s="334"/>
      <c r="S119" s="334"/>
      <c r="T119" s="334"/>
      <c r="U119" s="334"/>
      <c r="V119" s="20"/>
      <c r="W119" s="20"/>
      <c r="X119" s="20"/>
      <c r="Y119" s="20"/>
      <c r="Z119" s="20"/>
      <c r="AA119" s="20"/>
      <c r="AB119" s="20"/>
    </row>
    <row r="120" spans="2:28" ht="18" customHeight="1">
      <c r="B120" s="20"/>
      <c r="C120" s="20"/>
      <c r="D120" s="151"/>
      <c r="E120" s="19"/>
      <c r="F120" s="152"/>
      <c r="G120" s="152"/>
      <c r="H120" s="152"/>
      <c r="I120" s="20"/>
      <c r="J120" s="20"/>
      <c r="K120" s="20"/>
      <c r="L120" s="20"/>
      <c r="M120" s="20"/>
      <c r="N120" s="20"/>
      <c r="O120" s="20"/>
      <c r="P120" s="20"/>
      <c r="Q120" s="20"/>
      <c r="R120" s="334"/>
      <c r="S120" s="334"/>
      <c r="T120" s="334"/>
      <c r="U120" s="334"/>
      <c r="V120" s="20"/>
      <c r="W120" s="20"/>
      <c r="X120" s="20"/>
      <c r="Y120" s="20"/>
      <c r="Z120" s="20"/>
      <c r="AA120" s="20"/>
      <c r="AB120" s="20"/>
    </row>
    <row r="121" spans="2:28" ht="18" customHeight="1">
      <c r="B121" s="19"/>
      <c r="C121" s="20"/>
      <c r="D121" s="151"/>
      <c r="E121" s="19"/>
      <c r="F121" s="152"/>
      <c r="G121" s="152"/>
      <c r="H121" s="152"/>
      <c r="I121" s="20"/>
      <c r="J121" s="20"/>
      <c r="K121" s="20"/>
      <c r="L121" s="20"/>
      <c r="M121" s="20"/>
      <c r="N121" s="20"/>
      <c r="O121" s="20"/>
      <c r="P121" s="20"/>
      <c r="Q121" s="20"/>
      <c r="R121" s="334"/>
      <c r="S121" s="334"/>
      <c r="T121" s="334"/>
      <c r="U121" s="334"/>
      <c r="V121" s="20"/>
      <c r="W121" s="20"/>
      <c r="X121" s="20"/>
      <c r="Y121" s="20"/>
      <c r="Z121" s="20"/>
      <c r="AA121" s="20"/>
      <c r="AB121" s="20"/>
    </row>
    <row r="122" spans="2:28" ht="18" customHeight="1">
      <c r="B122" s="20"/>
      <c r="C122" s="20"/>
      <c r="D122" s="151"/>
      <c r="E122" s="19"/>
      <c r="F122" s="152"/>
      <c r="G122" s="152"/>
      <c r="H122" s="152"/>
      <c r="I122" s="20"/>
      <c r="J122" s="20"/>
      <c r="K122" s="20"/>
      <c r="L122" s="20"/>
      <c r="M122" s="20"/>
      <c r="N122" s="20"/>
      <c r="O122" s="20"/>
      <c r="P122" s="20"/>
      <c r="Q122" s="20"/>
      <c r="R122" s="334"/>
      <c r="S122" s="334"/>
      <c r="T122" s="334"/>
      <c r="U122" s="334"/>
      <c r="V122" s="20"/>
      <c r="W122" s="20"/>
      <c r="X122" s="20"/>
      <c r="Y122" s="20"/>
      <c r="Z122" s="20"/>
      <c r="AA122" s="20"/>
      <c r="AB122" s="20"/>
    </row>
    <row r="123" spans="2:28" ht="18" customHeight="1">
      <c r="B123" s="20"/>
      <c r="C123" s="20"/>
      <c r="D123" s="151"/>
      <c r="E123" s="19"/>
      <c r="F123" s="152"/>
      <c r="G123" s="152"/>
      <c r="H123" s="152"/>
      <c r="I123" s="20"/>
      <c r="J123" s="20"/>
      <c r="K123" s="20"/>
      <c r="L123" s="20"/>
      <c r="M123" s="20"/>
      <c r="N123" s="20"/>
      <c r="O123" s="20"/>
      <c r="P123" s="20"/>
      <c r="Q123" s="20"/>
      <c r="R123" s="334"/>
      <c r="S123" s="334"/>
      <c r="T123" s="334"/>
      <c r="U123" s="334"/>
      <c r="V123" s="20"/>
      <c r="W123" s="20"/>
      <c r="X123" s="20"/>
      <c r="Y123" s="20"/>
      <c r="Z123" s="20"/>
      <c r="AB123" s="20"/>
    </row>
    <row r="124" spans="2:28" ht="18" customHeight="1">
      <c r="B124" s="20"/>
      <c r="C124" s="20"/>
      <c r="D124" s="151"/>
      <c r="E124" s="19"/>
      <c r="F124" s="152"/>
      <c r="G124" s="152"/>
      <c r="H124" s="152"/>
      <c r="I124" s="20"/>
      <c r="J124" s="20"/>
      <c r="K124" s="20"/>
      <c r="L124" s="20"/>
      <c r="M124" s="20"/>
      <c r="N124" s="20"/>
      <c r="O124" s="20"/>
      <c r="P124" s="20"/>
      <c r="Q124" s="20"/>
      <c r="R124" s="334"/>
      <c r="S124" s="334"/>
      <c r="T124" s="334"/>
      <c r="U124" s="334"/>
      <c r="V124" s="20"/>
      <c r="W124" s="20"/>
      <c r="X124" s="20"/>
      <c r="Y124" s="20"/>
      <c r="Z124" s="20"/>
      <c r="AA124" s="20"/>
      <c r="AB124" s="20"/>
    </row>
    <row r="125" spans="2:28" ht="18" customHeight="1">
      <c r="B125" s="20"/>
      <c r="C125" s="20"/>
      <c r="D125" s="151"/>
      <c r="E125" s="19"/>
      <c r="F125" s="152"/>
      <c r="G125" s="152"/>
      <c r="H125" s="152"/>
      <c r="I125" s="20"/>
      <c r="J125" s="20"/>
      <c r="K125" s="20"/>
      <c r="L125" s="20"/>
      <c r="M125" s="20"/>
      <c r="N125" s="20"/>
      <c r="O125" s="20"/>
      <c r="P125" s="20"/>
      <c r="Q125" s="20"/>
      <c r="R125" s="334"/>
      <c r="S125" s="334"/>
      <c r="T125" s="334"/>
      <c r="U125" s="334"/>
      <c r="V125" s="20"/>
      <c r="W125" s="20"/>
      <c r="X125" s="20"/>
      <c r="Y125" s="20"/>
      <c r="Z125" s="20"/>
      <c r="AA125" s="20"/>
      <c r="AB125" s="20"/>
    </row>
    <row r="126" spans="2:28" ht="18" customHeight="1">
      <c r="B126" s="20"/>
      <c r="C126" s="20"/>
      <c r="D126" s="151"/>
      <c r="E126" s="19"/>
      <c r="F126" s="152"/>
      <c r="G126" s="152"/>
      <c r="H126" s="152"/>
      <c r="I126" s="20"/>
      <c r="J126" s="20"/>
      <c r="K126" s="20"/>
      <c r="L126" s="20"/>
      <c r="M126" s="20"/>
      <c r="N126" s="20"/>
      <c r="O126" s="20"/>
      <c r="P126" s="20"/>
      <c r="Q126" s="20"/>
      <c r="R126" s="334"/>
      <c r="S126" s="334"/>
      <c r="T126" s="334"/>
      <c r="U126" s="334"/>
      <c r="V126" s="20"/>
      <c r="W126" s="20"/>
      <c r="X126" s="20"/>
      <c r="Y126" s="20"/>
      <c r="Z126" s="20"/>
      <c r="AA126" s="20"/>
      <c r="AB126" s="20"/>
    </row>
    <row r="127" spans="2:28" ht="18" customHeight="1">
      <c r="B127" s="19"/>
      <c r="C127" s="20"/>
      <c r="D127" s="151"/>
      <c r="E127" s="19"/>
      <c r="F127" s="152"/>
      <c r="G127" s="152"/>
      <c r="H127" s="152"/>
      <c r="I127" s="20"/>
      <c r="J127" s="20"/>
      <c r="K127" s="20"/>
      <c r="L127" s="20"/>
      <c r="M127" s="20"/>
      <c r="N127" s="20"/>
      <c r="O127" s="20"/>
      <c r="P127" s="20"/>
      <c r="Q127" s="20"/>
      <c r="R127" s="334"/>
      <c r="S127" s="334"/>
      <c r="T127" s="334"/>
      <c r="U127" s="334"/>
      <c r="V127" s="20"/>
      <c r="W127" s="20"/>
      <c r="X127" s="20"/>
      <c r="Y127" s="20"/>
      <c r="Z127" s="20"/>
      <c r="AA127" s="20"/>
      <c r="AB127" s="20"/>
    </row>
    <row r="128" spans="2:28" ht="18" customHeight="1">
      <c r="B128" s="20"/>
      <c r="C128" s="20"/>
      <c r="D128" s="151"/>
      <c r="E128" s="19"/>
      <c r="F128" s="152"/>
      <c r="G128" s="152"/>
      <c r="H128" s="152"/>
      <c r="I128" s="20"/>
      <c r="J128" s="20"/>
      <c r="K128" s="20"/>
      <c r="L128" s="20"/>
      <c r="M128" s="20"/>
      <c r="N128" s="20"/>
      <c r="O128" s="20"/>
      <c r="P128" s="20"/>
      <c r="Q128" s="20"/>
      <c r="R128" s="334"/>
      <c r="S128" s="334"/>
      <c r="T128" s="334"/>
      <c r="U128" s="334"/>
      <c r="V128" s="20"/>
      <c r="W128" s="20"/>
      <c r="X128" s="20"/>
      <c r="Y128" s="20"/>
      <c r="Z128" s="20"/>
      <c r="AA128" s="20"/>
      <c r="AB128" s="20"/>
    </row>
    <row r="129" spans="2:29" ht="18" customHeight="1">
      <c r="B129" s="20"/>
      <c r="C129" s="20"/>
      <c r="D129" s="151"/>
      <c r="E129" s="19"/>
      <c r="F129" s="152"/>
      <c r="G129" s="152"/>
      <c r="H129" s="152"/>
      <c r="I129" s="20"/>
      <c r="J129" s="20"/>
      <c r="K129" s="20"/>
      <c r="L129" s="20"/>
      <c r="M129" s="20"/>
      <c r="N129" s="20"/>
      <c r="O129" s="20"/>
      <c r="P129" s="20"/>
      <c r="Q129" s="20"/>
      <c r="R129" s="334"/>
      <c r="S129" s="334"/>
      <c r="T129" s="334"/>
      <c r="U129" s="334"/>
      <c r="V129" s="20"/>
      <c r="W129" s="20"/>
      <c r="X129" s="20"/>
      <c r="Y129" s="20"/>
      <c r="Z129" s="20"/>
      <c r="AB129" s="20"/>
    </row>
    <row r="130" spans="2:29" ht="18" customHeight="1">
      <c r="B130" s="20"/>
      <c r="C130" s="20"/>
      <c r="D130" s="151"/>
      <c r="E130" s="19"/>
      <c r="F130" s="152"/>
      <c r="G130" s="152"/>
      <c r="H130" s="152"/>
      <c r="I130" s="20"/>
      <c r="J130" s="20"/>
      <c r="K130" s="20"/>
      <c r="L130" s="20"/>
      <c r="M130" s="20"/>
      <c r="N130" s="20"/>
      <c r="O130" s="20"/>
      <c r="P130" s="20"/>
      <c r="Q130" s="20"/>
      <c r="R130" s="334"/>
      <c r="S130" s="334"/>
      <c r="T130" s="334"/>
      <c r="U130" s="334"/>
      <c r="V130" s="20"/>
      <c r="W130" s="20"/>
      <c r="X130" s="20"/>
      <c r="Y130" s="20"/>
      <c r="Z130" s="20"/>
      <c r="AA130" s="20"/>
      <c r="AB130" s="20"/>
    </row>
    <row r="131" spans="2:29" ht="18" customHeight="1">
      <c r="B131" s="20"/>
      <c r="C131" s="20"/>
      <c r="D131" s="151"/>
      <c r="E131" s="19"/>
      <c r="F131" s="152"/>
      <c r="G131" s="152"/>
      <c r="H131" s="152"/>
      <c r="I131" s="20"/>
      <c r="J131" s="20"/>
      <c r="K131" s="20"/>
      <c r="L131" s="20"/>
      <c r="M131" s="20"/>
      <c r="N131" s="20"/>
      <c r="O131" s="20"/>
      <c r="P131" s="20"/>
      <c r="Q131" s="20"/>
      <c r="R131" s="334"/>
      <c r="S131" s="334"/>
      <c r="T131" s="334"/>
      <c r="U131" s="334"/>
      <c r="V131" s="20"/>
      <c r="W131" s="20"/>
      <c r="X131" s="20"/>
      <c r="Y131" s="20"/>
      <c r="Z131" s="20"/>
      <c r="AA131" s="20"/>
      <c r="AB131" s="20"/>
    </row>
    <row r="132" spans="2:29" ht="18" customHeight="1">
      <c r="B132" s="20"/>
      <c r="C132" s="20"/>
      <c r="D132" s="151"/>
      <c r="E132" s="19"/>
      <c r="F132" s="152"/>
      <c r="G132" s="152"/>
      <c r="H132" s="152"/>
      <c r="I132" s="20"/>
      <c r="J132" s="20"/>
      <c r="K132" s="20"/>
      <c r="L132" s="20"/>
      <c r="M132" s="20"/>
      <c r="N132" s="20"/>
      <c r="O132" s="20"/>
      <c r="P132" s="20"/>
      <c r="Q132" s="20"/>
      <c r="R132" s="334"/>
      <c r="S132" s="334"/>
      <c r="T132" s="334"/>
      <c r="U132" s="334"/>
      <c r="V132" s="20"/>
      <c r="W132" s="20"/>
      <c r="X132" s="20"/>
      <c r="Y132" s="20"/>
      <c r="Z132" s="20"/>
      <c r="AA132" s="20"/>
      <c r="AB132" s="20"/>
    </row>
    <row r="133" spans="2:29" ht="18" customHeight="1">
      <c r="B133" s="19"/>
      <c r="C133" s="20"/>
      <c r="D133" s="151"/>
      <c r="E133" s="19"/>
      <c r="F133" s="152"/>
      <c r="G133" s="152"/>
      <c r="H133" s="152"/>
      <c r="I133" s="20"/>
      <c r="J133" s="20"/>
      <c r="K133" s="20"/>
      <c r="L133" s="20"/>
      <c r="M133" s="20"/>
      <c r="N133" s="20"/>
      <c r="O133" s="20"/>
      <c r="P133" s="20"/>
      <c r="Q133" s="20"/>
      <c r="R133" s="334"/>
      <c r="S133" s="334"/>
      <c r="T133" s="334"/>
      <c r="U133" s="334"/>
      <c r="V133" s="20"/>
      <c r="W133" s="20"/>
      <c r="X133" s="20"/>
      <c r="Y133" s="20"/>
      <c r="Z133" s="20"/>
      <c r="AA133" s="20"/>
      <c r="AB133" s="20"/>
    </row>
    <row r="134" spans="2:29" ht="18" customHeight="1">
      <c r="B134" s="20"/>
      <c r="C134" s="20"/>
      <c r="D134" s="151"/>
      <c r="E134" s="19"/>
      <c r="F134" s="152"/>
      <c r="G134" s="152"/>
      <c r="H134" s="152"/>
      <c r="I134" s="20"/>
      <c r="J134" s="20"/>
      <c r="K134" s="20"/>
      <c r="L134" s="20"/>
      <c r="M134" s="20"/>
      <c r="N134" s="20"/>
      <c r="O134" s="20"/>
      <c r="P134" s="20"/>
      <c r="Q134" s="20"/>
      <c r="R134" s="334"/>
      <c r="S134" s="334"/>
      <c r="T134" s="334"/>
      <c r="U134" s="334"/>
      <c r="V134" s="20"/>
      <c r="W134" s="20"/>
      <c r="X134" s="20"/>
      <c r="Y134" s="20"/>
      <c r="Z134" s="20"/>
      <c r="AA134" s="20"/>
      <c r="AB134" s="20"/>
    </row>
    <row r="135" spans="2:29" ht="18" customHeight="1">
      <c r="B135" s="20"/>
      <c r="C135" s="20"/>
      <c r="D135" s="151"/>
      <c r="E135" s="19"/>
      <c r="F135" s="152"/>
      <c r="G135" s="152"/>
      <c r="H135" s="152"/>
      <c r="I135" s="20"/>
      <c r="J135" s="20"/>
      <c r="K135" s="20"/>
      <c r="L135" s="20"/>
      <c r="M135" s="20"/>
      <c r="N135" s="20"/>
      <c r="O135" s="20"/>
      <c r="P135" s="20"/>
      <c r="Q135" s="20"/>
      <c r="R135" s="334"/>
      <c r="S135" s="334"/>
      <c r="T135" s="334"/>
      <c r="U135" s="334"/>
      <c r="V135" s="20"/>
      <c r="W135" s="20"/>
      <c r="X135" s="20"/>
      <c r="Y135" s="20"/>
      <c r="Z135" s="20"/>
      <c r="AB135" s="20"/>
    </row>
    <row r="136" spans="2:29" ht="18" customHeight="1">
      <c r="B136" s="20"/>
      <c r="C136" s="20"/>
      <c r="D136" s="151"/>
      <c r="E136" s="19"/>
      <c r="F136" s="152"/>
      <c r="G136" s="152"/>
      <c r="H136" s="152"/>
      <c r="I136" s="20"/>
      <c r="J136" s="20"/>
      <c r="K136" s="20"/>
      <c r="L136" s="20"/>
      <c r="M136" s="20"/>
      <c r="N136" s="20"/>
      <c r="O136" s="20"/>
      <c r="P136" s="20"/>
      <c r="Q136" s="20"/>
      <c r="R136" s="334"/>
      <c r="S136" s="334"/>
      <c r="T136" s="334"/>
      <c r="U136" s="334"/>
      <c r="V136" s="20"/>
      <c r="W136" s="20"/>
      <c r="X136" s="20"/>
      <c r="Y136" s="20"/>
      <c r="Z136" s="20"/>
      <c r="AA136" s="20"/>
      <c r="AB136" s="20"/>
      <c r="AC136" s="20"/>
    </row>
    <row r="137" spans="2:29" ht="18" customHeight="1">
      <c r="B137" s="20"/>
      <c r="C137" s="20"/>
      <c r="D137" s="151"/>
      <c r="E137" s="19"/>
      <c r="F137" s="152"/>
      <c r="G137" s="152"/>
      <c r="H137" s="152"/>
      <c r="I137" s="20"/>
      <c r="J137" s="20"/>
      <c r="K137" s="20"/>
      <c r="L137" s="20"/>
      <c r="M137" s="20"/>
      <c r="N137" s="20"/>
      <c r="O137" s="20"/>
      <c r="P137" s="20"/>
      <c r="Q137" s="20"/>
      <c r="R137" s="334"/>
      <c r="S137" s="334"/>
      <c r="T137" s="334"/>
      <c r="U137" s="334"/>
      <c r="V137" s="20"/>
      <c r="W137" s="20"/>
      <c r="X137" s="20"/>
      <c r="Y137" s="20"/>
      <c r="Z137" s="20"/>
      <c r="AA137" s="20"/>
      <c r="AB137" s="20"/>
      <c r="AC137" s="20"/>
    </row>
    <row r="138" spans="2:29" ht="18" customHeight="1">
      <c r="AA138" s="20"/>
      <c r="AB138" s="20"/>
      <c r="AC138" s="20"/>
    </row>
    <row r="139" spans="2:29" ht="18" customHeight="1">
      <c r="B139" s="19"/>
      <c r="C139" s="20"/>
      <c r="D139" s="151"/>
      <c r="E139" s="19"/>
      <c r="F139" s="152"/>
      <c r="G139" s="152"/>
      <c r="H139" s="152"/>
      <c r="I139" s="20"/>
      <c r="J139" s="20"/>
      <c r="K139" s="20"/>
      <c r="L139" s="20"/>
      <c r="M139" s="20"/>
      <c r="N139" s="20"/>
      <c r="O139" s="20"/>
      <c r="P139" s="20"/>
      <c r="Q139" s="20"/>
      <c r="R139" s="334"/>
      <c r="S139" s="334"/>
      <c r="T139" s="334"/>
      <c r="U139" s="334"/>
      <c r="V139" s="20"/>
      <c r="W139" s="20"/>
      <c r="X139" s="20"/>
      <c r="Y139" s="20"/>
      <c r="Z139" s="20"/>
      <c r="AA139" s="20"/>
      <c r="AB139" s="20"/>
      <c r="AC139" s="20"/>
    </row>
    <row r="140" spans="2:29" ht="18" customHeight="1">
      <c r="B140" s="20"/>
      <c r="C140" s="20"/>
      <c r="D140" s="151"/>
      <c r="E140" s="19"/>
      <c r="F140" s="152"/>
      <c r="G140" s="152"/>
      <c r="H140" s="152"/>
      <c r="I140" s="20"/>
      <c r="J140" s="20"/>
      <c r="K140" s="20"/>
      <c r="L140" s="20"/>
      <c r="M140" s="20"/>
      <c r="N140" s="20"/>
      <c r="O140" s="20"/>
      <c r="P140" s="20"/>
      <c r="Q140" s="20"/>
      <c r="R140" s="334"/>
      <c r="S140" s="334"/>
      <c r="T140" s="334"/>
      <c r="U140" s="334"/>
      <c r="V140" s="20"/>
      <c r="W140" s="20"/>
      <c r="X140" s="20"/>
      <c r="Y140" s="20"/>
      <c r="Z140" s="20"/>
      <c r="AA140" s="20"/>
      <c r="AB140" s="20"/>
      <c r="AC140" s="20"/>
    </row>
    <row r="141" spans="2:29" ht="18" customHeight="1">
      <c r="B141" s="20"/>
      <c r="C141" s="20"/>
      <c r="D141" s="151"/>
      <c r="E141" s="19"/>
      <c r="F141" s="152"/>
      <c r="G141" s="152"/>
      <c r="H141" s="152"/>
      <c r="I141" s="20"/>
      <c r="J141" s="20"/>
      <c r="K141" s="20"/>
      <c r="L141" s="20"/>
      <c r="M141" s="20"/>
      <c r="N141" s="20"/>
      <c r="O141" s="20"/>
      <c r="P141" s="20"/>
      <c r="Q141" s="20"/>
      <c r="R141" s="334"/>
      <c r="S141" s="334"/>
      <c r="T141" s="334"/>
      <c r="U141" s="334"/>
      <c r="V141" s="20"/>
      <c r="W141" s="20"/>
      <c r="X141" s="20"/>
      <c r="Y141" s="20"/>
      <c r="Z141" s="20"/>
      <c r="AA141" s="20"/>
      <c r="AC141" s="20"/>
    </row>
    <row r="142" spans="2:29" ht="18" customHeight="1">
      <c r="B142" s="20"/>
      <c r="C142" s="20"/>
      <c r="D142" s="151"/>
      <c r="E142" s="19"/>
      <c r="F142" s="152"/>
      <c r="G142" s="152"/>
      <c r="H142" s="152"/>
      <c r="I142" s="20"/>
      <c r="J142" s="20"/>
      <c r="K142" s="20"/>
      <c r="L142" s="20"/>
      <c r="M142" s="20"/>
      <c r="N142" s="20"/>
      <c r="O142" s="20"/>
      <c r="P142" s="20"/>
      <c r="Q142" s="20"/>
      <c r="R142" s="334"/>
      <c r="S142" s="334"/>
      <c r="T142" s="334"/>
      <c r="U142" s="334"/>
      <c r="V142" s="20"/>
      <c r="W142" s="20"/>
      <c r="X142" s="20"/>
      <c r="Y142" s="20"/>
      <c r="Z142" s="20"/>
      <c r="AA142" s="20"/>
      <c r="AB142" s="20"/>
      <c r="AC142" s="20"/>
    </row>
    <row r="143" spans="2:29" ht="18" customHeight="1">
      <c r="B143" s="20"/>
      <c r="C143" s="20"/>
      <c r="D143" s="151"/>
      <c r="E143" s="19"/>
      <c r="F143" s="152"/>
      <c r="G143" s="152"/>
      <c r="H143" s="152"/>
      <c r="I143" s="20"/>
      <c r="J143" s="20"/>
      <c r="K143" s="20"/>
      <c r="L143" s="20"/>
      <c r="M143" s="20"/>
      <c r="N143" s="20"/>
      <c r="O143" s="20"/>
      <c r="P143" s="20"/>
      <c r="Q143" s="20"/>
      <c r="R143" s="334"/>
      <c r="S143" s="334"/>
      <c r="T143" s="334"/>
      <c r="U143" s="334"/>
      <c r="V143" s="20"/>
      <c r="W143" s="20"/>
      <c r="X143" s="20"/>
      <c r="Y143" s="20"/>
      <c r="Z143" s="20"/>
      <c r="AA143" s="20"/>
      <c r="AB143" s="20"/>
      <c r="AC143" s="20"/>
    </row>
    <row r="144" spans="2:29" ht="18" customHeight="1">
      <c r="B144" s="20"/>
      <c r="C144" s="20"/>
      <c r="D144" s="151"/>
      <c r="E144" s="19"/>
      <c r="F144" s="152"/>
      <c r="G144" s="152"/>
      <c r="H144" s="152"/>
      <c r="I144" s="20"/>
      <c r="J144" s="20"/>
      <c r="K144" s="20"/>
      <c r="L144" s="20"/>
      <c r="M144" s="20"/>
      <c r="N144" s="20"/>
      <c r="O144" s="20"/>
      <c r="P144" s="20"/>
      <c r="Q144" s="20"/>
      <c r="R144" s="334"/>
      <c r="S144" s="334"/>
      <c r="T144" s="334"/>
      <c r="U144" s="334"/>
      <c r="V144" s="20"/>
      <c r="W144" s="20"/>
      <c r="X144" s="20"/>
      <c r="Y144" s="20"/>
      <c r="Z144" s="20"/>
    </row>
    <row r="145" spans="2:29" ht="18" customHeight="1">
      <c r="B145" s="19"/>
      <c r="C145" s="20"/>
      <c r="D145" s="151"/>
      <c r="E145" s="19"/>
      <c r="F145" s="152"/>
      <c r="G145" s="152"/>
      <c r="H145" s="152"/>
      <c r="I145" s="20"/>
      <c r="J145" s="20"/>
      <c r="K145" s="20"/>
      <c r="L145" s="20"/>
      <c r="M145" s="20"/>
      <c r="N145" s="20"/>
      <c r="O145" s="20"/>
      <c r="P145" s="20"/>
      <c r="Q145" s="20"/>
      <c r="R145" s="334"/>
      <c r="S145" s="334"/>
      <c r="T145" s="334"/>
      <c r="U145" s="334"/>
      <c r="V145" s="20"/>
      <c r="W145" s="20"/>
      <c r="X145" s="20"/>
      <c r="Y145" s="20"/>
      <c r="Z145" s="20"/>
      <c r="AA145" s="20"/>
      <c r="AB145" s="20"/>
    </row>
    <row r="146" spans="2:29" ht="18" customHeight="1">
      <c r="B146" s="20"/>
      <c r="C146" s="20"/>
      <c r="D146" s="151"/>
      <c r="E146" s="19"/>
      <c r="F146" s="152"/>
      <c r="G146" s="152"/>
      <c r="H146" s="152"/>
      <c r="I146" s="20"/>
      <c r="J146" s="20"/>
      <c r="K146" s="20"/>
      <c r="L146" s="20"/>
      <c r="M146" s="20"/>
      <c r="N146" s="20"/>
      <c r="O146" s="20"/>
      <c r="P146" s="20"/>
      <c r="Q146" s="20"/>
      <c r="R146" s="334"/>
      <c r="S146" s="334"/>
      <c r="T146" s="334"/>
      <c r="U146" s="334"/>
      <c r="V146" s="20"/>
      <c r="W146" s="20"/>
      <c r="X146" s="20"/>
      <c r="Y146" s="20"/>
      <c r="Z146" s="20"/>
      <c r="AA146" s="20"/>
      <c r="AB146" s="20"/>
    </row>
    <row r="147" spans="2:29" ht="18" customHeight="1">
      <c r="B147" s="20"/>
      <c r="C147" s="20"/>
      <c r="D147" s="151"/>
      <c r="E147" s="19"/>
      <c r="F147" s="152"/>
      <c r="G147" s="152"/>
      <c r="H147" s="152"/>
      <c r="I147" s="20"/>
      <c r="J147" s="20"/>
      <c r="K147" s="20"/>
      <c r="L147" s="20"/>
      <c r="M147" s="20"/>
      <c r="N147" s="20"/>
      <c r="O147" s="20"/>
      <c r="P147" s="20"/>
      <c r="Q147" s="20"/>
      <c r="R147" s="334"/>
      <c r="S147" s="334"/>
      <c r="T147" s="334"/>
      <c r="U147" s="334"/>
      <c r="V147" s="20"/>
      <c r="W147" s="20"/>
      <c r="X147" s="20"/>
      <c r="Y147" s="20"/>
      <c r="Z147" s="20"/>
      <c r="AA147" s="20"/>
      <c r="AC147" s="20"/>
    </row>
    <row r="148" spans="2:29" ht="18" customHeight="1">
      <c r="B148" s="20"/>
      <c r="C148" s="20"/>
      <c r="D148" s="151"/>
      <c r="E148" s="19"/>
      <c r="F148" s="152"/>
      <c r="G148" s="152"/>
      <c r="H148" s="152"/>
      <c r="I148" s="20"/>
      <c r="J148" s="20"/>
      <c r="K148" s="20"/>
      <c r="L148" s="20"/>
      <c r="M148" s="20"/>
      <c r="N148" s="20"/>
      <c r="O148" s="20"/>
      <c r="P148" s="20"/>
      <c r="Q148" s="20"/>
      <c r="R148" s="334"/>
      <c r="S148" s="334"/>
      <c r="T148" s="334"/>
      <c r="U148" s="334"/>
      <c r="V148" s="20"/>
      <c r="W148" s="20"/>
      <c r="X148" s="20"/>
      <c r="Y148" s="20"/>
      <c r="Z148" s="20"/>
      <c r="AA148" s="20"/>
      <c r="AB148" s="20"/>
    </row>
    <row r="149" spans="2:29" ht="18" customHeight="1">
      <c r="B149" s="19"/>
      <c r="C149" s="20"/>
      <c r="D149" s="151"/>
      <c r="E149" s="19"/>
      <c r="F149" s="152"/>
      <c r="G149" s="152"/>
      <c r="H149" s="152"/>
      <c r="I149" s="20"/>
      <c r="J149" s="20"/>
      <c r="K149" s="20"/>
      <c r="L149" s="20"/>
      <c r="M149" s="20"/>
      <c r="N149" s="20"/>
      <c r="O149" s="20"/>
      <c r="P149" s="20"/>
      <c r="Q149" s="20"/>
      <c r="R149" s="334"/>
      <c r="S149" s="334"/>
      <c r="T149" s="334"/>
      <c r="U149" s="334"/>
      <c r="V149" s="20"/>
      <c r="W149" s="20"/>
      <c r="X149" s="20"/>
      <c r="Y149" s="20"/>
      <c r="Z149" s="20"/>
      <c r="AA149" s="20"/>
      <c r="AB149" s="20"/>
    </row>
    <row r="150" spans="2:29" ht="18" customHeight="1">
      <c r="B150" s="20"/>
      <c r="C150" s="20"/>
      <c r="D150" s="151"/>
      <c r="E150" s="19"/>
      <c r="F150" s="152"/>
      <c r="G150" s="152"/>
      <c r="H150" s="152"/>
      <c r="I150" s="20"/>
      <c r="J150" s="20"/>
      <c r="K150" s="20"/>
      <c r="L150" s="20"/>
      <c r="M150" s="20"/>
      <c r="N150" s="20"/>
      <c r="O150" s="20"/>
      <c r="P150" s="20"/>
      <c r="Q150" s="20"/>
      <c r="R150" s="334"/>
      <c r="S150" s="334"/>
      <c r="T150" s="334"/>
      <c r="U150" s="334"/>
      <c r="V150" s="20"/>
      <c r="W150" s="20"/>
      <c r="X150" s="20"/>
      <c r="Y150" s="20"/>
      <c r="Z150" s="20"/>
      <c r="AA150" s="20"/>
      <c r="AB150" s="20"/>
    </row>
    <row r="151" spans="2:29" ht="18" customHeight="1">
      <c r="B151" s="19"/>
      <c r="C151" s="20"/>
      <c r="D151" s="151"/>
      <c r="E151" s="19"/>
      <c r="F151" s="152"/>
      <c r="G151" s="152"/>
      <c r="H151" s="152"/>
      <c r="I151" s="20"/>
      <c r="J151" s="20"/>
      <c r="K151" s="20"/>
      <c r="L151" s="20"/>
      <c r="M151" s="20"/>
      <c r="N151" s="20"/>
      <c r="O151" s="20"/>
      <c r="P151" s="20"/>
      <c r="Q151" s="20"/>
      <c r="R151" s="334"/>
      <c r="S151" s="334"/>
      <c r="T151" s="334"/>
      <c r="U151" s="334"/>
      <c r="V151" s="20"/>
      <c r="W151" s="20"/>
      <c r="X151" s="20"/>
      <c r="Y151" s="20"/>
      <c r="Z151" s="20"/>
      <c r="AA151" s="20"/>
      <c r="AB151" s="20"/>
    </row>
    <row r="152" spans="2:29" ht="18" customHeight="1">
      <c r="B152" s="20"/>
      <c r="C152" s="20"/>
      <c r="D152" s="151"/>
      <c r="E152" s="19"/>
      <c r="F152" s="152"/>
      <c r="G152" s="152"/>
      <c r="H152" s="152"/>
      <c r="I152" s="20"/>
      <c r="J152" s="20"/>
      <c r="K152" s="20"/>
      <c r="L152" s="20"/>
      <c r="M152" s="20"/>
      <c r="N152" s="20"/>
      <c r="O152" s="20"/>
      <c r="P152" s="20"/>
      <c r="Q152" s="20"/>
      <c r="R152" s="334"/>
      <c r="S152" s="334"/>
      <c r="T152" s="334"/>
      <c r="U152" s="334"/>
      <c r="V152" s="20"/>
      <c r="W152" s="20"/>
      <c r="X152" s="20"/>
      <c r="Y152" s="20"/>
      <c r="Z152" s="20"/>
      <c r="AA152" s="20"/>
      <c r="AB152" s="20"/>
    </row>
    <row r="153" spans="2:29" ht="18" customHeight="1">
      <c r="B153" s="20"/>
      <c r="C153" s="20"/>
      <c r="D153" s="151"/>
      <c r="E153" s="19"/>
      <c r="F153" s="152"/>
      <c r="G153" s="152"/>
      <c r="H153" s="152"/>
      <c r="I153" s="20"/>
      <c r="J153" s="20"/>
      <c r="K153" s="20"/>
      <c r="L153" s="20"/>
      <c r="M153" s="20"/>
      <c r="N153" s="20"/>
      <c r="O153" s="20"/>
      <c r="P153" s="20"/>
      <c r="Q153" s="20"/>
      <c r="R153" s="334"/>
      <c r="S153" s="334"/>
      <c r="T153" s="334"/>
      <c r="U153" s="334"/>
      <c r="V153" s="20"/>
      <c r="W153" s="20"/>
      <c r="X153" s="20"/>
      <c r="Y153" s="20"/>
      <c r="Z153" s="20"/>
      <c r="AA153" s="20"/>
      <c r="AC153" s="20"/>
    </row>
    <row r="154" spans="2:29" ht="18" customHeight="1">
      <c r="B154" s="20"/>
      <c r="C154" s="20"/>
      <c r="D154" s="151"/>
      <c r="E154" s="19"/>
      <c r="F154" s="152"/>
      <c r="G154" s="152"/>
      <c r="H154" s="152"/>
      <c r="I154" s="20"/>
      <c r="J154" s="20"/>
      <c r="K154" s="20"/>
      <c r="L154" s="20"/>
      <c r="M154" s="20"/>
      <c r="N154" s="20"/>
      <c r="O154" s="20"/>
      <c r="P154" s="20"/>
      <c r="Q154" s="20"/>
      <c r="R154" s="334"/>
      <c r="S154" s="334"/>
      <c r="T154" s="334"/>
      <c r="U154" s="334"/>
      <c r="V154" s="20"/>
      <c r="W154" s="20"/>
      <c r="X154" s="20"/>
      <c r="Y154" s="20"/>
      <c r="Z154" s="20"/>
      <c r="AA154" s="20"/>
      <c r="AB154" s="20"/>
    </row>
    <row r="155" spans="2:29" ht="18" customHeight="1">
      <c r="B155" s="20"/>
      <c r="C155" s="20"/>
      <c r="D155" s="151"/>
      <c r="E155" s="19"/>
      <c r="F155" s="152"/>
      <c r="G155" s="152"/>
      <c r="H155" s="152"/>
      <c r="I155" s="20"/>
      <c r="J155" s="20"/>
      <c r="K155" s="20"/>
      <c r="L155" s="20"/>
      <c r="M155" s="20"/>
      <c r="N155" s="20"/>
      <c r="O155" s="20"/>
      <c r="P155" s="20"/>
      <c r="Q155" s="20"/>
      <c r="R155" s="334"/>
      <c r="S155" s="334"/>
      <c r="T155" s="334"/>
      <c r="U155" s="334"/>
      <c r="V155" s="20"/>
      <c r="W155" s="20"/>
      <c r="X155" s="20"/>
      <c r="Y155" s="20"/>
      <c r="Z155" s="20"/>
      <c r="AA155" s="20"/>
      <c r="AB155" s="20"/>
    </row>
    <row r="156" spans="2:29" ht="18" customHeight="1">
      <c r="B156" s="20"/>
      <c r="C156" s="20"/>
      <c r="D156" s="151"/>
      <c r="E156" s="19"/>
      <c r="F156" s="152"/>
      <c r="G156" s="152"/>
      <c r="H156" s="152"/>
      <c r="I156" s="20"/>
      <c r="J156" s="20"/>
      <c r="K156" s="20"/>
      <c r="L156" s="20"/>
      <c r="M156" s="20"/>
      <c r="N156" s="20"/>
      <c r="O156" s="20"/>
      <c r="P156" s="20"/>
      <c r="Q156" s="20"/>
      <c r="R156" s="334"/>
      <c r="S156" s="334"/>
      <c r="T156" s="334"/>
      <c r="U156" s="334"/>
      <c r="V156" s="20"/>
      <c r="W156" s="20"/>
      <c r="X156" s="20"/>
      <c r="Y156" s="20"/>
      <c r="Z156" s="20"/>
      <c r="AA156" s="20"/>
      <c r="AB156" s="20"/>
    </row>
    <row r="157" spans="2:29" ht="18" customHeight="1">
      <c r="B157" s="19"/>
      <c r="C157" s="20"/>
      <c r="D157" s="151"/>
      <c r="E157" s="19"/>
      <c r="F157" s="152"/>
      <c r="G157" s="152"/>
      <c r="H157" s="152"/>
      <c r="I157" s="20"/>
      <c r="J157" s="20"/>
      <c r="K157" s="20"/>
      <c r="L157" s="20"/>
      <c r="M157" s="20"/>
      <c r="N157" s="20"/>
      <c r="O157" s="20"/>
      <c r="P157" s="20"/>
      <c r="Q157" s="20"/>
      <c r="R157" s="334"/>
      <c r="S157" s="334"/>
      <c r="T157" s="334"/>
      <c r="U157" s="334"/>
      <c r="V157" s="20"/>
      <c r="W157" s="20"/>
      <c r="X157" s="20"/>
      <c r="Y157" s="20"/>
      <c r="Z157" s="20"/>
      <c r="AA157" s="20"/>
      <c r="AB157" s="20"/>
    </row>
    <row r="158" spans="2:29" ht="18" customHeight="1">
      <c r="B158" s="20"/>
      <c r="C158" s="20"/>
      <c r="D158" s="151"/>
      <c r="E158" s="19"/>
      <c r="F158" s="152"/>
      <c r="G158" s="152"/>
      <c r="H158" s="152"/>
      <c r="I158" s="20"/>
      <c r="J158" s="20"/>
      <c r="K158" s="20"/>
      <c r="L158" s="20"/>
      <c r="M158" s="20"/>
      <c r="N158" s="20"/>
      <c r="O158" s="20"/>
      <c r="P158" s="20"/>
      <c r="Q158" s="20"/>
      <c r="R158" s="334"/>
      <c r="S158" s="334"/>
      <c r="T158" s="334"/>
      <c r="U158" s="334"/>
      <c r="V158" s="20"/>
      <c r="W158" s="20"/>
      <c r="X158" s="20"/>
      <c r="Y158" s="20"/>
      <c r="Z158" s="20"/>
      <c r="AA158" s="20"/>
      <c r="AB158" s="20"/>
    </row>
    <row r="159" spans="2:29" ht="18" customHeight="1">
      <c r="B159" s="20"/>
      <c r="C159" s="20"/>
      <c r="D159" s="151"/>
      <c r="E159" s="19"/>
      <c r="F159" s="152"/>
      <c r="G159" s="152"/>
      <c r="H159" s="152"/>
      <c r="I159" s="20"/>
      <c r="J159" s="20"/>
      <c r="K159" s="20"/>
      <c r="L159" s="20"/>
      <c r="M159" s="20"/>
      <c r="N159" s="20"/>
      <c r="O159" s="20"/>
      <c r="P159" s="20"/>
      <c r="Q159" s="20"/>
      <c r="R159" s="334"/>
      <c r="S159" s="334"/>
      <c r="T159" s="334"/>
      <c r="U159" s="334"/>
      <c r="V159" s="20"/>
      <c r="W159" s="20"/>
      <c r="X159" s="20"/>
      <c r="Y159" s="20"/>
      <c r="Z159" s="20"/>
      <c r="AA159" s="20"/>
      <c r="AC159" s="20"/>
    </row>
    <row r="160" spans="2:29" ht="18" customHeight="1">
      <c r="B160" s="20"/>
      <c r="C160" s="20"/>
      <c r="D160" s="151"/>
      <c r="E160" s="19"/>
      <c r="F160" s="152"/>
      <c r="G160" s="152"/>
      <c r="H160" s="152"/>
      <c r="I160" s="20"/>
      <c r="J160" s="20"/>
      <c r="K160" s="20"/>
      <c r="L160" s="20"/>
      <c r="M160" s="20"/>
      <c r="N160" s="20"/>
      <c r="O160" s="20"/>
      <c r="P160" s="20"/>
      <c r="Q160" s="20"/>
      <c r="R160" s="334"/>
      <c r="S160" s="334"/>
      <c r="T160" s="334"/>
      <c r="U160" s="334"/>
      <c r="V160" s="20"/>
      <c r="W160" s="20"/>
      <c r="X160" s="20"/>
      <c r="Y160" s="20"/>
      <c r="Z160" s="20"/>
      <c r="AA160" s="20"/>
      <c r="AB160" s="20"/>
    </row>
    <row r="161" spans="2:29" ht="18" customHeight="1">
      <c r="B161" s="20"/>
      <c r="C161" s="20"/>
      <c r="D161" s="151"/>
      <c r="E161" s="19"/>
      <c r="F161" s="152"/>
      <c r="G161" s="152"/>
      <c r="H161" s="152"/>
      <c r="I161" s="20"/>
      <c r="J161" s="20"/>
      <c r="K161" s="20"/>
      <c r="L161" s="20"/>
      <c r="M161" s="20"/>
      <c r="N161" s="20"/>
      <c r="O161" s="20"/>
      <c r="P161" s="20"/>
      <c r="Q161" s="20"/>
      <c r="R161" s="334"/>
      <c r="S161" s="334"/>
      <c r="T161" s="334"/>
      <c r="U161" s="334"/>
      <c r="V161" s="20"/>
      <c r="W161" s="20"/>
      <c r="X161" s="20"/>
      <c r="Y161" s="20"/>
      <c r="Z161" s="20"/>
      <c r="AA161" s="20"/>
      <c r="AB161" s="20"/>
    </row>
    <row r="162" spans="2:29" ht="18" customHeight="1">
      <c r="B162" s="20"/>
      <c r="C162" s="20"/>
      <c r="D162" s="151"/>
      <c r="E162" s="19"/>
      <c r="F162" s="152"/>
      <c r="G162" s="152"/>
      <c r="H162" s="152"/>
      <c r="I162" s="20"/>
      <c r="J162" s="20"/>
      <c r="K162" s="20"/>
      <c r="L162" s="20"/>
      <c r="M162" s="20"/>
      <c r="N162" s="20"/>
      <c r="O162" s="20"/>
      <c r="P162" s="20"/>
      <c r="Q162" s="20"/>
      <c r="R162" s="334"/>
      <c r="S162" s="334"/>
      <c r="T162" s="334"/>
      <c r="U162" s="334"/>
      <c r="V162" s="20"/>
      <c r="W162" s="20"/>
      <c r="X162" s="20"/>
      <c r="Y162" s="20"/>
      <c r="Z162" s="20"/>
      <c r="AA162" s="20"/>
      <c r="AB162" s="20"/>
    </row>
    <row r="163" spans="2:29" ht="18" customHeight="1">
      <c r="B163" s="19"/>
      <c r="C163" s="20"/>
      <c r="D163" s="151"/>
      <c r="E163" s="19"/>
      <c r="F163" s="152"/>
      <c r="G163" s="152"/>
      <c r="H163" s="152"/>
      <c r="I163" s="20"/>
      <c r="J163" s="20"/>
      <c r="K163" s="20"/>
      <c r="L163" s="20"/>
      <c r="M163" s="20"/>
      <c r="N163" s="20"/>
      <c r="O163" s="20"/>
      <c r="P163" s="20"/>
      <c r="Q163" s="20"/>
      <c r="R163" s="334"/>
      <c r="S163" s="334"/>
      <c r="T163" s="334"/>
      <c r="U163" s="334"/>
      <c r="V163" s="20"/>
      <c r="W163" s="20"/>
      <c r="X163" s="20"/>
      <c r="Y163" s="20"/>
      <c r="Z163" s="20"/>
      <c r="AA163" s="20"/>
      <c r="AB163" s="20"/>
    </row>
    <row r="164" spans="2:29" ht="18" customHeight="1">
      <c r="B164" s="20"/>
      <c r="C164" s="20"/>
      <c r="D164" s="151"/>
      <c r="E164" s="19"/>
      <c r="F164" s="152"/>
      <c r="G164" s="152"/>
      <c r="H164" s="152"/>
      <c r="I164" s="20"/>
      <c r="J164" s="20"/>
      <c r="K164" s="20"/>
      <c r="L164" s="20"/>
      <c r="M164" s="20"/>
      <c r="N164" s="20"/>
      <c r="O164" s="20"/>
      <c r="P164" s="20"/>
      <c r="Q164" s="20"/>
      <c r="R164" s="334"/>
      <c r="S164" s="334"/>
      <c r="T164" s="334"/>
      <c r="U164" s="334"/>
      <c r="V164" s="20"/>
      <c r="W164" s="20"/>
      <c r="X164" s="20"/>
      <c r="Y164" s="20"/>
      <c r="Z164" s="20"/>
      <c r="AA164" s="20"/>
      <c r="AB164" s="20"/>
    </row>
    <row r="165" spans="2:29" ht="18" customHeight="1">
      <c r="B165" s="20"/>
      <c r="C165" s="20"/>
      <c r="D165" s="151"/>
      <c r="E165" s="19"/>
      <c r="F165" s="152"/>
      <c r="G165" s="152"/>
      <c r="H165" s="152"/>
      <c r="I165" s="20"/>
      <c r="J165" s="20"/>
      <c r="K165" s="20"/>
      <c r="L165" s="20"/>
      <c r="M165" s="20"/>
      <c r="N165" s="20"/>
      <c r="O165" s="20"/>
      <c r="P165" s="20"/>
      <c r="Q165" s="20"/>
      <c r="R165" s="334"/>
      <c r="S165" s="334"/>
      <c r="T165" s="334"/>
      <c r="U165" s="334"/>
      <c r="V165" s="20"/>
      <c r="W165" s="20"/>
      <c r="X165" s="20"/>
      <c r="Y165" s="20"/>
      <c r="Z165" s="20"/>
      <c r="AA165" s="20"/>
      <c r="AC165" s="20"/>
    </row>
    <row r="166" spans="2:29" ht="18" customHeight="1">
      <c r="B166" s="20"/>
      <c r="C166" s="20"/>
      <c r="D166" s="151"/>
      <c r="E166" s="19"/>
      <c r="F166" s="152"/>
      <c r="G166" s="152"/>
      <c r="H166" s="152"/>
      <c r="I166" s="20"/>
      <c r="J166" s="20"/>
      <c r="K166" s="20"/>
      <c r="L166" s="20"/>
      <c r="M166" s="20"/>
      <c r="N166" s="20"/>
      <c r="O166" s="20"/>
      <c r="P166" s="20"/>
      <c r="Q166" s="20"/>
      <c r="R166" s="334"/>
      <c r="S166" s="334"/>
      <c r="T166" s="334"/>
      <c r="U166" s="334"/>
      <c r="V166" s="20"/>
      <c r="W166" s="20"/>
      <c r="X166" s="20"/>
      <c r="Y166" s="20"/>
      <c r="Z166" s="20"/>
      <c r="AA166" s="20"/>
      <c r="AB166" s="20"/>
    </row>
    <row r="167" spans="2:29" ht="18" customHeight="1">
      <c r="B167" s="20"/>
      <c r="C167" s="20"/>
      <c r="D167" s="151"/>
      <c r="E167" s="19"/>
      <c r="F167" s="152"/>
      <c r="G167" s="152"/>
      <c r="H167" s="152"/>
      <c r="I167" s="20"/>
      <c r="J167" s="20"/>
      <c r="K167" s="20"/>
      <c r="L167" s="20"/>
      <c r="M167" s="20"/>
      <c r="N167" s="20"/>
      <c r="O167" s="20"/>
      <c r="P167" s="20"/>
      <c r="Q167" s="20"/>
      <c r="R167" s="334"/>
      <c r="S167" s="334"/>
      <c r="T167" s="334"/>
      <c r="U167" s="334"/>
      <c r="V167" s="20"/>
      <c r="W167" s="20"/>
      <c r="X167" s="20"/>
      <c r="Y167" s="20"/>
      <c r="Z167" s="20"/>
      <c r="AA167" s="20"/>
      <c r="AB167" s="20"/>
    </row>
    <row r="168" spans="2:29" ht="18" customHeight="1">
      <c r="B168" s="20"/>
      <c r="C168" s="20"/>
      <c r="D168" s="151"/>
      <c r="E168" s="19"/>
      <c r="F168" s="152"/>
      <c r="G168" s="152"/>
      <c r="H168" s="152"/>
      <c r="I168" s="20"/>
      <c r="J168" s="20"/>
      <c r="K168" s="20"/>
      <c r="L168" s="20"/>
      <c r="M168" s="20"/>
      <c r="N168" s="20"/>
      <c r="O168" s="20"/>
      <c r="P168" s="20"/>
      <c r="Q168" s="20"/>
      <c r="R168" s="334"/>
      <c r="S168" s="334"/>
      <c r="T168" s="334"/>
      <c r="U168" s="334"/>
      <c r="V168" s="20"/>
      <c r="W168" s="20"/>
      <c r="X168" s="20"/>
      <c r="Y168" s="20"/>
      <c r="Z168" s="20"/>
      <c r="AA168" s="20"/>
      <c r="AB168" s="20"/>
    </row>
    <row r="169" spans="2:29" ht="18" customHeight="1">
      <c r="B169" s="19"/>
      <c r="C169" s="20"/>
      <c r="D169" s="151"/>
      <c r="E169" s="19"/>
      <c r="F169" s="152"/>
      <c r="G169" s="152"/>
      <c r="H169" s="152"/>
      <c r="I169" s="20"/>
      <c r="J169" s="20"/>
      <c r="K169" s="20"/>
      <c r="L169" s="20"/>
      <c r="M169" s="20"/>
      <c r="N169" s="20"/>
      <c r="O169" s="20"/>
      <c r="P169" s="20"/>
      <c r="Q169" s="20"/>
      <c r="R169" s="334"/>
      <c r="S169" s="334"/>
      <c r="T169" s="334"/>
      <c r="U169" s="334"/>
      <c r="V169" s="20"/>
      <c r="W169" s="20"/>
      <c r="X169" s="20"/>
      <c r="Y169" s="20"/>
      <c r="Z169" s="20"/>
      <c r="AA169" s="20"/>
      <c r="AB169" s="20"/>
    </row>
    <row r="170" spans="2:29" ht="18" customHeight="1">
      <c r="B170" s="20"/>
      <c r="C170" s="20"/>
      <c r="D170" s="151"/>
      <c r="E170" s="19"/>
      <c r="F170" s="152"/>
      <c r="G170" s="152"/>
      <c r="H170" s="152"/>
      <c r="I170" s="20"/>
      <c r="J170" s="20"/>
      <c r="K170" s="20"/>
      <c r="L170" s="20"/>
      <c r="M170" s="20"/>
      <c r="N170" s="20"/>
      <c r="O170" s="20"/>
      <c r="P170" s="20"/>
      <c r="Q170" s="20"/>
      <c r="R170" s="334"/>
      <c r="S170" s="334"/>
      <c r="T170" s="334"/>
      <c r="U170" s="334"/>
      <c r="V170" s="20"/>
      <c r="W170" s="20"/>
      <c r="X170" s="20"/>
      <c r="Y170" s="20"/>
      <c r="Z170" s="20"/>
      <c r="AA170" s="20"/>
      <c r="AB170" s="20"/>
    </row>
    <row r="171" spans="2:29" ht="18" customHeight="1">
      <c r="B171" s="20"/>
      <c r="C171" s="20"/>
      <c r="D171" s="151"/>
      <c r="E171" s="19"/>
      <c r="F171" s="152"/>
      <c r="G171" s="152"/>
      <c r="H171" s="152"/>
      <c r="I171" s="20"/>
      <c r="J171" s="20"/>
      <c r="K171" s="20"/>
      <c r="L171" s="20"/>
      <c r="M171" s="20"/>
      <c r="N171" s="20"/>
      <c r="O171" s="20"/>
      <c r="P171" s="20"/>
      <c r="Q171" s="20"/>
      <c r="R171" s="334"/>
      <c r="S171" s="334"/>
      <c r="T171" s="334"/>
      <c r="U171" s="334"/>
      <c r="V171" s="20"/>
      <c r="W171" s="20"/>
      <c r="X171" s="20"/>
      <c r="Y171" s="20"/>
      <c r="Z171" s="20"/>
      <c r="AA171" s="20"/>
      <c r="AC171" s="20"/>
    </row>
    <row r="172" spans="2:29" ht="18" customHeight="1">
      <c r="B172" s="20"/>
      <c r="C172" s="20"/>
      <c r="D172" s="151"/>
      <c r="E172" s="19"/>
      <c r="F172" s="152"/>
      <c r="G172" s="152"/>
      <c r="H172" s="152"/>
      <c r="I172" s="20"/>
      <c r="J172" s="20"/>
      <c r="K172" s="20"/>
      <c r="L172" s="20"/>
      <c r="M172" s="20"/>
      <c r="N172" s="20"/>
      <c r="O172" s="20"/>
      <c r="P172" s="20"/>
      <c r="Q172" s="20"/>
      <c r="R172" s="334"/>
      <c r="S172" s="334"/>
      <c r="T172" s="334"/>
      <c r="U172" s="334"/>
      <c r="V172" s="20"/>
      <c r="W172" s="20"/>
      <c r="X172" s="20"/>
      <c r="Y172" s="20"/>
      <c r="Z172" s="20"/>
      <c r="AA172" s="20"/>
      <c r="AB172" s="20"/>
    </row>
    <row r="173" spans="2:29" ht="18" customHeight="1">
      <c r="B173" s="20"/>
      <c r="C173" s="20"/>
      <c r="D173" s="151"/>
      <c r="E173" s="19"/>
      <c r="F173" s="152"/>
      <c r="G173" s="152"/>
      <c r="H173" s="152"/>
      <c r="I173" s="20"/>
      <c r="J173" s="20"/>
      <c r="K173" s="20"/>
      <c r="L173" s="20"/>
      <c r="M173" s="20"/>
      <c r="N173" s="20"/>
      <c r="O173" s="20"/>
      <c r="P173" s="20"/>
      <c r="Q173" s="20"/>
      <c r="R173" s="334"/>
      <c r="S173" s="334"/>
      <c r="T173" s="334"/>
      <c r="U173" s="334"/>
      <c r="V173" s="20"/>
      <c r="W173" s="20"/>
      <c r="X173" s="20"/>
      <c r="Y173" s="20"/>
      <c r="Z173" s="20"/>
      <c r="AA173" s="20"/>
      <c r="AB173" s="20"/>
    </row>
    <row r="174" spans="2:29" ht="18" customHeight="1">
      <c r="B174" s="20"/>
      <c r="C174" s="20"/>
      <c r="D174" s="151"/>
      <c r="E174" s="19"/>
      <c r="F174" s="152"/>
      <c r="G174" s="152"/>
      <c r="H174" s="152"/>
      <c r="I174" s="20"/>
      <c r="J174" s="20"/>
      <c r="K174" s="20"/>
      <c r="L174" s="20"/>
      <c r="M174" s="20"/>
      <c r="N174" s="20"/>
      <c r="O174" s="20"/>
      <c r="P174" s="20"/>
      <c r="Q174" s="20"/>
      <c r="R174" s="334"/>
      <c r="S174" s="334"/>
      <c r="T174" s="334"/>
      <c r="U174" s="334"/>
      <c r="V174" s="20"/>
      <c r="W174" s="20"/>
      <c r="X174" s="20"/>
      <c r="Y174" s="20"/>
      <c r="Z174" s="20"/>
      <c r="AA174" s="20"/>
      <c r="AB174" s="20"/>
    </row>
    <row r="175" spans="2:29" ht="18" customHeight="1">
      <c r="B175" s="19"/>
      <c r="C175" s="20"/>
      <c r="D175" s="151"/>
      <c r="E175" s="19"/>
      <c r="F175" s="152"/>
      <c r="G175" s="152"/>
      <c r="H175" s="152"/>
      <c r="I175" s="20"/>
      <c r="J175" s="20"/>
      <c r="K175" s="20"/>
      <c r="L175" s="20"/>
      <c r="M175" s="20"/>
      <c r="N175" s="20"/>
      <c r="O175" s="20"/>
      <c r="P175" s="20"/>
      <c r="Q175" s="20"/>
      <c r="R175" s="334"/>
      <c r="S175" s="334"/>
      <c r="T175" s="334"/>
      <c r="U175" s="334"/>
      <c r="V175" s="20"/>
      <c r="W175" s="20"/>
      <c r="X175" s="20"/>
      <c r="Y175" s="20"/>
      <c r="Z175" s="20"/>
      <c r="AA175" s="20"/>
      <c r="AB175" s="20"/>
    </row>
    <row r="176" spans="2:29" ht="18" customHeight="1">
      <c r="B176" s="20"/>
      <c r="C176" s="20"/>
      <c r="D176" s="151"/>
      <c r="E176" s="19"/>
      <c r="F176" s="152"/>
      <c r="G176" s="152"/>
      <c r="H176" s="152"/>
      <c r="I176" s="20"/>
      <c r="J176" s="20"/>
      <c r="K176" s="20"/>
      <c r="L176" s="20"/>
      <c r="M176" s="20"/>
      <c r="N176" s="20"/>
      <c r="O176" s="20"/>
      <c r="P176" s="20"/>
      <c r="Q176" s="20"/>
      <c r="R176" s="334"/>
      <c r="S176" s="334"/>
      <c r="T176" s="334"/>
      <c r="U176" s="334"/>
      <c r="V176" s="20"/>
      <c r="W176" s="20"/>
      <c r="X176" s="20"/>
      <c r="Y176" s="20"/>
      <c r="Z176" s="20"/>
      <c r="AA176" s="20"/>
      <c r="AB176" s="20"/>
    </row>
    <row r="177" spans="2:29" ht="18" customHeight="1">
      <c r="B177" s="20"/>
      <c r="C177" s="20"/>
      <c r="D177" s="151"/>
      <c r="E177" s="19"/>
      <c r="F177" s="152"/>
      <c r="G177" s="152"/>
      <c r="H177" s="152"/>
      <c r="I177" s="20"/>
      <c r="J177" s="20"/>
      <c r="K177" s="20"/>
      <c r="L177" s="20"/>
      <c r="M177" s="20"/>
      <c r="N177" s="20"/>
      <c r="O177" s="20"/>
      <c r="P177" s="20"/>
      <c r="Q177" s="20"/>
      <c r="R177" s="334"/>
      <c r="S177" s="334"/>
      <c r="T177" s="334"/>
      <c r="U177" s="334"/>
      <c r="V177" s="20"/>
      <c r="W177" s="20"/>
      <c r="X177" s="20"/>
      <c r="Y177" s="20"/>
      <c r="Z177" s="20"/>
      <c r="AA177" s="20"/>
      <c r="AC177" s="20"/>
    </row>
    <row r="178" spans="2:29" ht="18" customHeight="1">
      <c r="B178" s="20"/>
      <c r="C178" s="20"/>
      <c r="D178" s="151"/>
      <c r="E178" s="19"/>
      <c r="F178" s="152"/>
      <c r="G178" s="152"/>
      <c r="H178" s="152"/>
      <c r="I178" s="20"/>
      <c r="J178" s="20"/>
      <c r="K178" s="20"/>
      <c r="L178" s="20"/>
      <c r="M178" s="20"/>
      <c r="N178" s="20"/>
      <c r="O178" s="20"/>
      <c r="P178" s="20"/>
      <c r="Q178" s="20"/>
      <c r="R178" s="334"/>
      <c r="S178" s="334"/>
      <c r="T178" s="334"/>
      <c r="U178" s="334"/>
      <c r="V178" s="20"/>
      <c r="W178" s="20"/>
      <c r="X178" s="20"/>
      <c r="Y178" s="20"/>
      <c r="Z178" s="20"/>
      <c r="AA178" s="20"/>
      <c r="AB178" s="20"/>
    </row>
    <row r="179" spans="2:29" ht="18" customHeight="1">
      <c r="B179" s="20"/>
      <c r="C179" s="20"/>
      <c r="D179" s="151"/>
      <c r="E179" s="19"/>
      <c r="F179" s="152"/>
      <c r="G179" s="152"/>
      <c r="H179" s="152"/>
      <c r="I179" s="20"/>
      <c r="J179" s="20"/>
      <c r="K179" s="20"/>
      <c r="L179" s="20"/>
      <c r="M179" s="20"/>
      <c r="N179" s="20"/>
      <c r="O179" s="20"/>
      <c r="P179" s="20"/>
      <c r="Q179" s="20"/>
      <c r="R179" s="334"/>
      <c r="S179" s="334"/>
      <c r="T179" s="334"/>
      <c r="U179" s="334"/>
      <c r="V179" s="20"/>
      <c r="W179" s="20"/>
      <c r="X179" s="20"/>
      <c r="Y179" s="20"/>
      <c r="Z179" s="20"/>
      <c r="AA179" s="20"/>
      <c r="AB179" s="20"/>
    </row>
    <row r="180" spans="2:29" ht="18" customHeight="1">
      <c r="B180" s="20"/>
      <c r="C180" s="20"/>
      <c r="D180" s="151"/>
      <c r="E180" s="19"/>
      <c r="F180" s="152"/>
      <c r="G180" s="152"/>
      <c r="H180" s="152"/>
      <c r="I180" s="20"/>
      <c r="J180" s="20"/>
      <c r="K180" s="20"/>
      <c r="L180" s="20"/>
      <c r="M180" s="20"/>
      <c r="N180" s="20"/>
      <c r="O180" s="20"/>
      <c r="P180" s="20"/>
      <c r="Q180" s="20"/>
      <c r="R180" s="334"/>
      <c r="S180" s="334"/>
      <c r="T180" s="334"/>
      <c r="U180" s="334"/>
      <c r="V180" s="20"/>
      <c r="W180" s="20"/>
      <c r="X180" s="20"/>
      <c r="Y180" s="20"/>
      <c r="Z180" s="20"/>
      <c r="AA180" s="20"/>
      <c r="AB180" s="20"/>
    </row>
    <row r="181" spans="2:29" ht="18" customHeight="1">
      <c r="B181" s="19"/>
      <c r="C181" s="20"/>
      <c r="D181" s="151"/>
      <c r="E181" s="19"/>
      <c r="F181" s="152"/>
      <c r="G181" s="152"/>
      <c r="H181" s="152"/>
      <c r="I181" s="20"/>
      <c r="J181" s="20"/>
      <c r="K181" s="20"/>
      <c r="L181" s="20"/>
      <c r="M181" s="20"/>
      <c r="N181" s="20"/>
      <c r="O181" s="20"/>
      <c r="P181" s="20"/>
      <c r="Q181" s="20"/>
      <c r="R181" s="334"/>
      <c r="S181" s="334"/>
      <c r="T181" s="334"/>
      <c r="U181" s="334"/>
      <c r="V181" s="20"/>
      <c r="W181" s="20"/>
      <c r="X181" s="20"/>
      <c r="Y181" s="20"/>
      <c r="Z181" s="20"/>
      <c r="AA181" s="20"/>
      <c r="AB181" s="20"/>
    </row>
    <row r="182" spans="2:29" ht="18" customHeight="1">
      <c r="B182" s="20"/>
      <c r="C182" s="20"/>
      <c r="D182" s="151"/>
      <c r="E182" s="19"/>
      <c r="F182" s="152"/>
      <c r="G182" s="152"/>
      <c r="H182" s="152"/>
      <c r="I182" s="20"/>
      <c r="J182" s="20"/>
      <c r="K182" s="20"/>
      <c r="L182" s="20"/>
      <c r="M182" s="20"/>
      <c r="N182" s="20"/>
      <c r="O182" s="20"/>
      <c r="P182" s="20"/>
      <c r="Q182" s="20"/>
      <c r="R182" s="334"/>
      <c r="S182" s="334"/>
      <c r="T182" s="334"/>
      <c r="U182" s="334"/>
      <c r="V182" s="20"/>
      <c r="W182" s="20"/>
      <c r="X182" s="20"/>
      <c r="Y182" s="20"/>
      <c r="Z182" s="20"/>
      <c r="AA182" s="20"/>
      <c r="AB182" s="20"/>
    </row>
    <row r="183" spans="2:29" ht="18" customHeight="1">
      <c r="B183" s="20"/>
      <c r="C183" s="20"/>
      <c r="D183" s="151"/>
      <c r="E183" s="19"/>
      <c r="F183" s="152"/>
      <c r="G183" s="152"/>
      <c r="H183" s="152"/>
      <c r="I183" s="20"/>
      <c r="J183" s="20"/>
      <c r="K183" s="20"/>
      <c r="L183" s="20"/>
      <c r="M183" s="20"/>
      <c r="N183" s="20"/>
      <c r="O183" s="20"/>
      <c r="P183" s="20"/>
      <c r="Q183" s="20"/>
      <c r="R183" s="334"/>
      <c r="S183" s="334"/>
      <c r="T183" s="334"/>
      <c r="U183" s="334"/>
      <c r="V183" s="20"/>
      <c r="W183" s="20"/>
      <c r="X183" s="20"/>
      <c r="Y183" s="20"/>
      <c r="Z183" s="20"/>
      <c r="AA183" s="20"/>
      <c r="AC183" s="20"/>
    </row>
    <row r="184" spans="2:29" ht="18" customHeight="1">
      <c r="B184" s="20"/>
      <c r="C184" s="20"/>
      <c r="D184" s="151"/>
      <c r="E184" s="19"/>
      <c r="F184" s="152"/>
      <c r="G184" s="152"/>
      <c r="H184" s="152"/>
      <c r="I184" s="20"/>
      <c r="J184" s="20"/>
      <c r="K184" s="20"/>
      <c r="L184" s="20"/>
      <c r="M184" s="20"/>
      <c r="N184" s="20"/>
      <c r="O184" s="20"/>
      <c r="P184" s="20"/>
      <c r="Q184" s="20"/>
      <c r="R184" s="334"/>
      <c r="S184" s="334"/>
      <c r="T184" s="334"/>
      <c r="U184" s="334"/>
      <c r="V184" s="20"/>
      <c r="W184" s="20"/>
      <c r="X184" s="20"/>
      <c r="Y184" s="20"/>
      <c r="Z184" s="20"/>
      <c r="AA184" s="20"/>
      <c r="AB184" s="20"/>
    </row>
    <row r="185" spans="2:29" ht="18" customHeight="1">
      <c r="B185" s="20"/>
      <c r="C185" s="20"/>
      <c r="D185" s="151"/>
      <c r="E185" s="19"/>
      <c r="F185" s="152"/>
      <c r="G185" s="152"/>
      <c r="H185" s="152"/>
      <c r="I185" s="20"/>
      <c r="J185" s="20"/>
      <c r="K185" s="20"/>
      <c r="L185" s="20"/>
      <c r="M185" s="20"/>
      <c r="N185" s="20"/>
      <c r="O185" s="20"/>
      <c r="P185" s="20"/>
      <c r="Q185" s="20"/>
      <c r="R185" s="334"/>
      <c r="S185" s="334"/>
      <c r="T185" s="334"/>
      <c r="U185" s="334"/>
      <c r="V185" s="20"/>
      <c r="W185" s="20"/>
      <c r="X185" s="20"/>
      <c r="Y185" s="20"/>
      <c r="Z185" s="20"/>
      <c r="AA185" s="20"/>
      <c r="AB185" s="20"/>
    </row>
    <row r="186" spans="2:29" ht="18" customHeight="1">
      <c r="B186" s="20"/>
      <c r="C186" s="20"/>
      <c r="D186" s="151"/>
      <c r="E186" s="19"/>
      <c r="F186" s="152"/>
      <c r="G186" s="152"/>
      <c r="H186" s="152"/>
      <c r="I186" s="20"/>
      <c r="J186" s="20"/>
      <c r="K186" s="20"/>
      <c r="L186" s="20"/>
      <c r="M186" s="20"/>
      <c r="N186" s="20"/>
      <c r="O186" s="20"/>
      <c r="P186" s="20"/>
      <c r="Q186" s="20"/>
      <c r="R186" s="334"/>
      <c r="S186" s="334"/>
      <c r="T186" s="334"/>
      <c r="U186" s="334"/>
      <c r="V186" s="20"/>
      <c r="W186" s="20"/>
      <c r="X186" s="20"/>
      <c r="Y186" s="20"/>
      <c r="Z186" s="20"/>
      <c r="AA186" s="20"/>
      <c r="AB186" s="20"/>
    </row>
    <row r="187" spans="2:29" ht="18" customHeight="1">
      <c r="B187" s="19"/>
      <c r="C187" s="20"/>
      <c r="D187" s="151"/>
      <c r="E187" s="19"/>
      <c r="F187" s="152"/>
      <c r="G187" s="152"/>
      <c r="H187" s="152"/>
      <c r="I187" s="20"/>
      <c r="J187" s="20"/>
      <c r="K187" s="20"/>
      <c r="L187" s="20"/>
      <c r="M187" s="20"/>
      <c r="N187" s="20"/>
      <c r="O187" s="20"/>
      <c r="P187" s="20"/>
      <c r="Q187" s="20"/>
      <c r="R187" s="334"/>
      <c r="S187" s="334"/>
      <c r="T187" s="334"/>
      <c r="U187" s="334"/>
      <c r="V187" s="20"/>
      <c r="W187" s="20"/>
      <c r="X187" s="20"/>
      <c r="Y187" s="20"/>
      <c r="Z187" s="20"/>
      <c r="AA187" s="20"/>
      <c r="AB187" s="20"/>
    </row>
    <row r="188" spans="2:29" ht="18" customHeight="1">
      <c r="B188" s="20"/>
      <c r="C188" s="20"/>
      <c r="D188" s="151"/>
      <c r="E188" s="19"/>
      <c r="F188" s="152"/>
      <c r="G188" s="152"/>
      <c r="H188" s="152"/>
      <c r="I188" s="20"/>
      <c r="J188" s="20"/>
      <c r="K188" s="20"/>
      <c r="L188" s="20"/>
      <c r="M188" s="20"/>
      <c r="N188" s="20"/>
      <c r="O188" s="20"/>
      <c r="P188" s="20"/>
      <c r="Q188" s="20"/>
      <c r="R188" s="334"/>
      <c r="S188" s="334"/>
      <c r="T188" s="334"/>
      <c r="U188" s="334"/>
      <c r="V188" s="20"/>
      <c r="W188" s="20"/>
      <c r="X188" s="20"/>
      <c r="Y188" s="20"/>
      <c r="Z188" s="20"/>
      <c r="AA188" s="20"/>
      <c r="AB188" s="20"/>
    </row>
    <row r="189" spans="2:29" ht="18" customHeight="1">
      <c r="B189" s="20"/>
      <c r="C189" s="20"/>
      <c r="D189" s="151"/>
      <c r="E189" s="19"/>
      <c r="F189" s="152"/>
      <c r="G189" s="152"/>
      <c r="H189" s="152"/>
      <c r="I189" s="20"/>
      <c r="J189" s="20"/>
      <c r="K189" s="20"/>
      <c r="L189" s="20"/>
      <c r="M189" s="20"/>
      <c r="N189" s="20"/>
      <c r="O189" s="20"/>
      <c r="P189" s="20"/>
      <c r="Q189" s="20"/>
      <c r="R189" s="334"/>
      <c r="S189" s="334"/>
      <c r="T189" s="334"/>
      <c r="U189" s="334"/>
      <c r="V189" s="20"/>
      <c r="W189" s="20"/>
      <c r="X189" s="20"/>
      <c r="Y189" s="20"/>
      <c r="Z189" s="20"/>
      <c r="AA189" s="20"/>
      <c r="AC189" s="20"/>
    </row>
    <row r="190" spans="2:29" ht="18" customHeight="1">
      <c r="B190" s="20"/>
      <c r="C190" s="20"/>
      <c r="D190" s="151"/>
      <c r="E190" s="19"/>
      <c r="F190" s="152"/>
      <c r="G190" s="152"/>
      <c r="H190" s="152"/>
      <c r="I190" s="20"/>
      <c r="J190" s="20"/>
      <c r="K190" s="20"/>
      <c r="L190" s="20"/>
      <c r="M190" s="20"/>
      <c r="N190" s="20"/>
      <c r="O190" s="20"/>
      <c r="P190" s="20"/>
      <c r="Q190" s="20"/>
      <c r="R190" s="334"/>
      <c r="S190" s="334"/>
      <c r="T190" s="334"/>
      <c r="U190" s="334"/>
      <c r="V190" s="20"/>
      <c r="W190" s="20"/>
      <c r="X190" s="20"/>
      <c r="Y190" s="20"/>
      <c r="Z190" s="20"/>
      <c r="AA190" s="20"/>
      <c r="AB190" s="20"/>
    </row>
    <row r="191" spans="2:29" ht="18" customHeight="1">
      <c r="B191" s="20"/>
      <c r="C191" s="20"/>
      <c r="D191" s="151"/>
      <c r="E191" s="19"/>
      <c r="F191" s="152"/>
      <c r="G191" s="152"/>
      <c r="H191" s="152"/>
      <c r="I191" s="20"/>
      <c r="J191" s="20"/>
      <c r="K191" s="20"/>
      <c r="L191" s="20"/>
      <c r="M191" s="20"/>
      <c r="N191" s="20"/>
      <c r="O191" s="20"/>
      <c r="P191" s="20"/>
      <c r="Q191" s="20"/>
      <c r="R191" s="334"/>
      <c r="S191" s="334"/>
      <c r="T191" s="334"/>
      <c r="U191" s="334"/>
      <c r="V191" s="20"/>
      <c r="W191" s="20"/>
      <c r="X191" s="20"/>
      <c r="Y191" s="20"/>
      <c r="Z191" s="20"/>
      <c r="AA191" s="20"/>
      <c r="AB191" s="20"/>
    </row>
    <row r="192" spans="2:29" ht="18" customHeight="1">
      <c r="B192" s="20"/>
      <c r="C192" s="20"/>
      <c r="D192" s="151"/>
      <c r="E192" s="19"/>
      <c r="F192" s="152"/>
      <c r="G192" s="152"/>
      <c r="H192" s="152"/>
      <c r="I192" s="20"/>
      <c r="J192" s="20"/>
      <c r="K192" s="20"/>
      <c r="L192" s="20"/>
      <c r="M192" s="20"/>
      <c r="N192" s="20"/>
      <c r="O192" s="20"/>
      <c r="P192" s="20"/>
      <c r="Q192" s="20"/>
      <c r="R192" s="334"/>
      <c r="S192" s="334"/>
      <c r="T192" s="334"/>
      <c r="U192" s="334"/>
      <c r="V192" s="20"/>
      <c r="W192" s="20"/>
      <c r="X192" s="20"/>
      <c r="Y192" s="20"/>
      <c r="Z192" s="20"/>
      <c r="AA192" s="20"/>
      <c r="AB192" s="20"/>
    </row>
    <row r="193" spans="2:29" ht="18" customHeight="1">
      <c r="B193" s="19"/>
      <c r="C193" s="20"/>
      <c r="D193" s="151"/>
      <c r="E193" s="19"/>
      <c r="F193" s="152"/>
      <c r="G193" s="152"/>
      <c r="H193" s="152"/>
      <c r="I193" s="20"/>
      <c r="J193" s="20"/>
      <c r="K193" s="20"/>
      <c r="L193" s="20"/>
      <c r="M193" s="20"/>
      <c r="N193" s="20"/>
      <c r="O193" s="20"/>
      <c r="P193" s="20"/>
      <c r="Q193" s="20"/>
      <c r="R193" s="334"/>
      <c r="S193" s="334"/>
      <c r="T193" s="334"/>
      <c r="U193" s="334"/>
      <c r="V193" s="20"/>
      <c r="W193" s="20"/>
      <c r="X193" s="20"/>
      <c r="Y193" s="20"/>
      <c r="Z193" s="20"/>
      <c r="AA193" s="20"/>
      <c r="AB193" s="20"/>
    </row>
    <row r="194" spans="2:29" ht="18" customHeight="1">
      <c r="B194" s="20"/>
      <c r="C194" s="20"/>
      <c r="D194" s="151"/>
      <c r="E194" s="19"/>
      <c r="F194" s="152"/>
      <c r="G194" s="152"/>
      <c r="H194" s="152"/>
      <c r="I194" s="20"/>
      <c r="J194" s="20"/>
      <c r="K194" s="20"/>
      <c r="L194" s="20"/>
      <c r="M194" s="20"/>
      <c r="N194" s="20"/>
      <c r="O194" s="20"/>
      <c r="P194" s="20"/>
      <c r="Q194" s="20"/>
      <c r="R194" s="334"/>
      <c r="S194" s="334"/>
      <c r="T194" s="334"/>
      <c r="U194" s="334"/>
      <c r="V194" s="20"/>
      <c r="W194" s="20"/>
      <c r="X194" s="20"/>
      <c r="Y194" s="20"/>
      <c r="Z194" s="20"/>
      <c r="AA194" s="20"/>
      <c r="AB194" s="20"/>
    </row>
    <row r="195" spans="2:29" ht="18" customHeight="1">
      <c r="B195" s="20"/>
      <c r="C195" s="20"/>
      <c r="D195" s="151"/>
      <c r="E195" s="19"/>
      <c r="F195" s="152"/>
      <c r="G195" s="152"/>
      <c r="H195" s="152"/>
      <c r="I195" s="20"/>
      <c r="J195" s="20"/>
      <c r="K195" s="20"/>
      <c r="L195" s="20"/>
      <c r="M195" s="20"/>
      <c r="N195" s="20"/>
      <c r="O195" s="20"/>
      <c r="P195" s="20"/>
      <c r="Q195" s="20"/>
      <c r="R195" s="334"/>
      <c r="S195" s="334"/>
      <c r="T195" s="334"/>
      <c r="U195" s="334"/>
      <c r="V195" s="20"/>
      <c r="W195" s="20"/>
      <c r="X195" s="20"/>
      <c r="Y195" s="20"/>
      <c r="Z195" s="20"/>
      <c r="AA195" s="20"/>
      <c r="AC195" s="20"/>
    </row>
    <row r="196" spans="2:29" ht="18" customHeight="1">
      <c r="B196" s="20"/>
      <c r="C196" s="20"/>
      <c r="D196" s="151"/>
      <c r="E196" s="19"/>
      <c r="F196" s="152"/>
      <c r="G196" s="152"/>
      <c r="H196" s="152"/>
      <c r="I196" s="20"/>
      <c r="J196" s="20"/>
      <c r="K196" s="20"/>
      <c r="L196" s="20"/>
      <c r="M196" s="20"/>
      <c r="N196" s="20"/>
      <c r="O196" s="20"/>
      <c r="P196" s="20"/>
      <c r="Q196" s="20"/>
      <c r="R196" s="334"/>
      <c r="S196" s="334"/>
      <c r="T196" s="334"/>
      <c r="U196" s="334"/>
      <c r="V196" s="20"/>
      <c r="W196" s="20"/>
      <c r="X196" s="20"/>
      <c r="Y196" s="20"/>
      <c r="Z196" s="20"/>
      <c r="AA196" s="20"/>
      <c r="AB196" s="20"/>
    </row>
    <row r="197" spans="2:29" ht="18" customHeight="1">
      <c r="B197" s="20"/>
      <c r="C197" s="20"/>
      <c r="D197" s="151"/>
      <c r="E197" s="19"/>
      <c r="F197" s="152"/>
      <c r="G197" s="152"/>
      <c r="H197" s="152"/>
      <c r="I197" s="20"/>
      <c r="J197" s="20"/>
      <c r="K197" s="20"/>
      <c r="L197" s="20"/>
      <c r="M197" s="20"/>
      <c r="N197" s="20"/>
      <c r="O197" s="20"/>
      <c r="P197" s="20"/>
      <c r="Q197" s="20"/>
      <c r="R197" s="334"/>
      <c r="S197" s="334"/>
      <c r="T197" s="334"/>
      <c r="U197" s="334"/>
      <c r="V197" s="20"/>
      <c r="W197" s="20"/>
      <c r="X197" s="20"/>
      <c r="Y197" s="20"/>
      <c r="Z197" s="20"/>
      <c r="AA197" s="20"/>
      <c r="AB197" s="20"/>
    </row>
    <row r="198" spans="2:29" ht="18" customHeight="1">
      <c r="B198" s="20"/>
      <c r="C198" s="20"/>
      <c r="D198" s="151"/>
      <c r="E198" s="19"/>
      <c r="F198" s="152"/>
      <c r="G198" s="152"/>
      <c r="H198" s="152"/>
      <c r="I198" s="20"/>
      <c r="J198" s="20"/>
      <c r="K198" s="20"/>
      <c r="L198" s="20"/>
      <c r="M198" s="20"/>
      <c r="N198" s="20"/>
      <c r="O198" s="20"/>
      <c r="P198" s="20"/>
      <c r="Q198" s="20"/>
      <c r="R198" s="334"/>
      <c r="S198" s="334"/>
      <c r="T198" s="334"/>
      <c r="U198" s="334"/>
      <c r="V198" s="20"/>
      <c r="W198" s="20"/>
      <c r="X198" s="20"/>
      <c r="Y198" s="20"/>
      <c r="Z198" s="20"/>
      <c r="AA198" s="20"/>
      <c r="AB198" s="20"/>
    </row>
    <row r="199" spans="2:29" ht="18" customHeight="1">
      <c r="B199" s="19"/>
      <c r="C199" s="20"/>
      <c r="D199" s="151"/>
      <c r="E199" s="19"/>
      <c r="F199" s="152"/>
      <c r="G199" s="152"/>
      <c r="H199" s="152"/>
      <c r="I199" s="20"/>
      <c r="J199" s="20"/>
      <c r="K199" s="20"/>
      <c r="L199" s="20"/>
      <c r="M199" s="20"/>
      <c r="N199" s="20"/>
      <c r="O199" s="20"/>
      <c r="P199" s="20"/>
      <c r="Q199" s="20"/>
      <c r="R199" s="334"/>
      <c r="S199" s="334"/>
      <c r="T199" s="334"/>
      <c r="U199" s="334"/>
      <c r="V199" s="20"/>
      <c r="W199" s="20"/>
      <c r="X199" s="20"/>
      <c r="Y199" s="20"/>
      <c r="Z199" s="20"/>
      <c r="AA199" s="20"/>
      <c r="AB199" s="20"/>
    </row>
    <row r="200" spans="2:29" ht="18" customHeight="1">
      <c r="B200" s="20"/>
      <c r="C200" s="20"/>
      <c r="D200" s="151"/>
      <c r="E200" s="19"/>
      <c r="F200" s="152"/>
      <c r="G200" s="152"/>
      <c r="H200" s="152"/>
      <c r="I200" s="20"/>
      <c r="J200" s="20"/>
      <c r="K200" s="20"/>
      <c r="L200" s="20"/>
      <c r="M200" s="20"/>
      <c r="N200" s="20"/>
      <c r="O200" s="20"/>
      <c r="P200" s="20"/>
      <c r="Q200" s="20"/>
      <c r="R200" s="334"/>
      <c r="S200" s="334"/>
      <c r="T200" s="334"/>
      <c r="U200" s="334"/>
      <c r="V200" s="20"/>
      <c r="W200" s="20"/>
      <c r="X200" s="20"/>
      <c r="Y200" s="20"/>
      <c r="Z200" s="20"/>
      <c r="AA200" s="20"/>
      <c r="AB200" s="20"/>
    </row>
    <row r="201" spans="2:29" ht="18" customHeight="1">
      <c r="B201" s="20"/>
      <c r="C201" s="20"/>
      <c r="D201" s="151"/>
      <c r="E201" s="19"/>
      <c r="F201" s="152"/>
      <c r="G201" s="152"/>
      <c r="H201" s="152"/>
      <c r="I201" s="20"/>
      <c r="J201" s="20"/>
      <c r="K201" s="20"/>
      <c r="L201" s="20"/>
      <c r="M201" s="20"/>
      <c r="N201" s="20"/>
      <c r="O201" s="20"/>
      <c r="P201" s="20"/>
      <c r="Q201" s="20"/>
      <c r="R201" s="334"/>
      <c r="S201" s="334"/>
      <c r="T201" s="334"/>
      <c r="U201" s="334"/>
      <c r="V201" s="20"/>
      <c r="W201" s="20"/>
      <c r="X201" s="20"/>
      <c r="Y201" s="20"/>
      <c r="Z201" s="20"/>
      <c r="AA201" s="20"/>
      <c r="AC201" s="20"/>
    </row>
    <row r="202" spans="2:29" ht="18" customHeight="1">
      <c r="B202" s="20"/>
      <c r="C202" s="20"/>
      <c r="D202" s="151"/>
      <c r="E202" s="19"/>
      <c r="F202" s="152"/>
      <c r="G202" s="152"/>
      <c r="H202" s="152"/>
      <c r="I202" s="20"/>
      <c r="J202" s="20"/>
      <c r="K202" s="20"/>
      <c r="L202" s="20"/>
      <c r="M202" s="20"/>
      <c r="N202" s="20"/>
      <c r="O202" s="20"/>
      <c r="P202" s="20"/>
      <c r="Q202" s="20"/>
      <c r="R202" s="334"/>
      <c r="S202" s="334"/>
      <c r="T202" s="334"/>
      <c r="U202" s="334"/>
      <c r="V202" s="20"/>
      <c r="W202" s="20"/>
      <c r="X202" s="20"/>
      <c r="Y202" s="20"/>
      <c r="Z202" s="20"/>
      <c r="AA202" s="20"/>
      <c r="AB202" s="20"/>
    </row>
    <row r="203" spans="2:29" ht="18" customHeight="1">
      <c r="B203" s="20"/>
      <c r="C203" s="20"/>
      <c r="D203" s="151"/>
      <c r="E203" s="19"/>
      <c r="F203" s="152"/>
      <c r="G203" s="152"/>
      <c r="H203" s="152"/>
      <c r="I203" s="20"/>
      <c r="J203" s="20"/>
      <c r="K203" s="20"/>
      <c r="L203" s="20"/>
      <c r="M203" s="20"/>
      <c r="N203" s="20"/>
      <c r="O203" s="20"/>
      <c r="P203" s="20"/>
      <c r="Q203" s="20"/>
      <c r="R203" s="334"/>
      <c r="S203" s="334"/>
      <c r="T203" s="334"/>
      <c r="U203" s="334"/>
      <c r="V203" s="20"/>
      <c r="W203" s="20"/>
      <c r="X203" s="20"/>
      <c r="Y203" s="20"/>
      <c r="Z203" s="20"/>
      <c r="AA203" s="20"/>
      <c r="AB203" s="20"/>
    </row>
    <row r="204" spans="2:29" ht="18" customHeight="1">
      <c r="B204" s="20"/>
      <c r="C204" s="20"/>
      <c r="D204" s="151"/>
      <c r="E204" s="19"/>
      <c r="F204" s="152"/>
      <c r="G204" s="152"/>
      <c r="H204" s="152"/>
      <c r="I204" s="20"/>
      <c r="J204" s="20"/>
      <c r="K204" s="20"/>
      <c r="L204" s="20"/>
      <c r="M204" s="20"/>
      <c r="N204" s="20"/>
      <c r="O204" s="20"/>
      <c r="P204" s="20"/>
      <c r="Q204" s="20"/>
      <c r="R204" s="334"/>
      <c r="S204" s="334"/>
      <c r="T204" s="334"/>
      <c r="U204" s="334"/>
      <c r="V204" s="20"/>
      <c r="W204" s="20"/>
      <c r="X204" s="20"/>
      <c r="Y204" s="20"/>
      <c r="Z204" s="20"/>
      <c r="AA204" s="20"/>
      <c r="AB204" s="20"/>
    </row>
    <row r="205" spans="2:29" ht="18" customHeight="1">
      <c r="B205" s="19"/>
      <c r="C205" s="20"/>
      <c r="D205" s="151"/>
      <c r="E205" s="19"/>
      <c r="F205" s="152"/>
      <c r="G205" s="152"/>
      <c r="H205" s="152"/>
      <c r="I205" s="20"/>
      <c r="J205" s="20"/>
      <c r="K205" s="20"/>
      <c r="L205" s="20"/>
      <c r="M205" s="20"/>
      <c r="N205" s="20"/>
      <c r="O205" s="20"/>
      <c r="P205" s="20"/>
      <c r="Q205" s="20"/>
      <c r="R205" s="334"/>
      <c r="S205" s="334"/>
      <c r="T205" s="334"/>
      <c r="U205" s="334"/>
      <c r="V205" s="20"/>
      <c r="W205" s="20"/>
      <c r="X205" s="20"/>
      <c r="Y205" s="20"/>
      <c r="Z205" s="20"/>
      <c r="AA205" s="20"/>
      <c r="AB205" s="20"/>
    </row>
    <row r="206" spans="2:29" ht="18" customHeight="1">
      <c r="B206" s="20"/>
      <c r="C206" s="20"/>
      <c r="D206" s="151"/>
      <c r="E206" s="19"/>
      <c r="F206" s="152"/>
      <c r="G206" s="152"/>
      <c r="H206" s="152"/>
      <c r="I206" s="20"/>
      <c r="J206" s="20"/>
      <c r="K206" s="20"/>
      <c r="L206" s="20"/>
      <c r="M206" s="20"/>
      <c r="N206" s="20"/>
      <c r="O206" s="20"/>
      <c r="P206" s="20"/>
      <c r="Q206" s="20"/>
      <c r="R206" s="334"/>
      <c r="S206" s="334"/>
      <c r="T206" s="334"/>
      <c r="U206" s="334"/>
      <c r="V206" s="20"/>
      <c r="W206" s="20"/>
      <c r="X206" s="20"/>
      <c r="Y206" s="20"/>
      <c r="Z206" s="20"/>
      <c r="AA206" s="20"/>
      <c r="AB206" s="20"/>
    </row>
    <row r="207" spans="2:29" ht="18" customHeight="1">
      <c r="B207" s="20"/>
      <c r="C207" s="20"/>
      <c r="D207" s="151"/>
      <c r="E207" s="19"/>
      <c r="F207" s="152"/>
      <c r="G207" s="152"/>
      <c r="H207" s="152"/>
      <c r="I207" s="20"/>
      <c r="J207" s="20"/>
      <c r="K207" s="20"/>
      <c r="L207" s="20"/>
      <c r="M207" s="20"/>
      <c r="N207" s="20"/>
      <c r="O207" s="20"/>
      <c r="P207" s="20"/>
      <c r="Q207" s="20"/>
      <c r="R207" s="334"/>
      <c r="S207" s="334"/>
      <c r="T207" s="334"/>
      <c r="U207" s="334"/>
      <c r="V207" s="20"/>
      <c r="W207" s="20"/>
      <c r="X207" s="20"/>
      <c r="Y207" s="20"/>
      <c r="Z207" s="20"/>
      <c r="AA207" s="20"/>
      <c r="AC207" s="20"/>
    </row>
    <row r="208" spans="2:29" ht="18" customHeight="1">
      <c r="B208" s="20"/>
      <c r="C208" s="20"/>
      <c r="D208" s="151"/>
      <c r="E208" s="19"/>
      <c r="F208" s="152"/>
      <c r="G208" s="152"/>
      <c r="H208" s="152"/>
      <c r="I208" s="20"/>
      <c r="J208" s="20"/>
      <c r="K208" s="20"/>
      <c r="L208" s="20"/>
      <c r="M208" s="20"/>
      <c r="N208" s="20"/>
      <c r="O208" s="20"/>
      <c r="P208" s="20"/>
      <c r="Q208" s="20"/>
      <c r="R208" s="334"/>
      <c r="S208" s="334"/>
      <c r="T208" s="334"/>
      <c r="U208" s="334"/>
      <c r="V208" s="20"/>
      <c r="W208" s="20"/>
      <c r="X208" s="20"/>
      <c r="Y208" s="20"/>
      <c r="Z208" s="20"/>
      <c r="AA208" s="20"/>
      <c r="AB208" s="20"/>
    </row>
    <row r="209" spans="2:29" ht="18" customHeight="1">
      <c r="B209" s="20"/>
      <c r="C209" s="20"/>
      <c r="D209" s="151"/>
      <c r="E209" s="19"/>
      <c r="F209" s="152"/>
      <c r="G209" s="152"/>
      <c r="H209" s="152"/>
      <c r="I209" s="20"/>
      <c r="J209" s="20"/>
      <c r="K209" s="20"/>
      <c r="L209" s="20"/>
      <c r="M209" s="20"/>
      <c r="N209" s="20"/>
      <c r="O209" s="20"/>
      <c r="P209" s="20"/>
      <c r="Q209" s="20"/>
      <c r="R209" s="334"/>
      <c r="S209" s="334"/>
      <c r="T209" s="334"/>
      <c r="U209" s="334"/>
      <c r="V209" s="20"/>
      <c r="W209" s="20"/>
      <c r="X209" s="20"/>
      <c r="Y209" s="20"/>
      <c r="Z209" s="20"/>
      <c r="AA209" s="20"/>
      <c r="AB209" s="20"/>
    </row>
    <row r="210" spans="2:29" ht="18" customHeight="1">
      <c r="B210" s="20"/>
      <c r="C210" s="20"/>
      <c r="D210" s="151"/>
      <c r="E210" s="19"/>
      <c r="F210" s="152"/>
      <c r="G210" s="152"/>
      <c r="H210" s="152"/>
      <c r="I210" s="20"/>
      <c r="J210" s="20"/>
      <c r="K210" s="20"/>
      <c r="L210" s="20"/>
      <c r="M210" s="20"/>
      <c r="N210" s="20"/>
      <c r="O210" s="20"/>
      <c r="P210" s="20"/>
      <c r="Q210" s="20"/>
      <c r="R210" s="334"/>
      <c r="S210" s="334"/>
      <c r="T210" s="334"/>
      <c r="U210" s="334"/>
      <c r="V210" s="20"/>
      <c r="W210" s="20"/>
      <c r="X210" s="20"/>
      <c r="Y210" s="20"/>
      <c r="Z210" s="20"/>
      <c r="AA210" s="20"/>
      <c r="AB210" s="20"/>
    </row>
    <row r="211" spans="2:29" ht="18" customHeight="1">
      <c r="B211" s="19"/>
      <c r="C211" s="20"/>
      <c r="D211" s="151"/>
      <c r="E211" s="19"/>
      <c r="F211" s="152"/>
      <c r="G211" s="152"/>
      <c r="H211" s="152"/>
      <c r="I211" s="20"/>
      <c r="J211" s="20"/>
      <c r="K211" s="20"/>
      <c r="L211" s="20"/>
      <c r="M211" s="20"/>
      <c r="N211" s="20"/>
      <c r="O211" s="20"/>
      <c r="P211" s="20"/>
      <c r="Q211" s="20"/>
      <c r="R211" s="334"/>
      <c r="S211" s="334"/>
      <c r="T211" s="334"/>
      <c r="U211" s="334"/>
      <c r="V211" s="20"/>
      <c r="W211" s="20"/>
      <c r="X211" s="20"/>
      <c r="Y211" s="20"/>
      <c r="Z211" s="20"/>
      <c r="AA211" s="20"/>
      <c r="AB211" s="20"/>
    </row>
    <row r="212" spans="2:29" ht="18" customHeight="1">
      <c r="B212" s="20"/>
      <c r="C212" s="20"/>
      <c r="D212" s="151"/>
      <c r="E212" s="19"/>
      <c r="F212" s="152"/>
      <c r="G212" s="152"/>
      <c r="H212" s="152"/>
      <c r="I212" s="20"/>
      <c r="J212" s="20"/>
      <c r="K212" s="20"/>
      <c r="L212" s="20"/>
      <c r="M212" s="20"/>
      <c r="N212" s="20"/>
      <c r="O212" s="20"/>
      <c r="P212" s="20"/>
      <c r="Q212" s="20"/>
      <c r="R212" s="334"/>
      <c r="S212" s="334"/>
      <c r="T212" s="334"/>
      <c r="U212" s="334"/>
      <c r="V212" s="20"/>
      <c r="W212" s="20"/>
      <c r="X212" s="20"/>
      <c r="Y212" s="20"/>
      <c r="Z212" s="20"/>
      <c r="AA212" s="20"/>
      <c r="AB212" s="20"/>
    </row>
    <row r="213" spans="2:29" ht="18" customHeight="1">
      <c r="B213" s="20"/>
      <c r="C213" s="20"/>
      <c r="D213" s="151"/>
      <c r="E213" s="19"/>
      <c r="F213" s="152"/>
      <c r="G213" s="152"/>
      <c r="H213" s="152"/>
      <c r="I213" s="20"/>
      <c r="J213" s="20"/>
      <c r="K213" s="20"/>
      <c r="L213" s="20"/>
      <c r="M213" s="20"/>
      <c r="N213" s="20"/>
      <c r="O213" s="20"/>
      <c r="P213" s="20"/>
      <c r="Q213" s="20"/>
      <c r="R213" s="334"/>
      <c r="S213" s="334"/>
      <c r="T213" s="334"/>
      <c r="U213" s="334"/>
      <c r="V213" s="20"/>
      <c r="W213" s="20"/>
      <c r="X213" s="20"/>
      <c r="Y213" s="20"/>
      <c r="Z213" s="20"/>
      <c r="AA213" s="20"/>
      <c r="AC213" s="20"/>
    </row>
    <row r="214" spans="2:29" ht="18" customHeight="1">
      <c r="B214" s="20"/>
      <c r="C214" s="20"/>
      <c r="D214" s="151"/>
      <c r="E214" s="19"/>
      <c r="F214" s="152"/>
      <c r="G214" s="152"/>
      <c r="H214" s="152"/>
      <c r="I214" s="20"/>
      <c r="J214" s="20"/>
      <c r="K214" s="20"/>
      <c r="L214" s="20"/>
      <c r="M214" s="20"/>
      <c r="N214" s="20"/>
      <c r="O214" s="20"/>
      <c r="P214" s="20"/>
      <c r="Q214" s="20"/>
      <c r="R214" s="334"/>
      <c r="S214" s="334"/>
      <c r="T214" s="334"/>
      <c r="U214" s="334"/>
      <c r="V214" s="20"/>
      <c r="W214" s="20"/>
      <c r="X214" s="20"/>
      <c r="Y214" s="20"/>
      <c r="Z214" s="20"/>
      <c r="AA214" s="20"/>
      <c r="AB214" s="20"/>
    </row>
    <row r="215" spans="2:29" ht="18" customHeight="1">
      <c r="B215" s="20"/>
      <c r="C215" s="20"/>
      <c r="D215" s="151"/>
      <c r="E215" s="19"/>
      <c r="F215" s="152"/>
      <c r="G215" s="152"/>
      <c r="H215" s="152"/>
      <c r="I215" s="20"/>
      <c r="J215" s="20"/>
      <c r="K215" s="20"/>
      <c r="L215" s="20"/>
      <c r="M215" s="20"/>
      <c r="N215" s="20"/>
      <c r="O215" s="20"/>
      <c r="P215" s="20"/>
      <c r="Q215" s="20"/>
      <c r="R215" s="334"/>
      <c r="S215" s="334"/>
      <c r="T215" s="334"/>
      <c r="U215" s="334"/>
      <c r="V215" s="20"/>
      <c r="W215" s="20"/>
      <c r="X215" s="20"/>
      <c r="Y215" s="20"/>
      <c r="Z215" s="20"/>
      <c r="AA215" s="20"/>
      <c r="AB215" s="20"/>
    </row>
    <row r="216" spans="2:29" ht="18" customHeight="1">
      <c r="B216" s="20"/>
      <c r="C216" s="20"/>
      <c r="D216" s="151"/>
      <c r="E216" s="19"/>
      <c r="F216" s="152"/>
      <c r="G216" s="152"/>
      <c r="H216" s="152"/>
      <c r="I216" s="20"/>
      <c r="J216" s="20"/>
      <c r="K216" s="20"/>
      <c r="L216" s="20"/>
      <c r="M216" s="20"/>
      <c r="N216" s="20"/>
      <c r="O216" s="20"/>
      <c r="P216" s="20"/>
      <c r="Q216" s="20"/>
      <c r="R216" s="334"/>
      <c r="S216" s="334"/>
      <c r="T216" s="334"/>
      <c r="U216" s="334"/>
      <c r="V216" s="20"/>
      <c r="W216" s="20"/>
      <c r="X216" s="20"/>
      <c r="Y216" s="20"/>
      <c r="Z216" s="20"/>
      <c r="AA216" s="20"/>
      <c r="AB216" s="20"/>
    </row>
    <row r="217" spans="2:29" ht="18" customHeight="1">
      <c r="B217" s="19"/>
      <c r="C217" s="20"/>
      <c r="D217" s="151"/>
      <c r="E217" s="19"/>
      <c r="F217" s="152"/>
      <c r="G217" s="152"/>
      <c r="H217" s="152"/>
      <c r="I217" s="20"/>
      <c r="J217" s="20"/>
      <c r="K217" s="20"/>
      <c r="L217" s="20"/>
      <c r="M217" s="20"/>
      <c r="N217" s="20"/>
      <c r="O217" s="20"/>
      <c r="P217" s="20"/>
      <c r="Q217" s="20"/>
      <c r="R217" s="334"/>
      <c r="S217" s="334"/>
      <c r="T217" s="334"/>
      <c r="U217" s="334"/>
      <c r="V217" s="20"/>
      <c r="W217" s="20"/>
      <c r="X217" s="20"/>
      <c r="Y217" s="20"/>
      <c r="Z217" s="20"/>
      <c r="AA217" s="20"/>
      <c r="AB217" s="20"/>
    </row>
    <row r="218" spans="2:29" ht="18" customHeight="1">
      <c r="B218" s="20"/>
      <c r="C218" s="20"/>
      <c r="D218" s="151"/>
      <c r="E218" s="19"/>
      <c r="F218" s="152"/>
      <c r="G218" s="152"/>
      <c r="H218" s="152"/>
      <c r="I218" s="20"/>
      <c r="J218" s="20"/>
      <c r="K218" s="20"/>
      <c r="L218" s="20"/>
      <c r="M218" s="20"/>
      <c r="N218" s="20"/>
      <c r="O218" s="20"/>
      <c r="P218" s="20"/>
      <c r="Q218" s="20"/>
      <c r="R218" s="334"/>
      <c r="S218" s="334"/>
      <c r="T218" s="334"/>
      <c r="U218" s="334"/>
      <c r="V218" s="20"/>
      <c r="W218" s="20"/>
      <c r="X218" s="20"/>
      <c r="Y218" s="20"/>
      <c r="Z218" s="20"/>
      <c r="AA218" s="20"/>
      <c r="AB218" s="20"/>
    </row>
    <row r="219" spans="2:29" ht="18" customHeight="1">
      <c r="B219" s="20"/>
      <c r="C219" s="20"/>
      <c r="D219" s="151"/>
      <c r="E219" s="19"/>
      <c r="F219" s="152"/>
      <c r="G219" s="152"/>
      <c r="H219" s="152"/>
      <c r="I219" s="20"/>
      <c r="J219" s="20"/>
      <c r="K219" s="20"/>
      <c r="L219" s="20"/>
      <c r="M219" s="20"/>
      <c r="N219" s="20"/>
      <c r="O219" s="20"/>
      <c r="P219" s="20"/>
      <c r="Q219" s="20"/>
      <c r="R219" s="334"/>
      <c r="S219" s="334"/>
      <c r="T219" s="334"/>
      <c r="U219" s="334"/>
      <c r="V219" s="20"/>
      <c r="W219" s="20"/>
      <c r="X219" s="20"/>
      <c r="Y219" s="20"/>
      <c r="Z219" s="20"/>
      <c r="AA219" s="20"/>
      <c r="AC219" s="20"/>
    </row>
    <row r="220" spans="2:29" ht="18" customHeight="1">
      <c r="B220" s="20"/>
      <c r="C220" s="20"/>
      <c r="D220" s="151"/>
      <c r="E220" s="19"/>
      <c r="F220" s="152"/>
      <c r="G220" s="152"/>
      <c r="H220" s="152"/>
      <c r="I220" s="20"/>
      <c r="J220" s="20"/>
      <c r="K220" s="20"/>
      <c r="L220" s="20"/>
      <c r="M220" s="20"/>
      <c r="N220" s="20"/>
      <c r="O220" s="20"/>
      <c r="P220" s="20"/>
      <c r="Q220" s="20"/>
      <c r="R220" s="334"/>
      <c r="S220" s="334"/>
      <c r="T220" s="334"/>
      <c r="U220" s="334"/>
      <c r="V220" s="20"/>
      <c r="W220" s="20"/>
      <c r="X220" s="20"/>
      <c r="Y220" s="20"/>
      <c r="Z220" s="20"/>
      <c r="AA220" s="20"/>
      <c r="AB220" s="20"/>
    </row>
    <row r="221" spans="2:29" ht="18" customHeight="1">
      <c r="B221" s="20"/>
      <c r="C221" s="20"/>
      <c r="D221" s="151"/>
      <c r="E221" s="19"/>
      <c r="F221" s="152"/>
      <c r="G221" s="152"/>
      <c r="H221" s="152"/>
      <c r="I221" s="20"/>
      <c r="J221" s="20"/>
      <c r="K221" s="20"/>
      <c r="L221" s="20"/>
      <c r="M221" s="20"/>
      <c r="N221" s="20"/>
      <c r="O221" s="20"/>
      <c r="P221" s="20"/>
      <c r="Q221" s="20"/>
      <c r="R221" s="334"/>
      <c r="S221" s="334"/>
      <c r="T221" s="334"/>
      <c r="U221" s="334"/>
      <c r="V221" s="20"/>
      <c r="W221" s="20"/>
      <c r="X221" s="20"/>
      <c r="Y221" s="20"/>
      <c r="Z221" s="20"/>
      <c r="AA221" s="20"/>
      <c r="AB221" s="20"/>
    </row>
    <row r="222" spans="2:29" ht="18" customHeight="1">
      <c r="B222" s="20"/>
      <c r="C222" s="20"/>
      <c r="D222" s="151"/>
      <c r="E222" s="19"/>
      <c r="F222" s="152"/>
      <c r="G222" s="152"/>
      <c r="H222" s="152"/>
      <c r="I222" s="20"/>
      <c r="J222" s="20"/>
      <c r="K222" s="20"/>
      <c r="L222" s="20"/>
      <c r="M222" s="20"/>
      <c r="N222" s="20"/>
      <c r="O222" s="20"/>
      <c r="P222" s="20"/>
      <c r="Q222" s="20"/>
      <c r="R222" s="334"/>
      <c r="S222" s="334"/>
      <c r="T222" s="334"/>
      <c r="U222" s="334"/>
      <c r="V222" s="20"/>
      <c r="W222" s="20"/>
      <c r="X222" s="20"/>
      <c r="Y222" s="20"/>
      <c r="Z222" s="20"/>
      <c r="AA222" s="20"/>
      <c r="AB222" s="20"/>
    </row>
    <row r="223" spans="2:29" ht="18" customHeight="1">
      <c r="B223" s="19"/>
      <c r="C223" s="20"/>
      <c r="D223" s="151"/>
      <c r="E223" s="19"/>
      <c r="F223" s="152"/>
      <c r="G223" s="152"/>
      <c r="H223" s="152"/>
      <c r="I223" s="20"/>
      <c r="J223" s="20"/>
      <c r="K223" s="20"/>
      <c r="L223" s="20"/>
      <c r="M223" s="20"/>
      <c r="N223" s="20"/>
      <c r="O223" s="20"/>
      <c r="P223" s="20"/>
      <c r="Q223" s="20"/>
      <c r="R223" s="334"/>
      <c r="S223" s="334"/>
      <c r="T223" s="334"/>
      <c r="U223" s="334"/>
      <c r="V223" s="20"/>
      <c r="W223" s="20"/>
      <c r="X223" s="20"/>
      <c r="Y223" s="20"/>
      <c r="Z223" s="20"/>
      <c r="AA223" s="20"/>
      <c r="AB223" s="20"/>
    </row>
    <row r="224" spans="2:29" ht="18" customHeight="1">
      <c r="B224" s="20"/>
      <c r="C224" s="20"/>
      <c r="D224" s="151"/>
      <c r="E224" s="19"/>
      <c r="F224" s="152"/>
      <c r="G224" s="152"/>
      <c r="H224" s="152"/>
      <c r="I224" s="20"/>
      <c r="J224" s="20"/>
      <c r="K224" s="20"/>
      <c r="L224" s="20"/>
      <c r="M224" s="20"/>
      <c r="N224" s="20"/>
      <c r="O224" s="20"/>
      <c r="P224" s="20"/>
      <c r="Q224" s="20"/>
      <c r="R224" s="334"/>
      <c r="S224" s="334"/>
      <c r="T224" s="334"/>
      <c r="U224" s="334"/>
      <c r="V224" s="20"/>
      <c r="W224" s="20"/>
      <c r="X224" s="20"/>
      <c r="Y224" s="20"/>
      <c r="Z224" s="20"/>
      <c r="AA224" s="20"/>
      <c r="AB224" s="20"/>
    </row>
    <row r="225" spans="2:29" ht="18" customHeight="1">
      <c r="B225" s="20"/>
      <c r="C225" s="20"/>
      <c r="D225" s="151"/>
      <c r="E225" s="19"/>
      <c r="F225" s="152"/>
      <c r="G225" s="152"/>
      <c r="H225" s="152"/>
      <c r="I225" s="20"/>
      <c r="J225" s="20"/>
      <c r="K225" s="20"/>
      <c r="L225" s="20"/>
      <c r="M225" s="20"/>
      <c r="N225" s="20"/>
      <c r="O225" s="20"/>
      <c r="P225" s="20"/>
      <c r="Q225" s="20"/>
      <c r="R225" s="334"/>
      <c r="S225" s="334"/>
      <c r="T225" s="334"/>
      <c r="U225" s="334"/>
      <c r="V225" s="20"/>
      <c r="W225" s="20"/>
      <c r="X225" s="20"/>
      <c r="Y225" s="20"/>
      <c r="Z225" s="20"/>
      <c r="AA225" s="20"/>
      <c r="AC225" s="20"/>
    </row>
    <row r="226" spans="2:29" ht="18" customHeight="1">
      <c r="B226" s="20"/>
      <c r="C226" s="20"/>
      <c r="D226" s="151"/>
      <c r="E226" s="19"/>
      <c r="F226" s="152"/>
      <c r="G226" s="152"/>
      <c r="H226" s="152"/>
      <c r="I226" s="20"/>
      <c r="J226" s="20"/>
      <c r="K226" s="20"/>
      <c r="L226" s="20"/>
      <c r="M226" s="20"/>
      <c r="N226" s="20"/>
      <c r="O226" s="20"/>
      <c r="P226" s="20"/>
      <c r="Q226" s="20"/>
      <c r="R226" s="334"/>
      <c r="S226" s="334"/>
      <c r="T226" s="334"/>
      <c r="U226" s="334"/>
      <c r="V226" s="20"/>
      <c r="W226" s="20"/>
      <c r="X226" s="20"/>
      <c r="Y226" s="20"/>
      <c r="Z226" s="20"/>
      <c r="AA226" s="20"/>
      <c r="AB226" s="20"/>
    </row>
    <row r="227" spans="2:29" ht="18" customHeight="1">
      <c r="B227" s="20"/>
      <c r="C227" s="20"/>
      <c r="D227" s="151"/>
      <c r="E227" s="19"/>
      <c r="F227" s="152"/>
      <c r="G227" s="152"/>
      <c r="H227" s="152"/>
      <c r="I227" s="20"/>
      <c r="J227" s="20"/>
      <c r="K227" s="20"/>
      <c r="L227" s="20"/>
      <c r="M227" s="20"/>
      <c r="N227" s="20"/>
      <c r="O227" s="20"/>
      <c r="P227" s="20"/>
      <c r="Q227" s="20"/>
      <c r="R227" s="334"/>
      <c r="S227" s="334"/>
      <c r="T227" s="334"/>
      <c r="U227" s="334"/>
      <c r="V227" s="20"/>
      <c r="W227" s="20"/>
      <c r="X227" s="20"/>
      <c r="Y227" s="20"/>
      <c r="Z227" s="20"/>
      <c r="AA227" s="20"/>
      <c r="AB227" s="20"/>
    </row>
    <row r="228" spans="2:29" ht="18" customHeight="1">
      <c r="B228" s="20"/>
      <c r="C228" s="20"/>
      <c r="D228" s="151"/>
      <c r="E228" s="19"/>
      <c r="F228" s="152"/>
      <c r="G228" s="152"/>
      <c r="H228" s="152"/>
      <c r="I228" s="20"/>
      <c r="J228" s="20"/>
      <c r="K228" s="20"/>
      <c r="L228" s="20"/>
      <c r="M228" s="20"/>
      <c r="N228" s="20"/>
      <c r="O228" s="20"/>
      <c r="P228" s="20"/>
      <c r="Q228" s="20"/>
      <c r="R228" s="334"/>
      <c r="S228" s="334"/>
      <c r="T228" s="334"/>
      <c r="U228" s="334"/>
      <c r="V228" s="20"/>
      <c r="W228" s="20"/>
      <c r="X228" s="20"/>
      <c r="Y228" s="20"/>
      <c r="Z228" s="20"/>
      <c r="AA228" s="20"/>
      <c r="AB228" s="20"/>
    </row>
    <row r="229" spans="2:29" ht="18" customHeight="1">
      <c r="B229" s="19"/>
      <c r="C229" s="20"/>
      <c r="D229" s="151"/>
      <c r="E229" s="19"/>
      <c r="F229" s="152"/>
      <c r="G229" s="152"/>
      <c r="H229" s="152"/>
      <c r="I229" s="20"/>
      <c r="J229" s="20"/>
      <c r="K229" s="20"/>
      <c r="L229" s="20"/>
      <c r="M229" s="20"/>
      <c r="N229" s="20"/>
      <c r="O229" s="20"/>
      <c r="P229" s="20"/>
      <c r="Q229" s="20"/>
      <c r="R229" s="334"/>
      <c r="S229" s="334"/>
      <c r="T229" s="334"/>
      <c r="U229" s="334"/>
      <c r="V229" s="20"/>
      <c r="W229" s="20"/>
      <c r="X229" s="20"/>
      <c r="Y229" s="20"/>
      <c r="Z229" s="20"/>
      <c r="AA229" s="20"/>
      <c r="AB229" s="20"/>
    </row>
    <row r="230" spans="2:29" ht="18" customHeight="1">
      <c r="B230" s="20"/>
      <c r="C230" s="20"/>
      <c r="D230" s="151"/>
      <c r="E230" s="19"/>
      <c r="F230" s="152"/>
      <c r="G230" s="152"/>
      <c r="H230" s="152"/>
      <c r="I230" s="20"/>
      <c r="J230" s="20"/>
      <c r="K230" s="20"/>
      <c r="L230" s="20"/>
      <c r="M230" s="20"/>
      <c r="N230" s="20"/>
      <c r="O230" s="20"/>
      <c r="P230" s="20"/>
      <c r="Q230" s="20"/>
      <c r="R230" s="334"/>
      <c r="S230" s="334"/>
      <c r="T230" s="334"/>
      <c r="U230" s="334"/>
      <c r="V230" s="20"/>
      <c r="W230" s="20"/>
      <c r="X230" s="20"/>
      <c r="Y230" s="20"/>
      <c r="Z230" s="20"/>
      <c r="AA230" s="20"/>
      <c r="AB230" s="20"/>
    </row>
    <row r="231" spans="2:29" ht="18" customHeight="1">
      <c r="B231" s="20"/>
      <c r="C231" s="20"/>
      <c r="D231" s="151"/>
      <c r="E231" s="19"/>
      <c r="F231" s="152"/>
      <c r="G231" s="152"/>
      <c r="H231" s="152"/>
      <c r="I231" s="20"/>
      <c r="J231" s="20"/>
      <c r="K231" s="20"/>
      <c r="L231" s="20"/>
      <c r="M231" s="20"/>
      <c r="N231" s="20"/>
      <c r="O231" s="20"/>
      <c r="P231" s="20"/>
      <c r="Q231" s="20"/>
      <c r="R231" s="334"/>
      <c r="S231" s="334"/>
      <c r="T231" s="334"/>
      <c r="U231" s="334"/>
      <c r="V231" s="20"/>
      <c r="W231" s="20"/>
      <c r="X231" s="20"/>
      <c r="Y231" s="20"/>
      <c r="Z231" s="20"/>
      <c r="AA231" s="20"/>
      <c r="AC231" s="20"/>
    </row>
    <row r="232" spans="2:29" ht="18" customHeight="1">
      <c r="B232" s="20"/>
      <c r="C232" s="20"/>
      <c r="D232" s="151"/>
      <c r="E232" s="19"/>
      <c r="F232" s="152"/>
      <c r="G232" s="152"/>
      <c r="H232" s="152"/>
      <c r="I232" s="20"/>
      <c r="J232" s="20"/>
      <c r="K232" s="20"/>
      <c r="L232" s="20"/>
      <c r="M232" s="20"/>
      <c r="N232" s="20"/>
      <c r="O232" s="20"/>
      <c r="P232" s="20"/>
      <c r="Q232" s="20"/>
      <c r="R232" s="334"/>
      <c r="S232" s="334"/>
      <c r="T232" s="334"/>
      <c r="U232" s="334"/>
      <c r="V232" s="20"/>
      <c r="W232" s="20"/>
      <c r="X232" s="20"/>
      <c r="Y232" s="20"/>
      <c r="Z232" s="20"/>
      <c r="AA232" s="20"/>
      <c r="AB232" s="20"/>
    </row>
    <row r="233" spans="2:29" ht="18" customHeight="1">
      <c r="B233" s="20"/>
      <c r="C233" s="20"/>
      <c r="D233" s="151"/>
      <c r="E233" s="19"/>
      <c r="F233" s="152"/>
      <c r="G233" s="152"/>
      <c r="H233" s="152"/>
      <c r="I233" s="20"/>
      <c r="J233" s="20"/>
      <c r="K233" s="20"/>
      <c r="L233" s="20"/>
      <c r="M233" s="20"/>
      <c r="N233" s="20"/>
      <c r="O233" s="20"/>
      <c r="P233" s="20"/>
      <c r="Q233" s="20"/>
      <c r="R233" s="334"/>
      <c r="S233" s="334"/>
      <c r="T233" s="334"/>
      <c r="U233" s="334"/>
      <c r="V233" s="20"/>
      <c r="W233" s="20"/>
      <c r="X233" s="20"/>
      <c r="Y233" s="20"/>
      <c r="Z233" s="20"/>
      <c r="AA233" s="20"/>
      <c r="AB233" s="20"/>
    </row>
    <row r="234" spans="2:29" ht="18" customHeight="1">
      <c r="B234" s="20"/>
      <c r="C234" s="20"/>
      <c r="D234" s="151"/>
      <c r="E234" s="19"/>
      <c r="F234" s="152"/>
      <c r="G234" s="152"/>
      <c r="H234" s="152"/>
      <c r="I234" s="20"/>
      <c r="J234" s="20"/>
      <c r="K234" s="20"/>
      <c r="L234" s="20"/>
      <c r="M234" s="20"/>
      <c r="N234" s="20"/>
      <c r="O234" s="20"/>
      <c r="P234" s="20"/>
      <c r="Q234" s="20"/>
      <c r="R234" s="334"/>
      <c r="S234" s="334"/>
      <c r="T234" s="334"/>
      <c r="U234" s="334"/>
      <c r="V234" s="20"/>
      <c r="W234" s="20"/>
      <c r="X234" s="20"/>
      <c r="Y234" s="20"/>
      <c r="Z234" s="20"/>
      <c r="AA234" s="20"/>
      <c r="AB234" s="20"/>
    </row>
    <row r="235" spans="2:29" ht="18" customHeight="1">
      <c r="B235" s="19"/>
      <c r="C235" s="20"/>
      <c r="D235" s="151"/>
      <c r="E235" s="19"/>
      <c r="F235" s="152"/>
      <c r="G235" s="152"/>
      <c r="H235" s="152"/>
      <c r="I235" s="20"/>
      <c r="J235" s="20"/>
      <c r="K235" s="20"/>
      <c r="L235" s="20"/>
      <c r="M235" s="20"/>
      <c r="N235" s="20"/>
      <c r="O235" s="20"/>
      <c r="P235" s="20"/>
      <c r="Q235" s="20"/>
      <c r="R235" s="334"/>
      <c r="S235" s="334"/>
      <c r="T235" s="334"/>
      <c r="U235" s="334"/>
      <c r="V235" s="20"/>
      <c r="W235" s="20"/>
      <c r="X235" s="20"/>
      <c r="Y235" s="20"/>
      <c r="Z235" s="20"/>
      <c r="AA235" s="20"/>
      <c r="AB235" s="20"/>
    </row>
    <row r="236" spans="2:29" ht="18" customHeight="1">
      <c r="B236" s="20"/>
      <c r="C236" s="20"/>
      <c r="D236" s="151"/>
      <c r="E236" s="19"/>
      <c r="F236" s="152"/>
      <c r="G236" s="152"/>
      <c r="H236" s="152"/>
      <c r="I236" s="20"/>
      <c r="J236" s="20"/>
      <c r="K236" s="20"/>
      <c r="L236" s="20"/>
      <c r="M236" s="20"/>
      <c r="N236" s="20"/>
      <c r="O236" s="20"/>
      <c r="P236" s="20"/>
      <c r="Q236" s="20"/>
      <c r="R236" s="334"/>
      <c r="S236" s="334"/>
      <c r="T236" s="334"/>
      <c r="U236" s="334"/>
      <c r="V236" s="20"/>
      <c r="W236" s="20"/>
      <c r="X236" s="20"/>
      <c r="Y236" s="20"/>
      <c r="Z236" s="20"/>
      <c r="AA236" s="20"/>
      <c r="AB236" s="20"/>
    </row>
    <row r="237" spans="2:29" ht="18" customHeight="1">
      <c r="B237" s="20"/>
      <c r="C237" s="20"/>
      <c r="D237" s="151"/>
      <c r="E237" s="19"/>
      <c r="F237" s="152"/>
      <c r="G237" s="152"/>
      <c r="H237" s="152"/>
      <c r="I237" s="20"/>
      <c r="J237" s="20"/>
      <c r="K237" s="20"/>
      <c r="L237" s="20"/>
      <c r="M237" s="20"/>
      <c r="N237" s="20"/>
      <c r="O237" s="20"/>
      <c r="P237" s="20"/>
      <c r="Q237" s="20"/>
      <c r="R237" s="334"/>
      <c r="S237" s="334"/>
      <c r="T237" s="334"/>
      <c r="U237" s="334"/>
      <c r="V237" s="20"/>
      <c r="W237" s="20"/>
      <c r="X237" s="20"/>
      <c r="Y237" s="20"/>
      <c r="Z237" s="20"/>
      <c r="AA237" s="20"/>
      <c r="AC237" s="20"/>
    </row>
    <row r="238" spans="2:29" ht="18" customHeight="1">
      <c r="B238" s="20"/>
      <c r="C238" s="20"/>
      <c r="D238" s="151"/>
      <c r="E238" s="19"/>
      <c r="F238" s="152"/>
      <c r="G238" s="152"/>
      <c r="H238" s="152"/>
      <c r="I238" s="20"/>
      <c r="J238" s="20"/>
      <c r="K238" s="20"/>
      <c r="L238" s="20"/>
      <c r="M238" s="20"/>
      <c r="N238" s="20"/>
      <c r="O238" s="20"/>
      <c r="P238" s="20"/>
      <c r="Q238" s="20"/>
      <c r="R238" s="334"/>
      <c r="S238" s="334"/>
      <c r="T238" s="334"/>
      <c r="U238" s="334"/>
      <c r="V238" s="20"/>
      <c r="W238" s="20"/>
      <c r="X238" s="20"/>
      <c r="Y238" s="20"/>
      <c r="Z238" s="20"/>
      <c r="AA238" s="20"/>
      <c r="AB238" s="20"/>
    </row>
    <row r="239" spans="2:29" ht="18" customHeight="1">
      <c r="B239" s="20"/>
      <c r="C239" s="20"/>
      <c r="D239" s="151"/>
      <c r="E239" s="19"/>
      <c r="F239" s="152"/>
      <c r="G239" s="152"/>
      <c r="H239" s="152"/>
      <c r="I239" s="20"/>
      <c r="J239" s="20"/>
      <c r="K239" s="20"/>
      <c r="L239" s="20"/>
      <c r="M239" s="20"/>
      <c r="N239" s="20"/>
      <c r="O239" s="20"/>
      <c r="P239" s="20"/>
      <c r="Q239" s="20"/>
      <c r="R239" s="334"/>
      <c r="S239" s="334"/>
      <c r="T239" s="334"/>
      <c r="U239" s="334"/>
      <c r="V239" s="20"/>
      <c r="W239" s="20"/>
      <c r="X239" s="20"/>
      <c r="Y239" s="20"/>
      <c r="Z239" s="20"/>
      <c r="AA239" s="20"/>
      <c r="AB239" s="20"/>
    </row>
    <row r="240" spans="2:29" ht="18" customHeight="1">
      <c r="B240" s="20"/>
      <c r="C240" s="20"/>
      <c r="D240" s="151"/>
      <c r="E240" s="19"/>
      <c r="F240" s="152"/>
      <c r="G240" s="152"/>
      <c r="H240" s="152"/>
      <c r="I240" s="20"/>
      <c r="J240" s="20"/>
      <c r="K240" s="20"/>
      <c r="L240" s="20"/>
      <c r="M240" s="20"/>
      <c r="N240" s="20"/>
      <c r="O240" s="20"/>
      <c r="P240" s="20"/>
      <c r="Q240" s="20"/>
      <c r="R240" s="334"/>
      <c r="S240" s="334"/>
      <c r="T240" s="334"/>
      <c r="U240" s="334"/>
      <c r="V240" s="20"/>
      <c r="W240" s="20"/>
      <c r="X240" s="20"/>
      <c r="Y240" s="20"/>
      <c r="Z240" s="20"/>
      <c r="AA240" s="20"/>
      <c r="AB240" s="20"/>
    </row>
    <row r="241" spans="2:29" ht="18" customHeight="1">
      <c r="B241" s="19"/>
      <c r="C241" s="20"/>
      <c r="D241" s="151"/>
      <c r="E241" s="19"/>
      <c r="F241" s="152"/>
      <c r="G241" s="152"/>
      <c r="H241" s="152"/>
      <c r="I241" s="20"/>
      <c r="J241" s="20"/>
      <c r="K241" s="20"/>
      <c r="L241" s="20"/>
      <c r="M241" s="20"/>
      <c r="N241" s="20"/>
      <c r="O241" s="20"/>
      <c r="P241" s="20"/>
      <c r="Q241" s="20"/>
      <c r="R241" s="334"/>
      <c r="S241" s="334"/>
      <c r="T241" s="334"/>
      <c r="U241" s="334"/>
      <c r="V241" s="20"/>
      <c r="W241" s="20"/>
      <c r="X241" s="20"/>
      <c r="Y241" s="20"/>
      <c r="Z241" s="20"/>
      <c r="AA241" s="20"/>
      <c r="AB241" s="20"/>
    </row>
    <row r="242" spans="2:29" ht="18" customHeight="1">
      <c r="B242" s="20"/>
      <c r="C242" s="20"/>
      <c r="D242" s="151"/>
      <c r="E242" s="19"/>
      <c r="F242" s="152"/>
      <c r="G242" s="152"/>
      <c r="H242" s="152"/>
      <c r="I242" s="20"/>
      <c r="J242" s="20"/>
      <c r="K242" s="20"/>
      <c r="L242" s="20"/>
      <c r="M242" s="20"/>
      <c r="N242" s="20"/>
      <c r="O242" s="20"/>
      <c r="P242" s="20"/>
      <c r="Q242" s="20"/>
      <c r="R242" s="334"/>
      <c r="S242" s="334"/>
      <c r="T242" s="334"/>
      <c r="U242" s="334"/>
      <c r="V242" s="20"/>
      <c r="W242" s="20"/>
      <c r="X242" s="20"/>
      <c r="Y242" s="20"/>
      <c r="Z242" s="20"/>
      <c r="AA242" s="20"/>
      <c r="AB242" s="20"/>
    </row>
    <row r="243" spans="2:29" ht="18" customHeight="1">
      <c r="B243" s="20"/>
      <c r="C243" s="20"/>
      <c r="D243" s="151"/>
      <c r="E243" s="19"/>
      <c r="F243" s="152"/>
      <c r="G243" s="152"/>
      <c r="H243" s="152"/>
      <c r="I243" s="20"/>
      <c r="J243" s="20"/>
      <c r="K243" s="20"/>
      <c r="L243" s="20"/>
      <c r="M243" s="20"/>
      <c r="N243" s="20"/>
      <c r="O243" s="20"/>
      <c r="P243" s="20"/>
      <c r="Q243" s="20"/>
      <c r="R243" s="334"/>
      <c r="S243" s="334"/>
      <c r="T243" s="334"/>
      <c r="U243" s="334"/>
      <c r="V243" s="20"/>
      <c r="W243" s="20"/>
      <c r="X243" s="20"/>
      <c r="Y243" s="20"/>
      <c r="Z243" s="20"/>
      <c r="AA243" s="20"/>
      <c r="AC243" s="20"/>
    </row>
    <row r="244" spans="2:29" ht="18" customHeight="1">
      <c r="B244" s="20"/>
      <c r="C244" s="20"/>
      <c r="D244" s="151"/>
      <c r="E244" s="19"/>
      <c r="F244" s="152"/>
      <c r="G244" s="152"/>
      <c r="H244" s="152"/>
      <c r="I244" s="20"/>
      <c r="J244" s="20"/>
      <c r="K244" s="20"/>
      <c r="L244" s="20"/>
      <c r="M244" s="20"/>
      <c r="N244" s="20"/>
      <c r="O244" s="20"/>
      <c r="P244" s="20"/>
      <c r="Q244" s="20"/>
      <c r="R244" s="334"/>
      <c r="S244" s="334"/>
      <c r="T244" s="334"/>
      <c r="U244" s="334"/>
      <c r="V244" s="20"/>
      <c r="W244" s="20"/>
      <c r="X244" s="20"/>
      <c r="Y244" s="20"/>
      <c r="Z244" s="20"/>
      <c r="AA244" s="20"/>
      <c r="AB244" s="20"/>
    </row>
    <row r="245" spans="2:29" ht="18" customHeight="1">
      <c r="B245" s="20"/>
      <c r="C245" s="20"/>
      <c r="D245" s="151"/>
      <c r="E245" s="19"/>
      <c r="F245" s="152"/>
      <c r="G245" s="152"/>
      <c r="H245" s="152"/>
      <c r="I245" s="20"/>
      <c r="J245" s="20"/>
      <c r="K245" s="20"/>
      <c r="L245" s="20"/>
      <c r="M245" s="20"/>
      <c r="N245" s="20"/>
      <c r="O245" s="20"/>
      <c r="P245" s="20"/>
      <c r="Q245" s="20"/>
      <c r="R245" s="334"/>
      <c r="S245" s="334"/>
      <c r="T245" s="334"/>
      <c r="U245" s="334"/>
      <c r="V245" s="20"/>
      <c r="W245" s="20"/>
      <c r="X245" s="20"/>
      <c r="Y245" s="20"/>
      <c r="Z245" s="20"/>
      <c r="AA245" s="20"/>
      <c r="AB245" s="20"/>
    </row>
    <row r="246" spans="2:29" ht="18" customHeight="1">
      <c r="B246" s="20"/>
      <c r="C246" s="20"/>
      <c r="D246" s="151"/>
      <c r="E246" s="19"/>
      <c r="F246" s="152"/>
      <c r="G246" s="152"/>
      <c r="H246" s="152"/>
      <c r="I246" s="20"/>
      <c r="J246" s="20"/>
      <c r="K246" s="20"/>
      <c r="L246" s="20"/>
      <c r="M246" s="20"/>
      <c r="N246" s="20"/>
      <c r="O246" s="20"/>
      <c r="P246" s="20"/>
      <c r="Q246" s="20"/>
      <c r="R246" s="334"/>
      <c r="S246" s="334"/>
      <c r="T246" s="334"/>
      <c r="U246" s="334"/>
      <c r="V246" s="20"/>
      <c r="W246" s="20"/>
      <c r="X246" s="20"/>
      <c r="Y246" s="20"/>
      <c r="Z246" s="20"/>
      <c r="AA246" s="20"/>
      <c r="AB246" s="20"/>
    </row>
    <row r="247" spans="2:29" ht="18" customHeight="1">
      <c r="B247" s="19"/>
      <c r="C247" s="20"/>
      <c r="D247" s="151"/>
      <c r="E247" s="19"/>
      <c r="F247" s="152"/>
      <c r="G247" s="152"/>
      <c r="H247" s="152"/>
      <c r="I247" s="20"/>
      <c r="J247" s="20"/>
      <c r="K247" s="20"/>
      <c r="L247" s="20"/>
      <c r="M247" s="20"/>
      <c r="N247" s="20"/>
      <c r="O247" s="20"/>
      <c r="P247" s="20"/>
      <c r="Q247" s="20"/>
      <c r="R247" s="334"/>
      <c r="S247" s="334"/>
      <c r="T247" s="334"/>
      <c r="U247" s="334"/>
      <c r="V247" s="20"/>
      <c r="W247" s="20"/>
      <c r="X247" s="20"/>
      <c r="Y247" s="20"/>
      <c r="Z247" s="20"/>
      <c r="AA247" s="20"/>
      <c r="AB247" s="20"/>
    </row>
    <row r="248" spans="2:29" ht="18" customHeight="1">
      <c r="B248" s="20"/>
      <c r="C248" s="20"/>
      <c r="D248" s="151"/>
      <c r="E248" s="19"/>
      <c r="F248" s="152"/>
      <c r="G248" s="152"/>
      <c r="H248" s="152"/>
      <c r="I248" s="20"/>
      <c r="J248" s="20"/>
      <c r="K248" s="20"/>
      <c r="L248" s="20"/>
      <c r="M248" s="20"/>
      <c r="N248" s="20"/>
      <c r="O248" s="20"/>
      <c r="P248" s="20"/>
      <c r="Q248" s="20"/>
      <c r="R248" s="334"/>
      <c r="S248" s="334"/>
      <c r="T248" s="334"/>
      <c r="U248" s="334"/>
      <c r="V248" s="20"/>
      <c r="W248" s="20"/>
      <c r="X248" s="20"/>
      <c r="Y248" s="20"/>
      <c r="Z248" s="20"/>
      <c r="AA248" s="20"/>
      <c r="AB248" s="20"/>
    </row>
    <row r="249" spans="2:29" ht="18" customHeight="1">
      <c r="B249" s="20"/>
      <c r="C249" s="20"/>
      <c r="D249" s="151"/>
      <c r="E249" s="19"/>
      <c r="F249" s="152"/>
      <c r="G249" s="152"/>
      <c r="H249" s="152"/>
      <c r="I249" s="20"/>
      <c r="J249" s="20"/>
      <c r="K249" s="20"/>
      <c r="L249" s="20"/>
      <c r="M249" s="20"/>
      <c r="N249" s="20"/>
      <c r="O249" s="20"/>
      <c r="P249" s="20"/>
      <c r="Q249" s="20"/>
      <c r="R249" s="334"/>
      <c r="S249" s="334"/>
      <c r="T249" s="334"/>
      <c r="U249" s="334"/>
      <c r="V249" s="20"/>
      <c r="W249" s="20"/>
      <c r="X249" s="20"/>
      <c r="Y249" s="20"/>
      <c r="Z249" s="20"/>
      <c r="AA249" s="20"/>
      <c r="AC249" s="20"/>
    </row>
    <row r="250" spans="2:29" ht="18" customHeight="1">
      <c r="B250" s="20"/>
      <c r="C250" s="20"/>
      <c r="D250" s="151"/>
      <c r="E250" s="19"/>
      <c r="F250" s="152"/>
      <c r="G250" s="152"/>
      <c r="H250" s="152"/>
      <c r="I250" s="20"/>
      <c r="J250" s="20"/>
      <c r="K250" s="20"/>
      <c r="L250" s="20"/>
      <c r="M250" s="20"/>
      <c r="N250" s="20"/>
      <c r="O250" s="20"/>
      <c r="P250" s="20"/>
      <c r="Q250" s="20"/>
      <c r="R250" s="334"/>
      <c r="S250" s="334"/>
      <c r="T250" s="334"/>
      <c r="U250" s="334"/>
      <c r="V250" s="20"/>
      <c r="W250" s="20"/>
      <c r="X250" s="20"/>
      <c r="Y250" s="20"/>
      <c r="Z250" s="20"/>
      <c r="AA250" s="20"/>
      <c r="AB250" s="20"/>
    </row>
    <row r="251" spans="2:29" ht="18" customHeight="1">
      <c r="B251" s="20"/>
      <c r="C251" s="20"/>
      <c r="D251" s="151"/>
      <c r="E251" s="19"/>
      <c r="F251" s="152"/>
      <c r="G251" s="152"/>
      <c r="H251" s="152"/>
      <c r="I251" s="20"/>
      <c r="J251" s="20"/>
      <c r="K251" s="20"/>
      <c r="L251" s="20"/>
      <c r="M251" s="20"/>
      <c r="N251" s="20"/>
      <c r="O251" s="20"/>
      <c r="P251" s="20"/>
      <c r="Q251" s="20"/>
      <c r="R251" s="334"/>
      <c r="S251" s="334"/>
      <c r="T251" s="334"/>
      <c r="U251" s="334"/>
      <c r="V251" s="20"/>
      <c r="W251" s="20"/>
      <c r="X251" s="20"/>
      <c r="Y251" s="20"/>
      <c r="Z251" s="20"/>
      <c r="AA251" s="20"/>
      <c r="AB251" s="20"/>
    </row>
    <row r="252" spans="2:29" ht="18" customHeight="1">
      <c r="B252" s="20"/>
      <c r="C252" s="20"/>
      <c r="D252" s="151"/>
      <c r="E252" s="19"/>
      <c r="F252" s="152"/>
      <c r="G252" s="152"/>
      <c r="H252" s="152"/>
      <c r="I252" s="20"/>
      <c r="J252" s="20"/>
      <c r="K252" s="20"/>
      <c r="L252" s="20"/>
      <c r="M252" s="20"/>
      <c r="N252" s="20"/>
      <c r="O252" s="20"/>
      <c r="P252" s="20"/>
      <c r="Q252" s="20"/>
      <c r="R252" s="334"/>
      <c r="S252" s="334"/>
      <c r="T252" s="334"/>
      <c r="U252" s="334"/>
      <c r="V252" s="20"/>
      <c r="W252" s="20"/>
      <c r="X252" s="20"/>
      <c r="Y252" s="20"/>
      <c r="Z252" s="20"/>
      <c r="AA252" s="20"/>
      <c r="AB252" s="20"/>
    </row>
    <row r="253" spans="2:29" ht="18" customHeight="1">
      <c r="B253" s="19"/>
      <c r="C253" s="20"/>
      <c r="D253" s="151"/>
      <c r="E253" s="19"/>
      <c r="F253" s="152"/>
      <c r="G253" s="152"/>
      <c r="H253" s="152"/>
      <c r="I253" s="20"/>
      <c r="J253" s="20"/>
      <c r="K253" s="20"/>
      <c r="L253" s="20"/>
      <c r="M253" s="20"/>
      <c r="N253" s="20"/>
      <c r="O253" s="20"/>
      <c r="P253" s="20"/>
      <c r="Q253" s="20"/>
      <c r="R253" s="334"/>
      <c r="S253" s="334"/>
      <c r="T253" s="334"/>
      <c r="U253" s="334"/>
      <c r="V253" s="20"/>
      <c r="W253" s="20"/>
      <c r="X253" s="20"/>
      <c r="Y253" s="20"/>
      <c r="Z253" s="20"/>
      <c r="AA253" s="20"/>
      <c r="AB253" s="20"/>
    </row>
    <row r="254" spans="2:29" ht="18" customHeight="1">
      <c r="B254" s="20"/>
      <c r="C254" s="20"/>
      <c r="D254" s="151"/>
      <c r="E254" s="19"/>
      <c r="F254" s="152"/>
      <c r="G254" s="152"/>
      <c r="H254" s="152"/>
      <c r="I254" s="20"/>
      <c r="J254" s="20"/>
      <c r="K254" s="20"/>
      <c r="L254" s="20"/>
      <c r="M254" s="20"/>
      <c r="N254" s="20"/>
      <c r="O254" s="20"/>
      <c r="P254" s="20"/>
      <c r="Q254" s="20"/>
      <c r="R254" s="334"/>
      <c r="S254" s="334"/>
      <c r="T254" s="334"/>
      <c r="U254" s="334"/>
      <c r="V254" s="20"/>
      <c r="W254" s="20"/>
      <c r="X254" s="20"/>
      <c r="Y254" s="20"/>
      <c r="Z254" s="20"/>
      <c r="AA254" s="20"/>
      <c r="AB254" s="20"/>
    </row>
    <row r="255" spans="2:29" ht="18" customHeight="1">
      <c r="B255" s="20"/>
      <c r="C255" s="20"/>
      <c r="D255" s="151"/>
      <c r="E255" s="19"/>
      <c r="F255" s="152"/>
      <c r="G255" s="152"/>
      <c r="H255" s="152"/>
      <c r="I255" s="20"/>
      <c r="J255" s="20"/>
      <c r="K255" s="20"/>
      <c r="L255" s="20"/>
      <c r="M255" s="20"/>
      <c r="N255" s="20"/>
      <c r="O255" s="20"/>
      <c r="P255" s="20"/>
      <c r="Q255" s="20"/>
      <c r="R255" s="334"/>
      <c r="S255" s="334"/>
      <c r="T255" s="334"/>
      <c r="U255" s="334"/>
      <c r="V255" s="20"/>
      <c r="W255" s="20"/>
      <c r="X255" s="20"/>
      <c r="Y255" s="20"/>
      <c r="Z255" s="20"/>
      <c r="AA255" s="20"/>
      <c r="AC255" s="20"/>
    </row>
    <row r="256" spans="2:29" ht="18" customHeight="1">
      <c r="B256" s="20"/>
      <c r="C256" s="20"/>
      <c r="D256" s="151"/>
      <c r="E256" s="19"/>
      <c r="F256" s="152"/>
      <c r="G256" s="152"/>
      <c r="H256" s="152"/>
      <c r="I256" s="20"/>
      <c r="J256" s="20"/>
      <c r="K256" s="20"/>
      <c r="L256" s="20"/>
      <c r="M256" s="20"/>
      <c r="N256" s="20"/>
      <c r="O256" s="20"/>
      <c r="P256" s="20"/>
      <c r="Q256" s="20"/>
      <c r="R256" s="334"/>
      <c r="S256" s="334"/>
      <c r="T256" s="334"/>
      <c r="U256" s="334"/>
      <c r="V256" s="20"/>
      <c r="W256" s="20"/>
      <c r="X256" s="20"/>
      <c r="Y256" s="20"/>
      <c r="Z256" s="20"/>
      <c r="AA256" s="20"/>
      <c r="AB256" s="20"/>
    </row>
    <row r="257" spans="2:29" ht="18" customHeight="1">
      <c r="B257" s="20"/>
      <c r="C257" s="20"/>
      <c r="D257" s="151"/>
      <c r="E257" s="19"/>
      <c r="F257" s="152"/>
      <c r="G257" s="152"/>
      <c r="H257" s="152"/>
      <c r="I257" s="20"/>
      <c r="J257" s="20"/>
      <c r="K257" s="20"/>
      <c r="L257" s="20"/>
      <c r="M257" s="20"/>
      <c r="N257" s="20"/>
      <c r="O257" s="20"/>
      <c r="P257" s="20"/>
      <c r="Q257" s="20"/>
      <c r="R257" s="334"/>
      <c r="S257" s="334"/>
      <c r="T257" s="334"/>
      <c r="U257" s="334"/>
      <c r="V257" s="20"/>
      <c r="W257" s="20"/>
      <c r="X257" s="20"/>
      <c r="Y257" s="20"/>
      <c r="Z257" s="20"/>
      <c r="AA257" s="20"/>
      <c r="AB257" s="20"/>
    </row>
    <row r="258" spans="2:29" ht="18" customHeight="1">
      <c r="B258" s="20"/>
      <c r="C258" s="20"/>
      <c r="D258" s="151"/>
      <c r="E258" s="19"/>
      <c r="F258" s="152"/>
      <c r="G258" s="152"/>
      <c r="H258" s="152"/>
      <c r="I258" s="20"/>
      <c r="J258" s="20"/>
      <c r="K258" s="20"/>
      <c r="L258" s="20"/>
      <c r="M258" s="20"/>
      <c r="N258" s="20"/>
      <c r="O258" s="20"/>
      <c r="P258" s="20"/>
      <c r="Q258" s="20"/>
      <c r="R258" s="334"/>
      <c r="S258" s="334"/>
      <c r="T258" s="334"/>
      <c r="U258" s="334"/>
      <c r="V258" s="20"/>
      <c r="W258" s="20"/>
      <c r="X258" s="20"/>
      <c r="Y258" s="20"/>
      <c r="Z258" s="20"/>
      <c r="AA258" s="20"/>
      <c r="AB258" s="20"/>
    </row>
    <row r="259" spans="2:29" ht="18" customHeight="1">
      <c r="B259" s="19"/>
      <c r="C259" s="20"/>
      <c r="D259" s="151"/>
      <c r="E259" s="19"/>
      <c r="F259" s="152"/>
      <c r="G259" s="152"/>
      <c r="H259" s="152"/>
      <c r="I259" s="20"/>
      <c r="J259" s="20"/>
      <c r="K259" s="20"/>
      <c r="L259" s="20"/>
      <c r="M259" s="20"/>
      <c r="N259" s="20"/>
      <c r="O259" s="20"/>
      <c r="P259" s="20"/>
      <c r="Q259" s="20"/>
      <c r="R259" s="334"/>
      <c r="S259" s="334"/>
      <c r="T259" s="334"/>
      <c r="U259" s="334"/>
      <c r="V259" s="20"/>
      <c r="W259" s="20"/>
      <c r="X259" s="20"/>
      <c r="Y259" s="20"/>
      <c r="Z259" s="20"/>
      <c r="AA259" s="20"/>
      <c r="AB259" s="20"/>
    </row>
    <row r="260" spans="2:29" ht="18" customHeight="1">
      <c r="B260" s="20"/>
      <c r="C260" s="20"/>
      <c r="D260" s="151"/>
      <c r="E260" s="19"/>
      <c r="F260" s="152"/>
      <c r="G260" s="152"/>
      <c r="H260" s="152"/>
      <c r="I260" s="20"/>
      <c r="J260" s="20"/>
      <c r="K260" s="20"/>
      <c r="L260" s="20"/>
      <c r="M260" s="20"/>
      <c r="N260" s="20"/>
      <c r="O260" s="20"/>
      <c r="P260" s="20"/>
      <c r="Q260" s="20"/>
      <c r="R260" s="334"/>
      <c r="S260" s="334"/>
      <c r="T260" s="334"/>
      <c r="U260" s="334"/>
      <c r="V260" s="20"/>
      <c r="W260" s="20"/>
      <c r="X260" s="20"/>
      <c r="Y260" s="20"/>
      <c r="Z260" s="20"/>
      <c r="AA260" s="20"/>
      <c r="AB260" s="20"/>
    </row>
    <row r="261" spans="2:29" ht="18" customHeight="1">
      <c r="B261" s="20"/>
      <c r="C261" s="20"/>
      <c r="D261" s="151"/>
      <c r="E261" s="19"/>
      <c r="F261" s="152"/>
      <c r="G261" s="152"/>
      <c r="H261" s="152"/>
      <c r="I261" s="20"/>
      <c r="J261" s="20"/>
      <c r="K261" s="20"/>
      <c r="L261" s="20"/>
      <c r="M261" s="20"/>
      <c r="N261" s="20"/>
      <c r="O261" s="20"/>
      <c r="P261" s="20"/>
      <c r="Q261" s="20"/>
      <c r="R261" s="334"/>
      <c r="S261" s="334"/>
      <c r="T261" s="334"/>
      <c r="U261" s="334"/>
      <c r="V261" s="20"/>
      <c r="W261" s="20"/>
      <c r="X261" s="20"/>
      <c r="Y261" s="20"/>
      <c r="Z261" s="20"/>
      <c r="AA261" s="20"/>
      <c r="AC261" s="20"/>
    </row>
    <row r="262" spans="2:29" ht="18" customHeight="1">
      <c r="B262" s="20"/>
      <c r="C262" s="20"/>
      <c r="D262" s="151"/>
      <c r="E262" s="19"/>
      <c r="F262" s="152"/>
      <c r="G262" s="152"/>
      <c r="H262" s="152"/>
      <c r="I262" s="20"/>
      <c r="J262" s="20"/>
      <c r="K262" s="20"/>
      <c r="L262" s="20"/>
      <c r="M262" s="20"/>
      <c r="N262" s="20"/>
      <c r="O262" s="20"/>
      <c r="P262" s="20"/>
      <c r="Q262" s="20"/>
      <c r="R262" s="334"/>
      <c r="S262" s="334"/>
      <c r="T262" s="334"/>
      <c r="U262" s="334"/>
      <c r="V262" s="20"/>
      <c r="W262" s="20"/>
      <c r="X262" s="20"/>
      <c r="Y262" s="20"/>
      <c r="Z262" s="20"/>
      <c r="AA262" s="20"/>
      <c r="AB262" s="20"/>
    </row>
    <row r="263" spans="2:29" ht="18" customHeight="1">
      <c r="B263" s="20"/>
      <c r="C263" s="20"/>
      <c r="D263" s="151"/>
      <c r="E263" s="19"/>
      <c r="F263" s="152"/>
      <c r="G263" s="152"/>
      <c r="H263" s="152"/>
      <c r="I263" s="20"/>
      <c r="J263" s="20"/>
      <c r="K263" s="20"/>
      <c r="L263" s="20"/>
      <c r="M263" s="20"/>
      <c r="N263" s="20"/>
      <c r="O263" s="20"/>
      <c r="P263" s="20"/>
      <c r="Q263" s="20"/>
      <c r="R263" s="334"/>
      <c r="S263" s="334"/>
      <c r="T263" s="334"/>
      <c r="U263" s="334"/>
      <c r="V263" s="20"/>
      <c r="W263" s="20"/>
      <c r="X263" s="20"/>
      <c r="Y263" s="20"/>
      <c r="Z263" s="20"/>
      <c r="AA263" s="20"/>
      <c r="AB263" s="20"/>
    </row>
    <row r="264" spans="2:29" ht="18" customHeight="1">
      <c r="B264" s="20"/>
      <c r="C264" s="20"/>
      <c r="D264" s="151"/>
      <c r="E264" s="19"/>
      <c r="F264" s="152"/>
      <c r="G264" s="152"/>
      <c r="H264" s="152"/>
      <c r="I264" s="20"/>
      <c r="J264" s="20"/>
      <c r="K264" s="20"/>
      <c r="L264" s="20"/>
      <c r="M264" s="20"/>
      <c r="N264" s="20"/>
      <c r="O264" s="20"/>
      <c r="P264" s="20"/>
      <c r="Q264" s="20"/>
      <c r="R264" s="334"/>
      <c r="S264" s="334"/>
      <c r="T264" s="334"/>
      <c r="U264" s="334"/>
      <c r="V264" s="20"/>
      <c r="W264" s="20"/>
      <c r="X264" s="20"/>
      <c r="Y264" s="20"/>
      <c r="Z264" s="20"/>
      <c r="AA264" s="20"/>
      <c r="AB264" s="20"/>
    </row>
    <row r="265" spans="2:29" ht="18" customHeight="1">
      <c r="B265" s="19"/>
      <c r="C265" s="20"/>
      <c r="D265" s="151"/>
      <c r="E265" s="19"/>
      <c r="F265" s="152"/>
      <c r="G265" s="152"/>
      <c r="H265" s="152"/>
      <c r="I265" s="20"/>
      <c r="J265" s="20"/>
      <c r="K265" s="20"/>
      <c r="L265" s="20"/>
      <c r="M265" s="20"/>
      <c r="N265" s="20"/>
      <c r="O265" s="20"/>
      <c r="P265" s="20"/>
      <c r="Q265" s="20"/>
      <c r="R265" s="334"/>
      <c r="S265" s="334"/>
      <c r="T265" s="334"/>
      <c r="U265" s="334"/>
      <c r="V265" s="20"/>
      <c r="W265" s="20"/>
      <c r="X265" s="20"/>
      <c r="Y265" s="20"/>
      <c r="Z265" s="20"/>
      <c r="AA265" s="20"/>
      <c r="AB265" s="20"/>
    </row>
    <row r="266" spans="2:29" ht="18" customHeight="1">
      <c r="B266" s="20"/>
      <c r="C266" s="20"/>
      <c r="D266" s="151"/>
      <c r="E266" s="19"/>
      <c r="F266" s="152"/>
      <c r="G266" s="152"/>
      <c r="H266" s="152"/>
      <c r="I266" s="20"/>
      <c r="J266" s="20"/>
      <c r="K266" s="20"/>
      <c r="L266" s="20"/>
      <c r="M266" s="20"/>
      <c r="N266" s="20"/>
      <c r="O266" s="20"/>
      <c r="P266" s="20"/>
      <c r="Q266" s="20"/>
      <c r="R266" s="334"/>
      <c r="S266" s="334"/>
      <c r="T266" s="334"/>
      <c r="U266" s="334"/>
      <c r="V266" s="20"/>
      <c r="W266" s="20"/>
      <c r="X266" s="20"/>
      <c r="Y266" s="20"/>
      <c r="Z266" s="20"/>
      <c r="AA266" s="20"/>
      <c r="AB266" s="20"/>
    </row>
    <row r="267" spans="2:29" ht="18" customHeight="1">
      <c r="B267" s="20"/>
      <c r="C267" s="20"/>
      <c r="D267" s="151"/>
      <c r="E267" s="19"/>
      <c r="F267" s="152"/>
      <c r="G267" s="152"/>
      <c r="H267" s="152"/>
      <c r="I267" s="20"/>
      <c r="J267" s="20"/>
      <c r="K267" s="20"/>
      <c r="L267" s="20"/>
      <c r="M267" s="20"/>
      <c r="N267" s="20"/>
      <c r="O267" s="20"/>
      <c r="P267" s="20"/>
      <c r="Q267" s="20"/>
      <c r="R267" s="334"/>
      <c r="S267" s="334"/>
      <c r="T267" s="334"/>
      <c r="U267" s="334"/>
      <c r="V267" s="20"/>
      <c r="W267" s="20"/>
      <c r="X267" s="20"/>
      <c r="Y267" s="20"/>
      <c r="Z267" s="20"/>
      <c r="AA267" s="20"/>
      <c r="AC267" s="20"/>
    </row>
    <row r="268" spans="2:29" ht="18" customHeight="1">
      <c r="B268" s="20"/>
      <c r="C268" s="20"/>
      <c r="D268" s="151"/>
      <c r="E268" s="19"/>
      <c r="F268" s="152"/>
      <c r="G268" s="152"/>
      <c r="H268" s="152"/>
      <c r="I268" s="20"/>
      <c r="J268" s="20"/>
      <c r="K268" s="20"/>
      <c r="L268" s="20"/>
      <c r="M268" s="20"/>
      <c r="N268" s="20"/>
      <c r="O268" s="20"/>
      <c r="P268" s="20"/>
      <c r="Q268" s="20"/>
      <c r="R268" s="334"/>
      <c r="S268" s="334"/>
      <c r="T268" s="334"/>
      <c r="U268" s="334"/>
      <c r="V268" s="20"/>
      <c r="W268" s="20"/>
      <c r="X268" s="20"/>
      <c r="Y268" s="20"/>
      <c r="Z268" s="20"/>
      <c r="AA268" s="20"/>
      <c r="AB268" s="20"/>
    </row>
    <row r="269" spans="2:29" ht="18" customHeight="1">
      <c r="B269" s="20"/>
      <c r="C269" s="20"/>
      <c r="D269" s="151"/>
      <c r="E269" s="19"/>
      <c r="F269" s="152"/>
      <c r="G269" s="152"/>
      <c r="H269" s="152"/>
      <c r="I269" s="20"/>
      <c r="J269" s="20"/>
      <c r="K269" s="20"/>
      <c r="L269" s="20"/>
      <c r="M269" s="20"/>
      <c r="N269" s="20"/>
      <c r="O269" s="20"/>
      <c r="P269" s="20"/>
      <c r="Q269" s="20"/>
      <c r="R269" s="334"/>
      <c r="S269" s="334"/>
      <c r="T269" s="334"/>
      <c r="U269" s="334"/>
      <c r="V269" s="20"/>
      <c r="W269" s="20"/>
      <c r="X269" s="20"/>
      <c r="Y269" s="20"/>
      <c r="Z269" s="20"/>
      <c r="AA269" s="20"/>
      <c r="AB269" s="20"/>
    </row>
    <row r="270" spans="2:29" ht="18" customHeight="1">
      <c r="B270" s="20"/>
      <c r="C270" s="20"/>
      <c r="D270" s="151"/>
      <c r="E270" s="19"/>
      <c r="F270" s="152"/>
      <c r="G270" s="152"/>
      <c r="H270" s="152"/>
      <c r="I270" s="20"/>
      <c r="J270" s="20"/>
      <c r="K270" s="20"/>
      <c r="L270" s="20"/>
      <c r="M270" s="20"/>
      <c r="N270" s="20"/>
      <c r="O270" s="20"/>
      <c r="P270" s="20"/>
      <c r="Q270" s="20"/>
      <c r="R270" s="334"/>
      <c r="S270" s="334"/>
      <c r="T270" s="334"/>
      <c r="U270" s="334"/>
      <c r="V270" s="20"/>
      <c r="W270" s="20"/>
      <c r="X270" s="20"/>
      <c r="Y270" s="20"/>
      <c r="Z270" s="20"/>
      <c r="AA270" s="20"/>
      <c r="AB270" s="20"/>
    </row>
    <row r="271" spans="2:29" ht="18" customHeight="1">
      <c r="B271" s="19"/>
      <c r="C271" s="20"/>
      <c r="D271" s="151"/>
      <c r="E271" s="19"/>
      <c r="F271" s="152"/>
      <c r="G271" s="152"/>
      <c r="H271" s="152"/>
      <c r="I271" s="20"/>
      <c r="J271" s="20"/>
      <c r="K271" s="20"/>
      <c r="L271" s="20"/>
      <c r="M271" s="20"/>
      <c r="N271" s="20"/>
      <c r="O271" s="20"/>
      <c r="P271" s="20"/>
      <c r="Q271" s="20"/>
      <c r="R271" s="334"/>
      <c r="S271" s="334"/>
      <c r="T271" s="334"/>
      <c r="U271" s="334"/>
      <c r="V271" s="20"/>
      <c r="W271" s="20"/>
      <c r="X271" s="20"/>
      <c r="Y271" s="20"/>
      <c r="Z271" s="20"/>
      <c r="AA271" s="20"/>
      <c r="AB271" s="20"/>
    </row>
    <row r="272" spans="2:29" ht="18" customHeight="1">
      <c r="B272" s="20"/>
      <c r="C272" s="20"/>
      <c r="D272" s="151"/>
      <c r="E272" s="19"/>
      <c r="F272" s="152"/>
      <c r="G272" s="152"/>
      <c r="H272" s="152"/>
      <c r="I272" s="20"/>
      <c r="J272" s="20"/>
      <c r="K272" s="20"/>
      <c r="L272" s="20"/>
      <c r="M272" s="20"/>
      <c r="N272" s="20"/>
      <c r="O272" s="20"/>
      <c r="P272" s="20"/>
      <c r="Q272" s="20"/>
      <c r="R272" s="334"/>
      <c r="S272" s="334"/>
      <c r="T272" s="334"/>
      <c r="U272" s="334"/>
      <c r="V272" s="20"/>
      <c r="W272" s="20"/>
      <c r="X272" s="20"/>
      <c r="Y272" s="20"/>
      <c r="Z272" s="20"/>
      <c r="AA272" s="20"/>
      <c r="AB272" s="20"/>
    </row>
    <row r="273" spans="2:29" ht="18" customHeight="1">
      <c r="B273" s="20"/>
      <c r="C273" s="20"/>
      <c r="D273" s="151"/>
      <c r="E273" s="19"/>
      <c r="F273" s="152"/>
      <c r="G273" s="152"/>
      <c r="H273" s="152"/>
      <c r="I273" s="20"/>
      <c r="J273" s="20"/>
      <c r="K273" s="20"/>
      <c r="L273" s="20"/>
      <c r="M273" s="20"/>
      <c r="N273" s="20"/>
      <c r="O273" s="20"/>
      <c r="P273" s="20"/>
      <c r="Q273" s="20"/>
      <c r="R273" s="334"/>
      <c r="S273" s="334"/>
      <c r="T273" s="334"/>
      <c r="U273" s="334"/>
      <c r="V273" s="20"/>
      <c r="W273" s="20"/>
      <c r="X273" s="20"/>
      <c r="Y273" s="20"/>
      <c r="Z273" s="20"/>
      <c r="AA273" s="20"/>
      <c r="AC273" s="20"/>
    </row>
    <row r="274" spans="2:29" ht="18" customHeight="1">
      <c r="B274" s="20"/>
      <c r="C274" s="20"/>
      <c r="D274" s="151"/>
      <c r="E274" s="19"/>
      <c r="F274" s="152"/>
      <c r="G274" s="152"/>
      <c r="H274" s="152"/>
      <c r="I274" s="20"/>
      <c r="J274" s="20"/>
      <c r="K274" s="20"/>
      <c r="L274" s="20"/>
      <c r="M274" s="20"/>
      <c r="N274" s="20"/>
      <c r="O274" s="20"/>
      <c r="P274" s="20"/>
      <c r="Q274" s="20"/>
      <c r="R274" s="334"/>
      <c r="S274" s="334"/>
      <c r="T274" s="334"/>
      <c r="U274" s="334"/>
      <c r="V274" s="20"/>
      <c r="W274" s="20"/>
      <c r="X274" s="20"/>
      <c r="Y274" s="20"/>
      <c r="Z274" s="20"/>
      <c r="AA274" s="20"/>
      <c r="AB274" s="20"/>
    </row>
    <row r="275" spans="2:29" ht="18" customHeight="1">
      <c r="B275" s="20"/>
      <c r="C275" s="20"/>
      <c r="D275" s="151"/>
      <c r="E275" s="19"/>
      <c r="F275" s="152"/>
      <c r="G275" s="152"/>
      <c r="H275" s="152"/>
      <c r="I275" s="20"/>
      <c r="J275" s="20"/>
      <c r="K275" s="20"/>
      <c r="L275" s="20"/>
      <c r="M275" s="20"/>
      <c r="N275" s="20"/>
      <c r="O275" s="20"/>
      <c r="P275" s="20"/>
      <c r="Q275" s="20"/>
      <c r="R275" s="334"/>
      <c r="S275" s="334"/>
      <c r="T275" s="334"/>
      <c r="U275" s="334"/>
      <c r="V275" s="20"/>
      <c r="W275" s="20"/>
      <c r="X275" s="20"/>
      <c r="Y275" s="20"/>
      <c r="Z275" s="20"/>
      <c r="AA275" s="20"/>
      <c r="AB275" s="20"/>
    </row>
    <row r="276" spans="2:29" ht="18" customHeight="1">
      <c r="B276" s="20"/>
      <c r="C276" s="20"/>
      <c r="D276" s="151"/>
      <c r="E276" s="19"/>
      <c r="F276" s="152"/>
      <c r="G276" s="152"/>
      <c r="H276" s="152"/>
      <c r="I276" s="20"/>
      <c r="J276" s="20"/>
      <c r="K276" s="20"/>
      <c r="L276" s="20"/>
      <c r="M276" s="20"/>
      <c r="N276" s="20"/>
      <c r="O276" s="20"/>
      <c r="P276" s="20"/>
      <c r="Q276" s="20"/>
      <c r="R276" s="334"/>
      <c r="S276" s="334"/>
      <c r="T276" s="334"/>
      <c r="U276" s="334"/>
      <c r="V276" s="20"/>
      <c r="W276" s="20"/>
      <c r="X276" s="20"/>
      <c r="Y276" s="20"/>
      <c r="Z276" s="20"/>
      <c r="AA276" s="20"/>
      <c r="AB276" s="20"/>
    </row>
    <row r="277" spans="2:29" ht="18" customHeight="1">
      <c r="B277" s="19"/>
      <c r="C277" s="20"/>
      <c r="D277" s="151"/>
      <c r="E277" s="19"/>
      <c r="F277" s="152"/>
      <c r="G277" s="152"/>
      <c r="H277" s="152"/>
      <c r="I277" s="20"/>
      <c r="J277" s="20"/>
      <c r="K277" s="20"/>
      <c r="L277" s="20"/>
      <c r="M277" s="20"/>
      <c r="N277" s="20"/>
      <c r="O277" s="20"/>
      <c r="P277" s="20"/>
      <c r="Q277" s="20"/>
      <c r="R277" s="334"/>
      <c r="S277" s="334"/>
      <c r="T277" s="334"/>
      <c r="U277" s="334"/>
      <c r="V277" s="20"/>
      <c r="W277" s="20"/>
      <c r="X277" s="20"/>
      <c r="Y277" s="20"/>
      <c r="Z277" s="20"/>
      <c r="AA277" s="20"/>
      <c r="AB277" s="20"/>
    </row>
    <row r="278" spans="2:29" ht="18" customHeight="1">
      <c r="B278" s="20"/>
      <c r="C278" s="20"/>
      <c r="D278" s="151"/>
      <c r="E278" s="19"/>
      <c r="F278" s="152"/>
      <c r="G278" s="152"/>
      <c r="H278" s="152"/>
      <c r="I278" s="20"/>
      <c r="J278" s="20"/>
      <c r="K278" s="20"/>
      <c r="L278" s="20"/>
      <c r="M278" s="20"/>
      <c r="N278" s="20"/>
      <c r="O278" s="20"/>
      <c r="P278" s="20"/>
      <c r="Q278" s="20"/>
      <c r="R278" s="334"/>
      <c r="S278" s="334"/>
      <c r="T278" s="334"/>
      <c r="U278" s="334"/>
      <c r="V278" s="20"/>
      <c r="W278" s="20"/>
      <c r="X278" s="20"/>
      <c r="Y278" s="20"/>
      <c r="Z278" s="20"/>
      <c r="AA278" s="20"/>
      <c r="AB278" s="20"/>
    </row>
    <row r="279" spans="2:29" ht="18" customHeight="1">
      <c r="B279" s="20"/>
      <c r="C279" s="20"/>
      <c r="D279" s="151"/>
      <c r="E279" s="19"/>
      <c r="F279" s="152"/>
      <c r="G279" s="152"/>
      <c r="H279" s="152"/>
      <c r="I279" s="20"/>
      <c r="J279" s="20"/>
      <c r="K279" s="20"/>
      <c r="L279" s="20"/>
      <c r="M279" s="20"/>
      <c r="N279" s="20"/>
      <c r="O279" s="20"/>
      <c r="P279" s="20"/>
      <c r="Q279" s="20"/>
      <c r="R279" s="334"/>
      <c r="S279" s="334"/>
      <c r="T279" s="334"/>
      <c r="U279" s="334"/>
      <c r="V279" s="20"/>
      <c r="W279" s="20"/>
      <c r="X279" s="20"/>
      <c r="Y279" s="20"/>
      <c r="Z279" s="20"/>
      <c r="AA279" s="20"/>
      <c r="AC279" s="20"/>
    </row>
    <row r="280" spans="2:29" ht="18" customHeight="1">
      <c r="B280" s="20"/>
      <c r="C280" s="20"/>
      <c r="D280" s="151"/>
      <c r="E280" s="19"/>
      <c r="F280" s="152"/>
      <c r="G280" s="152"/>
      <c r="H280" s="152"/>
      <c r="I280" s="20"/>
      <c r="J280" s="20"/>
      <c r="K280" s="20"/>
      <c r="L280" s="20"/>
      <c r="M280" s="20"/>
      <c r="N280" s="20"/>
      <c r="O280" s="20"/>
      <c r="P280" s="20"/>
      <c r="Q280" s="20"/>
      <c r="R280" s="334"/>
      <c r="S280" s="334"/>
      <c r="T280" s="334"/>
      <c r="U280" s="334"/>
      <c r="V280" s="20"/>
      <c r="W280" s="20"/>
      <c r="X280" s="20"/>
      <c r="Y280" s="20"/>
      <c r="Z280" s="20"/>
      <c r="AA280" s="20"/>
      <c r="AB280" s="20"/>
    </row>
    <row r="281" spans="2:29" ht="18" customHeight="1">
      <c r="B281" s="20"/>
      <c r="C281" s="20"/>
      <c r="D281" s="151"/>
      <c r="E281" s="19"/>
      <c r="F281" s="152"/>
      <c r="G281" s="152"/>
      <c r="H281" s="152"/>
      <c r="I281" s="20"/>
      <c r="J281" s="20"/>
      <c r="K281" s="20"/>
      <c r="L281" s="20"/>
      <c r="M281" s="20"/>
      <c r="N281" s="20"/>
      <c r="O281" s="20"/>
      <c r="P281" s="20"/>
      <c r="Q281" s="20"/>
      <c r="R281" s="334"/>
      <c r="S281" s="334"/>
      <c r="T281" s="334"/>
      <c r="U281" s="334"/>
      <c r="V281" s="20"/>
      <c r="W281" s="20"/>
      <c r="X281" s="20"/>
      <c r="Y281" s="20"/>
      <c r="Z281" s="20"/>
      <c r="AA281" s="20"/>
      <c r="AB281" s="20"/>
    </row>
    <row r="282" spans="2:29" ht="18" customHeight="1">
      <c r="B282" s="20"/>
      <c r="C282" s="20"/>
      <c r="D282" s="151"/>
      <c r="E282" s="19"/>
      <c r="F282" s="152"/>
      <c r="G282" s="152"/>
      <c r="H282" s="152"/>
      <c r="I282" s="20"/>
      <c r="J282" s="20"/>
      <c r="K282" s="20"/>
      <c r="L282" s="20"/>
      <c r="M282" s="20"/>
      <c r="N282" s="20"/>
      <c r="O282" s="20"/>
      <c r="P282" s="20"/>
      <c r="Q282" s="20"/>
      <c r="R282" s="334"/>
      <c r="S282" s="334"/>
      <c r="T282" s="334"/>
      <c r="U282" s="334"/>
      <c r="V282" s="20"/>
      <c r="W282" s="20"/>
      <c r="X282" s="20"/>
      <c r="Y282" s="20"/>
      <c r="Z282" s="20"/>
      <c r="AA282" s="20"/>
      <c r="AB282" s="20"/>
    </row>
    <row r="283" spans="2:29" ht="18" customHeight="1">
      <c r="B283" s="19"/>
      <c r="C283" s="20"/>
      <c r="D283" s="151"/>
      <c r="E283" s="19"/>
      <c r="F283" s="152"/>
      <c r="G283" s="152"/>
      <c r="H283" s="152"/>
      <c r="I283" s="20"/>
      <c r="J283" s="20"/>
      <c r="K283" s="20"/>
      <c r="L283" s="20"/>
      <c r="M283" s="20"/>
      <c r="N283" s="20"/>
      <c r="O283" s="20"/>
      <c r="P283" s="20"/>
      <c r="Q283" s="20"/>
      <c r="R283" s="334"/>
      <c r="S283" s="334"/>
      <c r="T283" s="334"/>
      <c r="U283" s="334"/>
      <c r="V283" s="20"/>
      <c r="W283" s="20"/>
      <c r="X283" s="20"/>
      <c r="Y283" s="20"/>
      <c r="Z283" s="20"/>
      <c r="AA283" s="20"/>
      <c r="AB283" s="20"/>
    </row>
    <row r="284" spans="2:29" ht="18" customHeight="1">
      <c r="B284" s="20"/>
      <c r="C284" s="20"/>
      <c r="D284" s="151"/>
      <c r="E284" s="19"/>
      <c r="F284" s="152"/>
      <c r="G284" s="152"/>
      <c r="H284" s="152"/>
      <c r="I284" s="20"/>
      <c r="J284" s="20"/>
      <c r="K284" s="20"/>
      <c r="L284" s="20"/>
      <c r="M284" s="20"/>
      <c r="N284" s="20"/>
      <c r="O284" s="20"/>
      <c r="P284" s="20"/>
      <c r="Q284" s="20"/>
      <c r="R284" s="334"/>
      <c r="S284" s="334"/>
      <c r="T284" s="334"/>
      <c r="U284" s="334"/>
      <c r="V284" s="20"/>
      <c r="W284" s="20"/>
      <c r="X284" s="20"/>
      <c r="Y284" s="20"/>
      <c r="Z284" s="20"/>
      <c r="AA284" s="20"/>
      <c r="AB284" s="20"/>
    </row>
    <row r="285" spans="2:29" ht="18" customHeight="1">
      <c r="B285" s="20"/>
      <c r="C285" s="20"/>
      <c r="D285" s="151"/>
      <c r="E285" s="19"/>
      <c r="F285" s="152"/>
      <c r="G285" s="152"/>
      <c r="H285" s="152"/>
      <c r="I285" s="20"/>
      <c r="J285" s="20"/>
      <c r="K285" s="20"/>
      <c r="L285" s="20"/>
      <c r="M285" s="20"/>
      <c r="N285" s="20"/>
      <c r="O285" s="20"/>
      <c r="P285" s="20"/>
      <c r="Q285" s="20"/>
      <c r="R285" s="334"/>
      <c r="S285" s="334"/>
      <c r="T285" s="334"/>
      <c r="U285" s="334"/>
      <c r="V285" s="20"/>
      <c r="W285" s="20"/>
      <c r="X285" s="20"/>
      <c r="Y285" s="20"/>
      <c r="Z285" s="20"/>
      <c r="AA285" s="20"/>
      <c r="AC285" s="20"/>
    </row>
    <row r="286" spans="2:29" ht="18" customHeight="1">
      <c r="B286" s="20"/>
      <c r="C286" s="20"/>
      <c r="D286" s="151"/>
      <c r="E286" s="19"/>
      <c r="F286" s="152"/>
      <c r="G286" s="152"/>
      <c r="H286" s="152"/>
      <c r="I286" s="20"/>
      <c r="J286" s="20"/>
      <c r="K286" s="20"/>
      <c r="L286" s="20"/>
      <c r="M286" s="20"/>
      <c r="N286" s="20"/>
      <c r="O286" s="20"/>
      <c r="P286" s="20"/>
      <c r="Q286" s="20"/>
      <c r="R286" s="334"/>
      <c r="S286" s="334"/>
      <c r="T286" s="334"/>
      <c r="U286" s="334"/>
      <c r="V286" s="20"/>
      <c r="W286" s="20"/>
      <c r="X286" s="20"/>
      <c r="Y286" s="20"/>
      <c r="Z286" s="20"/>
      <c r="AA286" s="20"/>
      <c r="AB286" s="20"/>
    </row>
    <row r="287" spans="2:29" ht="18" customHeight="1">
      <c r="B287" s="20"/>
      <c r="C287" s="20"/>
      <c r="D287" s="151"/>
      <c r="E287" s="19"/>
      <c r="F287" s="152"/>
      <c r="G287" s="152"/>
      <c r="H287" s="152"/>
      <c r="I287" s="20"/>
      <c r="J287" s="20"/>
      <c r="K287" s="20"/>
      <c r="L287" s="20"/>
      <c r="M287" s="20"/>
      <c r="N287" s="20"/>
      <c r="O287" s="20"/>
      <c r="P287" s="20"/>
      <c r="Q287" s="20"/>
      <c r="R287" s="334"/>
      <c r="S287" s="334"/>
      <c r="T287" s="334"/>
      <c r="U287" s="334"/>
      <c r="V287" s="20"/>
      <c r="W287" s="20"/>
      <c r="X287" s="20"/>
      <c r="Y287" s="20"/>
      <c r="Z287" s="20"/>
      <c r="AA287" s="20"/>
      <c r="AB287" s="20"/>
    </row>
    <row r="288" spans="2:29" ht="18" customHeight="1">
      <c r="AA288" s="20"/>
      <c r="AB288" s="20"/>
    </row>
    <row r="289" spans="27:29" ht="18" customHeight="1">
      <c r="AA289" s="20"/>
      <c r="AB289" s="20"/>
    </row>
    <row r="290" spans="27:29" ht="18" customHeight="1">
      <c r="AA290" s="20"/>
      <c r="AB290" s="20"/>
    </row>
    <row r="291" spans="27:29" ht="18" customHeight="1">
      <c r="AA291" s="20"/>
      <c r="AC291" s="20"/>
    </row>
    <row r="292" spans="27:29" ht="18" customHeight="1">
      <c r="AA292" s="20"/>
      <c r="AB292" s="20"/>
    </row>
    <row r="293" spans="27:29" ht="18" customHeight="1">
      <c r="AA293" s="20"/>
      <c r="AB293" s="20"/>
    </row>
  </sheetData>
  <sheetProtection algorithmName="SHA-512" hashValue="hPaEY25LrLpd1xyJUX3WcAN8qDM+sg8LMw7Hh1A8SHmQOi+m50onixUXGznRFG+oUYaB5nl34M1Bc4jLAtpjpw==" saltValue="sLsoGSuUkSvOMcIH8vuy8A==" spinCount="100000" sheet="1" objects="1" scenarios="1"/>
  <protectedRanges>
    <protectedRange sqref="G44" name="Range1"/>
  </protectedRanges>
  <mergeCells count="20">
    <mergeCell ref="U2:V2"/>
    <mergeCell ref="B63:F63"/>
    <mergeCell ref="B64:D64"/>
    <mergeCell ref="E65:F65"/>
    <mergeCell ref="E2:F2"/>
    <mergeCell ref="E64:F64"/>
    <mergeCell ref="M2:S2"/>
    <mergeCell ref="M3:N3"/>
    <mergeCell ref="O3:Q3"/>
    <mergeCell ref="B65:D65"/>
    <mergeCell ref="H65:I65"/>
    <mergeCell ref="J65:N65"/>
    <mergeCell ref="B70:I70"/>
    <mergeCell ref="E3:F3"/>
    <mergeCell ref="B2:D2"/>
    <mergeCell ref="B75:I75"/>
    <mergeCell ref="J2:L3"/>
    <mergeCell ref="B71:I71"/>
    <mergeCell ref="B66:D66"/>
    <mergeCell ref="E66:F66"/>
  </mergeCells>
  <conditionalFormatting sqref="I5:I61">
    <cfRule type="cellIs" dxfId="1593" priority="1" operator="equal">
      <formula>0</formula>
    </cfRule>
  </conditionalFormatting>
  <dataValidations count="4">
    <dataValidation type="list" allowBlank="1" showInputMessage="1" showErrorMessage="1" sqref="C5:C32 C34:C35 C37:C61" xr:uid="{00000000-0002-0000-0C00-000000000000}">
      <formula1>"Yes,No"</formula1>
    </dataValidation>
    <dataValidation type="list" allowBlank="1" showInputMessage="1" showErrorMessage="1" sqref="P5:P10" xr:uid="{00000000-0002-0000-0C00-000001000000}">
      <formula1>"FAM,AM w/Reset,RR,Deferred,Not Yet Known,None,Interest Only,Other"</formula1>
    </dataValidation>
    <dataValidation type="list" allowBlank="1" showInputMessage="1" showErrorMessage="1" sqref="K5:K32" xr:uid="{00000000-0002-0000-0C00-000002000000}">
      <formula1>"Interest, Interest Only,Deferred,None,Other"</formula1>
    </dataValidation>
    <dataValidation type="list" allowBlank="1" showInputMessage="1" showErrorMessage="1" sqref="P34:P61" xr:uid="{00000000-0002-0000-0C00-000003000000}">
      <formula1>"FAM,AM w/Reset,Residual Receipt,Deferred,Not Yet Known,None,Interest Only,Other"</formula1>
    </dataValidation>
  </dataValidations>
  <printOptions horizontalCentered="1"/>
  <pageMargins left="0" right="0.25" top="0" bottom="0" header="0.25" footer="0.25"/>
  <pageSetup paperSize="5" scale="71" firstPageNumber="16" orientation="landscape" r:id="rId1"/>
  <headerFooter>
    <oddFooter>&amp;L&amp;F&amp;C&amp;P of &amp;N&amp;R &amp;A</oddFooter>
  </headerFooter>
  <legacyDrawing r:id="rId2"/>
  <tableParts count="1">
    <tablePart r:id="rId3"/>
  </tableParts>
  <extLst>
    <ext xmlns:x14="http://schemas.microsoft.com/office/spreadsheetml/2009/9/main" uri="{CCE6A557-97BC-4b89-ADB6-D9C93CAAB3DF}">
      <x14:dataValidations xmlns:xm="http://schemas.microsoft.com/office/excel/2006/main" count="2">
        <x14:dataValidation type="list" allowBlank="1" showInputMessage="1" showErrorMessage="1" xr:uid="{9EA75164-FDE0-4C07-B955-4B44AF9DAFCC}">
          <x14:formula1>
            <xm:f>Dropdowns!$B$20:$B$30</xm:f>
          </x14:formula1>
          <xm:sqref>E27 E34:E35 E44:E60</xm:sqref>
        </x14:dataValidation>
        <x14:dataValidation type="list" allowBlank="1" showInputMessage="1" showErrorMessage="1" xr:uid="{940FE420-103D-420A-B193-01F519A91327}">
          <x14:formula1>
            <xm:f>Dropdowns!$A$32:$A$37</xm:f>
          </x14:formula1>
          <xm:sqref>N34:N61</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DevBudgetSU">
    <pageSetUpPr fitToPage="1"/>
  </sheetPr>
  <dimension ref="A1:AI212"/>
  <sheetViews>
    <sheetView showGridLines="0" zoomScaleNormal="100" zoomScaleSheetLayoutView="100" workbookViewId="0">
      <pane xSplit="3" ySplit="4" topLeftCell="D25" activePane="bottomRight" state="frozen"/>
      <selection pane="topRight"/>
      <selection pane="bottomLeft"/>
      <selection pane="bottomRight" activeCell="Y210" sqref="Y210"/>
    </sheetView>
  </sheetViews>
  <sheetFormatPr defaultColWidth="9.28515625" defaultRowHeight="18" customHeight="1"/>
  <cols>
    <col min="1" max="1" width="8.7109375" style="17" customWidth="1"/>
    <col min="2" max="2" width="7.7109375" style="17" customWidth="1"/>
    <col min="3" max="3" width="50.7109375" style="17" customWidth="1"/>
    <col min="4" max="4" width="14.28515625" style="17" customWidth="1"/>
    <col min="5" max="5" width="14.42578125" style="17" customWidth="1"/>
    <col min="6" max="7" width="14.28515625" style="17" customWidth="1"/>
    <col min="8" max="9" width="14.28515625" style="17" hidden="1" customWidth="1"/>
    <col min="10" max="10" width="14.28515625" style="17" customWidth="1"/>
    <col min="11" max="24" width="14.7109375" style="17" hidden="1" customWidth="1"/>
    <col min="25" max="30" width="14.7109375" style="17" customWidth="1"/>
    <col min="31" max="31" width="14" style="17" customWidth="1"/>
    <col min="32" max="32" width="14.28515625" style="17" hidden="1" customWidth="1"/>
    <col min="33" max="35" width="9.28515625" style="17" hidden="1" customWidth="1"/>
    <col min="36" max="16384" width="9.28515625" style="17"/>
  </cols>
  <sheetData>
    <row r="1" spans="1:32" ht="18" customHeight="1">
      <c r="C1" s="340" t="s">
        <v>1124</v>
      </c>
    </row>
    <row r="2" spans="1:32" s="115" customFormat="1" ht="18" customHeight="1">
      <c r="A2" s="343"/>
      <c r="C2" s="1338" t="s">
        <v>1125</v>
      </c>
      <c r="D2" s="1339"/>
      <c r="E2" s="1340"/>
      <c r="F2" s="2471" t="s">
        <v>1126</v>
      </c>
      <c r="G2" s="1778"/>
      <c r="H2" s="1338" t="s">
        <v>1127</v>
      </c>
      <c r="I2" s="1341"/>
      <c r="J2" s="1341"/>
      <c r="K2" s="1342"/>
      <c r="L2" s="1342"/>
      <c r="M2" s="1342"/>
      <c r="N2" s="1342"/>
      <c r="O2" s="1342"/>
      <c r="P2" s="1342"/>
      <c r="Q2" s="1342"/>
      <c r="R2" s="1342"/>
      <c r="S2" s="1342"/>
      <c r="T2" s="1342"/>
      <c r="U2" s="1342"/>
      <c r="V2" s="1342"/>
      <c r="W2" s="1342"/>
      <c r="X2" s="1342"/>
      <c r="Y2" s="1342"/>
      <c r="Z2" s="1342"/>
      <c r="AA2" s="1342"/>
      <c r="AB2" s="1342"/>
      <c r="AC2" s="2468" t="s">
        <v>1128</v>
      </c>
      <c r="AD2" s="1778"/>
    </row>
    <row r="3" spans="1:32" s="115" customFormat="1" ht="18" customHeight="1">
      <c r="C3" s="446" t="s">
        <v>1129</v>
      </c>
      <c r="D3" s="1343">
        <f>SUM(DevBudgetSUTbl[Column2])-SUM(D15,D28,D40,D46,D60,D69,D77,D85,D91,D110,D117,D122,D132,D140,D148,D160,D166,D173,D180,D188,D197,D202)</f>
        <v>0</v>
      </c>
      <c r="E3" s="1343">
        <f>SUM(DevBudgetSUTbl[Column3])-SUM(E15,E28,E40,E46,E60,E69,E77,E85,E91,E110,E117,E122,E132,E140,E148,E160,E166,E173,E180,E188,E197,E202)</f>
        <v>0</v>
      </c>
      <c r="F3" s="1343">
        <f>SUM(DevBudgetSUTbl[Column4])-SUM($F$15,$F$28,$F$40,$F$46,$F$60,$F$69,$F$77,$F$85,$F$91,$F$110,$F$117,$F$122,$F$132,$F$140,$F$148,$F$160,$F$166,$F$173,$F$180,$F$188,$F$197,$F$202)</f>
        <v>0</v>
      </c>
      <c r="G3" s="1343">
        <f>SUM(DevBudgetSUTbl[Column5])-SUM($G$15,$G$28,$G$40,$G$46,$G$60,$G$69,$G$77,$G$85,$G$91,$G$110,$G$117,$G$122,$G$132,$G$140,$G$148,$G$160,$G$166,$G$173,$G$180,$G$188,$G$197,$G$202)</f>
        <v>0</v>
      </c>
      <c r="H3" s="1343">
        <f>SUM(DevBudgetSUTbl[Column6])-SUM(H15,H28,H40,H46,H60,H69,H77,H85,H91,H110,H117,H122,H132,H140,H148,H160,H166,H173,H180,H188,H197,H202)</f>
        <v>0</v>
      </c>
      <c r="I3" s="1343">
        <f>SUM(DevBudgetSUTbl[Column7])-SUM(I15,I28,I40,I46,I60,I69,I77,I85,I91,I110,I117,I122,I132,I140,I148,I160,I166,I173,I180,I188,I197,I202)</f>
        <v>0</v>
      </c>
      <c r="J3" s="1343">
        <f>SUM(DevBudgetSUTbl[Column8])-SUM(J15,J28,J40,J46,J60,J69,J77,J85,J91,J110,J117,J122,J132,J140,J148,J160,J166,J173,J180,J188,J197,J202)</f>
        <v>0</v>
      </c>
      <c r="K3" s="1343">
        <f>SUM(DevBudgetSUTbl[Column16])-SUM(K15,K28,K40,K46,K60,K69,K77,K85,K91,K110,K117,K122,K132,K140,K148,K160,K166,K173,K180,K188,K197,K202)</f>
        <v>0</v>
      </c>
      <c r="L3" s="1343">
        <f>SUM(DevBudgetSUTbl[Column17])-SUM(L15,L28,L40,L46,L60,L69,L77,L85,L91,L110,L117,L122,L132,L140,L148,L160,L166,L173,L180,L188,L197,L202)</f>
        <v>0</v>
      </c>
      <c r="M3" s="1343">
        <f>SUM(DevBudgetSUTbl[Column18])-SUM(M15,M28,M40,M46,M60,M69,M77,M85,M91,M110,M117,M122,M132,M140,M148,M160,M166,M173,M180,M188,M197,M202)</f>
        <v>0</v>
      </c>
      <c r="N3" s="1343">
        <f>SUM(DevBudgetSUTbl[Column19])-SUM(N15,N28,N40,N46,N60,N69,N77,N85,N91,N110,N117,N122,N132,N140,N148,N160,N166,N173,N180,N188,N197,N202)</f>
        <v>0</v>
      </c>
      <c r="O3" s="1343">
        <f>SUM(DevBudgetSUTbl[Column20])-SUM(O15,O28,O40,O46,O60,O69,O77,O85,O91,O110,O117,O122,O132,O140,O148,O160,O166,O173,O180,O188,O197,O202)</f>
        <v>0</v>
      </c>
      <c r="P3" s="1343">
        <f>SUM(DevBudgetSUTbl[Column21])-SUM(P15,P28,P40,P46,P60,P69,P77,P85,P91,P110,P117,P122,P132,P140,P148,P160,P166,P173,P180,P188,P197,P202)</f>
        <v>0</v>
      </c>
      <c r="Q3" s="1343">
        <f>SUM(DevBudgetSUTbl[Column22])-SUM(Q15,Q28,Q40,Q46,Q60,Q69,Q77,Q85,Q91,Q110,Q117,Q122,Q132,Q140,Q148,Q160,Q166,Q173,Q180,Q188,Q197,Q202)</f>
        <v>0</v>
      </c>
      <c r="R3" s="1343">
        <f>SUM(DevBudgetSUTbl[Column23])-SUM(R15,R28,R40,R46,R60,R69,R77,R85,R91,R110,R117,R122,R132,R140,R148,R160,R166,R173,R180,R188,R197,R202)</f>
        <v>0</v>
      </c>
      <c r="S3" s="1343">
        <f>SUM(DevBudgetSUTbl[Column24])-SUM(S15,S28,S40,S46,S60,S69,S77,S85,S91,S110,S117,S122,S132,S140,S148,S160,S166,S173,S180,S188,S197,S202)</f>
        <v>0</v>
      </c>
      <c r="T3" s="1343">
        <f>SUM(DevBudgetSUTbl[Column25])-SUM(T15,T28,T40,T46,T60,T69,T77,T85,T91,T110,T117,T122,T132,T140,T148,T160,T166,T173,T180,T188,T197,T202)</f>
        <v>0</v>
      </c>
      <c r="U3" s="1343">
        <f>SUM(DevBudgetSUTbl[Column26])-SUM(U15,U28,U40,U46,U60,U69,U77,U85,U91,U110,U117,U122,U132,U140,U148,U160,U166,U173,U180,U188,U197,U202)</f>
        <v>0</v>
      </c>
      <c r="V3" s="1343">
        <f>SUM(DevBudgetSUTbl[Column27])-SUM(V15,V28,V40,V46,V60,V69,V77,V85,V91,V110,V117,V122,V132,V140,V148,V160,V166,V173,V180,V188,V197,V202)</f>
        <v>0</v>
      </c>
      <c r="W3" s="1343">
        <f>SUM(DevBudgetSUTbl[Column28])-SUM(W15,W28,W40,W46,W60,W69,W77,W85,W91,W110,W117,W122,W132,W140,W148,W160,W166,W173,W180,W188,W197,W202)</f>
        <v>0</v>
      </c>
      <c r="X3" s="1343">
        <f>SUM(DevBudgetSUTbl[Column29])-SUM(X15,X28,X40,X46,X60,X69,X77,X85,X91,X110,X117,X122,X132,X140,X148,X160,X166,X173,X180,X188,X197,X202)</f>
        <v>0</v>
      </c>
      <c r="Y3" s="1343">
        <f>SUM(DevBudgetSUTbl[Column30])-SUM(Y15,Y28,Y40,Y46,Y60,Y69,Y77,Y85,Y91,Y110,Y117,Y122,Y132,Y140,Y148,Y160,Y166,Y173,Y180,Y188,Y197,Y202)</f>
        <v>0</v>
      </c>
      <c r="Z3" s="1343">
        <f>SUM(DevBudgetSUTbl[Column31])-SUM(Z15,Z28,Z40,Z46,Z60,Z69,Z77,Z85,Z91,Z110,Z117,Z122,Z132,Z140,Z148,Z160,Z166,Z173,Z180,Z188,Z197,Z202)</f>
        <v>0</v>
      </c>
      <c r="AA3" s="1343">
        <f>SUM(DevBudgetSUTbl[Column32])-SUM(AA15,AA28,AA40,AA46,AA60,AA69,AA77,AA85,AA91,AA110,AA117,AA122,AA132,AA140,AA148,AA160,AA166,AA173,AA180,AA188,AA197,AA202)</f>
        <v>0</v>
      </c>
      <c r="AB3" s="1343">
        <f>SUM(DevBudgetSUTbl[Column322])-SUM(AB15,AB28,AB40,AB46,AB60,AB69,AB77,AB85,AB91,AB110,AB117,AB122,AB132,AB140,AB148,AB160,AB166,AB173,AB180,AB188,AB197,AB202)</f>
        <v>0</v>
      </c>
      <c r="AC3" s="1343">
        <f>SUM(DevBudgetSUTbl[Column33])-SUM(AC15,AC28,AC40,AC46,AC60,AC69,AC77,AC85,AC91,AC110,AC117,AC122,AC132,AC140,AC148,AC160,AC166,AC173,AC180,AC188,AC197,AC202)</f>
        <v>0</v>
      </c>
      <c r="AD3" s="1343">
        <f>SUM(DevBudgetSUTbl[Column34])-SUM(AD15,AD28,AD40,AD46,AD60,AD69,AD77,AD85,AD91,AD110,AD117,AD122,AD132,AD140,AD148,AD160,AD166,AD173,AD180,AD188,AD197,AD202)</f>
        <v>0</v>
      </c>
      <c r="AE3" s="1344">
        <f>SUM(DevBudgetSUTbl[Column1])-SUM(AE15,AE28,AE40,AE46,AE60,AE69,AE77,AE85,AE91,AE110,AE117,AE122,AE132,AE140,AE148,AE160,AE166,AE173,AE180,AE188,AE197,AE202)</f>
        <v>0</v>
      </c>
      <c r="AF3" s="837"/>
    </row>
    <row r="4" spans="1:32" s="24" customFormat="1" ht="57" customHeight="1">
      <c r="A4" s="2472"/>
      <c r="B4" s="1889"/>
      <c r="C4" s="1345" t="s">
        <v>1130</v>
      </c>
      <c r="D4" s="1346" t="s">
        <v>1131</v>
      </c>
      <c r="E4" s="1346" t="s">
        <v>1132</v>
      </c>
      <c r="F4" s="1347" t="str">
        <f>IF(Taxcredit="","30% PVC for New Const/Rehab",IF(Taxcredit=0.09,"70% PVC for New Const/Rehab",IF(Taxcredit=0.04,"30% PVC for New Const/Rehab",IF(AND(vmProjectDevType="New Construction",Taxcredit="None"),"70% PVC for New Construction","NA"))))</f>
        <v>30% PVC for New Const/Rehab</v>
      </c>
      <c r="G4" s="1347" t="str">
        <f>IF(Taxcredit="","30% PVC for Acquisition",IF(Taxcredit=0.09,"30% PVC for Acquisition",IF(Taxcredit=0.04,"30% PVC for Acquisition",IF(AND(vmProjectDevType="New Construction",Taxcredit="None"),"30% PVC for Acquisition","N/A"))))</f>
        <v>30% PVC for Acquisition</v>
      </c>
      <c r="H4" s="1346" t="str">
        <f>IF('Development Sources'!$D34&gt;0,'Development Sources'!$D34,"")</f>
        <v/>
      </c>
      <c r="I4" s="1346" t="str">
        <f>IF('Development Sources'!$D35&gt;0,'Development Sources'!$D35,"")</f>
        <v/>
      </c>
      <c r="J4" s="1346" t="str">
        <f>IF('Development Sources'!$D36&gt;0,'Development Sources'!$D36,"")</f>
        <v>MHP Gap Request</v>
      </c>
      <c r="K4" s="1346" t="str">
        <f>IF('Development Sources'!$D44&gt;0,'Development Sources'!$D44,"")</f>
        <v/>
      </c>
      <c r="L4" s="1346" t="str">
        <f>IF('Development Sources'!$D45&gt;0,'Development Sources'!$D45,"")</f>
        <v/>
      </c>
      <c r="M4" s="1346" t="str">
        <f>IF('Development Sources'!$D46&gt;0,'Development Sources'!$D46,"")</f>
        <v/>
      </c>
      <c r="N4" s="1346" t="str">
        <f>IF('Development Sources'!$D47&gt;0,'Development Sources'!$D47,"")</f>
        <v/>
      </c>
      <c r="O4" s="1346" t="str">
        <f>IF('Development Sources'!$D48&gt;0,'Development Sources'!$D48,"")</f>
        <v/>
      </c>
      <c r="P4" s="1346" t="str">
        <f>IF('Development Sources'!$D49&gt;0,'Development Sources'!$D49,"")</f>
        <v/>
      </c>
      <c r="Q4" s="1346" t="str">
        <f>IF('Development Sources'!$D50&gt;0,'Development Sources'!$D50,"")</f>
        <v/>
      </c>
      <c r="R4" s="1346" t="str">
        <f>IF('Development Sources'!$D51&gt;0,'Development Sources'!$D51,"")</f>
        <v/>
      </c>
      <c r="S4" s="1346" t="str">
        <f>IF('Development Sources'!$D52&gt;0,'Development Sources'!$D52,"")</f>
        <v/>
      </c>
      <c r="T4" s="1346" t="str">
        <f>IF('Development Sources'!$D53&gt;0,'Development Sources'!$D53,"")</f>
        <v/>
      </c>
      <c r="U4" s="1346" t="str">
        <f>IF('Development Sources'!$D54&gt;0,'Development Sources'!$D54,"")</f>
        <v/>
      </c>
      <c r="V4" s="1346" t="str">
        <f>IF('Development Sources'!$D55&gt;0,'Development Sources'!$D55,"")</f>
        <v/>
      </c>
      <c r="W4" s="1346" t="str">
        <f>IF('Development Sources'!$D56&gt;0,'Development Sources'!$D56,"")</f>
        <v/>
      </c>
      <c r="X4" s="1346" t="str">
        <f>IF('Development Sources'!$D57&gt;0,'Development Sources'!$D57,"")</f>
        <v/>
      </c>
      <c r="Y4" s="1346" t="str">
        <f>IF('Development Sources'!$D58&gt;0,'Development Sources'!$D58,"")</f>
        <v>Deferred Developer Fees</v>
      </c>
      <c r="Z4" s="1346" t="str">
        <f>IF('Development Sources'!$D59&gt;0,'Development Sources'!$D59,"")</f>
        <v>Developer Fee Contribution</v>
      </c>
      <c r="AA4" s="1346" t="str">
        <f>IF('Development Sources'!$D60&gt;0,'Development Sources'!$D60,"")</f>
        <v>GP Equity</v>
      </c>
      <c r="AB4" s="1346" t="str">
        <f>IF('Development Sources'!$D61&gt;0,'Development Sources'!$D61,"")</f>
        <v>Gross Tax Credit Equity</v>
      </c>
      <c r="AC4" s="1348" t="s">
        <v>1133</v>
      </c>
      <c r="AD4" s="1348" t="s">
        <v>1133</v>
      </c>
      <c r="AE4" s="1571" t="s">
        <v>1134</v>
      </c>
      <c r="AF4" s="842"/>
    </row>
    <row r="5" spans="1:32" s="286" customFormat="1" ht="18" customHeight="1">
      <c r="C5" s="1349" t="s">
        <v>1135</v>
      </c>
      <c r="D5" s="1350" t="s">
        <v>1136</v>
      </c>
      <c r="E5" s="1351" t="s">
        <v>1137</v>
      </c>
      <c r="F5" s="1350" t="s">
        <v>1138</v>
      </c>
      <c r="G5" s="1350" t="s">
        <v>1139</v>
      </c>
      <c r="H5" s="1350" t="s">
        <v>1140</v>
      </c>
      <c r="I5" s="1350" t="s">
        <v>1141</v>
      </c>
      <c r="J5" s="1350" t="s">
        <v>1142</v>
      </c>
      <c r="K5" s="1350" t="s">
        <v>1143</v>
      </c>
      <c r="L5" s="1350" t="s">
        <v>1144</v>
      </c>
      <c r="M5" s="1350" t="s">
        <v>1145</v>
      </c>
      <c r="N5" s="1350" t="s">
        <v>1146</v>
      </c>
      <c r="O5" s="1350" t="s">
        <v>1147</v>
      </c>
      <c r="P5" s="1350" t="s">
        <v>1148</v>
      </c>
      <c r="Q5" s="1350" t="s">
        <v>1149</v>
      </c>
      <c r="R5" s="1350" t="s">
        <v>1150</v>
      </c>
      <c r="S5" s="1350" t="s">
        <v>1151</v>
      </c>
      <c r="T5" s="1350" t="s">
        <v>1152</v>
      </c>
      <c r="U5" s="1350" t="s">
        <v>1153</v>
      </c>
      <c r="V5" s="1350" t="s">
        <v>1154</v>
      </c>
      <c r="W5" s="1350" t="s">
        <v>1155</v>
      </c>
      <c r="X5" s="1350" t="s">
        <v>1156</v>
      </c>
      <c r="Y5" s="1350" t="s">
        <v>1157</v>
      </c>
      <c r="Z5" s="1350" t="s">
        <v>1158</v>
      </c>
      <c r="AA5" s="1350" t="s">
        <v>1159</v>
      </c>
      <c r="AB5" s="1350" t="s">
        <v>1160</v>
      </c>
      <c r="AC5" s="1350" t="s">
        <v>1161</v>
      </c>
      <c r="AD5" s="1350" t="s">
        <v>1162</v>
      </c>
      <c r="AE5" s="1572" t="s">
        <v>1163</v>
      </c>
      <c r="AF5" s="838" t="s">
        <v>1164</v>
      </c>
    </row>
    <row r="6" spans="1:32" s="24" customFormat="1" ht="18" customHeight="1">
      <c r="B6" s="2470" t="s">
        <v>1165</v>
      </c>
      <c r="C6" s="1352" t="s">
        <v>1166</v>
      </c>
      <c r="D6" s="1353">
        <f t="shared" ref="D6:D14" si="0">SUM(H6:AB6)</f>
        <v>0</v>
      </c>
      <c r="E6" s="1354">
        <f t="shared" ref="E6:E14" si="1">SUM(AC6:AD6)</f>
        <v>0</v>
      </c>
      <c r="F6" s="1353"/>
      <c r="G6" s="1353"/>
      <c r="H6" s="1355"/>
      <c r="I6" s="1355"/>
      <c r="J6" s="1355"/>
      <c r="K6" s="1355"/>
      <c r="L6" s="1355"/>
      <c r="M6" s="1355"/>
      <c r="N6" s="1355"/>
      <c r="O6" s="1355"/>
      <c r="P6" s="1355"/>
      <c r="Q6" s="1355"/>
      <c r="R6" s="1355"/>
      <c r="S6" s="1355"/>
      <c r="T6" s="1355"/>
      <c r="U6" s="1355"/>
      <c r="V6" s="1355"/>
      <c r="W6" s="1355"/>
      <c r="X6" s="1355"/>
      <c r="Y6" s="1355"/>
      <c r="Z6" s="1355"/>
      <c r="AA6" s="1355"/>
      <c r="AB6" s="1355"/>
      <c r="AC6" s="1355"/>
      <c r="AD6" s="1355"/>
      <c r="AE6" s="1573">
        <f>SUM(DevBudgetSUTbl[[#This Row],[Column2]:[Column3]])</f>
        <v>0</v>
      </c>
      <c r="AF6" s="839"/>
    </row>
    <row r="7" spans="1:32" s="24" customFormat="1" ht="18" customHeight="1">
      <c r="B7" s="2464"/>
      <c r="C7" s="1352" t="s">
        <v>1167</v>
      </c>
      <c r="D7" s="1353">
        <f t="shared" si="0"/>
        <v>0</v>
      </c>
      <c r="E7" s="1354">
        <f t="shared" si="1"/>
        <v>0</v>
      </c>
      <c r="F7" s="1353"/>
      <c r="G7" s="1353"/>
      <c r="H7" s="1355"/>
      <c r="I7" s="1355"/>
      <c r="J7" s="1355"/>
      <c r="K7" s="1355"/>
      <c r="L7" s="1355"/>
      <c r="M7" s="1355"/>
      <c r="N7" s="1355"/>
      <c r="O7" s="1355"/>
      <c r="P7" s="1355"/>
      <c r="Q7" s="1355"/>
      <c r="R7" s="1355"/>
      <c r="S7" s="1355"/>
      <c r="T7" s="1355"/>
      <c r="U7" s="1355"/>
      <c r="V7" s="1355"/>
      <c r="W7" s="1355"/>
      <c r="X7" s="1355"/>
      <c r="Y7" s="1355"/>
      <c r="Z7" s="1355"/>
      <c r="AA7" s="1355"/>
      <c r="AB7" s="1355"/>
      <c r="AC7" s="1355"/>
      <c r="AD7" s="1355"/>
      <c r="AE7" s="1573">
        <f>SUM(DevBudgetSUTbl[[#This Row],[Column2]:[Column3]])</f>
        <v>0</v>
      </c>
      <c r="AF7" s="839"/>
    </row>
    <row r="8" spans="1:32" s="24" customFormat="1" ht="18" customHeight="1">
      <c r="B8" s="2464"/>
      <c r="C8" s="1352" t="s">
        <v>290</v>
      </c>
      <c r="D8" s="1353">
        <f t="shared" si="0"/>
        <v>0</v>
      </c>
      <c r="E8" s="1354">
        <f t="shared" si="1"/>
        <v>0</v>
      </c>
      <c r="F8" s="1353"/>
      <c r="G8" s="1353"/>
      <c r="H8" s="1355"/>
      <c r="I8" s="1355"/>
      <c r="J8" s="1355"/>
      <c r="K8" s="1355"/>
      <c r="L8" s="1355"/>
      <c r="M8" s="1355"/>
      <c r="N8" s="1355"/>
      <c r="O8" s="1355"/>
      <c r="P8" s="1355"/>
      <c r="Q8" s="1355"/>
      <c r="R8" s="1355"/>
      <c r="S8" s="1355"/>
      <c r="T8" s="1355"/>
      <c r="U8" s="1355"/>
      <c r="V8" s="1355"/>
      <c r="W8" s="1355"/>
      <c r="X8" s="1355"/>
      <c r="Y8" s="1355"/>
      <c r="Z8" s="1355"/>
      <c r="AA8" s="1355"/>
      <c r="AB8" s="1355"/>
      <c r="AC8" s="1355"/>
      <c r="AD8" s="1355"/>
      <c r="AE8" s="1573">
        <f>SUM(DevBudgetSUTbl[[#This Row],[Column2]:[Column3]])</f>
        <v>0</v>
      </c>
      <c r="AF8" s="839"/>
    </row>
    <row r="9" spans="1:32" s="24" customFormat="1" ht="18" customHeight="1">
      <c r="B9" s="2464"/>
      <c r="C9" s="1352" t="s">
        <v>1168</v>
      </c>
      <c r="D9" s="1353">
        <f t="shared" si="0"/>
        <v>0</v>
      </c>
      <c r="E9" s="1354">
        <f t="shared" si="1"/>
        <v>0</v>
      </c>
      <c r="F9" s="1353"/>
      <c r="G9" s="1353"/>
      <c r="H9" s="1355"/>
      <c r="I9" s="1355"/>
      <c r="J9" s="1355"/>
      <c r="K9" s="1355"/>
      <c r="L9" s="1355"/>
      <c r="M9" s="1355"/>
      <c r="N9" s="1355"/>
      <c r="O9" s="1355"/>
      <c r="P9" s="1355"/>
      <c r="Q9" s="1355"/>
      <c r="R9" s="1355"/>
      <c r="S9" s="1355"/>
      <c r="T9" s="1355"/>
      <c r="U9" s="1355"/>
      <c r="V9" s="1355"/>
      <c r="W9" s="1355"/>
      <c r="X9" s="1355"/>
      <c r="Y9" s="1355"/>
      <c r="Z9" s="1355"/>
      <c r="AA9" s="1355"/>
      <c r="AB9" s="1355"/>
      <c r="AC9" s="1355"/>
      <c r="AD9" s="1355"/>
      <c r="AE9" s="1573">
        <f>SUM(DevBudgetSUTbl[[#This Row],[Column2]:[Column3]])</f>
        <v>0</v>
      </c>
      <c r="AF9" s="839"/>
    </row>
    <row r="10" spans="1:32" s="24" customFormat="1" ht="18" customHeight="1">
      <c r="B10" s="2464"/>
      <c r="C10" s="1352" t="s">
        <v>1169</v>
      </c>
      <c r="D10" s="1353">
        <f t="shared" si="0"/>
        <v>0</v>
      </c>
      <c r="E10" s="1354">
        <f t="shared" si="1"/>
        <v>0</v>
      </c>
      <c r="F10" s="1353"/>
      <c r="G10" s="1355"/>
      <c r="H10" s="1355"/>
      <c r="I10" s="1355"/>
      <c r="J10" s="1355"/>
      <c r="K10" s="1355"/>
      <c r="L10" s="1355"/>
      <c r="M10" s="1355"/>
      <c r="N10" s="1355"/>
      <c r="O10" s="1355"/>
      <c r="P10" s="1355"/>
      <c r="Q10" s="1355"/>
      <c r="R10" s="1355"/>
      <c r="S10" s="1355"/>
      <c r="T10" s="1355"/>
      <c r="U10" s="1355"/>
      <c r="V10" s="1355"/>
      <c r="W10" s="1355"/>
      <c r="X10" s="1355"/>
      <c r="Y10" s="1355"/>
      <c r="Z10" s="1355"/>
      <c r="AA10" s="1355"/>
      <c r="AB10" s="1355"/>
      <c r="AC10" s="1355"/>
      <c r="AD10" s="1355"/>
      <c r="AE10" s="1573">
        <f>SUM(DevBudgetSUTbl[[#This Row],[Column2]:[Column3]])</f>
        <v>0</v>
      </c>
      <c r="AF10" s="839"/>
    </row>
    <row r="11" spans="1:32" s="24" customFormat="1" ht="18" customHeight="1">
      <c r="B11" s="2464"/>
      <c r="C11" s="1352" t="s">
        <v>1170</v>
      </c>
      <c r="D11" s="1353">
        <f t="shared" si="0"/>
        <v>0</v>
      </c>
      <c r="E11" s="1354">
        <f t="shared" si="1"/>
        <v>0</v>
      </c>
      <c r="F11" s="1355"/>
      <c r="G11" s="1355"/>
      <c r="H11" s="1355"/>
      <c r="I11" s="1355"/>
      <c r="J11" s="1355"/>
      <c r="K11" s="1355"/>
      <c r="L11" s="1355"/>
      <c r="M11" s="1355"/>
      <c r="N11" s="1355"/>
      <c r="O11" s="1355"/>
      <c r="P11" s="1355"/>
      <c r="Q11" s="1355"/>
      <c r="R11" s="1355"/>
      <c r="S11" s="1355"/>
      <c r="T11" s="1355"/>
      <c r="U11" s="1355"/>
      <c r="V11" s="1355"/>
      <c r="W11" s="1355"/>
      <c r="X11" s="1355"/>
      <c r="Y11" s="1355"/>
      <c r="Z11" s="1355"/>
      <c r="AA11" s="1355"/>
      <c r="AB11" s="1355"/>
      <c r="AC11" s="1355"/>
      <c r="AD11" s="1355"/>
      <c r="AE11" s="1573">
        <f>SUM(DevBudgetSUTbl[[#This Row],[Column2]:[Column3]])</f>
        <v>0</v>
      </c>
      <c r="AF11" s="839"/>
    </row>
    <row r="12" spans="1:32" s="24" customFormat="1" ht="18" customHeight="1">
      <c r="B12" s="2464"/>
      <c r="C12" s="1352" t="s">
        <v>1171</v>
      </c>
      <c r="D12" s="1353">
        <f t="shared" si="0"/>
        <v>0</v>
      </c>
      <c r="E12" s="1354">
        <f t="shared" si="1"/>
        <v>0</v>
      </c>
      <c r="F12" s="1355"/>
      <c r="G12" s="1355"/>
      <c r="H12" s="1355"/>
      <c r="I12" s="1355"/>
      <c r="J12" s="1355"/>
      <c r="K12" s="1355"/>
      <c r="L12" s="1355"/>
      <c r="M12" s="1355"/>
      <c r="N12" s="1355"/>
      <c r="O12" s="1355"/>
      <c r="P12" s="1355"/>
      <c r="Q12" s="1355"/>
      <c r="R12" s="1355"/>
      <c r="S12" s="1355"/>
      <c r="T12" s="1355"/>
      <c r="U12" s="1355"/>
      <c r="V12" s="1355"/>
      <c r="W12" s="1355"/>
      <c r="X12" s="1355"/>
      <c r="Y12" s="1355"/>
      <c r="Z12" s="1355"/>
      <c r="AA12" s="1355"/>
      <c r="AB12" s="1355"/>
      <c r="AC12" s="1355"/>
      <c r="AD12" s="1355"/>
      <c r="AE12" s="1573">
        <f>SUM(DevBudgetSUTbl[[#This Row],[Column2]:[Column3]])</f>
        <v>0</v>
      </c>
      <c r="AF12" s="839"/>
    </row>
    <row r="13" spans="1:32" s="24" customFormat="1" ht="36" customHeight="1">
      <c r="B13" s="2464"/>
      <c r="C13" s="1352" t="s">
        <v>1172</v>
      </c>
      <c r="D13" s="1353">
        <f t="shared" si="0"/>
        <v>0</v>
      </c>
      <c r="E13" s="1354">
        <f t="shared" si="1"/>
        <v>0</v>
      </c>
      <c r="F13" s="1355"/>
      <c r="G13" s="1355"/>
      <c r="H13" s="1355"/>
      <c r="I13" s="1355"/>
      <c r="J13" s="1355"/>
      <c r="K13" s="1355"/>
      <c r="L13" s="1355"/>
      <c r="M13" s="1355"/>
      <c r="N13" s="1355"/>
      <c r="O13" s="1355"/>
      <c r="P13" s="1355"/>
      <c r="Q13" s="1355"/>
      <c r="R13" s="1355"/>
      <c r="S13" s="1355"/>
      <c r="T13" s="1355"/>
      <c r="U13" s="1355"/>
      <c r="V13" s="1355"/>
      <c r="W13" s="1355"/>
      <c r="X13" s="1355"/>
      <c r="Y13" s="1355"/>
      <c r="Z13" s="1355"/>
      <c r="AA13" s="1355"/>
      <c r="AB13" s="1355"/>
      <c r="AC13" s="1355"/>
      <c r="AD13" s="1355"/>
      <c r="AE13" s="1573">
        <f>SUM(DevBudgetSUTbl[[#This Row],[Column2]:[Column3]])</f>
        <v>0</v>
      </c>
      <c r="AF13" s="839"/>
    </row>
    <row r="14" spans="1:32" s="24" customFormat="1" ht="18" customHeight="1">
      <c r="B14" s="2465"/>
      <c r="C14" s="1352" t="s">
        <v>1173</v>
      </c>
      <c r="D14" s="1353">
        <f t="shared" si="0"/>
        <v>0</v>
      </c>
      <c r="E14" s="1354">
        <f t="shared" si="1"/>
        <v>0</v>
      </c>
      <c r="F14" s="1353"/>
      <c r="G14" s="1353"/>
      <c r="H14" s="1355"/>
      <c r="I14" s="1355"/>
      <c r="J14" s="1355"/>
      <c r="K14" s="1355"/>
      <c r="L14" s="1355"/>
      <c r="M14" s="1355"/>
      <c r="N14" s="1355"/>
      <c r="O14" s="1355"/>
      <c r="P14" s="1355"/>
      <c r="Q14" s="1355"/>
      <c r="R14" s="1355"/>
      <c r="S14" s="1355"/>
      <c r="T14" s="1355"/>
      <c r="U14" s="1355"/>
      <c r="V14" s="1355"/>
      <c r="W14" s="1355"/>
      <c r="X14" s="1355"/>
      <c r="Y14" s="1355"/>
      <c r="Z14" s="1355"/>
      <c r="AA14" s="1355"/>
      <c r="AB14" s="1355"/>
      <c r="AC14" s="1355"/>
      <c r="AD14" s="1355"/>
      <c r="AE14" s="1573">
        <f>SUM(DevBudgetSUTbl[[#This Row],[Column2]:[Column3]])</f>
        <v>0</v>
      </c>
      <c r="AF14" s="839"/>
    </row>
    <row r="15" spans="1:32" s="24" customFormat="1" ht="18" customHeight="1">
      <c r="C15" s="183"/>
      <c r="D15" s="448">
        <f>SUBTOTAL(109,D6:D14)</f>
        <v>0</v>
      </c>
      <c r="E15" s="448">
        <f t="shared" ref="E15:AE15" si="2">SUBTOTAL(109,E6:E14)</f>
        <v>0</v>
      </c>
      <c r="F15" s="448">
        <f t="shared" si="2"/>
        <v>0</v>
      </c>
      <c r="G15" s="448">
        <f t="shared" si="2"/>
        <v>0</v>
      </c>
      <c r="H15" s="448">
        <f t="shared" si="2"/>
        <v>0</v>
      </c>
      <c r="I15" s="448">
        <f t="shared" si="2"/>
        <v>0</v>
      </c>
      <c r="J15" s="448">
        <f t="shared" si="2"/>
        <v>0</v>
      </c>
      <c r="K15" s="448">
        <f t="shared" si="2"/>
        <v>0</v>
      </c>
      <c r="L15" s="448">
        <f t="shared" si="2"/>
        <v>0</v>
      </c>
      <c r="M15" s="448">
        <f t="shared" si="2"/>
        <v>0</v>
      </c>
      <c r="N15" s="448">
        <f t="shared" si="2"/>
        <v>0</v>
      </c>
      <c r="O15" s="448">
        <f t="shared" si="2"/>
        <v>0</v>
      </c>
      <c r="P15" s="448">
        <f t="shared" si="2"/>
        <v>0</v>
      </c>
      <c r="Q15" s="448">
        <f t="shared" si="2"/>
        <v>0</v>
      </c>
      <c r="R15" s="448">
        <f t="shared" si="2"/>
        <v>0</v>
      </c>
      <c r="S15" s="448">
        <f t="shared" si="2"/>
        <v>0</v>
      </c>
      <c r="T15" s="448">
        <f t="shared" si="2"/>
        <v>0</v>
      </c>
      <c r="U15" s="448">
        <f t="shared" si="2"/>
        <v>0</v>
      </c>
      <c r="V15" s="448">
        <f t="shared" si="2"/>
        <v>0</v>
      </c>
      <c r="W15" s="448">
        <f t="shared" si="2"/>
        <v>0</v>
      </c>
      <c r="X15" s="448">
        <f t="shared" si="2"/>
        <v>0</v>
      </c>
      <c r="Y15" s="448">
        <f t="shared" si="2"/>
        <v>0</v>
      </c>
      <c r="Z15" s="448">
        <f t="shared" si="2"/>
        <v>0</v>
      </c>
      <c r="AA15" s="448">
        <f t="shared" si="2"/>
        <v>0</v>
      </c>
      <c r="AB15" s="448">
        <f t="shared" si="2"/>
        <v>0</v>
      </c>
      <c r="AC15" s="448">
        <f t="shared" si="2"/>
        <v>0</v>
      </c>
      <c r="AD15" s="448">
        <f t="shared" si="2"/>
        <v>0</v>
      </c>
      <c r="AE15" s="1574">
        <f t="shared" si="2"/>
        <v>0</v>
      </c>
      <c r="AF15" s="840"/>
    </row>
    <row r="16" spans="1:32" s="24" customFormat="1" ht="18" customHeight="1">
      <c r="B16" s="2463" t="s">
        <v>1174</v>
      </c>
      <c r="C16" s="1352" t="s">
        <v>1175</v>
      </c>
      <c r="D16" s="1353">
        <f t="shared" ref="D16:D27" si="3">SUM(H16:AB16)</f>
        <v>0</v>
      </c>
      <c r="E16" s="1354">
        <f t="shared" ref="E16:E27" si="4">SUM(AC16:AD16)</f>
        <v>0</v>
      </c>
      <c r="F16" s="1355"/>
      <c r="G16" s="1355"/>
      <c r="H16" s="1355"/>
      <c r="I16" s="1355"/>
      <c r="J16" s="1355"/>
      <c r="K16" s="1355"/>
      <c r="L16" s="1355"/>
      <c r="M16" s="1355"/>
      <c r="N16" s="1355"/>
      <c r="O16" s="1355"/>
      <c r="P16" s="1355"/>
      <c r="Q16" s="1355"/>
      <c r="R16" s="1355"/>
      <c r="S16" s="1355"/>
      <c r="T16" s="1355"/>
      <c r="U16" s="1355"/>
      <c r="V16" s="1355"/>
      <c r="W16" s="1355"/>
      <c r="X16" s="1355"/>
      <c r="Y16" s="1355"/>
      <c r="Z16" s="1355"/>
      <c r="AA16" s="1355"/>
      <c r="AB16" s="1355"/>
      <c r="AC16" s="1355"/>
      <c r="AD16" s="1355"/>
      <c r="AE16" s="1573">
        <f>SUM(DevBudgetSUTbl[[#This Row],[Column2]:[Column3]])</f>
        <v>0</v>
      </c>
      <c r="AF16" s="839"/>
    </row>
    <row r="17" spans="2:32" s="24" customFormat="1" ht="18" customHeight="1">
      <c r="B17" s="2464"/>
      <c r="C17" s="1352" t="s">
        <v>1176</v>
      </c>
      <c r="D17" s="1353">
        <f t="shared" si="3"/>
        <v>0</v>
      </c>
      <c r="E17" s="1354">
        <f t="shared" si="4"/>
        <v>0</v>
      </c>
      <c r="F17" s="1355"/>
      <c r="G17" s="1355"/>
      <c r="H17" s="1355"/>
      <c r="I17" s="1355"/>
      <c r="J17" s="1355"/>
      <c r="K17" s="1355"/>
      <c r="L17" s="1355"/>
      <c r="M17" s="1355"/>
      <c r="N17" s="1355"/>
      <c r="O17" s="1355"/>
      <c r="P17" s="1355"/>
      <c r="Q17" s="1355"/>
      <c r="R17" s="1355"/>
      <c r="S17" s="1355"/>
      <c r="T17" s="1355"/>
      <c r="U17" s="1355"/>
      <c r="V17" s="1355"/>
      <c r="W17" s="1355"/>
      <c r="X17" s="1355"/>
      <c r="Y17" s="1355"/>
      <c r="Z17" s="1355"/>
      <c r="AA17" s="1355"/>
      <c r="AB17" s="1355"/>
      <c r="AC17" s="1355"/>
      <c r="AD17" s="1355"/>
      <c r="AE17" s="1573">
        <f>SUM(DevBudgetSUTbl[[#This Row],[Column2]:[Column3]])</f>
        <v>0</v>
      </c>
      <c r="AF17" s="839"/>
    </row>
    <row r="18" spans="2:32" s="24" customFormat="1" ht="18" customHeight="1">
      <c r="B18" s="2464"/>
      <c r="C18" s="1352" t="s">
        <v>1177</v>
      </c>
      <c r="D18" s="1353">
        <f t="shared" si="3"/>
        <v>0</v>
      </c>
      <c r="E18" s="1354">
        <f t="shared" si="4"/>
        <v>0</v>
      </c>
      <c r="F18" s="1355"/>
      <c r="G18" s="1355"/>
      <c r="H18" s="1355"/>
      <c r="I18" s="1355"/>
      <c r="J18" s="1355"/>
      <c r="K18" s="1355"/>
      <c r="L18" s="1355"/>
      <c r="M18" s="1355"/>
      <c r="N18" s="1355"/>
      <c r="O18" s="1355"/>
      <c r="P18" s="1355"/>
      <c r="Q18" s="1355"/>
      <c r="R18" s="1355"/>
      <c r="S18" s="1355"/>
      <c r="T18" s="1355"/>
      <c r="U18" s="1355"/>
      <c r="V18" s="1355"/>
      <c r="W18" s="1355"/>
      <c r="X18" s="1355"/>
      <c r="Y18" s="1355"/>
      <c r="Z18" s="1355"/>
      <c r="AA18" s="1355"/>
      <c r="AB18" s="1355"/>
      <c r="AC18" s="1355"/>
      <c r="AD18" s="1355"/>
      <c r="AE18" s="1573">
        <f>SUM(DevBudgetSUTbl[[#This Row],[Column2]:[Column3]])</f>
        <v>0</v>
      </c>
      <c r="AF18" s="839"/>
    </row>
    <row r="19" spans="2:32" s="24" customFormat="1" ht="18" customHeight="1">
      <c r="B19" s="2464"/>
      <c r="C19" s="1352" t="s">
        <v>1178</v>
      </c>
      <c r="D19" s="1353">
        <f t="shared" si="3"/>
        <v>0</v>
      </c>
      <c r="E19" s="1354">
        <f t="shared" si="4"/>
        <v>0</v>
      </c>
      <c r="F19" s="1355"/>
      <c r="G19" s="1355"/>
      <c r="H19" s="1355"/>
      <c r="I19" s="1355"/>
      <c r="J19" s="1355"/>
      <c r="K19" s="1355"/>
      <c r="L19" s="1355"/>
      <c r="M19" s="1355"/>
      <c r="N19" s="1355"/>
      <c r="O19" s="1355"/>
      <c r="P19" s="1355"/>
      <c r="Q19" s="1355"/>
      <c r="R19" s="1355"/>
      <c r="S19" s="1355"/>
      <c r="T19" s="1355"/>
      <c r="U19" s="1355"/>
      <c r="V19" s="1355"/>
      <c r="W19" s="1355"/>
      <c r="X19" s="1355"/>
      <c r="Y19" s="1355"/>
      <c r="Z19" s="1355"/>
      <c r="AA19" s="1355"/>
      <c r="AB19" s="1355"/>
      <c r="AC19" s="1355"/>
      <c r="AD19" s="1355"/>
      <c r="AE19" s="1573">
        <f>SUM(DevBudgetSUTbl[[#This Row],[Column2]:[Column3]])</f>
        <v>0</v>
      </c>
      <c r="AF19" s="839"/>
    </row>
    <row r="20" spans="2:32" s="24" customFormat="1" ht="18" customHeight="1">
      <c r="B20" s="2464"/>
      <c r="C20" s="1352" t="s">
        <v>1179</v>
      </c>
      <c r="D20" s="1353">
        <f t="shared" si="3"/>
        <v>0</v>
      </c>
      <c r="E20" s="1354">
        <f t="shared" si="4"/>
        <v>0</v>
      </c>
      <c r="F20" s="1355"/>
      <c r="G20" s="1355"/>
      <c r="H20" s="1355"/>
      <c r="I20" s="1355"/>
      <c r="J20" s="1355"/>
      <c r="K20" s="1355"/>
      <c r="L20" s="1355"/>
      <c r="M20" s="1355"/>
      <c r="N20" s="1355"/>
      <c r="O20" s="1355"/>
      <c r="P20" s="1355"/>
      <c r="Q20" s="1355"/>
      <c r="R20" s="1355"/>
      <c r="S20" s="1355"/>
      <c r="T20" s="1355"/>
      <c r="U20" s="1355"/>
      <c r="V20" s="1355"/>
      <c r="W20" s="1355"/>
      <c r="X20" s="1355"/>
      <c r="Y20" s="1355"/>
      <c r="Z20" s="1355"/>
      <c r="AA20" s="1355"/>
      <c r="AB20" s="1355"/>
      <c r="AC20" s="1355"/>
      <c r="AD20" s="1355"/>
      <c r="AE20" s="1573">
        <f>SUM(DevBudgetSUTbl[[#This Row],[Column2]:[Column3]])</f>
        <v>0</v>
      </c>
      <c r="AF20" s="839"/>
    </row>
    <row r="21" spans="2:32" s="24" customFormat="1" ht="18" customHeight="1">
      <c r="B21" s="2464"/>
      <c r="C21" s="1352" t="s">
        <v>1180</v>
      </c>
      <c r="D21" s="1353">
        <f t="shared" si="3"/>
        <v>0</v>
      </c>
      <c r="E21" s="1354">
        <f t="shared" si="4"/>
        <v>0</v>
      </c>
      <c r="F21" s="1355"/>
      <c r="G21" s="1355"/>
      <c r="H21" s="1355"/>
      <c r="I21" s="1355"/>
      <c r="J21" s="1355"/>
      <c r="K21" s="1355"/>
      <c r="L21" s="1355"/>
      <c r="M21" s="1355"/>
      <c r="N21" s="1355"/>
      <c r="O21" s="1355"/>
      <c r="P21" s="1355"/>
      <c r="Q21" s="1355"/>
      <c r="R21" s="1355"/>
      <c r="S21" s="1355"/>
      <c r="T21" s="1355"/>
      <c r="U21" s="1355"/>
      <c r="V21" s="1355"/>
      <c r="W21" s="1355"/>
      <c r="X21" s="1355"/>
      <c r="Y21" s="1355"/>
      <c r="Z21" s="1355"/>
      <c r="AA21" s="1355"/>
      <c r="AB21" s="1355"/>
      <c r="AC21" s="1355"/>
      <c r="AD21" s="1355"/>
      <c r="AE21" s="1573">
        <f>SUM(DevBudgetSUTbl[[#This Row],[Column2]:[Column3]])</f>
        <v>0</v>
      </c>
      <c r="AF21" s="839"/>
    </row>
    <row r="22" spans="2:32" s="24" customFormat="1" ht="18" customHeight="1">
      <c r="B22" s="2464"/>
      <c r="C22" s="1352" t="s">
        <v>1181</v>
      </c>
      <c r="D22" s="1353">
        <f t="shared" si="3"/>
        <v>0</v>
      </c>
      <c r="E22" s="1354">
        <f t="shared" si="4"/>
        <v>0</v>
      </c>
      <c r="F22" s="1355"/>
      <c r="G22" s="1355"/>
      <c r="H22" s="1355"/>
      <c r="I22" s="1355"/>
      <c r="J22" s="1355"/>
      <c r="K22" s="1355"/>
      <c r="L22" s="1355"/>
      <c r="M22" s="1355"/>
      <c r="N22" s="1355"/>
      <c r="O22" s="1355"/>
      <c r="P22" s="1355"/>
      <c r="Q22" s="1355"/>
      <c r="R22" s="1355"/>
      <c r="S22" s="1355"/>
      <c r="T22" s="1355"/>
      <c r="U22" s="1355"/>
      <c r="V22" s="1355"/>
      <c r="W22" s="1355"/>
      <c r="X22" s="1355"/>
      <c r="Y22" s="1355"/>
      <c r="Z22" s="1355"/>
      <c r="AA22" s="1355"/>
      <c r="AB22" s="1355"/>
      <c r="AC22" s="1355"/>
      <c r="AD22" s="1355"/>
      <c r="AE22" s="1573">
        <f>SUM(DevBudgetSUTbl[[#This Row],[Column2]:[Column3]])</f>
        <v>0</v>
      </c>
      <c r="AF22" s="839"/>
    </row>
    <row r="23" spans="2:32" s="24" customFormat="1" ht="18" customHeight="1">
      <c r="B23" s="2464"/>
      <c r="C23" s="1356" t="s">
        <v>1182</v>
      </c>
      <c r="D23" s="1353">
        <f t="shared" si="3"/>
        <v>0</v>
      </c>
      <c r="E23" s="1354">
        <f t="shared" si="4"/>
        <v>0</v>
      </c>
      <c r="F23" s="1355"/>
      <c r="G23" s="1355"/>
      <c r="H23" s="1355"/>
      <c r="I23" s="1355"/>
      <c r="J23" s="1355"/>
      <c r="K23" s="1355"/>
      <c r="L23" s="1355"/>
      <c r="M23" s="1355"/>
      <c r="N23" s="1355"/>
      <c r="O23" s="1355"/>
      <c r="P23" s="1355"/>
      <c r="Q23" s="1355"/>
      <c r="R23" s="1355"/>
      <c r="S23" s="1355"/>
      <c r="T23" s="1355"/>
      <c r="U23" s="1355"/>
      <c r="V23" s="1355"/>
      <c r="W23" s="1355"/>
      <c r="X23" s="1355"/>
      <c r="Y23" s="1355"/>
      <c r="Z23" s="1355"/>
      <c r="AA23" s="1355"/>
      <c r="AB23" s="1355"/>
      <c r="AC23" s="1355"/>
      <c r="AD23" s="1355"/>
      <c r="AE23" s="1573">
        <f>SUM(DevBudgetSUTbl[[#This Row],[Column2]:[Column3]])</f>
        <v>0</v>
      </c>
      <c r="AF23" s="839"/>
    </row>
    <row r="24" spans="2:32" s="24" customFormat="1" ht="18" customHeight="1">
      <c r="B24" s="2464"/>
      <c r="C24" s="1356" t="s">
        <v>1182</v>
      </c>
      <c r="D24" s="1353">
        <f t="shared" si="3"/>
        <v>0</v>
      </c>
      <c r="E24" s="1354">
        <f t="shared" si="4"/>
        <v>0</v>
      </c>
      <c r="F24" s="1355"/>
      <c r="G24" s="1355"/>
      <c r="H24" s="1355"/>
      <c r="I24" s="1355"/>
      <c r="J24" s="1355"/>
      <c r="K24" s="1355"/>
      <c r="L24" s="1355"/>
      <c r="M24" s="1355"/>
      <c r="N24" s="1355"/>
      <c r="O24" s="1355"/>
      <c r="P24" s="1355"/>
      <c r="Q24" s="1355"/>
      <c r="R24" s="1355"/>
      <c r="S24" s="1355"/>
      <c r="T24" s="1355"/>
      <c r="U24" s="1355"/>
      <c r="V24" s="1355"/>
      <c r="W24" s="1355"/>
      <c r="X24" s="1355"/>
      <c r="Y24" s="1355"/>
      <c r="Z24" s="1355"/>
      <c r="AA24" s="1355"/>
      <c r="AB24" s="1355"/>
      <c r="AC24" s="1355"/>
      <c r="AD24" s="1355"/>
      <c r="AE24" s="1573">
        <f>SUM(DevBudgetSUTbl[[#This Row],[Column2]:[Column3]])</f>
        <v>0</v>
      </c>
      <c r="AF24" s="839"/>
    </row>
    <row r="25" spans="2:32" s="24" customFormat="1" ht="18" customHeight="1">
      <c r="B25" s="2464"/>
      <c r="C25" s="1356" t="s">
        <v>1182</v>
      </c>
      <c r="D25" s="1353">
        <f t="shared" si="3"/>
        <v>0</v>
      </c>
      <c r="E25" s="1354">
        <f t="shared" si="4"/>
        <v>0</v>
      </c>
      <c r="F25" s="1355"/>
      <c r="G25" s="1355"/>
      <c r="H25" s="1355"/>
      <c r="I25" s="1355"/>
      <c r="J25" s="1355"/>
      <c r="K25" s="1355"/>
      <c r="L25" s="1355"/>
      <c r="M25" s="1355"/>
      <c r="N25" s="1355"/>
      <c r="O25" s="1355"/>
      <c r="P25" s="1355"/>
      <c r="Q25" s="1355"/>
      <c r="R25" s="1355"/>
      <c r="S25" s="1355"/>
      <c r="T25" s="1355"/>
      <c r="U25" s="1355"/>
      <c r="V25" s="1355"/>
      <c r="W25" s="1355"/>
      <c r="X25" s="1355"/>
      <c r="Y25" s="1355"/>
      <c r="Z25" s="1355"/>
      <c r="AA25" s="1355"/>
      <c r="AB25" s="1355"/>
      <c r="AC25" s="1355"/>
      <c r="AD25" s="1355"/>
      <c r="AE25" s="1573">
        <f>SUM(DevBudgetSUTbl[[#This Row],[Column2]:[Column3]])</f>
        <v>0</v>
      </c>
      <c r="AF25" s="839"/>
    </row>
    <row r="26" spans="2:32" s="25" customFormat="1" ht="18" customHeight="1">
      <c r="B26" s="2464"/>
      <c r="C26" s="1356" t="s">
        <v>1182</v>
      </c>
      <c r="D26" s="1353">
        <f t="shared" si="3"/>
        <v>0</v>
      </c>
      <c r="E26" s="1357">
        <f t="shared" si="4"/>
        <v>0</v>
      </c>
      <c r="F26" s="1358"/>
      <c r="G26" s="1358"/>
      <c r="H26" s="1358"/>
      <c r="I26" s="1355"/>
      <c r="J26" s="1358"/>
      <c r="K26" s="1358"/>
      <c r="L26" s="1358"/>
      <c r="M26" s="1358"/>
      <c r="N26" s="1358"/>
      <c r="O26" s="1358"/>
      <c r="P26" s="1358"/>
      <c r="Q26" s="1358"/>
      <c r="R26" s="1358"/>
      <c r="S26" s="1358"/>
      <c r="T26" s="1358"/>
      <c r="U26" s="1358"/>
      <c r="V26" s="1358"/>
      <c r="W26" s="1358"/>
      <c r="X26" s="1358"/>
      <c r="Y26" s="1358"/>
      <c r="Z26" s="1358"/>
      <c r="AA26" s="1358"/>
      <c r="AB26" s="1358"/>
      <c r="AC26" s="1358"/>
      <c r="AD26" s="1358"/>
      <c r="AE26" s="1573">
        <f>SUM(DevBudgetSUTbl[[#This Row],[Column2]:[Column3]])</f>
        <v>0</v>
      </c>
      <c r="AF26" s="839"/>
    </row>
    <row r="27" spans="2:32" s="158" customFormat="1" ht="18" customHeight="1">
      <c r="B27" s="2465"/>
      <c r="C27" s="1352" t="s">
        <v>1183</v>
      </c>
      <c r="D27" s="1353">
        <f t="shared" si="3"/>
        <v>0</v>
      </c>
      <c r="E27" s="1354">
        <f t="shared" si="4"/>
        <v>0</v>
      </c>
      <c r="F27" s="1355"/>
      <c r="G27" s="1355"/>
      <c r="H27" s="1355"/>
      <c r="I27" s="1355"/>
      <c r="J27" s="1355"/>
      <c r="K27" s="1355"/>
      <c r="L27" s="1355"/>
      <c r="M27" s="1355"/>
      <c r="N27" s="1355"/>
      <c r="O27" s="1355"/>
      <c r="P27" s="1355"/>
      <c r="Q27" s="1355"/>
      <c r="R27" s="1355"/>
      <c r="S27" s="1355"/>
      <c r="T27" s="1355"/>
      <c r="U27" s="1355"/>
      <c r="V27" s="1355"/>
      <c r="W27" s="1355"/>
      <c r="X27" s="1355"/>
      <c r="Y27" s="1355"/>
      <c r="Z27" s="1355"/>
      <c r="AA27" s="1355"/>
      <c r="AB27" s="1355"/>
      <c r="AC27" s="1355"/>
      <c r="AD27" s="1355"/>
      <c r="AE27" s="1573">
        <f>SUM(DevBudgetSUTbl[[#This Row],[Column2]:[Column3]])</f>
        <v>0</v>
      </c>
      <c r="AF27" s="839"/>
    </row>
    <row r="28" spans="2:32" s="24" customFormat="1" ht="18" customHeight="1">
      <c r="C28" s="184"/>
      <c r="D28" s="448">
        <f t="shared" ref="D28:AE28" si="5">SUBTOTAL(109,D16:D27)</f>
        <v>0</v>
      </c>
      <c r="E28" s="448">
        <f t="shared" si="5"/>
        <v>0</v>
      </c>
      <c r="F28" s="448">
        <f t="shared" si="5"/>
        <v>0</v>
      </c>
      <c r="G28" s="448">
        <f t="shared" si="5"/>
        <v>0</v>
      </c>
      <c r="H28" s="448">
        <f t="shared" si="5"/>
        <v>0</v>
      </c>
      <c r="I28" s="448">
        <f t="shared" si="5"/>
        <v>0</v>
      </c>
      <c r="J28" s="448">
        <f t="shared" si="5"/>
        <v>0</v>
      </c>
      <c r="K28" s="448">
        <f t="shared" si="5"/>
        <v>0</v>
      </c>
      <c r="L28" s="448">
        <f t="shared" si="5"/>
        <v>0</v>
      </c>
      <c r="M28" s="448">
        <f t="shared" si="5"/>
        <v>0</v>
      </c>
      <c r="N28" s="448">
        <f t="shared" si="5"/>
        <v>0</v>
      </c>
      <c r="O28" s="448">
        <f t="shared" si="5"/>
        <v>0</v>
      </c>
      <c r="P28" s="448">
        <f t="shared" si="5"/>
        <v>0</v>
      </c>
      <c r="Q28" s="448">
        <f t="shared" si="5"/>
        <v>0</v>
      </c>
      <c r="R28" s="448">
        <f t="shared" si="5"/>
        <v>0</v>
      </c>
      <c r="S28" s="448">
        <f t="shared" si="5"/>
        <v>0</v>
      </c>
      <c r="T28" s="448">
        <f t="shared" si="5"/>
        <v>0</v>
      </c>
      <c r="U28" s="448">
        <f t="shared" si="5"/>
        <v>0</v>
      </c>
      <c r="V28" s="448">
        <f t="shared" si="5"/>
        <v>0</v>
      </c>
      <c r="W28" s="448">
        <f t="shared" si="5"/>
        <v>0</v>
      </c>
      <c r="X28" s="448">
        <f t="shared" si="5"/>
        <v>0</v>
      </c>
      <c r="Y28" s="448">
        <f t="shared" si="5"/>
        <v>0</v>
      </c>
      <c r="Z28" s="448">
        <f t="shared" si="5"/>
        <v>0</v>
      </c>
      <c r="AA28" s="448">
        <f t="shared" si="5"/>
        <v>0</v>
      </c>
      <c r="AB28" s="448">
        <f t="shared" si="5"/>
        <v>0</v>
      </c>
      <c r="AC28" s="448">
        <f t="shared" si="5"/>
        <v>0</v>
      </c>
      <c r="AD28" s="448">
        <f t="shared" si="5"/>
        <v>0</v>
      </c>
      <c r="AE28" s="1575">
        <f t="shared" si="5"/>
        <v>0</v>
      </c>
      <c r="AF28" s="840"/>
    </row>
    <row r="29" spans="2:32" s="24" customFormat="1" ht="18" customHeight="1">
      <c r="B29" s="2463" t="s">
        <v>1184</v>
      </c>
      <c r="C29" s="1352" t="s">
        <v>1175</v>
      </c>
      <c r="D29" s="1353">
        <f t="shared" ref="D29:D39" si="6">SUM(H29:AB29)</f>
        <v>0</v>
      </c>
      <c r="E29" s="1354">
        <f t="shared" ref="E29:E39" si="7">SUM(AC29:AD29)</f>
        <v>0</v>
      </c>
      <c r="F29" s="1355"/>
      <c r="G29" s="1355"/>
      <c r="H29" s="1355"/>
      <c r="I29" s="1355"/>
      <c r="J29" s="1355"/>
      <c r="K29" s="1355"/>
      <c r="L29" s="1355"/>
      <c r="M29" s="1355"/>
      <c r="N29" s="1355"/>
      <c r="O29" s="1355"/>
      <c r="P29" s="1355"/>
      <c r="Q29" s="1355"/>
      <c r="R29" s="1355"/>
      <c r="S29" s="1355"/>
      <c r="T29" s="1355"/>
      <c r="U29" s="1355"/>
      <c r="V29" s="1355"/>
      <c r="W29" s="1355"/>
      <c r="X29" s="1355"/>
      <c r="Y29" s="1355"/>
      <c r="Z29" s="1355"/>
      <c r="AA29" s="1355"/>
      <c r="AB29" s="1355"/>
      <c r="AC29" s="1355"/>
      <c r="AD29" s="1355"/>
      <c r="AE29" s="1576">
        <f>SUM(DevBudgetSUTbl[[#This Row],[Column2]:[Column3]])</f>
        <v>0</v>
      </c>
      <c r="AF29" s="839"/>
    </row>
    <row r="30" spans="2:32" s="24" customFormat="1" ht="18" customHeight="1">
      <c r="B30" s="2464"/>
      <c r="C30" s="1352" t="s">
        <v>1176</v>
      </c>
      <c r="D30" s="1353">
        <f t="shared" si="6"/>
        <v>0</v>
      </c>
      <c r="E30" s="1354">
        <f t="shared" si="7"/>
        <v>0</v>
      </c>
      <c r="F30" s="1355"/>
      <c r="G30" s="1355"/>
      <c r="H30" s="1355"/>
      <c r="I30" s="1355"/>
      <c r="J30" s="1355"/>
      <c r="K30" s="1355"/>
      <c r="L30" s="1355"/>
      <c r="M30" s="1355"/>
      <c r="N30" s="1355"/>
      <c r="O30" s="1355"/>
      <c r="P30" s="1355"/>
      <c r="Q30" s="1355"/>
      <c r="R30" s="1355"/>
      <c r="S30" s="1355"/>
      <c r="T30" s="1355"/>
      <c r="U30" s="1355"/>
      <c r="V30" s="1355"/>
      <c r="W30" s="1355"/>
      <c r="X30" s="1355"/>
      <c r="Y30" s="1355"/>
      <c r="Z30" s="1355"/>
      <c r="AA30" s="1355"/>
      <c r="AB30" s="1355"/>
      <c r="AC30" s="1355"/>
      <c r="AD30" s="1355"/>
      <c r="AE30" s="1576">
        <f>SUM(DevBudgetSUTbl[[#This Row],[Column2]:[Column3]])</f>
        <v>0</v>
      </c>
      <c r="AF30" s="839"/>
    </row>
    <row r="31" spans="2:32" s="24" customFormat="1" ht="18" customHeight="1">
      <c r="B31" s="2464"/>
      <c r="C31" s="1352" t="s">
        <v>1177</v>
      </c>
      <c r="D31" s="1353">
        <f t="shared" si="6"/>
        <v>0</v>
      </c>
      <c r="E31" s="1354">
        <f t="shared" si="7"/>
        <v>0</v>
      </c>
      <c r="F31" s="1355"/>
      <c r="G31" s="1355"/>
      <c r="H31" s="1355"/>
      <c r="I31" s="1355"/>
      <c r="J31" s="1355"/>
      <c r="K31" s="1355"/>
      <c r="L31" s="1355"/>
      <c r="M31" s="1355"/>
      <c r="N31" s="1355"/>
      <c r="O31" s="1355"/>
      <c r="P31" s="1355"/>
      <c r="Q31" s="1355"/>
      <c r="R31" s="1355"/>
      <c r="S31" s="1355"/>
      <c r="T31" s="1355"/>
      <c r="U31" s="1355"/>
      <c r="V31" s="1355"/>
      <c r="W31" s="1355"/>
      <c r="X31" s="1355"/>
      <c r="Y31" s="1355"/>
      <c r="Z31" s="1355"/>
      <c r="AA31" s="1355"/>
      <c r="AB31" s="1355"/>
      <c r="AC31" s="1355"/>
      <c r="AD31" s="1355"/>
      <c r="AE31" s="1576">
        <f>SUM(DevBudgetSUTbl[[#This Row],[Column2]:[Column3]])</f>
        <v>0</v>
      </c>
      <c r="AF31" s="839"/>
    </row>
    <row r="32" spans="2:32" s="24" customFormat="1" ht="18" customHeight="1">
      <c r="B32" s="2464"/>
      <c r="C32" s="1352" t="s">
        <v>1178</v>
      </c>
      <c r="D32" s="1353">
        <f t="shared" si="6"/>
        <v>0</v>
      </c>
      <c r="E32" s="1354">
        <f t="shared" si="7"/>
        <v>0</v>
      </c>
      <c r="F32" s="1355"/>
      <c r="G32" s="1355"/>
      <c r="H32" s="1355"/>
      <c r="I32" s="1355"/>
      <c r="J32" s="1355"/>
      <c r="K32" s="1355"/>
      <c r="L32" s="1355"/>
      <c r="M32" s="1355"/>
      <c r="N32" s="1355"/>
      <c r="O32" s="1355"/>
      <c r="P32" s="1355"/>
      <c r="Q32" s="1355"/>
      <c r="R32" s="1355"/>
      <c r="S32" s="1355"/>
      <c r="T32" s="1355"/>
      <c r="U32" s="1355"/>
      <c r="V32" s="1355"/>
      <c r="W32" s="1355"/>
      <c r="X32" s="1355"/>
      <c r="Y32" s="1355"/>
      <c r="Z32" s="1355"/>
      <c r="AA32" s="1355"/>
      <c r="AB32" s="1355"/>
      <c r="AC32" s="1355"/>
      <c r="AD32" s="1355"/>
      <c r="AE32" s="1576">
        <f>SUM(DevBudgetSUTbl[[#This Row],[Column2]:[Column3]])</f>
        <v>0</v>
      </c>
      <c r="AF32" s="839"/>
    </row>
    <row r="33" spans="2:32" s="24" customFormat="1" ht="18" customHeight="1">
      <c r="B33" s="2464"/>
      <c r="C33" s="1352" t="s">
        <v>1179</v>
      </c>
      <c r="D33" s="1353">
        <f t="shared" si="6"/>
        <v>0</v>
      </c>
      <c r="E33" s="1354">
        <f t="shared" si="7"/>
        <v>0</v>
      </c>
      <c r="F33" s="1355"/>
      <c r="G33" s="1355"/>
      <c r="H33" s="1355"/>
      <c r="I33" s="1355"/>
      <c r="J33" s="1355"/>
      <c r="K33" s="1355"/>
      <c r="L33" s="1355"/>
      <c r="M33" s="1355"/>
      <c r="N33" s="1355"/>
      <c r="O33" s="1355"/>
      <c r="P33" s="1355"/>
      <c r="Q33" s="1355"/>
      <c r="R33" s="1355"/>
      <c r="S33" s="1355"/>
      <c r="T33" s="1355"/>
      <c r="U33" s="1355"/>
      <c r="V33" s="1355"/>
      <c r="W33" s="1355"/>
      <c r="X33" s="1355"/>
      <c r="Y33" s="1355"/>
      <c r="Z33" s="1355"/>
      <c r="AA33" s="1355"/>
      <c r="AB33" s="1355"/>
      <c r="AC33" s="1355"/>
      <c r="AD33" s="1355"/>
      <c r="AE33" s="1576">
        <f>SUM(DevBudgetSUTbl[[#This Row],[Column2]:[Column3]])</f>
        <v>0</v>
      </c>
      <c r="AF33" s="839"/>
    </row>
    <row r="34" spans="2:32" s="24" customFormat="1" ht="18" customHeight="1">
      <c r="B34" s="2464"/>
      <c r="C34" s="1352" t="s">
        <v>1180</v>
      </c>
      <c r="D34" s="1353">
        <f t="shared" si="6"/>
        <v>0</v>
      </c>
      <c r="E34" s="1354">
        <f t="shared" si="7"/>
        <v>0</v>
      </c>
      <c r="F34" s="1355"/>
      <c r="G34" s="1355"/>
      <c r="H34" s="1355"/>
      <c r="I34" s="1355"/>
      <c r="J34" s="1355"/>
      <c r="K34" s="1355"/>
      <c r="L34" s="1355"/>
      <c r="M34" s="1355"/>
      <c r="N34" s="1355"/>
      <c r="O34" s="1355"/>
      <c r="P34" s="1355"/>
      <c r="Q34" s="1355"/>
      <c r="R34" s="1355"/>
      <c r="S34" s="1355"/>
      <c r="T34" s="1355"/>
      <c r="U34" s="1355"/>
      <c r="V34" s="1355"/>
      <c r="W34" s="1355"/>
      <c r="X34" s="1355"/>
      <c r="Y34" s="1355"/>
      <c r="Z34" s="1355"/>
      <c r="AA34" s="1355"/>
      <c r="AB34" s="1355"/>
      <c r="AC34" s="1355"/>
      <c r="AD34" s="1355"/>
      <c r="AE34" s="1576">
        <f>SUM(DevBudgetSUTbl[[#This Row],[Column2]:[Column3]])</f>
        <v>0</v>
      </c>
      <c r="AF34" s="839"/>
    </row>
    <row r="35" spans="2:32" s="24" customFormat="1" ht="18" customHeight="1">
      <c r="B35" s="2464"/>
      <c r="C35" s="1352" t="s">
        <v>1181</v>
      </c>
      <c r="D35" s="1353">
        <f t="shared" si="6"/>
        <v>0</v>
      </c>
      <c r="E35" s="1354">
        <f t="shared" si="7"/>
        <v>0</v>
      </c>
      <c r="F35" s="1355"/>
      <c r="G35" s="1355"/>
      <c r="H35" s="1355"/>
      <c r="I35" s="1355"/>
      <c r="J35" s="1355"/>
      <c r="K35" s="1355"/>
      <c r="L35" s="1355"/>
      <c r="M35" s="1355"/>
      <c r="N35" s="1355"/>
      <c r="O35" s="1355"/>
      <c r="P35" s="1355"/>
      <c r="Q35" s="1355"/>
      <c r="R35" s="1355"/>
      <c r="S35" s="1355"/>
      <c r="T35" s="1355"/>
      <c r="U35" s="1355"/>
      <c r="V35" s="1355"/>
      <c r="W35" s="1355"/>
      <c r="X35" s="1355"/>
      <c r="Y35" s="1355"/>
      <c r="Z35" s="1355"/>
      <c r="AA35" s="1355"/>
      <c r="AB35" s="1355"/>
      <c r="AC35" s="1355"/>
      <c r="AD35" s="1355"/>
      <c r="AE35" s="1576">
        <f>SUM(DevBudgetSUTbl[[#This Row],[Column2]:[Column3]])</f>
        <v>0</v>
      </c>
      <c r="AF35" s="839"/>
    </row>
    <row r="36" spans="2:32" s="24" customFormat="1" ht="18" customHeight="1">
      <c r="B36" s="2464"/>
      <c r="C36" s="1352" t="s">
        <v>1185</v>
      </c>
      <c r="D36" s="1353">
        <f t="shared" si="6"/>
        <v>0</v>
      </c>
      <c r="E36" s="1354">
        <f t="shared" si="7"/>
        <v>0</v>
      </c>
      <c r="F36" s="1355"/>
      <c r="G36" s="1355"/>
      <c r="H36" s="1355"/>
      <c r="I36" s="1355"/>
      <c r="J36" s="1355"/>
      <c r="K36" s="1355"/>
      <c r="L36" s="1355"/>
      <c r="M36" s="1355"/>
      <c r="N36" s="1355"/>
      <c r="O36" s="1355"/>
      <c r="P36" s="1355"/>
      <c r="Q36" s="1355"/>
      <c r="R36" s="1355"/>
      <c r="S36" s="1355"/>
      <c r="T36" s="1355"/>
      <c r="U36" s="1355"/>
      <c r="V36" s="1355"/>
      <c r="W36" s="1355"/>
      <c r="X36" s="1355"/>
      <c r="Y36" s="1355"/>
      <c r="Z36" s="1355"/>
      <c r="AA36" s="1355"/>
      <c r="AB36" s="1355"/>
      <c r="AC36" s="1355"/>
      <c r="AD36" s="1355"/>
      <c r="AE36" s="1576">
        <f>SUM(DevBudgetSUTbl[[#This Row],[Column2]:[Column3]])</f>
        <v>0</v>
      </c>
      <c r="AF36" s="839"/>
    </row>
    <row r="37" spans="2:32" s="24" customFormat="1" ht="18" customHeight="1">
      <c r="B37" s="2464"/>
      <c r="C37" s="1356" t="s">
        <v>1182</v>
      </c>
      <c r="D37" s="1353">
        <f t="shared" si="6"/>
        <v>0</v>
      </c>
      <c r="E37" s="1354">
        <f t="shared" si="7"/>
        <v>0</v>
      </c>
      <c r="F37" s="1355"/>
      <c r="G37" s="1355"/>
      <c r="H37" s="1355"/>
      <c r="I37" s="1355"/>
      <c r="J37" s="1355"/>
      <c r="K37" s="1355"/>
      <c r="L37" s="1355"/>
      <c r="M37" s="1355"/>
      <c r="N37" s="1355"/>
      <c r="O37" s="1355"/>
      <c r="P37" s="1355"/>
      <c r="Q37" s="1355"/>
      <c r="R37" s="1355"/>
      <c r="S37" s="1355"/>
      <c r="T37" s="1355"/>
      <c r="U37" s="1355"/>
      <c r="V37" s="1355"/>
      <c r="W37" s="1355"/>
      <c r="X37" s="1355"/>
      <c r="Y37" s="1355"/>
      <c r="Z37" s="1355"/>
      <c r="AA37" s="1355"/>
      <c r="AB37" s="1355"/>
      <c r="AC37" s="1355"/>
      <c r="AD37" s="1355"/>
      <c r="AE37" s="1576">
        <f>SUM(DevBudgetSUTbl[[#This Row],[Column2]:[Column3]])</f>
        <v>0</v>
      </c>
      <c r="AF37" s="839"/>
    </row>
    <row r="38" spans="2:32" s="24" customFormat="1" ht="18" customHeight="1">
      <c r="B38" s="2464"/>
      <c r="C38" s="1356" t="s">
        <v>1182</v>
      </c>
      <c r="D38" s="1353">
        <f t="shared" si="6"/>
        <v>0</v>
      </c>
      <c r="E38" s="1354">
        <f t="shared" si="7"/>
        <v>0</v>
      </c>
      <c r="F38" s="1355"/>
      <c r="G38" s="1355"/>
      <c r="H38" s="1355"/>
      <c r="I38" s="1355"/>
      <c r="J38" s="1355"/>
      <c r="K38" s="1355"/>
      <c r="L38" s="1355"/>
      <c r="M38" s="1355"/>
      <c r="N38" s="1355"/>
      <c r="O38" s="1355"/>
      <c r="P38" s="1355"/>
      <c r="Q38" s="1355"/>
      <c r="R38" s="1355"/>
      <c r="S38" s="1355"/>
      <c r="T38" s="1355"/>
      <c r="U38" s="1355"/>
      <c r="V38" s="1355"/>
      <c r="W38" s="1355"/>
      <c r="X38" s="1355"/>
      <c r="Y38" s="1355"/>
      <c r="Z38" s="1355"/>
      <c r="AA38" s="1355"/>
      <c r="AB38" s="1355"/>
      <c r="AC38" s="1355"/>
      <c r="AD38" s="1355"/>
      <c r="AE38" s="1576">
        <f>SUM(DevBudgetSUTbl[[#This Row],[Column2]:[Column3]])</f>
        <v>0</v>
      </c>
      <c r="AF38" s="839"/>
    </row>
    <row r="39" spans="2:32" s="25" customFormat="1" ht="18" customHeight="1">
      <c r="B39" s="2465"/>
      <c r="C39" s="1356" t="s">
        <v>1182</v>
      </c>
      <c r="D39" s="1353">
        <f t="shared" si="6"/>
        <v>0</v>
      </c>
      <c r="E39" s="1354">
        <f t="shared" si="7"/>
        <v>0</v>
      </c>
      <c r="F39" s="1355"/>
      <c r="G39" s="1355"/>
      <c r="H39" s="1355"/>
      <c r="I39" s="1355"/>
      <c r="J39" s="1355"/>
      <c r="K39" s="1355"/>
      <c r="L39" s="1355"/>
      <c r="M39" s="1355"/>
      <c r="N39" s="1355"/>
      <c r="O39" s="1355"/>
      <c r="P39" s="1355"/>
      <c r="Q39" s="1355"/>
      <c r="R39" s="1355"/>
      <c r="S39" s="1355"/>
      <c r="T39" s="1355"/>
      <c r="U39" s="1355"/>
      <c r="V39" s="1355"/>
      <c r="W39" s="1355"/>
      <c r="X39" s="1355"/>
      <c r="Y39" s="1355"/>
      <c r="Z39" s="1355"/>
      <c r="AA39" s="1355"/>
      <c r="AB39" s="1355"/>
      <c r="AC39" s="1355"/>
      <c r="AD39" s="1355"/>
      <c r="AE39" s="1576">
        <f>SUM(DevBudgetSUTbl[[#This Row],[Column2]:[Column3]])</f>
        <v>0</v>
      </c>
      <c r="AF39" s="839"/>
    </row>
    <row r="40" spans="2:32" s="24" customFormat="1" ht="18" customHeight="1">
      <c r="C40" s="185"/>
      <c r="D40" s="448">
        <f t="shared" ref="D40:AE40" si="8">SUBTOTAL(109,D29:D39)</f>
        <v>0</v>
      </c>
      <c r="E40" s="448">
        <f t="shared" si="8"/>
        <v>0</v>
      </c>
      <c r="F40" s="448">
        <f t="shared" si="8"/>
        <v>0</v>
      </c>
      <c r="G40" s="448">
        <f t="shared" si="8"/>
        <v>0</v>
      </c>
      <c r="H40" s="448">
        <f t="shared" si="8"/>
        <v>0</v>
      </c>
      <c r="I40" s="448">
        <f t="shared" si="8"/>
        <v>0</v>
      </c>
      <c r="J40" s="448">
        <f t="shared" si="8"/>
        <v>0</v>
      </c>
      <c r="K40" s="448">
        <f t="shared" si="8"/>
        <v>0</v>
      </c>
      <c r="L40" s="448">
        <f t="shared" si="8"/>
        <v>0</v>
      </c>
      <c r="M40" s="448">
        <f t="shared" si="8"/>
        <v>0</v>
      </c>
      <c r="N40" s="448">
        <f t="shared" si="8"/>
        <v>0</v>
      </c>
      <c r="O40" s="448">
        <f t="shared" si="8"/>
        <v>0</v>
      </c>
      <c r="P40" s="448">
        <f t="shared" si="8"/>
        <v>0</v>
      </c>
      <c r="Q40" s="448">
        <f t="shared" si="8"/>
        <v>0</v>
      </c>
      <c r="R40" s="448">
        <f t="shared" si="8"/>
        <v>0</v>
      </c>
      <c r="S40" s="448">
        <f t="shared" si="8"/>
        <v>0</v>
      </c>
      <c r="T40" s="448">
        <f t="shared" si="8"/>
        <v>0</v>
      </c>
      <c r="U40" s="448">
        <f t="shared" si="8"/>
        <v>0</v>
      </c>
      <c r="V40" s="448">
        <f t="shared" si="8"/>
        <v>0</v>
      </c>
      <c r="W40" s="448">
        <f t="shared" si="8"/>
        <v>0</v>
      </c>
      <c r="X40" s="448">
        <f t="shared" si="8"/>
        <v>0</v>
      </c>
      <c r="Y40" s="448">
        <f t="shared" si="8"/>
        <v>0</v>
      </c>
      <c r="Z40" s="448">
        <f t="shared" si="8"/>
        <v>0</v>
      </c>
      <c r="AA40" s="448">
        <f t="shared" si="8"/>
        <v>0</v>
      </c>
      <c r="AB40" s="448">
        <f t="shared" si="8"/>
        <v>0</v>
      </c>
      <c r="AC40" s="448">
        <f t="shared" si="8"/>
        <v>0</v>
      </c>
      <c r="AD40" s="448">
        <f t="shared" si="8"/>
        <v>0</v>
      </c>
      <c r="AE40" s="1575">
        <f t="shared" si="8"/>
        <v>0</v>
      </c>
      <c r="AF40" s="840"/>
    </row>
    <row r="41" spans="2:32" s="24" customFormat="1" ht="18" customHeight="1">
      <c r="B41" s="2463" t="s">
        <v>1186</v>
      </c>
      <c r="C41" s="1352" t="s">
        <v>1187</v>
      </c>
      <c r="D41" s="1353">
        <f>SUM(H41:AB41)</f>
        <v>0</v>
      </c>
      <c r="E41" s="1354">
        <f>SUM(AC41:AD41)</f>
        <v>0</v>
      </c>
      <c r="F41" s="1355"/>
      <c r="G41" s="1355"/>
      <c r="H41" s="1355"/>
      <c r="I41" s="1355"/>
      <c r="J41" s="1355"/>
      <c r="K41" s="1355"/>
      <c r="L41" s="1355"/>
      <c r="M41" s="1355"/>
      <c r="N41" s="1355"/>
      <c r="O41" s="1355"/>
      <c r="P41" s="1355"/>
      <c r="Q41" s="1355"/>
      <c r="R41" s="1355"/>
      <c r="S41" s="1355"/>
      <c r="T41" s="1355"/>
      <c r="U41" s="1355"/>
      <c r="V41" s="1355"/>
      <c r="W41" s="1355"/>
      <c r="X41" s="1355"/>
      <c r="Y41" s="1355"/>
      <c r="Z41" s="1355"/>
      <c r="AA41" s="1355"/>
      <c r="AB41" s="1355"/>
      <c r="AC41" s="1355"/>
      <c r="AD41" s="1355"/>
      <c r="AE41" s="1576">
        <f>SUM(DevBudgetSUTbl[[#This Row],[Column2]:[Column3]])</f>
        <v>0</v>
      </c>
      <c r="AF41" s="839"/>
    </row>
    <row r="42" spans="2:32" s="24" customFormat="1" ht="18" customHeight="1">
      <c r="B42" s="2464"/>
      <c r="C42" s="1352" t="s">
        <v>1188</v>
      </c>
      <c r="D42" s="1353">
        <f>SUM(H42:AB42)</f>
        <v>0</v>
      </c>
      <c r="E42" s="1354">
        <f>SUM(AC42:AD42)</f>
        <v>0</v>
      </c>
      <c r="F42" s="1355"/>
      <c r="G42" s="1355"/>
      <c r="H42" s="1355"/>
      <c r="I42" s="1355"/>
      <c r="J42" s="1355"/>
      <c r="K42" s="1355"/>
      <c r="L42" s="1355"/>
      <c r="M42" s="1355"/>
      <c r="N42" s="1355"/>
      <c r="O42" s="1355"/>
      <c r="P42" s="1355"/>
      <c r="Q42" s="1355"/>
      <c r="R42" s="1355"/>
      <c r="S42" s="1355"/>
      <c r="T42" s="1355"/>
      <c r="U42" s="1355"/>
      <c r="V42" s="1355"/>
      <c r="W42" s="1355"/>
      <c r="X42" s="1355"/>
      <c r="Y42" s="1355"/>
      <c r="Z42" s="1355"/>
      <c r="AA42" s="1355"/>
      <c r="AB42" s="1355"/>
      <c r="AC42" s="1355"/>
      <c r="AD42" s="1355"/>
      <c r="AE42" s="1576">
        <f>SUM(DevBudgetSUTbl[[#This Row],[Column2]:[Column3]])</f>
        <v>0</v>
      </c>
      <c r="AF42" s="839"/>
    </row>
    <row r="43" spans="2:32" s="24" customFormat="1" ht="14.25" customHeight="1">
      <c r="B43" s="2464"/>
      <c r="C43" s="1352" t="s">
        <v>1189</v>
      </c>
      <c r="D43" s="1353">
        <f>SUM(H43:AB43)</f>
        <v>0</v>
      </c>
      <c r="E43" s="1354">
        <f>SUM(AC43:AD43)</f>
        <v>0</v>
      </c>
      <c r="F43" s="1355"/>
      <c r="G43" s="1355"/>
      <c r="H43" s="1355"/>
      <c r="I43" s="1355"/>
      <c r="J43" s="1355"/>
      <c r="K43" s="1355"/>
      <c r="L43" s="1355"/>
      <c r="M43" s="1355"/>
      <c r="N43" s="1355"/>
      <c r="O43" s="1355"/>
      <c r="P43" s="1355"/>
      <c r="Q43" s="1355"/>
      <c r="R43" s="1355"/>
      <c r="S43" s="1355"/>
      <c r="T43" s="1355"/>
      <c r="U43" s="1355"/>
      <c r="V43" s="1355"/>
      <c r="W43" s="1355"/>
      <c r="X43" s="1355"/>
      <c r="Y43" s="1355"/>
      <c r="Z43" s="1355"/>
      <c r="AA43" s="1355"/>
      <c r="AB43" s="1355"/>
      <c r="AC43" s="1355"/>
      <c r="AD43" s="1355"/>
      <c r="AE43" s="1576">
        <f>SUM(DevBudgetSUTbl[[#This Row],[Column2]:[Column3]])</f>
        <v>0</v>
      </c>
      <c r="AF43" s="839"/>
    </row>
    <row r="44" spans="2:32" s="24" customFormat="1" ht="15" customHeight="1">
      <c r="B44" s="2464"/>
      <c r="C44" s="1356" t="s">
        <v>1182</v>
      </c>
      <c r="D44" s="1353">
        <f>SUM(H44:AB44)</f>
        <v>0</v>
      </c>
      <c r="E44" s="1354">
        <f>SUM(AC44:AD44)</f>
        <v>0</v>
      </c>
      <c r="F44" s="1355"/>
      <c r="G44" s="1355"/>
      <c r="H44" s="1355"/>
      <c r="I44" s="1355"/>
      <c r="J44" s="1355"/>
      <c r="K44" s="1355"/>
      <c r="L44" s="1355"/>
      <c r="M44" s="1355"/>
      <c r="N44" s="1355"/>
      <c r="O44" s="1355"/>
      <c r="P44" s="1355"/>
      <c r="Q44" s="1355"/>
      <c r="R44" s="1355"/>
      <c r="S44" s="1355"/>
      <c r="T44" s="1355"/>
      <c r="U44" s="1355"/>
      <c r="V44" s="1355"/>
      <c r="W44" s="1355"/>
      <c r="X44" s="1355"/>
      <c r="Y44" s="1355"/>
      <c r="Z44" s="1355"/>
      <c r="AA44" s="1355"/>
      <c r="AB44" s="1355"/>
      <c r="AC44" s="1355"/>
      <c r="AD44" s="1355"/>
      <c r="AE44" s="1576">
        <f>SUM(DevBudgetSUTbl[[#This Row],[Column2]:[Column3]])</f>
        <v>0</v>
      </c>
      <c r="AF44" s="839"/>
    </row>
    <row r="45" spans="2:32" s="107" customFormat="1" ht="18" customHeight="1">
      <c r="B45" s="2465"/>
      <c r="C45" s="1356" t="s">
        <v>1182</v>
      </c>
      <c r="D45" s="1353">
        <f>SUM(H45:AB45)</f>
        <v>0</v>
      </c>
      <c r="E45" s="1354">
        <f>SUM(AC45:AD45)</f>
        <v>0</v>
      </c>
      <c r="F45" s="1355"/>
      <c r="G45" s="1355"/>
      <c r="H45" s="1355"/>
      <c r="I45" s="1355"/>
      <c r="J45" s="1355"/>
      <c r="K45" s="1355"/>
      <c r="L45" s="1355"/>
      <c r="M45" s="1355"/>
      <c r="N45" s="1355"/>
      <c r="O45" s="1355"/>
      <c r="P45" s="1355"/>
      <c r="Q45" s="1355"/>
      <c r="R45" s="1355"/>
      <c r="S45" s="1355"/>
      <c r="T45" s="1355"/>
      <c r="U45" s="1355"/>
      <c r="V45" s="1355"/>
      <c r="W45" s="1355"/>
      <c r="X45" s="1355"/>
      <c r="Y45" s="1355"/>
      <c r="Z45" s="1355"/>
      <c r="AA45" s="1355"/>
      <c r="AB45" s="1355"/>
      <c r="AC45" s="1355"/>
      <c r="AD45" s="1355"/>
      <c r="AE45" s="1576">
        <f>SUM(DevBudgetSUTbl[[#This Row],[Column2]:[Column3]])</f>
        <v>0</v>
      </c>
      <c r="AF45" s="839"/>
    </row>
    <row r="46" spans="2:32" s="24" customFormat="1" ht="18" customHeight="1">
      <c r="C46" s="186"/>
      <c r="D46" s="448">
        <f t="shared" ref="D46:AE46" si="9">SUBTOTAL(109,D41:D45)</f>
        <v>0</v>
      </c>
      <c r="E46" s="448">
        <f t="shared" si="9"/>
        <v>0</v>
      </c>
      <c r="F46" s="448">
        <f t="shared" si="9"/>
        <v>0</v>
      </c>
      <c r="G46" s="448">
        <f t="shared" si="9"/>
        <v>0</v>
      </c>
      <c r="H46" s="448">
        <f t="shared" si="9"/>
        <v>0</v>
      </c>
      <c r="I46" s="448">
        <f t="shared" si="9"/>
        <v>0</v>
      </c>
      <c r="J46" s="448">
        <f t="shared" si="9"/>
        <v>0</v>
      </c>
      <c r="K46" s="448">
        <f t="shared" si="9"/>
        <v>0</v>
      </c>
      <c r="L46" s="448">
        <f t="shared" si="9"/>
        <v>0</v>
      </c>
      <c r="M46" s="448">
        <f t="shared" si="9"/>
        <v>0</v>
      </c>
      <c r="N46" s="448">
        <f t="shared" si="9"/>
        <v>0</v>
      </c>
      <c r="O46" s="448">
        <f t="shared" si="9"/>
        <v>0</v>
      </c>
      <c r="P46" s="448">
        <f t="shared" si="9"/>
        <v>0</v>
      </c>
      <c r="Q46" s="448">
        <f t="shared" si="9"/>
        <v>0</v>
      </c>
      <c r="R46" s="448">
        <f t="shared" si="9"/>
        <v>0</v>
      </c>
      <c r="S46" s="448">
        <f t="shared" si="9"/>
        <v>0</v>
      </c>
      <c r="T46" s="448">
        <f t="shared" si="9"/>
        <v>0</v>
      </c>
      <c r="U46" s="448">
        <f t="shared" si="9"/>
        <v>0</v>
      </c>
      <c r="V46" s="448">
        <f t="shared" si="9"/>
        <v>0</v>
      </c>
      <c r="W46" s="448">
        <f t="shared" si="9"/>
        <v>0</v>
      </c>
      <c r="X46" s="448">
        <f t="shared" si="9"/>
        <v>0</v>
      </c>
      <c r="Y46" s="448">
        <f t="shared" si="9"/>
        <v>0</v>
      </c>
      <c r="Z46" s="448">
        <f t="shared" si="9"/>
        <v>0</v>
      </c>
      <c r="AA46" s="448">
        <f t="shared" si="9"/>
        <v>0</v>
      </c>
      <c r="AB46" s="448">
        <f t="shared" si="9"/>
        <v>0</v>
      </c>
      <c r="AC46" s="448">
        <f t="shared" si="9"/>
        <v>0</v>
      </c>
      <c r="AD46" s="448">
        <f t="shared" si="9"/>
        <v>0</v>
      </c>
      <c r="AE46" s="1575">
        <f t="shared" si="9"/>
        <v>0</v>
      </c>
      <c r="AF46" s="840"/>
    </row>
    <row r="47" spans="2:32" s="24" customFormat="1" ht="18" customHeight="1">
      <c r="B47" s="2463" t="s">
        <v>1190</v>
      </c>
      <c r="C47" s="1352" t="s">
        <v>1191</v>
      </c>
      <c r="D47" s="1353">
        <f t="shared" ref="D47:D59" si="10">SUM(H47:AB47)</f>
        <v>0</v>
      </c>
      <c r="E47" s="1354">
        <f t="shared" ref="E47:E59" si="11">SUM(AC47:AD47)</f>
        <v>0</v>
      </c>
      <c r="F47" s="1355"/>
      <c r="G47" s="1355"/>
      <c r="H47" s="1355"/>
      <c r="I47" s="1355"/>
      <c r="J47" s="1355"/>
      <c r="K47" s="1355"/>
      <c r="L47" s="1355"/>
      <c r="M47" s="1355"/>
      <c r="N47" s="1355"/>
      <c r="O47" s="1355"/>
      <c r="P47" s="1355"/>
      <c r="Q47" s="1355"/>
      <c r="R47" s="1355"/>
      <c r="S47" s="1355"/>
      <c r="T47" s="1355"/>
      <c r="U47" s="1355"/>
      <c r="V47" s="1355"/>
      <c r="W47" s="1355"/>
      <c r="X47" s="1355"/>
      <c r="Y47" s="1355"/>
      <c r="Z47" s="1355"/>
      <c r="AA47" s="1355"/>
      <c r="AB47" s="1355"/>
      <c r="AC47" s="1355"/>
      <c r="AD47" s="1355"/>
      <c r="AE47" s="1576">
        <f>SUM(DevBudgetSUTbl[[#This Row],[Column2]:[Column3]])</f>
        <v>0</v>
      </c>
      <c r="AF47" s="839"/>
    </row>
    <row r="48" spans="2:32" s="24" customFormat="1" ht="18" customHeight="1">
      <c r="B48" s="2464"/>
      <c r="C48" s="1352" t="s">
        <v>1192</v>
      </c>
      <c r="D48" s="1353">
        <f t="shared" si="10"/>
        <v>0</v>
      </c>
      <c r="E48" s="1354">
        <f t="shared" si="11"/>
        <v>0</v>
      </c>
      <c r="F48" s="1355"/>
      <c r="G48" s="1355"/>
      <c r="H48" s="1355"/>
      <c r="I48" s="1355"/>
      <c r="J48" s="1355"/>
      <c r="K48" s="1355"/>
      <c r="L48" s="1355"/>
      <c r="M48" s="1355"/>
      <c r="N48" s="1355"/>
      <c r="O48" s="1355"/>
      <c r="P48" s="1355"/>
      <c r="Q48" s="1355"/>
      <c r="R48" s="1355"/>
      <c r="S48" s="1355"/>
      <c r="T48" s="1355"/>
      <c r="U48" s="1355"/>
      <c r="V48" s="1355"/>
      <c r="W48" s="1355"/>
      <c r="X48" s="1355"/>
      <c r="Y48" s="1355"/>
      <c r="Z48" s="1355"/>
      <c r="AA48" s="1355"/>
      <c r="AB48" s="1355"/>
      <c r="AC48" s="1355"/>
      <c r="AD48" s="1355"/>
      <c r="AE48" s="1576">
        <f>SUM(DevBudgetSUTbl[[#This Row],[Column2]:[Column3]])</f>
        <v>0</v>
      </c>
      <c r="AF48" s="839"/>
    </row>
    <row r="49" spans="2:32" s="24" customFormat="1" ht="18" customHeight="1">
      <c r="B49" s="2464"/>
      <c r="C49" s="1352" t="s">
        <v>1193</v>
      </c>
      <c r="D49" s="1353">
        <f t="shared" si="10"/>
        <v>0</v>
      </c>
      <c r="E49" s="1354">
        <f t="shared" si="11"/>
        <v>0</v>
      </c>
      <c r="F49" s="1355"/>
      <c r="G49" s="1355"/>
      <c r="H49" s="1355"/>
      <c r="I49" s="1355"/>
      <c r="J49" s="1355"/>
      <c r="K49" s="1355"/>
      <c r="L49" s="1355"/>
      <c r="M49" s="1355"/>
      <c r="N49" s="1355"/>
      <c r="O49" s="1355"/>
      <c r="P49" s="1355"/>
      <c r="Q49" s="1355"/>
      <c r="R49" s="1355"/>
      <c r="S49" s="1355"/>
      <c r="T49" s="1355"/>
      <c r="U49" s="1355"/>
      <c r="V49" s="1355"/>
      <c r="W49" s="1355"/>
      <c r="X49" s="1355"/>
      <c r="Y49" s="1355"/>
      <c r="Z49" s="1355"/>
      <c r="AA49" s="1355"/>
      <c r="AB49" s="1355"/>
      <c r="AC49" s="1355"/>
      <c r="AD49" s="1355"/>
      <c r="AE49" s="1576">
        <f>SUM(DevBudgetSUTbl[[#This Row],[Column2]:[Column3]])</f>
        <v>0</v>
      </c>
      <c r="AF49" s="839"/>
    </row>
    <row r="50" spans="2:32" s="24" customFormat="1" ht="18" customHeight="1">
      <c r="B50" s="2464"/>
      <c r="C50" s="1352" t="s">
        <v>1194</v>
      </c>
      <c r="D50" s="1353">
        <f t="shared" si="10"/>
        <v>0</v>
      </c>
      <c r="E50" s="1354">
        <f t="shared" si="11"/>
        <v>0</v>
      </c>
      <c r="F50" s="1355"/>
      <c r="G50" s="1355"/>
      <c r="H50" s="1355"/>
      <c r="I50" s="1355"/>
      <c r="J50" s="1355"/>
      <c r="K50" s="1355"/>
      <c r="L50" s="1355"/>
      <c r="M50" s="1355"/>
      <c r="N50" s="1355"/>
      <c r="O50" s="1355"/>
      <c r="P50" s="1355"/>
      <c r="Q50" s="1355"/>
      <c r="R50" s="1355"/>
      <c r="S50" s="1355"/>
      <c r="T50" s="1355"/>
      <c r="U50" s="1355"/>
      <c r="V50" s="1355"/>
      <c r="W50" s="1355"/>
      <c r="X50" s="1355"/>
      <c r="Y50" s="1355"/>
      <c r="Z50" s="1355"/>
      <c r="AA50" s="1355"/>
      <c r="AB50" s="1355"/>
      <c r="AC50" s="1355"/>
      <c r="AD50" s="1355"/>
      <c r="AE50" s="1576">
        <f>SUM(DevBudgetSUTbl[[#This Row],[Column2]:[Column3]])</f>
        <v>0</v>
      </c>
      <c r="AF50" s="839"/>
    </row>
    <row r="51" spans="2:32" s="24" customFormat="1" ht="18" customHeight="1">
      <c r="B51" s="2464"/>
      <c r="C51" s="1352" t="s">
        <v>1195</v>
      </c>
      <c r="D51" s="1353">
        <f t="shared" si="10"/>
        <v>0</v>
      </c>
      <c r="E51" s="1354">
        <f t="shared" si="11"/>
        <v>0</v>
      </c>
      <c r="F51" s="1355"/>
      <c r="G51" s="1355"/>
      <c r="H51" s="1355"/>
      <c r="I51" s="1355"/>
      <c r="J51" s="1355"/>
      <c r="K51" s="1355"/>
      <c r="L51" s="1355"/>
      <c r="M51" s="1355"/>
      <c r="N51" s="1355"/>
      <c r="O51" s="1355"/>
      <c r="P51" s="1355"/>
      <c r="Q51" s="1355"/>
      <c r="R51" s="1355"/>
      <c r="S51" s="1355"/>
      <c r="T51" s="1355"/>
      <c r="U51" s="1355"/>
      <c r="V51" s="1355"/>
      <c r="W51" s="1355"/>
      <c r="X51" s="1355"/>
      <c r="Y51" s="1355"/>
      <c r="Z51" s="1355"/>
      <c r="AA51" s="1355"/>
      <c r="AB51" s="1355"/>
      <c r="AC51" s="1355"/>
      <c r="AD51" s="1355"/>
      <c r="AE51" s="1576">
        <f>SUM(DevBudgetSUTbl[[#This Row],[Column2]:[Column3]])</f>
        <v>0</v>
      </c>
      <c r="AF51" s="839"/>
    </row>
    <row r="52" spans="2:32" s="24" customFormat="1" ht="18" customHeight="1">
      <c r="B52" s="2464"/>
      <c r="C52" s="1352" t="s">
        <v>1196</v>
      </c>
      <c r="D52" s="1353">
        <f t="shared" si="10"/>
        <v>0</v>
      </c>
      <c r="E52" s="1354">
        <f t="shared" si="11"/>
        <v>0</v>
      </c>
      <c r="F52" s="1355"/>
      <c r="G52" s="1355"/>
      <c r="H52" s="1355"/>
      <c r="I52" s="1355"/>
      <c r="J52" s="1355"/>
      <c r="K52" s="1355"/>
      <c r="L52" s="1355"/>
      <c r="M52" s="1355"/>
      <c r="N52" s="1355"/>
      <c r="O52" s="1355"/>
      <c r="P52" s="1355"/>
      <c r="Q52" s="1355"/>
      <c r="R52" s="1355"/>
      <c r="S52" s="1355"/>
      <c r="T52" s="1355"/>
      <c r="U52" s="1355"/>
      <c r="V52" s="1355"/>
      <c r="W52" s="1355"/>
      <c r="X52" s="1355"/>
      <c r="Y52" s="1355"/>
      <c r="Z52" s="1355"/>
      <c r="AA52" s="1355"/>
      <c r="AB52" s="1355"/>
      <c r="AC52" s="1355"/>
      <c r="AD52" s="1355"/>
      <c r="AE52" s="1576">
        <f>SUM(DevBudgetSUTbl[[#This Row],[Column2]:[Column3]])</f>
        <v>0</v>
      </c>
      <c r="AF52" s="839"/>
    </row>
    <row r="53" spans="2:32" s="24" customFormat="1" ht="18" customHeight="1">
      <c r="B53" s="2464"/>
      <c r="C53" s="1352" t="s">
        <v>1197</v>
      </c>
      <c r="D53" s="1353">
        <f t="shared" si="10"/>
        <v>0</v>
      </c>
      <c r="E53" s="1354">
        <f t="shared" si="11"/>
        <v>0</v>
      </c>
      <c r="F53" s="1355"/>
      <c r="G53" s="1355"/>
      <c r="H53" s="1355"/>
      <c r="I53" s="1355"/>
      <c r="J53" s="1355"/>
      <c r="K53" s="1355"/>
      <c r="L53" s="1355"/>
      <c r="M53" s="1355"/>
      <c r="N53" s="1355"/>
      <c r="O53" s="1355"/>
      <c r="P53" s="1355"/>
      <c r="Q53" s="1355"/>
      <c r="R53" s="1355"/>
      <c r="S53" s="1355"/>
      <c r="T53" s="1355"/>
      <c r="U53" s="1355"/>
      <c r="V53" s="1355"/>
      <c r="W53" s="1355"/>
      <c r="X53" s="1355"/>
      <c r="Y53" s="1355"/>
      <c r="Z53" s="1355"/>
      <c r="AA53" s="1355"/>
      <c r="AB53" s="1355"/>
      <c r="AC53" s="1355"/>
      <c r="AD53" s="1355"/>
      <c r="AE53" s="1576">
        <f>SUM(DevBudgetSUTbl[[#This Row],[Column2]:[Column3]])</f>
        <v>0</v>
      </c>
      <c r="AF53" s="839"/>
    </row>
    <row r="54" spans="2:32" s="24" customFormat="1" ht="18" customHeight="1">
      <c r="B54" s="2464"/>
      <c r="C54" s="1352" t="s">
        <v>343</v>
      </c>
      <c r="D54" s="1353">
        <f t="shared" si="10"/>
        <v>0</v>
      </c>
      <c r="E54" s="1354">
        <f t="shared" si="11"/>
        <v>0</v>
      </c>
      <c r="F54" s="1355"/>
      <c r="G54" s="1355"/>
      <c r="H54" s="1355"/>
      <c r="I54" s="1355"/>
      <c r="J54" s="1355"/>
      <c r="K54" s="1355"/>
      <c r="L54" s="1355"/>
      <c r="M54" s="1355"/>
      <c r="N54" s="1355"/>
      <c r="O54" s="1355"/>
      <c r="P54" s="1355"/>
      <c r="Q54" s="1355"/>
      <c r="R54" s="1355"/>
      <c r="S54" s="1355"/>
      <c r="T54" s="1355"/>
      <c r="U54" s="1355"/>
      <c r="V54" s="1355"/>
      <c r="W54" s="1355"/>
      <c r="X54" s="1355"/>
      <c r="Y54" s="1355"/>
      <c r="Z54" s="1355"/>
      <c r="AA54" s="1355"/>
      <c r="AB54" s="1355"/>
      <c r="AC54" s="1355"/>
      <c r="AD54" s="1355"/>
      <c r="AE54" s="1576">
        <f>SUM(DevBudgetSUTbl[[#This Row],[Column2]:[Column3]])</f>
        <v>0</v>
      </c>
      <c r="AF54" s="839"/>
    </row>
    <row r="55" spans="2:32" s="24" customFormat="1" ht="18" customHeight="1">
      <c r="B55" s="2464"/>
      <c r="C55" s="1352" t="s">
        <v>1198</v>
      </c>
      <c r="D55" s="1353">
        <f t="shared" si="10"/>
        <v>0</v>
      </c>
      <c r="E55" s="1354">
        <f t="shared" si="11"/>
        <v>0</v>
      </c>
      <c r="F55" s="1355"/>
      <c r="G55" s="1355"/>
      <c r="H55" s="1355"/>
      <c r="I55" s="1355"/>
      <c r="J55" s="1355"/>
      <c r="K55" s="1355"/>
      <c r="L55" s="1355"/>
      <c r="M55" s="1355"/>
      <c r="N55" s="1355"/>
      <c r="O55" s="1355"/>
      <c r="P55" s="1355"/>
      <c r="Q55" s="1355"/>
      <c r="R55" s="1355"/>
      <c r="S55" s="1355"/>
      <c r="T55" s="1355"/>
      <c r="U55" s="1355"/>
      <c r="V55" s="1355"/>
      <c r="W55" s="1355"/>
      <c r="X55" s="1355"/>
      <c r="Y55" s="1355"/>
      <c r="Z55" s="1355"/>
      <c r="AA55" s="1355"/>
      <c r="AB55" s="1355"/>
      <c r="AC55" s="1355"/>
      <c r="AD55" s="1355"/>
      <c r="AE55" s="1576">
        <f>SUM(DevBudgetSUTbl[[#This Row],[Column2]:[Column3]])</f>
        <v>0</v>
      </c>
      <c r="AF55" s="839"/>
    </row>
    <row r="56" spans="2:32" s="24" customFormat="1" ht="18" customHeight="1">
      <c r="B56" s="2464"/>
      <c r="C56" s="1356" t="s">
        <v>1182</v>
      </c>
      <c r="D56" s="1353">
        <f t="shared" si="10"/>
        <v>0</v>
      </c>
      <c r="E56" s="1354">
        <f t="shared" si="11"/>
        <v>0</v>
      </c>
      <c r="F56" s="1355"/>
      <c r="G56" s="1355"/>
      <c r="H56" s="1355"/>
      <c r="I56" s="1355"/>
      <c r="J56" s="1355"/>
      <c r="K56" s="1355"/>
      <c r="L56" s="1355"/>
      <c r="M56" s="1355"/>
      <c r="N56" s="1355"/>
      <c r="O56" s="1355"/>
      <c r="P56" s="1355"/>
      <c r="Q56" s="1355"/>
      <c r="R56" s="1355"/>
      <c r="S56" s="1355"/>
      <c r="T56" s="1355"/>
      <c r="U56" s="1355"/>
      <c r="V56" s="1355"/>
      <c r="W56" s="1355"/>
      <c r="X56" s="1355"/>
      <c r="Y56" s="1355"/>
      <c r="Z56" s="1355"/>
      <c r="AA56" s="1355"/>
      <c r="AB56" s="1355"/>
      <c r="AC56" s="1355"/>
      <c r="AD56" s="1355"/>
      <c r="AE56" s="1576">
        <f>SUM(DevBudgetSUTbl[[#This Row],[Column2]:[Column3]])</f>
        <v>0</v>
      </c>
      <c r="AF56" s="839"/>
    </row>
    <row r="57" spans="2:32" s="24" customFormat="1" ht="18" customHeight="1">
      <c r="B57" s="2464"/>
      <c r="C57" s="1356" t="s">
        <v>1182</v>
      </c>
      <c r="D57" s="1353">
        <f t="shared" si="10"/>
        <v>0</v>
      </c>
      <c r="E57" s="1354">
        <f t="shared" si="11"/>
        <v>0</v>
      </c>
      <c r="F57" s="1355"/>
      <c r="G57" s="1355"/>
      <c r="H57" s="1355"/>
      <c r="I57" s="1355"/>
      <c r="J57" s="1355"/>
      <c r="K57" s="1355"/>
      <c r="L57" s="1355"/>
      <c r="M57" s="1355"/>
      <c r="N57" s="1355"/>
      <c r="O57" s="1355"/>
      <c r="P57" s="1355"/>
      <c r="Q57" s="1355"/>
      <c r="R57" s="1355"/>
      <c r="S57" s="1355"/>
      <c r="T57" s="1355"/>
      <c r="U57" s="1355"/>
      <c r="V57" s="1355"/>
      <c r="W57" s="1355"/>
      <c r="X57" s="1355"/>
      <c r="Y57" s="1355"/>
      <c r="Z57" s="1355"/>
      <c r="AA57" s="1355"/>
      <c r="AB57" s="1355"/>
      <c r="AC57" s="1355"/>
      <c r="AD57" s="1355"/>
      <c r="AE57" s="1576">
        <f>SUM(DevBudgetSUTbl[[#This Row],[Column2]:[Column3]])</f>
        <v>0</v>
      </c>
      <c r="AF57" s="839"/>
    </row>
    <row r="58" spans="2:32" s="24" customFormat="1" ht="18" customHeight="1">
      <c r="B58" s="2464"/>
      <c r="C58" s="1356" t="s">
        <v>1182</v>
      </c>
      <c r="D58" s="1353">
        <f t="shared" si="10"/>
        <v>0</v>
      </c>
      <c r="E58" s="1354">
        <f t="shared" si="11"/>
        <v>0</v>
      </c>
      <c r="F58" s="1355"/>
      <c r="G58" s="1355"/>
      <c r="H58" s="1355"/>
      <c r="I58" s="1355"/>
      <c r="J58" s="1355"/>
      <c r="K58" s="1355"/>
      <c r="L58" s="1355"/>
      <c r="M58" s="1355"/>
      <c r="N58" s="1355"/>
      <c r="O58" s="1355"/>
      <c r="P58" s="1355"/>
      <c r="Q58" s="1355"/>
      <c r="R58" s="1355"/>
      <c r="S58" s="1355"/>
      <c r="T58" s="1355"/>
      <c r="U58" s="1355"/>
      <c r="V58" s="1355"/>
      <c r="W58" s="1355"/>
      <c r="X58" s="1355"/>
      <c r="Y58" s="1355"/>
      <c r="Z58" s="1355"/>
      <c r="AA58" s="1355"/>
      <c r="AB58" s="1355"/>
      <c r="AC58" s="1355"/>
      <c r="AD58" s="1355"/>
      <c r="AE58" s="1576">
        <f>SUM(DevBudgetSUTbl[[#This Row],[Column2]:[Column3]])</f>
        <v>0</v>
      </c>
      <c r="AF58" s="839"/>
    </row>
    <row r="59" spans="2:32" s="107" customFormat="1" ht="18" customHeight="1">
      <c r="B59" s="2465"/>
      <c r="C59" s="1356" t="s">
        <v>1182</v>
      </c>
      <c r="D59" s="1353">
        <f t="shared" si="10"/>
        <v>0</v>
      </c>
      <c r="E59" s="1354">
        <f t="shared" si="11"/>
        <v>0</v>
      </c>
      <c r="F59" s="1355"/>
      <c r="G59" s="1355"/>
      <c r="H59" s="1355"/>
      <c r="I59" s="1355"/>
      <c r="J59" s="1355"/>
      <c r="K59" s="1355"/>
      <c r="L59" s="1355"/>
      <c r="M59" s="1355"/>
      <c r="N59" s="1355"/>
      <c r="O59" s="1355"/>
      <c r="P59" s="1355"/>
      <c r="Q59" s="1355"/>
      <c r="R59" s="1355"/>
      <c r="S59" s="1355"/>
      <c r="T59" s="1355"/>
      <c r="U59" s="1355"/>
      <c r="V59" s="1355"/>
      <c r="W59" s="1355"/>
      <c r="X59" s="1355"/>
      <c r="Y59" s="1355"/>
      <c r="Z59" s="1355"/>
      <c r="AA59" s="1355"/>
      <c r="AB59" s="1355"/>
      <c r="AC59" s="1355"/>
      <c r="AD59" s="1355"/>
      <c r="AE59" s="1576">
        <f>SUM(DevBudgetSUTbl[[#This Row],[Column2]:[Column3]])</f>
        <v>0</v>
      </c>
      <c r="AF59" s="839"/>
    </row>
    <row r="60" spans="2:32" s="24" customFormat="1" ht="18" customHeight="1">
      <c r="C60" s="186"/>
      <c r="D60" s="448">
        <f t="shared" ref="D60:AE60" si="12">SUBTOTAL(109,D47:D59)</f>
        <v>0</v>
      </c>
      <c r="E60" s="448">
        <f t="shared" si="12"/>
        <v>0</v>
      </c>
      <c r="F60" s="448">
        <f t="shared" si="12"/>
        <v>0</v>
      </c>
      <c r="G60" s="448">
        <f t="shared" si="12"/>
        <v>0</v>
      </c>
      <c r="H60" s="448">
        <f t="shared" si="12"/>
        <v>0</v>
      </c>
      <c r="I60" s="448">
        <f t="shared" si="12"/>
        <v>0</v>
      </c>
      <c r="J60" s="448">
        <f t="shared" si="12"/>
        <v>0</v>
      </c>
      <c r="K60" s="448">
        <f t="shared" si="12"/>
        <v>0</v>
      </c>
      <c r="L60" s="448">
        <f t="shared" si="12"/>
        <v>0</v>
      </c>
      <c r="M60" s="448">
        <f t="shared" si="12"/>
        <v>0</v>
      </c>
      <c r="N60" s="448">
        <f t="shared" si="12"/>
        <v>0</v>
      </c>
      <c r="O60" s="448">
        <f t="shared" si="12"/>
        <v>0</v>
      </c>
      <c r="P60" s="448">
        <f t="shared" si="12"/>
        <v>0</v>
      </c>
      <c r="Q60" s="448">
        <f t="shared" si="12"/>
        <v>0</v>
      </c>
      <c r="R60" s="448">
        <f t="shared" si="12"/>
        <v>0</v>
      </c>
      <c r="S60" s="448">
        <f t="shared" si="12"/>
        <v>0</v>
      </c>
      <c r="T60" s="448">
        <f t="shared" si="12"/>
        <v>0</v>
      </c>
      <c r="U60" s="448">
        <f t="shared" si="12"/>
        <v>0</v>
      </c>
      <c r="V60" s="448">
        <f t="shared" si="12"/>
        <v>0</v>
      </c>
      <c r="W60" s="448">
        <f t="shared" si="12"/>
        <v>0</v>
      </c>
      <c r="X60" s="448">
        <f t="shared" si="12"/>
        <v>0</v>
      </c>
      <c r="Y60" s="448">
        <f t="shared" si="12"/>
        <v>0</v>
      </c>
      <c r="Z60" s="448">
        <f t="shared" si="12"/>
        <v>0</v>
      </c>
      <c r="AA60" s="448">
        <f t="shared" si="12"/>
        <v>0</v>
      </c>
      <c r="AB60" s="448">
        <f t="shared" si="12"/>
        <v>0</v>
      </c>
      <c r="AC60" s="448">
        <f t="shared" si="12"/>
        <v>0</v>
      </c>
      <c r="AD60" s="448">
        <f t="shared" si="12"/>
        <v>0</v>
      </c>
      <c r="AE60" s="1575">
        <f t="shared" si="12"/>
        <v>0</v>
      </c>
      <c r="AF60" s="840"/>
    </row>
    <row r="61" spans="2:32" s="24" customFormat="1" ht="18" customHeight="1">
      <c r="B61" s="2463" t="s">
        <v>1199</v>
      </c>
      <c r="C61" s="1352" t="s">
        <v>1200</v>
      </c>
      <c r="D61" s="1353">
        <f t="shared" ref="D61:D68" si="13">SUM(H61:AB61)</f>
        <v>0</v>
      </c>
      <c r="E61" s="1354">
        <f t="shared" ref="E61:E68" si="14">SUM(AC61:AD61)</f>
        <v>0</v>
      </c>
      <c r="F61" s="1353"/>
      <c r="G61" s="1353"/>
      <c r="H61" s="1355"/>
      <c r="I61" s="1355"/>
      <c r="J61" s="1355"/>
      <c r="K61" s="1355"/>
      <c r="L61" s="1355"/>
      <c r="M61" s="1355"/>
      <c r="N61" s="1355"/>
      <c r="O61" s="1355"/>
      <c r="P61" s="1355"/>
      <c r="Q61" s="1355"/>
      <c r="R61" s="1355"/>
      <c r="S61" s="1355"/>
      <c r="T61" s="1355"/>
      <c r="U61" s="1355"/>
      <c r="V61" s="1355"/>
      <c r="W61" s="1355"/>
      <c r="X61" s="1355"/>
      <c r="Y61" s="1355"/>
      <c r="Z61" s="1355"/>
      <c r="AA61" s="1355"/>
      <c r="AB61" s="1355"/>
      <c r="AC61" s="1355"/>
      <c r="AD61" s="1355"/>
      <c r="AE61" s="1576">
        <f>SUM(DevBudgetSUTbl[[#This Row],[Column2]:[Column3]])</f>
        <v>0</v>
      </c>
      <c r="AF61" s="839"/>
    </row>
    <row r="62" spans="2:32" s="24" customFormat="1" ht="18" customHeight="1">
      <c r="B62" s="2464"/>
      <c r="C62" s="1352" t="s">
        <v>1193</v>
      </c>
      <c r="D62" s="1353">
        <f t="shared" si="13"/>
        <v>0</v>
      </c>
      <c r="E62" s="1354">
        <f t="shared" si="14"/>
        <v>0</v>
      </c>
      <c r="F62" s="1353"/>
      <c r="G62" s="1353"/>
      <c r="H62" s="1355"/>
      <c r="I62" s="1355"/>
      <c r="J62" s="1355"/>
      <c r="K62" s="1355"/>
      <c r="L62" s="1355"/>
      <c r="M62" s="1355"/>
      <c r="N62" s="1355"/>
      <c r="O62" s="1355"/>
      <c r="P62" s="1355"/>
      <c r="Q62" s="1355"/>
      <c r="R62" s="1355"/>
      <c r="S62" s="1355"/>
      <c r="T62" s="1355"/>
      <c r="U62" s="1355"/>
      <c r="V62" s="1355"/>
      <c r="W62" s="1355"/>
      <c r="X62" s="1355"/>
      <c r="Y62" s="1355"/>
      <c r="Z62" s="1355"/>
      <c r="AA62" s="1355"/>
      <c r="AB62" s="1355"/>
      <c r="AC62" s="1355"/>
      <c r="AD62" s="1355"/>
      <c r="AE62" s="1576">
        <f>SUM(DevBudgetSUTbl[[#This Row],[Column2]:[Column3]])</f>
        <v>0</v>
      </c>
      <c r="AF62" s="839"/>
    </row>
    <row r="63" spans="2:32" s="24" customFormat="1" ht="18" customHeight="1">
      <c r="B63" s="2464"/>
      <c r="C63" s="1352" t="s">
        <v>1196</v>
      </c>
      <c r="D63" s="1353">
        <f t="shared" si="13"/>
        <v>0</v>
      </c>
      <c r="E63" s="1354">
        <f t="shared" si="14"/>
        <v>0</v>
      </c>
      <c r="F63" s="1353"/>
      <c r="G63" s="1353"/>
      <c r="H63" s="1355"/>
      <c r="I63" s="1355"/>
      <c r="J63" s="1355"/>
      <c r="K63" s="1355"/>
      <c r="L63" s="1355"/>
      <c r="M63" s="1355"/>
      <c r="N63" s="1355"/>
      <c r="O63" s="1355"/>
      <c r="P63" s="1355"/>
      <c r="Q63" s="1355"/>
      <c r="R63" s="1355"/>
      <c r="S63" s="1355"/>
      <c r="T63" s="1355"/>
      <c r="U63" s="1355"/>
      <c r="V63" s="1355"/>
      <c r="W63" s="1355"/>
      <c r="X63" s="1355"/>
      <c r="Y63" s="1355"/>
      <c r="Z63" s="1355"/>
      <c r="AA63" s="1355"/>
      <c r="AB63" s="1355"/>
      <c r="AC63" s="1355"/>
      <c r="AD63" s="1355"/>
      <c r="AE63" s="1576">
        <f>SUM(DevBudgetSUTbl[[#This Row],[Column2]:[Column3]])</f>
        <v>0</v>
      </c>
      <c r="AF63" s="839"/>
    </row>
    <row r="64" spans="2:32" s="24" customFormat="1" ht="18" customHeight="1">
      <c r="B64" s="2464"/>
      <c r="C64" s="1352" t="s">
        <v>1197</v>
      </c>
      <c r="D64" s="1353">
        <f t="shared" si="13"/>
        <v>0</v>
      </c>
      <c r="E64" s="1354">
        <f t="shared" si="14"/>
        <v>0</v>
      </c>
      <c r="F64" s="1353"/>
      <c r="G64" s="1353"/>
      <c r="H64" s="1355"/>
      <c r="I64" s="1355"/>
      <c r="J64" s="1355"/>
      <c r="K64" s="1355"/>
      <c r="L64" s="1355"/>
      <c r="M64" s="1355"/>
      <c r="N64" s="1355"/>
      <c r="O64" s="1355"/>
      <c r="P64" s="1355"/>
      <c r="Q64" s="1355"/>
      <c r="R64" s="1355"/>
      <c r="S64" s="1355"/>
      <c r="T64" s="1355"/>
      <c r="U64" s="1355"/>
      <c r="V64" s="1355"/>
      <c r="W64" s="1355"/>
      <c r="X64" s="1355"/>
      <c r="Y64" s="1355"/>
      <c r="Z64" s="1355"/>
      <c r="AA64" s="1355"/>
      <c r="AB64" s="1355"/>
      <c r="AC64" s="1355"/>
      <c r="AD64" s="1355"/>
      <c r="AE64" s="1576">
        <f>SUM(DevBudgetSUTbl[[#This Row],[Column2]:[Column3]])</f>
        <v>0</v>
      </c>
      <c r="AF64" s="839"/>
    </row>
    <row r="65" spans="2:32" s="24" customFormat="1" ht="18" customHeight="1">
      <c r="B65" s="2464"/>
      <c r="C65" s="1352" t="s">
        <v>343</v>
      </c>
      <c r="D65" s="1353">
        <f t="shared" si="13"/>
        <v>0</v>
      </c>
      <c r="E65" s="1354">
        <f t="shared" si="14"/>
        <v>0</v>
      </c>
      <c r="F65" s="1353"/>
      <c r="G65" s="1353"/>
      <c r="H65" s="1355"/>
      <c r="I65" s="1355"/>
      <c r="J65" s="1355"/>
      <c r="K65" s="1355"/>
      <c r="L65" s="1355"/>
      <c r="M65" s="1355"/>
      <c r="N65" s="1355"/>
      <c r="O65" s="1355"/>
      <c r="P65" s="1355"/>
      <c r="Q65" s="1355"/>
      <c r="R65" s="1355"/>
      <c r="S65" s="1355"/>
      <c r="T65" s="1355"/>
      <c r="U65" s="1355"/>
      <c r="V65" s="1355"/>
      <c r="W65" s="1355"/>
      <c r="X65" s="1355"/>
      <c r="Y65" s="1355"/>
      <c r="Z65" s="1355"/>
      <c r="AA65" s="1355"/>
      <c r="AB65" s="1355"/>
      <c r="AC65" s="1355"/>
      <c r="AD65" s="1355"/>
      <c r="AE65" s="1576">
        <f>SUM(DevBudgetSUTbl[[#This Row],[Column2]:[Column3]])</f>
        <v>0</v>
      </c>
      <c r="AF65" s="839"/>
    </row>
    <row r="66" spans="2:32" s="24" customFormat="1" ht="18" customHeight="1">
      <c r="B66" s="2464"/>
      <c r="C66" s="1359" t="s">
        <v>1201</v>
      </c>
      <c r="D66" s="1353">
        <f t="shared" si="13"/>
        <v>0</v>
      </c>
      <c r="E66" s="1354">
        <f t="shared" si="14"/>
        <v>0</v>
      </c>
      <c r="F66" s="1353"/>
      <c r="G66" s="1353"/>
      <c r="H66" s="1355"/>
      <c r="I66" s="1355"/>
      <c r="J66" s="1355"/>
      <c r="K66" s="1355"/>
      <c r="L66" s="1355"/>
      <c r="M66" s="1355"/>
      <c r="N66" s="1355"/>
      <c r="O66" s="1355"/>
      <c r="P66" s="1355"/>
      <c r="Q66" s="1355"/>
      <c r="R66" s="1355"/>
      <c r="S66" s="1355"/>
      <c r="T66" s="1355"/>
      <c r="U66" s="1355"/>
      <c r="V66" s="1355"/>
      <c r="W66" s="1355"/>
      <c r="X66" s="1355"/>
      <c r="Y66" s="1355"/>
      <c r="Z66" s="1355"/>
      <c r="AA66" s="1355"/>
      <c r="AB66" s="1355"/>
      <c r="AC66" s="1355"/>
      <c r="AD66" s="1355"/>
      <c r="AE66" s="1576">
        <f>SUM(DevBudgetSUTbl[[#This Row],[Column2]:[Column3]])</f>
        <v>0</v>
      </c>
      <c r="AF66" s="839"/>
    </row>
    <row r="67" spans="2:32" s="24" customFormat="1" ht="18" customHeight="1">
      <c r="B67" s="2464"/>
      <c r="C67" s="1356" t="s">
        <v>1182</v>
      </c>
      <c r="D67" s="1353">
        <f t="shared" si="13"/>
        <v>0</v>
      </c>
      <c r="E67" s="1354">
        <f t="shared" si="14"/>
        <v>0</v>
      </c>
      <c r="F67" s="1353"/>
      <c r="G67" s="1353"/>
      <c r="H67" s="1355"/>
      <c r="I67" s="1355"/>
      <c r="J67" s="1355"/>
      <c r="K67" s="1355"/>
      <c r="L67" s="1355"/>
      <c r="M67" s="1355"/>
      <c r="N67" s="1355"/>
      <c r="O67" s="1355"/>
      <c r="P67" s="1355"/>
      <c r="Q67" s="1355"/>
      <c r="R67" s="1355"/>
      <c r="S67" s="1355"/>
      <c r="T67" s="1355"/>
      <c r="U67" s="1355"/>
      <c r="V67" s="1355"/>
      <c r="W67" s="1355"/>
      <c r="X67" s="1355"/>
      <c r="Y67" s="1355"/>
      <c r="Z67" s="1355"/>
      <c r="AA67" s="1355"/>
      <c r="AB67" s="1355"/>
      <c r="AC67" s="1355"/>
      <c r="AD67" s="1355"/>
      <c r="AE67" s="1576">
        <f>SUM(DevBudgetSUTbl[[#This Row],[Column2]:[Column3]])</f>
        <v>0</v>
      </c>
      <c r="AF67" s="839"/>
    </row>
    <row r="68" spans="2:32" s="107" customFormat="1" ht="18" customHeight="1">
      <c r="B68" s="2465"/>
      <c r="C68" s="1356" t="s">
        <v>1182</v>
      </c>
      <c r="D68" s="1353">
        <f t="shared" si="13"/>
        <v>0</v>
      </c>
      <c r="E68" s="1354">
        <f t="shared" si="14"/>
        <v>0</v>
      </c>
      <c r="F68" s="1353"/>
      <c r="G68" s="1353"/>
      <c r="H68" s="1355"/>
      <c r="I68" s="1355"/>
      <c r="J68" s="1355"/>
      <c r="K68" s="1355"/>
      <c r="L68" s="1355"/>
      <c r="M68" s="1355"/>
      <c r="N68" s="1355"/>
      <c r="O68" s="1355"/>
      <c r="P68" s="1355"/>
      <c r="Q68" s="1355"/>
      <c r="R68" s="1355"/>
      <c r="S68" s="1355"/>
      <c r="T68" s="1355"/>
      <c r="U68" s="1355"/>
      <c r="V68" s="1355"/>
      <c r="W68" s="1355"/>
      <c r="X68" s="1355"/>
      <c r="Y68" s="1355"/>
      <c r="Z68" s="1355"/>
      <c r="AA68" s="1355"/>
      <c r="AB68" s="1355"/>
      <c r="AC68" s="1355"/>
      <c r="AD68" s="1355"/>
      <c r="AE68" s="1576">
        <f>SUM(DevBudgetSUTbl[[#This Row],[Column2]:[Column3]])</f>
        <v>0</v>
      </c>
      <c r="AF68" s="839"/>
    </row>
    <row r="69" spans="2:32" s="24" customFormat="1" ht="18" customHeight="1">
      <c r="C69" s="186"/>
      <c r="D69" s="448">
        <f t="shared" ref="D69:AE69" si="15">SUBTOTAL(109,D61:D68)</f>
        <v>0</v>
      </c>
      <c r="E69" s="448">
        <f t="shared" si="15"/>
        <v>0</v>
      </c>
      <c r="F69" s="448">
        <f t="shared" si="15"/>
        <v>0</v>
      </c>
      <c r="G69" s="448">
        <f t="shared" si="15"/>
        <v>0</v>
      </c>
      <c r="H69" s="448">
        <f t="shared" si="15"/>
        <v>0</v>
      </c>
      <c r="I69" s="448">
        <f t="shared" si="15"/>
        <v>0</v>
      </c>
      <c r="J69" s="448">
        <f t="shared" si="15"/>
        <v>0</v>
      </c>
      <c r="K69" s="448">
        <f t="shared" si="15"/>
        <v>0</v>
      </c>
      <c r="L69" s="448">
        <f t="shared" si="15"/>
        <v>0</v>
      </c>
      <c r="M69" s="448">
        <f t="shared" si="15"/>
        <v>0</v>
      </c>
      <c r="N69" s="448">
        <f t="shared" si="15"/>
        <v>0</v>
      </c>
      <c r="O69" s="448">
        <f t="shared" si="15"/>
        <v>0</v>
      </c>
      <c r="P69" s="448">
        <f t="shared" si="15"/>
        <v>0</v>
      </c>
      <c r="Q69" s="448">
        <f t="shared" si="15"/>
        <v>0</v>
      </c>
      <c r="R69" s="448">
        <f t="shared" si="15"/>
        <v>0</v>
      </c>
      <c r="S69" s="448">
        <f t="shared" si="15"/>
        <v>0</v>
      </c>
      <c r="T69" s="448">
        <f t="shared" si="15"/>
        <v>0</v>
      </c>
      <c r="U69" s="448">
        <f t="shared" si="15"/>
        <v>0</v>
      </c>
      <c r="V69" s="448">
        <f t="shared" si="15"/>
        <v>0</v>
      </c>
      <c r="W69" s="448">
        <f t="shared" si="15"/>
        <v>0</v>
      </c>
      <c r="X69" s="448">
        <f t="shared" si="15"/>
        <v>0</v>
      </c>
      <c r="Y69" s="448">
        <f t="shared" si="15"/>
        <v>0</v>
      </c>
      <c r="Z69" s="448">
        <f t="shared" si="15"/>
        <v>0</v>
      </c>
      <c r="AA69" s="448">
        <f t="shared" si="15"/>
        <v>0</v>
      </c>
      <c r="AB69" s="448">
        <f t="shared" si="15"/>
        <v>0</v>
      </c>
      <c r="AC69" s="448">
        <f t="shared" si="15"/>
        <v>0</v>
      </c>
      <c r="AD69" s="448">
        <f t="shared" si="15"/>
        <v>0</v>
      </c>
      <c r="AE69" s="1575">
        <f t="shared" si="15"/>
        <v>0</v>
      </c>
      <c r="AF69" s="840"/>
    </row>
    <row r="70" spans="2:32" s="24" customFormat="1" ht="18" customHeight="1">
      <c r="B70" s="2463" t="s">
        <v>1202</v>
      </c>
      <c r="C70" s="1352" t="s">
        <v>1203</v>
      </c>
      <c r="D70" s="1353">
        <f t="shared" ref="D70:D76" si="16">SUM(H70:AB70)</f>
        <v>0</v>
      </c>
      <c r="E70" s="1354">
        <f t="shared" ref="E70:E76" si="17">SUM(AC70:AD70)</f>
        <v>0</v>
      </c>
      <c r="F70" s="1355"/>
      <c r="G70" s="1355"/>
      <c r="H70" s="1355"/>
      <c r="I70" s="1355"/>
      <c r="J70" s="1355"/>
      <c r="K70" s="1355"/>
      <c r="L70" s="1355"/>
      <c r="M70" s="1355"/>
      <c r="N70" s="1355"/>
      <c r="O70" s="1355"/>
      <c r="P70" s="1355"/>
      <c r="Q70" s="1355"/>
      <c r="R70" s="1355"/>
      <c r="S70" s="1355"/>
      <c r="T70" s="1355"/>
      <c r="U70" s="1355"/>
      <c r="V70" s="1355"/>
      <c r="W70" s="1355"/>
      <c r="X70" s="1355"/>
      <c r="Y70" s="1355"/>
      <c r="Z70" s="1355"/>
      <c r="AA70" s="1355"/>
      <c r="AB70" s="1355"/>
      <c r="AC70" s="1355"/>
      <c r="AD70" s="1355"/>
      <c r="AE70" s="1576">
        <f>SUM(DevBudgetSUTbl[[#This Row],[Column2]:[Column3]])</f>
        <v>0</v>
      </c>
      <c r="AF70" s="839"/>
    </row>
    <row r="71" spans="2:32" s="24" customFormat="1" ht="18" customHeight="1">
      <c r="B71" s="2464"/>
      <c r="C71" s="1359" t="s">
        <v>1204</v>
      </c>
      <c r="D71" s="1353">
        <f t="shared" si="16"/>
        <v>0</v>
      </c>
      <c r="E71" s="1354">
        <f t="shared" si="17"/>
        <v>0</v>
      </c>
      <c r="F71" s="1355"/>
      <c r="G71" s="1355"/>
      <c r="H71" s="1355"/>
      <c r="I71" s="1355"/>
      <c r="J71" s="1355"/>
      <c r="K71" s="1355"/>
      <c r="L71" s="1355"/>
      <c r="M71" s="1355"/>
      <c r="N71" s="1355"/>
      <c r="O71" s="1355"/>
      <c r="P71" s="1355"/>
      <c r="Q71" s="1355"/>
      <c r="R71" s="1355"/>
      <c r="S71" s="1355"/>
      <c r="T71" s="1355"/>
      <c r="U71" s="1355"/>
      <c r="V71" s="1355"/>
      <c r="W71" s="1355"/>
      <c r="X71" s="1355"/>
      <c r="Y71" s="1355"/>
      <c r="Z71" s="1355"/>
      <c r="AA71" s="1355"/>
      <c r="AB71" s="1355"/>
      <c r="AC71" s="1355"/>
      <c r="AD71" s="1355"/>
      <c r="AE71" s="1576">
        <f>SUM(DevBudgetSUTbl[[#This Row],[Column2]:[Column3]])</f>
        <v>0</v>
      </c>
      <c r="AF71" s="839"/>
    </row>
    <row r="72" spans="2:32" s="24" customFormat="1" ht="18" customHeight="1">
      <c r="B72" s="2464"/>
      <c r="C72" s="1356" t="s">
        <v>1182</v>
      </c>
      <c r="D72" s="1353">
        <f t="shared" si="16"/>
        <v>0</v>
      </c>
      <c r="E72" s="1354">
        <f t="shared" si="17"/>
        <v>0</v>
      </c>
      <c r="F72" s="1355"/>
      <c r="G72" s="1355"/>
      <c r="H72" s="1355"/>
      <c r="I72" s="1355"/>
      <c r="J72" s="1355"/>
      <c r="K72" s="1355"/>
      <c r="L72" s="1355"/>
      <c r="M72" s="1355"/>
      <c r="N72" s="1355"/>
      <c r="O72" s="1355"/>
      <c r="P72" s="1355"/>
      <c r="Q72" s="1355"/>
      <c r="R72" s="1355"/>
      <c r="S72" s="1355"/>
      <c r="T72" s="1355"/>
      <c r="U72" s="1355"/>
      <c r="V72" s="1355"/>
      <c r="W72" s="1355"/>
      <c r="X72" s="1355"/>
      <c r="Y72" s="1355"/>
      <c r="Z72" s="1355"/>
      <c r="AA72" s="1355"/>
      <c r="AB72" s="1355"/>
      <c r="AC72" s="1355"/>
      <c r="AD72" s="1355"/>
      <c r="AE72" s="1576">
        <f>SUM(DevBudgetSUTbl[[#This Row],[Column2]:[Column3]])</f>
        <v>0</v>
      </c>
      <c r="AF72" s="839"/>
    </row>
    <row r="73" spans="2:32" s="24" customFormat="1" ht="18" customHeight="1">
      <c r="B73" s="2464"/>
      <c r="C73" s="1356" t="s">
        <v>1182</v>
      </c>
      <c r="D73" s="1353">
        <f t="shared" si="16"/>
        <v>0</v>
      </c>
      <c r="E73" s="1354">
        <f t="shared" si="17"/>
        <v>0</v>
      </c>
      <c r="F73" s="1355"/>
      <c r="G73" s="1355"/>
      <c r="H73" s="1355"/>
      <c r="I73" s="1355"/>
      <c r="J73" s="1355"/>
      <c r="K73" s="1355"/>
      <c r="L73" s="1355"/>
      <c r="M73" s="1355"/>
      <c r="N73" s="1355"/>
      <c r="O73" s="1355"/>
      <c r="P73" s="1355"/>
      <c r="Q73" s="1355"/>
      <c r="R73" s="1355"/>
      <c r="S73" s="1355"/>
      <c r="T73" s="1355"/>
      <c r="U73" s="1355"/>
      <c r="V73" s="1355"/>
      <c r="W73" s="1355"/>
      <c r="X73" s="1355"/>
      <c r="Y73" s="1355"/>
      <c r="Z73" s="1355"/>
      <c r="AA73" s="1355"/>
      <c r="AB73" s="1355"/>
      <c r="AC73" s="1355"/>
      <c r="AD73" s="1355"/>
      <c r="AE73" s="1576">
        <f>SUM(DevBudgetSUTbl[[#This Row],[Column2]:[Column3]])</f>
        <v>0</v>
      </c>
      <c r="AF73" s="839"/>
    </row>
    <row r="74" spans="2:32" s="24" customFormat="1" ht="18" customHeight="1">
      <c r="B74" s="2464"/>
      <c r="C74" s="1356" t="s">
        <v>1182</v>
      </c>
      <c r="D74" s="1353">
        <f t="shared" si="16"/>
        <v>0</v>
      </c>
      <c r="E74" s="1354">
        <f t="shared" si="17"/>
        <v>0</v>
      </c>
      <c r="F74" s="1355"/>
      <c r="G74" s="1355"/>
      <c r="H74" s="1355"/>
      <c r="I74" s="1355"/>
      <c r="J74" s="1355"/>
      <c r="K74" s="1355"/>
      <c r="L74" s="1355"/>
      <c r="M74" s="1355"/>
      <c r="N74" s="1355"/>
      <c r="O74" s="1355"/>
      <c r="P74" s="1355"/>
      <c r="Q74" s="1355"/>
      <c r="R74" s="1355"/>
      <c r="S74" s="1355"/>
      <c r="T74" s="1355"/>
      <c r="U74" s="1355"/>
      <c r="V74" s="1355"/>
      <c r="W74" s="1355"/>
      <c r="X74" s="1355"/>
      <c r="Y74" s="1355"/>
      <c r="Z74" s="1355"/>
      <c r="AA74" s="1355"/>
      <c r="AB74" s="1355"/>
      <c r="AC74" s="1355"/>
      <c r="AD74" s="1355"/>
      <c r="AE74" s="1576">
        <f>SUM(DevBudgetSUTbl[[#This Row],[Column2]:[Column3]])</f>
        <v>0</v>
      </c>
      <c r="AF74" s="839"/>
    </row>
    <row r="75" spans="2:32" s="24" customFormat="1" ht="18" customHeight="1">
      <c r="B75" s="2464"/>
      <c r="C75" s="1356" t="s">
        <v>1182</v>
      </c>
      <c r="D75" s="1353">
        <f t="shared" si="16"/>
        <v>0</v>
      </c>
      <c r="E75" s="1354">
        <f t="shared" si="17"/>
        <v>0</v>
      </c>
      <c r="F75" s="1355"/>
      <c r="G75" s="1355"/>
      <c r="H75" s="1355"/>
      <c r="I75" s="1355"/>
      <c r="J75" s="1355"/>
      <c r="K75" s="1355"/>
      <c r="L75" s="1355"/>
      <c r="M75" s="1355"/>
      <c r="N75" s="1355"/>
      <c r="O75" s="1355"/>
      <c r="P75" s="1355"/>
      <c r="Q75" s="1355"/>
      <c r="R75" s="1355"/>
      <c r="S75" s="1355"/>
      <c r="T75" s="1355"/>
      <c r="U75" s="1355"/>
      <c r="V75" s="1355"/>
      <c r="W75" s="1355"/>
      <c r="X75" s="1355"/>
      <c r="Y75" s="1355"/>
      <c r="Z75" s="1355"/>
      <c r="AA75" s="1355"/>
      <c r="AB75" s="1355"/>
      <c r="AC75" s="1355"/>
      <c r="AD75" s="1355"/>
      <c r="AE75" s="1576">
        <f>SUM(DevBudgetSUTbl[[#This Row],[Column2]:[Column3]])</f>
        <v>0</v>
      </c>
      <c r="AF75" s="839"/>
    </row>
    <row r="76" spans="2:32" s="107" customFormat="1" ht="18" customHeight="1">
      <c r="B76" s="2465"/>
      <c r="C76" s="1356" t="s">
        <v>1182</v>
      </c>
      <c r="D76" s="1353">
        <f t="shared" si="16"/>
        <v>0</v>
      </c>
      <c r="E76" s="1354">
        <f t="shared" si="17"/>
        <v>0</v>
      </c>
      <c r="F76" s="1355"/>
      <c r="G76" s="1355"/>
      <c r="H76" s="1355"/>
      <c r="I76" s="1355"/>
      <c r="J76" s="1355"/>
      <c r="K76" s="1355"/>
      <c r="L76" s="1355"/>
      <c r="M76" s="1355"/>
      <c r="N76" s="1355"/>
      <c r="O76" s="1355"/>
      <c r="P76" s="1355"/>
      <c r="Q76" s="1355"/>
      <c r="R76" s="1355"/>
      <c r="S76" s="1355"/>
      <c r="T76" s="1355"/>
      <c r="U76" s="1355"/>
      <c r="V76" s="1355"/>
      <c r="W76" s="1355"/>
      <c r="X76" s="1355"/>
      <c r="Y76" s="1355"/>
      <c r="Z76" s="1355"/>
      <c r="AA76" s="1355"/>
      <c r="AB76" s="1355"/>
      <c r="AC76" s="1355"/>
      <c r="AD76" s="1355"/>
      <c r="AE76" s="1576">
        <f>SUM(DevBudgetSUTbl[[#This Row],[Column2]:[Column3]])</f>
        <v>0</v>
      </c>
      <c r="AF76" s="839"/>
    </row>
    <row r="77" spans="2:32" s="24" customFormat="1" ht="18" customHeight="1">
      <c r="C77" s="186"/>
      <c r="D77" s="448">
        <f t="shared" ref="D77:AE77" si="18">SUBTOTAL(109,D70:D76)</f>
        <v>0</v>
      </c>
      <c r="E77" s="448">
        <f t="shared" si="18"/>
        <v>0</v>
      </c>
      <c r="F77" s="448">
        <f t="shared" si="18"/>
        <v>0</v>
      </c>
      <c r="G77" s="448">
        <f t="shared" si="18"/>
        <v>0</v>
      </c>
      <c r="H77" s="448">
        <f t="shared" si="18"/>
        <v>0</v>
      </c>
      <c r="I77" s="448">
        <f t="shared" si="18"/>
        <v>0</v>
      </c>
      <c r="J77" s="448">
        <f t="shared" si="18"/>
        <v>0</v>
      </c>
      <c r="K77" s="448">
        <f t="shared" si="18"/>
        <v>0</v>
      </c>
      <c r="L77" s="448">
        <f t="shared" si="18"/>
        <v>0</v>
      </c>
      <c r="M77" s="448">
        <f t="shared" si="18"/>
        <v>0</v>
      </c>
      <c r="N77" s="448">
        <f t="shared" si="18"/>
        <v>0</v>
      </c>
      <c r="O77" s="448">
        <f t="shared" si="18"/>
        <v>0</v>
      </c>
      <c r="P77" s="448">
        <f t="shared" si="18"/>
        <v>0</v>
      </c>
      <c r="Q77" s="448">
        <f t="shared" si="18"/>
        <v>0</v>
      </c>
      <c r="R77" s="448">
        <f t="shared" si="18"/>
        <v>0</v>
      </c>
      <c r="S77" s="448">
        <f t="shared" si="18"/>
        <v>0</v>
      </c>
      <c r="T77" s="448">
        <f t="shared" si="18"/>
        <v>0</v>
      </c>
      <c r="U77" s="448">
        <f t="shared" si="18"/>
        <v>0</v>
      </c>
      <c r="V77" s="448">
        <f t="shared" si="18"/>
        <v>0</v>
      </c>
      <c r="W77" s="448">
        <f t="shared" si="18"/>
        <v>0</v>
      </c>
      <c r="X77" s="448">
        <f t="shared" si="18"/>
        <v>0</v>
      </c>
      <c r="Y77" s="448">
        <f t="shared" si="18"/>
        <v>0</v>
      </c>
      <c r="Z77" s="448">
        <f t="shared" si="18"/>
        <v>0</v>
      </c>
      <c r="AA77" s="448">
        <f t="shared" si="18"/>
        <v>0</v>
      </c>
      <c r="AB77" s="448">
        <f t="shared" si="18"/>
        <v>0</v>
      </c>
      <c r="AC77" s="448">
        <f t="shared" si="18"/>
        <v>0</v>
      </c>
      <c r="AD77" s="448">
        <f t="shared" si="18"/>
        <v>0</v>
      </c>
      <c r="AE77" s="1575">
        <f t="shared" si="18"/>
        <v>0</v>
      </c>
      <c r="AF77" s="840"/>
    </row>
    <row r="78" spans="2:32" s="24" customFormat="1" ht="18" customHeight="1">
      <c r="B78" s="2463" t="s">
        <v>1205</v>
      </c>
      <c r="C78" s="1352" t="s">
        <v>1206</v>
      </c>
      <c r="D78" s="1353">
        <f t="shared" ref="D78:D84" si="19">SUM(H78:AB78)</f>
        <v>0</v>
      </c>
      <c r="E78" s="1354">
        <f t="shared" ref="E78:E84" si="20">SUM(AC78:AD78)</f>
        <v>0</v>
      </c>
      <c r="F78" s="1353"/>
      <c r="G78" s="1353"/>
      <c r="H78" s="1355"/>
      <c r="I78" s="1355"/>
      <c r="J78" s="1355"/>
      <c r="K78" s="1355"/>
      <c r="L78" s="1355"/>
      <c r="M78" s="1355"/>
      <c r="N78" s="1355"/>
      <c r="O78" s="1355"/>
      <c r="P78" s="1355"/>
      <c r="Q78" s="1355"/>
      <c r="R78" s="1355"/>
      <c r="S78" s="1355"/>
      <c r="T78" s="1355"/>
      <c r="U78" s="1355"/>
      <c r="V78" s="1355"/>
      <c r="W78" s="1355"/>
      <c r="X78" s="1355"/>
      <c r="Y78" s="1355"/>
      <c r="Z78" s="1355"/>
      <c r="AA78" s="1355"/>
      <c r="AB78" s="1355"/>
      <c r="AC78" s="1355"/>
      <c r="AD78" s="1355"/>
      <c r="AE78" s="1576">
        <f>SUM(DevBudgetSUTbl[[#This Row],[Column2]:[Column3]])</f>
        <v>0</v>
      </c>
      <c r="AF78" s="839"/>
    </row>
    <row r="79" spans="2:32" s="24" customFormat="1" ht="18" customHeight="1">
      <c r="B79" s="2464"/>
      <c r="C79" s="1352" t="s">
        <v>1207</v>
      </c>
      <c r="D79" s="1353">
        <f t="shared" si="19"/>
        <v>0</v>
      </c>
      <c r="E79" s="1354">
        <f t="shared" si="20"/>
        <v>0</v>
      </c>
      <c r="F79" s="1353"/>
      <c r="G79" s="1353"/>
      <c r="H79" s="1355"/>
      <c r="I79" s="1355"/>
      <c r="J79" s="1355"/>
      <c r="K79" s="1355"/>
      <c r="L79" s="1355"/>
      <c r="M79" s="1355"/>
      <c r="N79" s="1355"/>
      <c r="O79" s="1355"/>
      <c r="P79" s="1355"/>
      <c r="Q79" s="1355"/>
      <c r="R79" s="1355"/>
      <c r="S79" s="1355"/>
      <c r="T79" s="1355"/>
      <c r="U79" s="1355"/>
      <c r="V79" s="1355"/>
      <c r="W79" s="1355"/>
      <c r="X79" s="1355"/>
      <c r="Y79" s="1355"/>
      <c r="Z79" s="1355"/>
      <c r="AA79" s="1355"/>
      <c r="AB79" s="1355"/>
      <c r="AC79" s="1355"/>
      <c r="AD79" s="1355"/>
      <c r="AE79" s="1576">
        <f>SUM(DevBudgetSUTbl[[#This Row],[Column2]:[Column3]])</f>
        <v>0</v>
      </c>
      <c r="AF79" s="839"/>
    </row>
    <row r="80" spans="2:32" s="24" customFormat="1" ht="18" customHeight="1">
      <c r="B80" s="2464"/>
      <c r="C80" s="1352" t="s">
        <v>1208</v>
      </c>
      <c r="D80" s="1353">
        <f t="shared" si="19"/>
        <v>0</v>
      </c>
      <c r="E80" s="1354">
        <f t="shared" si="20"/>
        <v>0</v>
      </c>
      <c r="F80" s="1353"/>
      <c r="G80" s="1353"/>
      <c r="H80" s="1355"/>
      <c r="I80" s="1355"/>
      <c r="J80" s="1355"/>
      <c r="K80" s="1355"/>
      <c r="L80" s="1355"/>
      <c r="M80" s="1355"/>
      <c r="N80" s="1355"/>
      <c r="O80" s="1355"/>
      <c r="P80" s="1355"/>
      <c r="Q80" s="1355"/>
      <c r="R80" s="1355"/>
      <c r="S80" s="1355"/>
      <c r="T80" s="1355"/>
      <c r="U80" s="1355"/>
      <c r="V80" s="1355"/>
      <c r="W80" s="1355"/>
      <c r="X80" s="1355"/>
      <c r="Y80" s="1355"/>
      <c r="Z80" s="1355"/>
      <c r="AA80" s="1355"/>
      <c r="AB80" s="1355"/>
      <c r="AC80" s="1355"/>
      <c r="AD80" s="1355"/>
      <c r="AE80" s="1576">
        <f>SUM(DevBudgetSUTbl[[#This Row],[Column2]:[Column3]])</f>
        <v>0</v>
      </c>
      <c r="AF80" s="839"/>
    </row>
    <row r="81" spans="1:32" s="24" customFormat="1" ht="18" customHeight="1">
      <c r="A81" s="107"/>
      <c r="B81" s="2464"/>
      <c r="C81" s="1352" t="s">
        <v>1209</v>
      </c>
      <c r="D81" s="1353">
        <f t="shared" si="19"/>
        <v>0</v>
      </c>
      <c r="E81" s="1354">
        <f t="shared" si="20"/>
        <v>0</v>
      </c>
      <c r="F81" s="1353"/>
      <c r="G81" s="1353"/>
      <c r="H81" s="1355"/>
      <c r="I81" s="1355"/>
      <c r="J81" s="1355"/>
      <c r="K81" s="1355"/>
      <c r="L81" s="1355"/>
      <c r="M81" s="1355"/>
      <c r="N81" s="1355"/>
      <c r="O81" s="1355"/>
      <c r="P81" s="1355"/>
      <c r="Q81" s="1355"/>
      <c r="R81" s="1355"/>
      <c r="S81" s="1355"/>
      <c r="T81" s="1355"/>
      <c r="U81" s="1355"/>
      <c r="V81" s="1355"/>
      <c r="W81" s="1355"/>
      <c r="X81" s="1355"/>
      <c r="Y81" s="1355"/>
      <c r="Z81" s="1355"/>
      <c r="AA81" s="1355"/>
      <c r="AB81" s="1355"/>
      <c r="AC81" s="1355"/>
      <c r="AD81" s="1355"/>
      <c r="AE81" s="1576">
        <f>SUM(DevBudgetSUTbl[[#This Row],[Column2]:[Column3]])</f>
        <v>0</v>
      </c>
      <c r="AF81" s="839"/>
    </row>
    <row r="82" spans="1:32" s="24" customFormat="1" ht="18" customHeight="1">
      <c r="A82" s="769"/>
      <c r="B82" s="2464"/>
      <c r="C82" s="1359" t="s">
        <v>1210</v>
      </c>
      <c r="D82" s="1353">
        <f t="shared" si="19"/>
        <v>0</v>
      </c>
      <c r="E82" s="1354">
        <f t="shared" si="20"/>
        <v>0</v>
      </c>
      <c r="F82" s="1353"/>
      <c r="G82" s="1353"/>
      <c r="H82" s="1355"/>
      <c r="I82" s="1355"/>
      <c r="J82" s="1355"/>
      <c r="K82" s="1355"/>
      <c r="L82" s="1355"/>
      <c r="M82" s="1355"/>
      <c r="N82" s="1355"/>
      <c r="O82" s="1355"/>
      <c r="P82" s="1355"/>
      <c r="Q82" s="1355"/>
      <c r="R82" s="1355"/>
      <c r="S82" s="1355"/>
      <c r="T82" s="1355"/>
      <c r="U82" s="1355"/>
      <c r="V82" s="1355"/>
      <c r="W82" s="1355"/>
      <c r="X82" s="1355"/>
      <c r="Y82" s="1355"/>
      <c r="Z82" s="1355"/>
      <c r="AA82" s="1355"/>
      <c r="AB82" s="1355"/>
      <c r="AC82" s="1355"/>
      <c r="AD82" s="1355"/>
      <c r="AE82" s="1576">
        <f>SUM(DevBudgetSUTbl[[#This Row],[Column2]:[Column3]])</f>
        <v>0</v>
      </c>
      <c r="AF82" s="839"/>
    </row>
    <row r="83" spans="1:32" s="24" customFormat="1" ht="18" customHeight="1">
      <c r="B83" s="2464"/>
      <c r="C83" s="1359" t="s">
        <v>1211</v>
      </c>
      <c r="D83" s="1353">
        <f t="shared" si="19"/>
        <v>0</v>
      </c>
      <c r="E83" s="1354">
        <f t="shared" si="20"/>
        <v>0</v>
      </c>
      <c r="F83" s="1353"/>
      <c r="G83" s="1353"/>
      <c r="H83" s="1355"/>
      <c r="I83" s="1355"/>
      <c r="J83" s="1355"/>
      <c r="K83" s="1355"/>
      <c r="L83" s="1355"/>
      <c r="M83" s="1355"/>
      <c r="N83" s="1355"/>
      <c r="O83" s="1355"/>
      <c r="P83" s="1355"/>
      <c r="Q83" s="1355"/>
      <c r="R83" s="1355"/>
      <c r="S83" s="1355"/>
      <c r="T83" s="1355"/>
      <c r="U83" s="1355"/>
      <c r="V83" s="1355"/>
      <c r="W83" s="1355"/>
      <c r="X83" s="1355"/>
      <c r="Y83" s="1355"/>
      <c r="Z83" s="1355"/>
      <c r="AA83" s="1355"/>
      <c r="AB83" s="1355"/>
      <c r="AC83" s="1355"/>
      <c r="AD83" s="1355"/>
      <c r="AE83" s="1576">
        <f>SUM(DevBudgetSUTbl[[#This Row],[Column2]:[Column3]])</f>
        <v>0</v>
      </c>
      <c r="AF83" s="839"/>
    </row>
    <row r="84" spans="1:32" s="107" customFormat="1" ht="18" customHeight="1">
      <c r="B84" s="2465"/>
      <c r="C84" s="1356" t="s">
        <v>1182</v>
      </c>
      <c r="D84" s="1353">
        <f t="shared" si="19"/>
        <v>0</v>
      </c>
      <c r="E84" s="1354">
        <f t="shared" si="20"/>
        <v>0</v>
      </c>
      <c r="F84" s="1353"/>
      <c r="G84" s="1353"/>
      <c r="H84" s="1355"/>
      <c r="I84" s="1355"/>
      <c r="J84" s="1355"/>
      <c r="K84" s="1355"/>
      <c r="L84" s="1355"/>
      <c r="M84" s="1355"/>
      <c r="N84" s="1355"/>
      <c r="O84" s="1355"/>
      <c r="P84" s="1355"/>
      <c r="Q84" s="1355"/>
      <c r="R84" s="1355"/>
      <c r="S84" s="1355"/>
      <c r="T84" s="1355"/>
      <c r="U84" s="1355"/>
      <c r="V84" s="1355"/>
      <c r="W84" s="1355"/>
      <c r="X84" s="1355"/>
      <c r="Y84" s="1355"/>
      <c r="Z84" s="1355"/>
      <c r="AA84" s="1355"/>
      <c r="AB84" s="1355"/>
      <c r="AC84" s="1355"/>
      <c r="AD84" s="1355"/>
      <c r="AE84" s="1576">
        <f>SUM(DevBudgetSUTbl[[#This Row],[Column2]:[Column3]])</f>
        <v>0</v>
      </c>
      <c r="AF84" s="839"/>
    </row>
    <row r="85" spans="1:32" s="24" customFormat="1" ht="18" customHeight="1">
      <c r="C85" s="186"/>
      <c r="D85" s="448">
        <f t="shared" ref="D85:AE85" si="21">SUBTOTAL(109,D78:D84)</f>
        <v>0</v>
      </c>
      <c r="E85" s="448">
        <f t="shared" si="21"/>
        <v>0</v>
      </c>
      <c r="F85" s="448">
        <f t="shared" si="21"/>
        <v>0</v>
      </c>
      <c r="G85" s="448">
        <f t="shared" si="21"/>
        <v>0</v>
      </c>
      <c r="H85" s="448">
        <f t="shared" si="21"/>
        <v>0</v>
      </c>
      <c r="I85" s="448">
        <f t="shared" si="21"/>
        <v>0</v>
      </c>
      <c r="J85" s="448">
        <f t="shared" si="21"/>
        <v>0</v>
      </c>
      <c r="K85" s="448">
        <f t="shared" si="21"/>
        <v>0</v>
      </c>
      <c r="L85" s="448">
        <f t="shared" si="21"/>
        <v>0</v>
      </c>
      <c r="M85" s="448">
        <f t="shared" si="21"/>
        <v>0</v>
      </c>
      <c r="N85" s="448">
        <f t="shared" si="21"/>
        <v>0</v>
      </c>
      <c r="O85" s="448">
        <f t="shared" si="21"/>
        <v>0</v>
      </c>
      <c r="P85" s="448">
        <f t="shared" si="21"/>
        <v>0</v>
      </c>
      <c r="Q85" s="448">
        <f t="shared" si="21"/>
        <v>0</v>
      </c>
      <c r="R85" s="448">
        <f t="shared" si="21"/>
        <v>0</v>
      </c>
      <c r="S85" s="448">
        <f t="shared" si="21"/>
        <v>0</v>
      </c>
      <c r="T85" s="448">
        <f t="shared" si="21"/>
        <v>0</v>
      </c>
      <c r="U85" s="448">
        <f t="shared" si="21"/>
        <v>0</v>
      </c>
      <c r="V85" s="448">
        <f t="shared" si="21"/>
        <v>0</v>
      </c>
      <c r="W85" s="448">
        <f t="shared" si="21"/>
        <v>0</v>
      </c>
      <c r="X85" s="448">
        <f t="shared" si="21"/>
        <v>0</v>
      </c>
      <c r="Y85" s="448">
        <f t="shared" si="21"/>
        <v>0</v>
      </c>
      <c r="Z85" s="448">
        <f t="shared" si="21"/>
        <v>0</v>
      </c>
      <c r="AA85" s="448">
        <f t="shared" si="21"/>
        <v>0</v>
      </c>
      <c r="AB85" s="448">
        <f t="shared" si="21"/>
        <v>0</v>
      </c>
      <c r="AC85" s="448">
        <f t="shared" si="21"/>
        <v>0</v>
      </c>
      <c r="AD85" s="448">
        <f t="shared" si="21"/>
        <v>0</v>
      </c>
      <c r="AE85" s="1575">
        <f t="shared" si="21"/>
        <v>0</v>
      </c>
      <c r="AF85" s="840"/>
    </row>
    <row r="86" spans="1:32" s="24" customFormat="1" ht="18" customHeight="1">
      <c r="B86" s="2463" t="s">
        <v>1212</v>
      </c>
      <c r="C86" s="1352" t="s">
        <v>1213</v>
      </c>
      <c r="D86" s="1353">
        <f>SUM(H86:AB86)</f>
        <v>0</v>
      </c>
      <c r="E86" s="1354">
        <f>SUM(AC86:AD86)</f>
        <v>0</v>
      </c>
      <c r="F86" s="1355"/>
      <c r="G86" s="1355"/>
      <c r="H86" s="1355"/>
      <c r="I86" s="1355"/>
      <c r="J86" s="1355"/>
      <c r="K86" s="1355"/>
      <c r="L86" s="1355"/>
      <c r="M86" s="1355"/>
      <c r="N86" s="1355"/>
      <c r="O86" s="1355"/>
      <c r="P86" s="1355"/>
      <c r="Q86" s="1355"/>
      <c r="R86" s="1355"/>
      <c r="S86" s="1355"/>
      <c r="T86" s="1355"/>
      <c r="U86" s="1355"/>
      <c r="V86" s="1355"/>
      <c r="W86" s="1355"/>
      <c r="X86" s="1355"/>
      <c r="Y86" s="1355"/>
      <c r="Z86" s="1355"/>
      <c r="AA86" s="1355"/>
      <c r="AB86" s="1355"/>
      <c r="AC86" s="1355"/>
      <c r="AD86" s="1355"/>
      <c r="AE86" s="1576">
        <f>SUM(DevBudgetSUTbl[[#This Row],[Column2]:[Column3]])</f>
        <v>0</v>
      </c>
      <c r="AF86" s="839"/>
    </row>
    <row r="87" spans="1:32" s="25" customFormat="1" ht="18" customHeight="1">
      <c r="B87" s="2464"/>
      <c r="C87" s="1352" t="s">
        <v>1214</v>
      </c>
      <c r="D87" s="1353">
        <f>SUM(H87:AB87)</f>
        <v>0</v>
      </c>
      <c r="E87" s="1354">
        <f>SUM(AC87:AD87)</f>
        <v>0</v>
      </c>
      <c r="F87" s="1355"/>
      <c r="G87" s="1355"/>
      <c r="H87" s="1355"/>
      <c r="I87" s="1355"/>
      <c r="J87" s="1355"/>
      <c r="K87" s="1355"/>
      <c r="L87" s="1355"/>
      <c r="M87" s="1355"/>
      <c r="N87" s="1355"/>
      <c r="O87" s="1355"/>
      <c r="P87" s="1355"/>
      <c r="Q87" s="1355"/>
      <c r="R87" s="1355"/>
      <c r="S87" s="1355"/>
      <c r="T87" s="1355"/>
      <c r="U87" s="1355"/>
      <c r="V87" s="1355"/>
      <c r="W87" s="1355"/>
      <c r="X87" s="1355"/>
      <c r="Y87" s="1355"/>
      <c r="Z87" s="1355"/>
      <c r="AA87" s="1355"/>
      <c r="AB87" s="1355"/>
      <c r="AC87" s="1355"/>
      <c r="AD87" s="1355"/>
      <c r="AE87" s="1576">
        <f>SUM(DevBudgetSUTbl[[#This Row],[Column2]:[Column3]])</f>
        <v>0</v>
      </c>
      <c r="AF87" s="839"/>
    </row>
    <row r="88" spans="1:32" s="25" customFormat="1" ht="18" customHeight="1">
      <c r="B88" s="2464"/>
      <c r="C88" s="1356" t="s">
        <v>1182</v>
      </c>
      <c r="D88" s="1353">
        <f>SUM(H88:AB88)</f>
        <v>0</v>
      </c>
      <c r="E88" s="1354">
        <f>SUM(AC88:AD88)</f>
        <v>0</v>
      </c>
      <c r="F88" s="1355"/>
      <c r="G88" s="1355"/>
      <c r="H88" s="1355"/>
      <c r="I88" s="1355"/>
      <c r="J88" s="1355"/>
      <c r="K88" s="1355"/>
      <c r="L88" s="1355"/>
      <c r="M88" s="1355"/>
      <c r="N88" s="1355"/>
      <c r="O88" s="1355"/>
      <c r="P88" s="1355"/>
      <c r="Q88" s="1355"/>
      <c r="R88" s="1355"/>
      <c r="S88" s="1355"/>
      <c r="T88" s="1355"/>
      <c r="U88" s="1355"/>
      <c r="V88" s="1355"/>
      <c r="W88" s="1355"/>
      <c r="X88" s="1355"/>
      <c r="Y88" s="1355"/>
      <c r="Z88" s="1355"/>
      <c r="AA88" s="1355"/>
      <c r="AB88" s="1355"/>
      <c r="AC88" s="1355"/>
      <c r="AD88" s="1355"/>
      <c r="AE88" s="1576">
        <f>SUM(DevBudgetSUTbl[[#This Row],[Column2]:[Column3]])</f>
        <v>0</v>
      </c>
      <c r="AF88" s="839"/>
    </row>
    <row r="89" spans="1:32" s="25" customFormat="1" ht="18" customHeight="1">
      <c r="B89" s="2464"/>
      <c r="C89" s="1356" t="s">
        <v>1182</v>
      </c>
      <c r="D89" s="1353">
        <f>SUM(H89:AB89)</f>
        <v>0</v>
      </c>
      <c r="E89" s="1354">
        <f>SUM(AC89:AD89)</f>
        <v>0</v>
      </c>
      <c r="F89" s="1355"/>
      <c r="G89" s="1355"/>
      <c r="H89" s="1355"/>
      <c r="I89" s="1355"/>
      <c r="J89" s="1355"/>
      <c r="K89" s="1355"/>
      <c r="L89" s="1355"/>
      <c r="M89" s="1355"/>
      <c r="N89" s="1355"/>
      <c r="O89" s="1355"/>
      <c r="P89" s="1355"/>
      <c r="Q89" s="1355"/>
      <c r="R89" s="1355"/>
      <c r="S89" s="1355"/>
      <c r="T89" s="1355"/>
      <c r="U89" s="1355"/>
      <c r="V89" s="1355"/>
      <c r="W89" s="1355"/>
      <c r="X89" s="1355"/>
      <c r="Y89" s="1355"/>
      <c r="Z89" s="1355"/>
      <c r="AA89" s="1355"/>
      <c r="AB89" s="1355"/>
      <c r="AC89" s="1355"/>
      <c r="AD89" s="1355"/>
      <c r="AE89" s="1576">
        <f>SUM(DevBudgetSUTbl[[#This Row],[Column2]:[Column3]])</f>
        <v>0</v>
      </c>
      <c r="AF89" s="839"/>
    </row>
    <row r="90" spans="1:32" s="107" customFormat="1" ht="18" customHeight="1">
      <c r="B90" s="2465"/>
      <c r="C90" s="1356" t="s">
        <v>1182</v>
      </c>
      <c r="D90" s="1353">
        <f>SUM(H90:AB90)</f>
        <v>0</v>
      </c>
      <c r="E90" s="1354">
        <f>SUM(AC90:AD90)</f>
        <v>0</v>
      </c>
      <c r="F90" s="1355"/>
      <c r="G90" s="1355"/>
      <c r="H90" s="1355"/>
      <c r="I90" s="1355"/>
      <c r="J90" s="1355"/>
      <c r="K90" s="1355"/>
      <c r="L90" s="1355"/>
      <c r="M90" s="1355"/>
      <c r="N90" s="1355"/>
      <c r="O90" s="1355"/>
      <c r="P90" s="1355"/>
      <c r="Q90" s="1355"/>
      <c r="R90" s="1355"/>
      <c r="S90" s="1355"/>
      <c r="T90" s="1355"/>
      <c r="U90" s="1355"/>
      <c r="V90" s="1355"/>
      <c r="W90" s="1355"/>
      <c r="X90" s="1355"/>
      <c r="Y90" s="1355"/>
      <c r="Z90" s="1355"/>
      <c r="AA90" s="1355"/>
      <c r="AB90" s="1355"/>
      <c r="AC90" s="1355"/>
      <c r="AD90" s="1355"/>
      <c r="AE90" s="1576">
        <f>SUM(DevBudgetSUTbl[[#This Row],[Column2]:[Column3]])</f>
        <v>0</v>
      </c>
      <c r="AF90" s="839"/>
    </row>
    <row r="91" spans="1:32" s="24" customFormat="1" ht="18" customHeight="1">
      <c r="C91" s="186"/>
      <c r="D91" s="448">
        <f t="shared" ref="D91:AE91" si="22">SUBTOTAL(109,D86:D90)</f>
        <v>0</v>
      </c>
      <c r="E91" s="448">
        <f t="shared" si="22"/>
        <v>0</v>
      </c>
      <c r="F91" s="448">
        <f t="shared" si="22"/>
        <v>0</v>
      </c>
      <c r="G91" s="448">
        <f t="shared" si="22"/>
        <v>0</v>
      </c>
      <c r="H91" s="448">
        <f t="shared" si="22"/>
        <v>0</v>
      </c>
      <c r="I91" s="448">
        <f t="shared" si="22"/>
        <v>0</v>
      </c>
      <c r="J91" s="448">
        <f t="shared" si="22"/>
        <v>0</v>
      </c>
      <c r="K91" s="448">
        <f t="shared" si="22"/>
        <v>0</v>
      </c>
      <c r="L91" s="448">
        <f t="shared" si="22"/>
        <v>0</v>
      </c>
      <c r="M91" s="448">
        <f t="shared" si="22"/>
        <v>0</v>
      </c>
      <c r="N91" s="448">
        <f t="shared" si="22"/>
        <v>0</v>
      </c>
      <c r="O91" s="448">
        <f t="shared" si="22"/>
        <v>0</v>
      </c>
      <c r="P91" s="448">
        <f t="shared" si="22"/>
        <v>0</v>
      </c>
      <c r="Q91" s="448">
        <f t="shared" si="22"/>
        <v>0</v>
      </c>
      <c r="R91" s="448">
        <f t="shared" si="22"/>
        <v>0</v>
      </c>
      <c r="S91" s="448">
        <f t="shared" si="22"/>
        <v>0</v>
      </c>
      <c r="T91" s="448">
        <f t="shared" si="22"/>
        <v>0</v>
      </c>
      <c r="U91" s="448">
        <f t="shared" si="22"/>
        <v>0</v>
      </c>
      <c r="V91" s="448">
        <f t="shared" si="22"/>
        <v>0</v>
      </c>
      <c r="W91" s="448">
        <f t="shared" si="22"/>
        <v>0</v>
      </c>
      <c r="X91" s="448">
        <f t="shared" si="22"/>
        <v>0</v>
      </c>
      <c r="Y91" s="448">
        <f t="shared" si="22"/>
        <v>0</v>
      </c>
      <c r="Z91" s="448">
        <f t="shared" si="22"/>
        <v>0</v>
      </c>
      <c r="AA91" s="448">
        <f t="shared" si="22"/>
        <v>0</v>
      </c>
      <c r="AB91" s="448">
        <f t="shared" si="22"/>
        <v>0</v>
      </c>
      <c r="AC91" s="448">
        <f t="shared" si="22"/>
        <v>0</v>
      </c>
      <c r="AD91" s="448">
        <f t="shared" si="22"/>
        <v>0</v>
      </c>
      <c r="AE91" s="1575">
        <f t="shared" si="22"/>
        <v>0</v>
      </c>
      <c r="AF91" s="840"/>
    </row>
    <row r="92" spans="1:32" s="24" customFormat="1" ht="18" customHeight="1">
      <c r="B92" s="2463" t="s">
        <v>1215</v>
      </c>
      <c r="C92" s="1352" t="s">
        <v>1216</v>
      </c>
      <c r="D92" s="1353">
        <f t="shared" ref="D92:D109" si="23">SUM(H92:AB92)</f>
        <v>0</v>
      </c>
      <c r="E92" s="1354">
        <f t="shared" ref="E92:E109" si="24">SUM(AC92:AD92)</f>
        <v>0</v>
      </c>
      <c r="F92" s="1353"/>
      <c r="G92" s="1353"/>
      <c r="H92" s="1355"/>
      <c r="I92" s="1355"/>
      <c r="J92" s="1355"/>
      <c r="K92" s="1355"/>
      <c r="L92" s="1355"/>
      <c r="M92" s="1355"/>
      <c r="N92" s="1355"/>
      <c r="O92" s="1355"/>
      <c r="P92" s="1355"/>
      <c r="Q92" s="1355"/>
      <c r="R92" s="1355"/>
      <c r="S92" s="1355"/>
      <c r="T92" s="1355"/>
      <c r="U92" s="1355"/>
      <c r="V92" s="1355"/>
      <c r="W92" s="1355"/>
      <c r="X92" s="1355"/>
      <c r="Y92" s="1355"/>
      <c r="Z92" s="1355"/>
      <c r="AA92" s="1355"/>
      <c r="AB92" s="1355"/>
      <c r="AC92" s="1355"/>
      <c r="AD92" s="1355"/>
      <c r="AE92" s="1576">
        <f>SUM(DevBudgetSUTbl[[#This Row],[Column2]:[Column3]])</f>
        <v>0</v>
      </c>
      <c r="AF92" s="839"/>
    </row>
    <row r="93" spans="1:32" s="24" customFormat="1" ht="18" customHeight="1">
      <c r="B93" s="2464"/>
      <c r="C93" s="1352" t="s">
        <v>1217</v>
      </c>
      <c r="D93" s="1353">
        <f t="shared" si="23"/>
        <v>0</v>
      </c>
      <c r="E93" s="1354">
        <f t="shared" si="24"/>
        <v>0</v>
      </c>
      <c r="F93" s="1355"/>
      <c r="G93" s="1355"/>
      <c r="H93" s="1355"/>
      <c r="I93" s="1355"/>
      <c r="J93" s="1355"/>
      <c r="K93" s="1355"/>
      <c r="L93" s="1355"/>
      <c r="M93" s="1355"/>
      <c r="N93" s="1355"/>
      <c r="O93" s="1355"/>
      <c r="P93" s="1355"/>
      <c r="Q93" s="1355"/>
      <c r="R93" s="1355"/>
      <c r="S93" s="1355"/>
      <c r="T93" s="1355"/>
      <c r="U93" s="1355"/>
      <c r="V93" s="1355"/>
      <c r="W93" s="1355"/>
      <c r="X93" s="1355"/>
      <c r="Y93" s="1355"/>
      <c r="Z93" s="1355"/>
      <c r="AA93" s="1355"/>
      <c r="AB93" s="1355"/>
      <c r="AC93" s="1355"/>
      <c r="AD93" s="1355"/>
      <c r="AE93" s="1576">
        <f>SUM(DevBudgetSUTbl[[#This Row],[Column2]:[Column3]])</f>
        <v>0</v>
      </c>
      <c r="AF93" s="839"/>
    </row>
    <row r="94" spans="1:32" s="24" customFormat="1" ht="18" customHeight="1">
      <c r="B94" s="2464"/>
      <c r="C94" s="1352" t="s">
        <v>1218</v>
      </c>
      <c r="D94" s="1353">
        <f t="shared" si="23"/>
        <v>0</v>
      </c>
      <c r="E94" s="1354">
        <f t="shared" si="24"/>
        <v>0</v>
      </c>
      <c r="F94" s="1355"/>
      <c r="G94" s="1355"/>
      <c r="H94" s="1355"/>
      <c r="I94" s="1355"/>
      <c r="J94" s="1355"/>
      <c r="K94" s="1355"/>
      <c r="L94" s="1355"/>
      <c r="M94" s="1355"/>
      <c r="N94" s="1355"/>
      <c r="O94" s="1355"/>
      <c r="P94" s="1355"/>
      <c r="Q94" s="1355"/>
      <c r="R94" s="1355"/>
      <c r="S94" s="1355"/>
      <c r="T94" s="1355"/>
      <c r="U94" s="1355"/>
      <c r="V94" s="1355"/>
      <c r="W94" s="1355"/>
      <c r="X94" s="1355"/>
      <c r="Y94" s="1355"/>
      <c r="Z94" s="1355"/>
      <c r="AA94" s="1355"/>
      <c r="AB94" s="1355"/>
      <c r="AC94" s="1355"/>
      <c r="AD94" s="1355"/>
      <c r="AE94" s="1576">
        <f>SUM(DevBudgetSUTbl[[#This Row],[Column2]:[Column3]])</f>
        <v>0</v>
      </c>
      <c r="AF94" s="839"/>
    </row>
    <row r="95" spans="1:32" s="24" customFormat="1" ht="18" customHeight="1">
      <c r="B95" s="2464"/>
      <c r="C95" s="1352" t="s">
        <v>1219</v>
      </c>
      <c r="D95" s="1353">
        <f t="shared" si="23"/>
        <v>0</v>
      </c>
      <c r="E95" s="1354">
        <f t="shared" si="24"/>
        <v>0</v>
      </c>
      <c r="F95" s="1355"/>
      <c r="G95" s="1355"/>
      <c r="H95" s="1355"/>
      <c r="I95" s="1355"/>
      <c r="J95" s="1355"/>
      <c r="K95" s="1355"/>
      <c r="L95" s="1355"/>
      <c r="M95" s="1355"/>
      <c r="N95" s="1355"/>
      <c r="O95" s="1355"/>
      <c r="P95" s="1355"/>
      <c r="Q95" s="1355"/>
      <c r="R95" s="1355"/>
      <c r="S95" s="1355"/>
      <c r="T95" s="1355"/>
      <c r="U95" s="1355"/>
      <c r="V95" s="1355"/>
      <c r="W95" s="1355"/>
      <c r="X95" s="1355"/>
      <c r="Y95" s="1355"/>
      <c r="Z95" s="1355"/>
      <c r="AA95" s="1355"/>
      <c r="AB95" s="1355"/>
      <c r="AC95" s="1355"/>
      <c r="AD95" s="1355"/>
      <c r="AE95" s="1576">
        <f>SUM(DevBudgetSUTbl[[#This Row],[Column2]:[Column3]])</f>
        <v>0</v>
      </c>
      <c r="AF95" s="839"/>
    </row>
    <row r="96" spans="1:32" s="24" customFormat="1" ht="18" customHeight="1">
      <c r="B96" s="2464"/>
      <c r="C96" s="1352" t="s">
        <v>1220</v>
      </c>
      <c r="D96" s="1353">
        <f t="shared" si="23"/>
        <v>0</v>
      </c>
      <c r="E96" s="1354">
        <f t="shared" si="24"/>
        <v>0</v>
      </c>
      <c r="F96" s="1355"/>
      <c r="G96" s="1355"/>
      <c r="H96" s="1355"/>
      <c r="I96" s="1355"/>
      <c r="J96" s="1355"/>
      <c r="K96" s="1355"/>
      <c r="L96" s="1355"/>
      <c r="M96" s="1355"/>
      <c r="N96" s="1355"/>
      <c r="O96" s="1355"/>
      <c r="P96" s="1355"/>
      <c r="Q96" s="1355"/>
      <c r="R96" s="1355"/>
      <c r="S96" s="1355"/>
      <c r="T96" s="1355"/>
      <c r="U96" s="1355"/>
      <c r="V96" s="1355"/>
      <c r="W96" s="1355"/>
      <c r="X96" s="1355"/>
      <c r="Y96" s="1355"/>
      <c r="Z96" s="1355"/>
      <c r="AA96" s="1355"/>
      <c r="AB96" s="1355"/>
      <c r="AC96" s="1355"/>
      <c r="AD96" s="1355"/>
      <c r="AE96" s="1576">
        <f>SUM(DevBudgetSUTbl[[#This Row],[Column2]:[Column3]])</f>
        <v>0</v>
      </c>
      <c r="AF96" s="839"/>
    </row>
    <row r="97" spans="2:32" s="24" customFormat="1" ht="18" customHeight="1">
      <c r="B97" s="2464"/>
      <c r="C97" s="1352" t="s">
        <v>1221</v>
      </c>
      <c r="D97" s="1353">
        <f t="shared" si="23"/>
        <v>0</v>
      </c>
      <c r="E97" s="1354">
        <f t="shared" si="24"/>
        <v>0</v>
      </c>
      <c r="F97" s="1353"/>
      <c r="G97" s="1353"/>
      <c r="H97" s="1355"/>
      <c r="I97" s="1355"/>
      <c r="J97" s="1355"/>
      <c r="K97" s="1355"/>
      <c r="L97" s="1355"/>
      <c r="M97" s="1355"/>
      <c r="N97" s="1355"/>
      <c r="O97" s="1355"/>
      <c r="P97" s="1355"/>
      <c r="Q97" s="1355"/>
      <c r="R97" s="1355"/>
      <c r="S97" s="1355"/>
      <c r="T97" s="1355"/>
      <c r="U97" s="1355"/>
      <c r="V97" s="1355"/>
      <c r="W97" s="1355"/>
      <c r="X97" s="1355"/>
      <c r="Y97" s="1355"/>
      <c r="Z97" s="1355"/>
      <c r="AA97" s="1355"/>
      <c r="AB97" s="1355"/>
      <c r="AC97" s="1355"/>
      <c r="AD97" s="1355"/>
      <c r="AE97" s="1576">
        <f>SUM(DevBudgetSUTbl[[#This Row],[Column2]:[Column3]])</f>
        <v>0</v>
      </c>
      <c r="AF97" s="839"/>
    </row>
    <row r="98" spans="2:32" s="24" customFormat="1" ht="18" customHeight="1">
      <c r="B98" s="2464"/>
      <c r="C98" s="1352" t="s">
        <v>1222</v>
      </c>
      <c r="D98" s="1353">
        <f t="shared" si="23"/>
        <v>0</v>
      </c>
      <c r="E98" s="1354">
        <f t="shared" si="24"/>
        <v>0</v>
      </c>
      <c r="F98" s="1355"/>
      <c r="G98" s="1355"/>
      <c r="H98" s="1355"/>
      <c r="I98" s="1355"/>
      <c r="J98" s="1355"/>
      <c r="K98" s="1355"/>
      <c r="L98" s="1355"/>
      <c r="M98" s="1355"/>
      <c r="N98" s="1355"/>
      <c r="O98" s="1355"/>
      <c r="P98" s="1355"/>
      <c r="Q98" s="1355"/>
      <c r="R98" s="1355"/>
      <c r="S98" s="1355"/>
      <c r="T98" s="1355"/>
      <c r="U98" s="1355"/>
      <c r="V98" s="1355"/>
      <c r="W98" s="1355"/>
      <c r="X98" s="1355"/>
      <c r="Y98" s="1355"/>
      <c r="Z98" s="1355"/>
      <c r="AA98" s="1355"/>
      <c r="AB98" s="1355"/>
      <c r="AC98" s="1355"/>
      <c r="AD98" s="1355"/>
      <c r="AE98" s="1576">
        <f>SUM(DevBudgetSUTbl[[#This Row],[Column2]:[Column3]])</f>
        <v>0</v>
      </c>
      <c r="AF98" s="839"/>
    </row>
    <row r="99" spans="2:32" s="24" customFormat="1" ht="18" customHeight="1">
      <c r="B99" s="2464"/>
      <c r="C99" s="1352" t="s">
        <v>1223</v>
      </c>
      <c r="D99" s="1353">
        <f t="shared" si="23"/>
        <v>0</v>
      </c>
      <c r="E99" s="1354">
        <f t="shared" si="24"/>
        <v>0</v>
      </c>
      <c r="F99" s="1355"/>
      <c r="G99" s="1355"/>
      <c r="H99" s="1355"/>
      <c r="I99" s="1355"/>
      <c r="J99" s="1355"/>
      <c r="K99" s="1355"/>
      <c r="L99" s="1355"/>
      <c r="M99" s="1355"/>
      <c r="N99" s="1355"/>
      <c r="O99" s="1355"/>
      <c r="P99" s="1355"/>
      <c r="Q99" s="1355"/>
      <c r="R99" s="1355"/>
      <c r="S99" s="1355"/>
      <c r="T99" s="1355"/>
      <c r="U99" s="1355"/>
      <c r="V99" s="1355"/>
      <c r="W99" s="1355"/>
      <c r="X99" s="1355"/>
      <c r="Y99" s="1355"/>
      <c r="Z99" s="1355"/>
      <c r="AA99" s="1355"/>
      <c r="AB99" s="1355"/>
      <c r="AC99" s="1355"/>
      <c r="AD99" s="1355"/>
      <c r="AE99" s="1576">
        <f>SUM(DevBudgetSUTbl[[#This Row],[Column2]:[Column3]])</f>
        <v>0</v>
      </c>
      <c r="AF99" s="839"/>
    </row>
    <row r="100" spans="2:32" s="24" customFormat="1" ht="18" customHeight="1">
      <c r="B100" s="2464"/>
      <c r="C100" s="1352" t="s">
        <v>1224</v>
      </c>
      <c r="D100" s="1353">
        <f t="shared" si="23"/>
        <v>0</v>
      </c>
      <c r="E100" s="1354">
        <f t="shared" si="24"/>
        <v>0</v>
      </c>
      <c r="F100" s="1355"/>
      <c r="G100" s="1355"/>
      <c r="H100" s="1355"/>
      <c r="I100" s="1355"/>
      <c r="J100" s="1355"/>
      <c r="K100" s="1355"/>
      <c r="L100" s="1355"/>
      <c r="M100" s="1355"/>
      <c r="N100" s="1355"/>
      <c r="O100" s="1355"/>
      <c r="P100" s="1355"/>
      <c r="Q100" s="1355"/>
      <c r="R100" s="1355"/>
      <c r="S100" s="1355"/>
      <c r="T100" s="1355"/>
      <c r="U100" s="1355"/>
      <c r="V100" s="1355"/>
      <c r="W100" s="1355"/>
      <c r="X100" s="1355"/>
      <c r="Y100" s="1355"/>
      <c r="Z100" s="1355"/>
      <c r="AA100" s="1355"/>
      <c r="AB100" s="1355"/>
      <c r="AC100" s="1355"/>
      <c r="AD100" s="1355"/>
      <c r="AE100" s="1576">
        <f>SUM(DevBudgetSUTbl[[#This Row],[Column2]:[Column3]])</f>
        <v>0</v>
      </c>
      <c r="AF100" s="839"/>
    </row>
    <row r="101" spans="2:32" s="24" customFormat="1" ht="18" customHeight="1">
      <c r="B101" s="2464"/>
      <c r="C101" s="1352" t="s">
        <v>1225</v>
      </c>
      <c r="D101" s="1353">
        <f t="shared" si="23"/>
        <v>0</v>
      </c>
      <c r="E101" s="1354">
        <f t="shared" si="24"/>
        <v>0</v>
      </c>
      <c r="F101" s="1355"/>
      <c r="G101" s="1355"/>
      <c r="H101" s="1355"/>
      <c r="I101" s="1355"/>
      <c r="J101" s="1355"/>
      <c r="K101" s="1355"/>
      <c r="L101" s="1355"/>
      <c r="M101" s="1355"/>
      <c r="N101" s="1355"/>
      <c r="O101" s="1355"/>
      <c r="P101" s="1355"/>
      <c r="Q101" s="1355"/>
      <c r="R101" s="1355"/>
      <c r="S101" s="1355"/>
      <c r="T101" s="1355"/>
      <c r="U101" s="1355"/>
      <c r="V101" s="1355"/>
      <c r="W101" s="1355"/>
      <c r="X101" s="1355"/>
      <c r="Y101" s="1355"/>
      <c r="Z101" s="1355"/>
      <c r="AA101" s="1355"/>
      <c r="AB101" s="1355"/>
      <c r="AC101" s="1355"/>
      <c r="AD101" s="1355"/>
      <c r="AE101" s="1576">
        <f>SUM(DevBudgetSUTbl[[#This Row],[Column2]:[Column3]])</f>
        <v>0</v>
      </c>
      <c r="AF101" s="839"/>
    </row>
    <row r="102" spans="2:32" s="24" customFormat="1" ht="18" customHeight="1">
      <c r="B102" s="2464"/>
      <c r="C102" s="1359" t="s">
        <v>1226</v>
      </c>
      <c r="D102" s="1353">
        <f t="shared" si="23"/>
        <v>0</v>
      </c>
      <c r="E102" s="1354">
        <f t="shared" si="24"/>
        <v>0</v>
      </c>
      <c r="F102" s="1355"/>
      <c r="G102" s="1355"/>
      <c r="H102" s="1355"/>
      <c r="I102" s="1355"/>
      <c r="J102" s="1355"/>
      <c r="K102" s="1355"/>
      <c r="L102" s="1355"/>
      <c r="M102" s="1355"/>
      <c r="N102" s="1355"/>
      <c r="O102" s="1355"/>
      <c r="P102" s="1355"/>
      <c r="Q102" s="1355"/>
      <c r="R102" s="1355"/>
      <c r="S102" s="1355"/>
      <c r="T102" s="1355"/>
      <c r="U102" s="1355"/>
      <c r="V102" s="1355"/>
      <c r="W102" s="1355"/>
      <c r="X102" s="1355"/>
      <c r="Y102" s="1355"/>
      <c r="Z102" s="1355"/>
      <c r="AA102" s="1355"/>
      <c r="AB102" s="1355"/>
      <c r="AC102" s="1355"/>
      <c r="AD102" s="1355"/>
      <c r="AE102" s="1576">
        <f>SUM(DevBudgetSUTbl[[#This Row],[Column2]:[Column3]])</f>
        <v>0</v>
      </c>
      <c r="AF102" s="839"/>
    </row>
    <row r="103" spans="2:32" s="24" customFormat="1" ht="18" customHeight="1">
      <c r="B103" s="2464"/>
      <c r="C103" s="1359" t="s">
        <v>1227</v>
      </c>
      <c r="D103" s="1353">
        <f t="shared" si="23"/>
        <v>0</v>
      </c>
      <c r="E103" s="1354">
        <f t="shared" si="24"/>
        <v>0</v>
      </c>
      <c r="F103" s="1355"/>
      <c r="G103" s="1355"/>
      <c r="H103" s="1355"/>
      <c r="I103" s="1355"/>
      <c r="J103" s="1355"/>
      <c r="K103" s="1355"/>
      <c r="L103" s="1355"/>
      <c r="M103" s="1355"/>
      <c r="N103" s="1355"/>
      <c r="O103" s="1355"/>
      <c r="P103" s="1355"/>
      <c r="Q103" s="1355"/>
      <c r="R103" s="1355"/>
      <c r="S103" s="1355"/>
      <c r="T103" s="1355"/>
      <c r="U103" s="1355"/>
      <c r="V103" s="1355"/>
      <c r="W103" s="1355"/>
      <c r="X103" s="1355"/>
      <c r="Y103" s="1355"/>
      <c r="Z103" s="1355"/>
      <c r="AA103" s="1355"/>
      <c r="AB103" s="1355"/>
      <c r="AC103" s="1355"/>
      <c r="AD103" s="1355"/>
      <c r="AE103" s="1576">
        <f>SUM(DevBudgetSUTbl[[#This Row],[Column2]:[Column3]])</f>
        <v>0</v>
      </c>
      <c r="AF103" s="839"/>
    </row>
    <row r="104" spans="2:32" s="24" customFormat="1" ht="18" customHeight="1">
      <c r="B104" s="2464"/>
      <c r="C104" s="1356" t="s">
        <v>1182</v>
      </c>
      <c r="D104" s="1353">
        <f t="shared" si="23"/>
        <v>0</v>
      </c>
      <c r="E104" s="1354">
        <f t="shared" si="24"/>
        <v>0</v>
      </c>
      <c r="F104" s="1355"/>
      <c r="G104" s="1355"/>
      <c r="H104" s="1355"/>
      <c r="I104" s="1355"/>
      <c r="J104" s="1355"/>
      <c r="K104" s="1355"/>
      <c r="L104" s="1355"/>
      <c r="M104" s="1355"/>
      <c r="N104" s="1355"/>
      <c r="O104" s="1355"/>
      <c r="P104" s="1355"/>
      <c r="Q104" s="1355"/>
      <c r="R104" s="1355"/>
      <c r="S104" s="1355"/>
      <c r="T104" s="1355"/>
      <c r="U104" s="1355"/>
      <c r="V104" s="1355"/>
      <c r="W104" s="1355"/>
      <c r="X104" s="1355"/>
      <c r="Y104" s="1355"/>
      <c r="Z104" s="1355"/>
      <c r="AA104" s="1355"/>
      <c r="AB104" s="1355"/>
      <c r="AC104" s="1355"/>
      <c r="AD104" s="1355"/>
      <c r="AE104" s="1576">
        <f>SUM(DevBudgetSUTbl[[#This Row],[Column2]:[Column3]])</f>
        <v>0</v>
      </c>
      <c r="AF104" s="839"/>
    </row>
    <row r="105" spans="2:32" s="24" customFormat="1" ht="18" customHeight="1">
      <c r="B105" s="2464"/>
      <c r="C105" s="1356" t="s">
        <v>1182</v>
      </c>
      <c r="D105" s="1353">
        <f t="shared" si="23"/>
        <v>0</v>
      </c>
      <c r="E105" s="1354">
        <f t="shared" si="24"/>
        <v>0</v>
      </c>
      <c r="F105" s="1355"/>
      <c r="G105" s="1355"/>
      <c r="H105" s="1355"/>
      <c r="I105" s="1355"/>
      <c r="J105" s="1355"/>
      <c r="K105" s="1355"/>
      <c r="L105" s="1355"/>
      <c r="M105" s="1355"/>
      <c r="N105" s="1355"/>
      <c r="O105" s="1355"/>
      <c r="P105" s="1355"/>
      <c r="Q105" s="1355"/>
      <c r="R105" s="1355"/>
      <c r="S105" s="1355"/>
      <c r="T105" s="1355"/>
      <c r="U105" s="1355"/>
      <c r="V105" s="1355"/>
      <c r="W105" s="1355"/>
      <c r="X105" s="1355"/>
      <c r="Y105" s="1355"/>
      <c r="Z105" s="1355"/>
      <c r="AA105" s="1355"/>
      <c r="AB105" s="1355"/>
      <c r="AC105" s="1355"/>
      <c r="AD105" s="1355"/>
      <c r="AE105" s="1576">
        <f>SUM(DevBudgetSUTbl[[#This Row],[Column2]:[Column3]])</f>
        <v>0</v>
      </c>
      <c r="AF105" s="839"/>
    </row>
    <row r="106" spans="2:32" s="24" customFormat="1" ht="18" customHeight="1">
      <c r="B106" s="2464"/>
      <c r="C106" s="1356" t="s">
        <v>1182</v>
      </c>
      <c r="D106" s="1353">
        <f t="shared" si="23"/>
        <v>0</v>
      </c>
      <c r="E106" s="1354">
        <f t="shared" si="24"/>
        <v>0</v>
      </c>
      <c r="F106" s="1355"/>
      <c r="G106" s="1355"/>
      <c r="H106" s="1355"/>
      <c r="I106" s="1355"/>
      <c r="J106" s="1355"/>
      <c r="K106" s="1355"/>
      <c r="L106" s="1355"/>
      <c r="M106" s="1355"/>
      <c r="N106" s="1355"/>
      <c r="O106" s="1355"/>
      <c r="P106" s="1355"/>
      <c r="Q106" s="1355"/>
      <c r="R106" s="1355"/>
      <c r="S106" s="1355"/>
      <c r="T106" s="1355"/>
      <c r="U106" s="1355"/>
      <c r="V106" s="1355"/>
      <c r="W106" s="1355"/>
      <c r="X106" s="1355"/>
      <c r="Y106" s="1355"/>
      <c r="Z106" s="1355"/>
      <c r="AA106" s="1355"/>
      <c r="AB106" s="1355"/>
      <c r="AC106" s="1355"/>
      <c r="AD106" s="1355"/>
      <c r="AE106" s="1576">
        <f>SUM(DevBudgetSUTbl[[#This Row],[Column2]:[Column3]])</f>
        <v>0</v>
      </c>
      <c r="AF106" s="839"/>
    </row>
    <row r="107" spans="2:32" s="24" customFormat="1" ht="18" customHeight="1">
      <c r="B107" s="2464"/>
      <c r="C107" s="1356" t="s">
        <v>1182</v>
      </c>
      <c r="D107" s="1353">
        <f t="shared" si="23"/>
        <v>0</v>
      </c>
      <c r="E107" s="1354">
        <f t="shared" si="24"/>
        <v>0</v>
      </c>
      <c r="F107" s="1355"/>
      <c r="G107" s="1355"/>
      <c r="H107" s="1355"/>
      <c r="I107" s="1355"/>
      <c r="J107" s="1355"/>
      <c r="K107" s="1355"/>
      <c r="L107" s="1355"/>
      <c r="M107" s="1355"/>
      <c r="N107" s="1355"/>
      <c r="O107" s="1355"/>
      <c r="P107" s="1355"/>
      <c r="Q107" s="1355"/>
      <c r="R107" s="1355"/>
      <c r="S107" s="1355"/>
      <c r="T107" s="1355"/>
      <c r="U107" s="1355"/>
      <c r="V107" s="1355"/>
      <c r="W107" s="1355"/>
      <c r="X107" s="1355"/>
      <c r="Y107" s="1355"/>
      <c r="Z107" s="1355"/>
      <c r="AA107" s="1355"/>
      <c r="AB107" s="1355"/>
      <c r="AC107" s="1355"/>
      <c r="AD107" s="1355"/>
      <c r="AE107" s="1576">
        <f>SUM(DevBudgetSUTbl[[#This Row],[Column2]:[Column3]])</f>
        <v>0</v>
      </c>
      <c r="AF107" s="839"/>
    </row>
    <row r="108" spans="2:32" s="24" customFormat="1" ht="18" customHeight="1">
      <c r="B108" s="2464"/>
      <c r="C108" s="1356" t="s">
        <v>1182</v>
      </c>
      <c r="D108" s="1353">
        <f t="shared" si="23"/>
        <v>0</v>
      </c>
      <c r="E108" s="1354">
        <f t="shared" si="24"/>
        <v>0</v>
      </c>
      <c r="F108" s="1355"/>
      <c r="G108" s="1355"/>
      <c r="H108" s="1355"/>
      <c r="I108" s="1355"/>
      <c r="J108" s="1355"/>
      <c r="K108" s="1355"/>
      <c r="L108" s="1355"/>
      <c r="M108" s="1355"/>
      <c r="N108" s="1355"/>
      <c r="O108" s="1355"/>
      <c r="P108" s="1355"/>
      <c r="Q108" s="1355"/>
      <c r="R108" s="1355"/>
      <c r="S108" s="1355"/>
      <c r="T108" s="1355"/>
      <c r="U108" s="1355"/>
      <c r="V108" s="1355"/>
      <c r="W108" s="1355"/>
      <c r="X108" s="1355"/>
      <c r="Y108" s="1355"/>
      <c r="Z108" s="1355"/>
      <c r="AA108" s="1355"/>
      <c r="AB108" s="1355"/>
      <c r="AC108" s="1355"/>
      <c r="AD108" s="1355"/>
      <c r="AE108" s="1576">
        <f>SUM(DevBudgetSUTbl[[#This Row],[Column2]:[Column3]])</f>
        <v>0</v>
      </c>
      <c r="AF108" s="839"/>
    </row>
    <row r="109" spans="2:32" s="107" customFormat="1" ht="18" customHeight="1">
      <c r="B109" s="2465"/>
      <c r="C109" s="1356" t="s">
        <v>1182</v>
      </c>
      <c r="D109" s="1353">
        <f t="shared" si="23"/>
        <v>0</v>
      </c>
      <c r="E109" s="1354">
        <f t="shared" si="24"/>
        <v>0</v>
      </c>
      <c r="F109" s="1355"/>
      <c r="G109" s="1355"/>
      <c r="H109" s="1355"/>
      <c r="I109" s="1355"/>
      <c r="J109" s="1355"/>
      <c r="K109" s="1355"/>
      <c r="L109" s="1355"/>
      <c r="M109" s="1355"/>
      <c r="N109" s="1355"/>
      <c r="O109" s="1355"/>
      <c r="P109" s="1355"/>
      <c r="Q109" s="1355"/>
      <c r="R109" s="1355"/>
      <c r="S109" s="1355"/>
      <c r="T109" s="1355"/>
      <c r="U109" s="1355"/>
      <c r="V109" s="1355"/>
      <c r="W109" s="1355"/>
      <c r="X109" s="1355"/>
      <c r="Y109" s="1355"/>
      <c r="Z109" s="1355"/>
      <c r="AA109" s="1355"/>
      <c r="AB109" s="1355"/>
      <c r="AC109" s="1355"/>
      <c r="AD109" s="1355"/>
      <c r="AE109" s="1576">
        <f>SUM(DevBudgetSUTbl[[#This Row],[Column2]:[Column3]])</f>
        <v>0</v>
      </c>
      <c r="AF109" s="839"/>
    </row>
    <row r="110" spans="2:32" s="24" customFormat="1" ht="18" customHeight="1">
      <c r="C110" s="186"/>
      <c r="D110" s="448">
        <f t="shared" ref="D110:AE110" si="25">SUBTOTAL(109,D92:D109)</f>
        <v>0</v>
      </c>
      <c r="E110" s="448">
        <f t="shared" si="25"/>
        <v>0</v>
      </c>
      <c r="F110" s="448">
        <f t="shared" si="25"/>
        <v>0</v>
      </c>
      <c r="G110" s="448">
        <f t="shared" si="25"/>
        <v>0</v>
      </c>
      <c r="H110" s="448">
        <f t="shared" si="25"/>
        <v>0</v>
      </c>
      <c r="I110" s="448">
        <f t="shared" si="25"/>
        <v>0</v>
      </c>
      <c r="J110" s="448">
        <f t="shared" si="25"/>
        <v>0</v>
      </c>
      <c r="K110" s="448">
        <f t="shared" si="25"/>
        <v>0</v>
      </c>
      <c r="L110" s="448">
        <f t="shared" si="25"/>
        <v>0</v>
      </c>
      <c r="M110" s="448">
        <f t="shared" si="25"/>
        <v>0</v>
      </c>
      <c r="N110" s="448">
        <f t="shared" si="25"/>
        <v>0</v>
      </c>
      <c r="O110" s="448">
        <f t="shared" si="25"/>
        <v>0</v>
      </c>
      <c r="P110" s="448">
        <f t="shared" si="25"/>
        <v>0</v>
      </c>
      <c r="Q110" s="448">
        <f t="shared" si="25"/>
        <v>0</v>
      </c>
      <c r="R110" s="448">
        <f t="shared" si="25"/>
        <v>0</v>
      </c>
      <c r="S110" s="448">
        <f t="shared" si="25"/>
        <v>0</v>
      </c>
      <c r="T110" s="448">
        <f t="shared" si="25"/>
        <v>0</v>
      </c>
      <c r="U110" s="448">
        <f t="shared" si="25"/>
        <v>0</v>
      </c>
      <c r="V110" s="448">
        <f t="shared" si="25"/>
        <v>0</v>
      </c>
      <c r="W110" s="448">
        <f t="shared" si="25"/>
        <v>0</v>
      </c>
      <c r="X110" s="448">
        <f t="shared" si="25"/>
        <v>0</v>
      </c>
      <c r="Y110" s="448">
        <f t="shared" si="25"/>
        <v>0</v>
      </c>
      <c r="Z110" s="448">
        <f t="shared" si="25"/>
        <v>0</v>
      </c>
      <c r="AA110" s="448">
        <f t="shared" si="25"/>
        <v>0</v>
      </c>
      <c r="AB110" s="448">
        <f t="shared" si="25"/>
        <v>0</v>
      </c>
      <c r="AC110" s="448">
        <f t="shared" si="25"/>
        <v>0</v>
      </c>
      <c r="AD110" s="448">
        <f t="shared" si="25"/>
        <v>0</v>
      </c>
      <c r="AE110" s="1575">
        <f t="shared" si="25"/>
        <v>0</v>
      </c>
      <c r="AF110" s="840"/>
    </row>
    <row r="111" spans="2:32" s="24" customFormat="1" ht="18" customHeight="1">
      <c r="B111" s="2463" t="s">
        <v>1228</v>
      </c>
      <c r="C111" s="1352" t="s">
        <v>1229</v>
      </c>
      <c r="D111" s="1353">
        <f t="shared" ref="D111:D116" si="26">SUM(H111:AB111)</f>
        <v>0</v>
      </c>
      <c r="E111" s="1354">
        <f t="shared" ref="E111:E116" si="27">SUM(AC111:AD111)</f>
        <v>0</v>
      </c>
      <c r="F111" s="1355"/>
      <c r="G111" s="1355"/>
      <c r="H111" s="1355"/>
      <c r="I111" s="1355"/>
      <c r="J111" s="1355"/>
      <c r="K111" s="1355"/>
      <c r="L111" s="1355"/>
      <c r="M111" s="1355"/>
      <c r="N111" s="1355"/>
      <c r="O111" s="1355"/>
      <c r="P111" s="1355"/>
      <c r="Q111" s="1355"/>
      <c r="R111" s="1355"/>
      <c r="S111" s="1355"/>
      <c r="T111" s="1355"/>
      <c r="U111" s="1355"/>
      <c r="V111" s="1355"/>
      <c r="W111" s="1355"/>
      <c r="X111" s="1355"/>
      <c r="Y111" s="1355"/>
      <c r="Z111" s="1355"/>
      <c r="AA111" s="1355"/>
      <c r="AB111" s="1355"/>
      <c r="AC111" s="1355"/>
      <c r="AD111" s="1355"/>
      <c r="AE111" s="1576">
        <f>SUM(DevBudgetSUTbl[[#This Row],[Column2]:[Column3]])</f>
        <v>0</v>
      </c>
      <c r="AF111" s="839"/>
    </row>
    <row r="112" spans="2:32" s="24" customFormat="1" ht="18" customHeight="1">
      <c r="B112" s="2464"/>
      <c r="C112" s="1352" t="s">
        <v>1230</v>
      </c>
      <c r="D112" s="1353">
        <f t="shared" si="26"/>
        <v>0</v>
      </c>
      <c r="E112" s="1354">
        <f t="shared" si="27"/>
        <v>0</v>
      </c>
      <c r="F112" s="1355"/>
      <c r="G112" s="1355"/>
      <c r="H112" s="1355"/>
      <c r="I112" s="1355"/>
      <c r="J112" s="1355"/>
      <c r="K112" s="1355"/>
      <c r="L112" s="1355"/>
      <c r="M112" s="1355"/>
      <c r="N112" s="1355"/>
      <c r="O112" s="1355"/>
      <c r="P112" s="1355"/>
      <c r="Q112" s="1355"/>
      <c r="R112" s="1355"/>
      <c r="S112" s="1355"/>
      <c r="T112" s="1355"/>
      <c r="U112" s="1355"/>
      <c r="V112" s="1355"/>
      <c r="W112" s="1355"/>
      <c r="X112" s="1355"/>
      <c r="Y112" s="1355"/>
      <c r="Z112" s="1355"/>
      <c r="AA112" s="1355"/>
      <c r="AB112" s="1355"/>
      <c r="AC112" s="1355"/>
      <c r="AD112" s="1355"/>
      <c r="AE112" s="1576">
        <f>SUM(DevBudgetSUTbl[[#This Row],[Column2]:[Column3]])</f>
        <v>0</v>
      </c>
      <c r="AF112" s="839"/>
    </row>
    <row r="113" spans="2:32" s="24" customFormat="1" ht="18" customHeight="1">
      <c r="B113" s="2464"/>
      <c r="C113" s="1352" t="s">
        <v>1231</v>
      </c>
      <c r="D113" s="1353">
        <f t="shared" si="26"/>
        <v>0</v>
      </c>
      <c r="E113" s="1354">
        <f t="shared" si="27"/>
        <v>0</v>
      </c>
      <c r="F113" s="1355"/>
      <c r="G113" s="1355"/>
      <c r="H113" s="1355"/>
      <c r="I113" s="1355"/>
      <c r="J113" s="1355"/>
      <c r="K113" s="1355"/>
      <c r="L113" s="1355"/>
      <c r="M113" s="1355"/>
      <c r="N113" s="1355"/>
      <c r="O113" s="1355"/>
      <c r="P113" s="1355"/>
      <c r="Q113" s="1355"/>
      <c r="R113" s="1355"/>
      <c r="S113" s="1355"/>
      <c r="T113" s="1355"/>
      <c r="U113" s="1355"/>
      <c r="V113" s="1355"/>
      <c r="W113" s="1355"/>
      <c r="X113" s="1355"/>
      <c r="Y113" s="1355"/>
      <c r="Z113" s="1355"/>
      <c r="AA113" s="1355"/>
      <c r="AB113" s="1355"/>
      <c r="AC113" s="1355"/>
      <c r="AD113" s="1355"/>
      <c r="AE113" s="1576">
        <f>SUM(DevBudgetSUTbl[[#This Row],[Column2]:[Column3]])</f>
        <v>0</v>
      </c>
      <c r="AF113" s="839"/>
    </row>
    <row r="114" spans="2:32" s="24" customFormat="1" ht="18" customHeight="1">
      <c r="B114" s="2464"/>
      <c r="C114" s="1352" t="s">
        <v>1232</v>
      </c>
      <c r="D114" s="1353">
        <f t="shared" si="26"/>
        <v>0</v>
      </c>
      <c r="E114" s="1354">
        <f t="shared" si="27"/>
        <v>0</v>
      </c>
      <c r="F114" s="1355"/>
      <c r="G114" s="1355"/>
      <c r="H114" s="1355"/>
      <c r="I114" s="1355"/>
      <c r="J114" s="1355"/>
      <c r="K114" s="1355"/>
      <c r="L114" s="1355"/>
      <c r="M114" s="1355"/>
      <c r="N114" s="1355"/>
      <c r="O114" s="1355"/>
      <c r="P114" s="1355"/>
      <c r="Q114" s="1355"/>
      <c r="R114" s="1355"/>
      <c r="S114" s="1355"/>
      <c r="T114" s="1355"/>
      <c r="U114" s="1355"/>
      <c r="V114" s="1355"/>
      <c r="W114" s="1355"/>
      <c r="X114" s="1355"/>
      <c r="Y114" s="1355"/>
      <c r="Z114" s="1355"/>
      <c r="AA114" s="1355"/>
      <c r="AB114" s="1355"/>
      <c r="AC114" s="1355"/>
      <c r="AD114" s="1355"/>
      <c r="AE114" s="1576">
        <f>SUM(DevBudgetSUTbl[[#This Row],[Column2]:[Column3]])</f>
        <v>0</v>
      </c>
      <c r="AF114" s="839"/>
    </row>
    <row r="115" spans="2:32" s="24" customFormat="1" ht="18" customHeight="1">
      <c r="B115" s="2464"/>
      <c r="C115" s="1352" t="s">
        <v>1233</v>
      </c>
      <c r="D115" s="1353">
        <f t="shared" si="26"/>
        <v>0</v>
      </c>
      <c r="E115" s="1354">
        <f t="shared" si="27"/>
        <v>0</v>
      </c>
      <c r="F115" s="1355"/>
      <c r="G115" s="1355"/>
      <c r="H115" s="1355"/>
      <c r="I115" s="1355"/>
      <c r="J115" s="1355"/>
      <c r="K115" s="1355"/>
      <c r="L115" s="1355"/>
      <c r="M115" s="1355"/>
      <c r="N115" s="1355"/>
      <c r="O115" s="1355"/>
      <c r="P115" s="1355"/>
      <c r="Q115" s="1355"/>
      <c r="R115" s="1355"/>
      <c r="S115" s="1355"/>
      <c r="T115" s="1355"/>
      <c r="U115" s="1355"/>
      <c r="V115" s="1355"/>
      <c r="W115" s="1355"/>
      <c r="X115" s="1355"/>
      <c r="Y115" s="1355"/>
      <c r="Z115" s="1355"/>
      <c r="AA115" s="1355"/>
      <c r="AB115" s="1355"/>
      <c r="AC115" s="1355"/>
      <c r="AD115" s="1355"/>
      <c r="AE115" s="1576">
        <f>SUM(DevBudgetSUTbl[[#This Row],[Column2]:[Column3]])</f>
        <v>0</v>
      </c>
      <c r="AF115" s="839"/>
    </row>
    <row r="116" spans="2:32" s="158" customFormat="1" ht="18" customHeight="1">
      <c r="B116" s="2465"/>
      <c r="C116" s="1356" t="s">
        <v>1182</v>
      </c>
      <c r="D116" s="1353">
        <f t="shared" si="26"/>
        <v>0</v>
      </c>
      <c r="E116" s="1354">
        <f t="shared" si="27"/>
        <v>0</v>
      </c>
      <c r="F116" s="1355"/>
      <c r="G116" s="1355"/>
      <c r="H116" s="1355"/>
      <c r="I116" s="1355"/>
      <c r="J116" s="1355"/>
      <c r="K116" s="1355"/>
      <c r="L116" s="1355"/>
      <c r="M116" s="1355"/>
      <c r="N116" s="1355"/>
      <c r="O116" s="1355"/>
      <c r="P116" s="1355"/>
      <c r="Q116" s="1355"/>
      <c r="R116" s="1355"/>
      <c r="S116" s="1355"/>
      <c r="T116" s="1355"/>
      <c r="U116" s="1355"/>
      <c r="V116" s="1355"/>
      <c r="W116" s="1355"/>
      <c r="X116" s="1355"/>
      <c r="Y116" s="1355"/>
      <c r="Z116" s="1355"/>
      <c r="AA116" s="1355"/>
      <c r="AB116" s="1355"/>
      <c r="AC116" s="1355"/>
      <c r="AD116" s="1355"/>
      <c r="AE116" s="1576">
        <f>SUM(DevBudgetSUTbl[[#This Row],[Column2]:[Column3]])</f>
        <v>0</v>
      </c>
      <c r="AF116" s="839"/>
    </row>
    <row r="117" spans="2:32" s="158" customFormat="1" ht="18" customHeight="1">
      <c r="C117" s="184"/>
      <c r="D117" s="448">
        <f t="shared" ref="D117:AE117" si="28">SUBTOTAL(109,D111:D116)</f>
        <v>0</v>
      </c>
      <c r="E117" s="448">
        <f t="shared" si="28"/>
        <v>0</v>
      </c>
      <c r="F117" s="448">
        <f>SUBTOTAL(109,F111:F116)</f>
        <v>0</v>
      </c>
      <c r="G117" s="1368">
        <f>SUBTOTAL(109,G111:G116)</f>
        <v>0</v>
      </c>
      <c r="H117" s="1368">
        <f t="shared" si="28"/>
        <v>0</v>
      </c>
      <c r="I117" s="1368">
        <f t="shared" si="28"/>
        <v>0</v>
      </c>
      <c r="J117" s="1368">
        <f t="shared" si="28"/>
        <v>0</v>
      </c>
      <c r="K117" s="1368">
        <f t="shared" si="28"/>
        <v>0</v>
      </c>
      <c r="L117" s="1368">
        <f t="shared" si="28"/>
        <v>0</v>
      </c>
      <c r="M117" s="1368">
        <f t="shared" si="28"/>
        <v>0</v>
      </c>
      <c r="N117" s="1368">
        <f t="shared" si="28"/>
        <v>0</v>
      </c>
      <c r="O117" s="1368">
        <f t="shared" si="28"/>
        <v>0</v>
      </c>
      <c r="P117" s="1368">
        <f t="shared" si="28"/>
        <v>0</v>
      </c>
      <c r="Q117" s="1368">
        <f t="shared" si="28"/>
        <v>0</v>
      </c>
      <c r="R117" s="1368">
        <f t="shared" si="28"/>
        <v>0</v>
      </c>
      <c r="S117" s="1368">
        <f t="shared" si="28"/>
        <v>0</v>
      </c>
      <c r="T117" s="1368">
        <f t="shared" si="28"/>
        <v>0</v>
      </c>
      <c r="U117" s="1368">
        <f t="shared" si="28"/>
        <v>0</v>
      </c>
      <c r="V117" s="1368">
        <f t="shared" si="28"/>
        <v>0</v>
      </c>
      <c r="W117" s="1368">
        <f t="shared" si="28"/>
        <v>0</v>
      </c>
      <c r="X117" s="1368">
        <f t="shared" si="28"/>
        <v>0</v>
      </c>
      <c r="Y117" s="1368">
        <f t="shared" si="28"/>
        <v>0</v>
      </c>
      <c r="Z117" s="1368">
        <f t="shared" si="28"/>
        <v>0</v>
      </c>
      <c r="AA117" s="1368">
        <f t="shared" si="28"/>
        <v>0</v>
      </c>
      <c r="AB117" s="1368">
        <f t="shared" si="28"/>
        <v>0</v>
      </c>
      <c r="AC117" s="1368">
        <f t="shared" si="28"/>
        <v>0</v>
      </c>
      <c r="AD117" s="1368">
        <f t="shared" si="28"/>
        <v>0</v>
      </c>
      <c r="AE117" s="1612">
        <f t="shared" si="28"/>
        <v>0</v>
      </c>
      <c r="AF117" s="841"/>
    </row>
    <row r="118" spans="2:32" s="158" customFormat="1" ht="18" hidden="1" customHeight="1">
      <c r="B118" s="447" t="str">
        <f>IF(IsIig,"Capital Improvement Project(s) (CIP)","")</f>
        <v/>
      </c>
      <c r="C118" s="187"/>
      <c r="D118" s="188"/>
      <c r="E118" s="189"/>
      <c r="F118" s="500"/>
      <c r="G118" s="188"/>
      <c r="H118" s="188"/>
      <c r="I118" s="188"/>
      <c r="J118" s="188"/>
      <c r="K118" s="188"/>
      <c r="L118" s="188"/>
      <c r="M118" s="188"/>
      <c r="N118" s="188"/>
      <c r="O118" s="188"/>
      <c r="P118" s="188"/>
      <c r="Q118" s="188"/>
      <c r="R118" s="188"/>
      <c r="S118" s="188"/>
      <c r="T118" s="188"/>
      <c r="U118" s="188"/>
      <c r="V118" s="188"/>
      <c r="W118" s="188"/>
      <c r="X118" s="188"/>
      <c r="Y118" s="188"/>
      <c r="Z118" s="188"/>
      <c r="AA118" s="188"/>
      <c r="AB118" s="188"/>
      <c r="AC118" s="188"/>
      <c r="AD118" s="188"/>
      <c r="AE118" s="1360"/>
      <c r="AF118" s="1360"/>
    </row>
    <row r="119" spans="2:32" ht="15" hidden="1" customHeight="1" thickBot="1">
      <c r="B119" s="458" t="s">
        <v>1234</v>
      </c>
      <c r="C119" s="187"/>
      <c r="D119" s="188"/>
      <c r="E119" s="189"/>
      <c r="F119" s="759" t="s">
        <v>1235</v>
      </c>
      <c r="G119" s="188"/>
      <c r="H119" s="188"/>
      <c r="I119" s="188"/>
      <c r="J119" s="188"/>
      <c r="K119" s="188"/>
      <c r="L119" s="188"/>
      <c r="M119" s="188"/>
      <c r="N119" s="188"/>
      <c r="O119" s="188"/>
      <c r="P119" s="188"/>
      <c r="Q119" s="188"/>
      <c r="R119" s="188"/>
      <c r="S119" s="188"/>
      <c r="T119" s="188"/>
      <c r="U119" s="188"/>
      <c r="V119" s="188"/>
      <c r="W119" s="188"/>
      <c r="X119" s="188"/>
      <c r="Y119" s="188"/>
      <c r="Z119" s="188"/>
      <c r="AA119" s="188"/>
      <c r="AB119" s="188"/>
      <c r="AC119" s="188"/>
      <c r="AD119" s="188"/>
      <c r="AE119" s="1361"/>
      <c r="AF119" s="1361"/>
    </row>
    <row r="120" spans="2:32" ht="36" hidden="1" customHeight="1">
      <c r="B120" s="2469" t="s">
        <v>1236</v>
      </c>
      <c r="C120" s="1352" t="s">
        <v>1237</v>
      </c>
      <c r="D120" s="1353">
        <f>SUM(H120:AB120)</f>
        <v>0</v>
      </c>
      <c r="E120" s="1362">
        <f>SUM(AC120:AD120)</f>
        <v>0</v>
      </c>
      <c r="F120" s="461"/>
      <c r="G120" s="1363"/>
      <c r="H120" s="1364"/>
      <c r="I120" s="1355"/>
      <c r="J120" s="1355"/>
      <c r="K120" s="1355"/>
      <c r="L120" s="1355"/>
      <c r="M120" s="1355"/>
      <c r="N120" s="1355"/>
      <c r="O120" s="1355"/>
      <c r="P120" s="1355"/>
      <c r="Q120" s="1355"/>
      <c r="R120" s="1355"/>
      <c r="S120" s="1355"/>
      <c r="T120" s="1355"/>
      <c r="U120" s="1355"/>
      <c r="V120" s="1355"/>
      <c r="W120" s="1355"/>
      <c r="X120" s="1355"/>
      <c r="Y120" s="1355"/>
      <c r="Z120" s="1355"/>
      <c r="AA120" s="1355"/>
      <c r="AB120" s="1355"/>
      <c r="AC120" s="1355"/>
      <c r="AD120" s="1355"/>
      <c r="AE120" s="1361"/>
      <c r="AF120" s="1361"/>
    </row>
    <row r="121" spans="2:32" s="29" customFormat="1" ht="36" hidden="1" customHeight="1">
      <c r="B121" s="2465"/>
      <c r="C121" s="1356" t="s">
        <v>1182</v>
      </c>
      <c r="D121" s="1353">
        <f>SUM(H121:AB121)</f>
        <v>0</v>
      </c>
      <c r="E121" s="1362">
        <f>SUM(AC121:AD121)</f>
        <v>0</v>
      </c>
      <c r="F121" s="1365"/>
      <c r="G121" s="1366"/>
      <c r="H121" s="1364"/>
      <c r="I121" s="1355"/>
      <c r="J121" s="1355"/>
      <c r="K121" s="1355"/>
      <c r="L121" s="1355"/>
      <c r="M121" s="1355"/>
      <c r="N121" s="1355"/>
      <c r="O121" s="1355"/>
      <c r="P121" s="1355"/>
      <c r="Q121" s="1355"/>
      <c r="R121" s="1355"/>
      <c r="S121" s="1355"/>
      <c r="T121" s="1355"/>
      <c r="U121" s="1355"/>
      <c r="V121" s="1355"/>
      <c r="W121" s="1355"/>
      <c r="X121" s="1355"/>
      <c r="Y121" s="1355"/>
      <c r="Z121" s="1355"/>
      <c r="AA121" s="1355"/>
      <c r="AB121" s="1355"/>
      <c r="AC121" s="1355"/>
      <c r="AD121" s="1355"/>
      <c r="AE121" s="1361"/>
      <c r="AF121" s="1361"/>
    </row>
    <row r="122" spans="2:32" ht="18" hidden="1" customHeight="1">
      <c r="C122" s="184"/>
      <c r="D122" s="448">
        <f t="shared" ref="D122:AD122" si="29">SUBTOTAL(109,D120:D121)</f>
        <v>0</v>
      </c>
      <c r="E122" s="448">
        <f t="shared" si="29"/>
        <v>0</v>
      </c>
      <c r="F122" s="462">
        <f t="shared" si="29"/>
        <v>0</v>
      </c>
      <c r="G122" s="463">
        <f t="shared" si="29"/>
        <v>0</v>
      </c>
      <c r="H122" s="448">
        <f t="shared" si="29"/>
        <v>0</v>
      </c>
      <c r="I122" s="448">
        <f t="shared" si="29"/>
        <v>0</v>
      </c>
      <c r="J122" s="448">
        <f t="shared" si="29"/>
        <v>0</v>
      </c>
      <c r="K122" s="448">
        <f t="shared" si="29"/>
        <v>0</v>
      </c>
      <c r="L122" s="448">
        <f t="shared" si="29"/>
        <v>0</v>
      </c>
      <c r="M122" s="448">
        <f t="shared" si="29"/>
        <v>0</v>
      </c>
      <c r="N122" s="448">
        <f t="shared" si="29"/>
        <v>0</v>
      </c>
      <c r="O122" s="448">
        <f t="shared" si="29"/>
        <v>0</v>
      </c>
      <c r="P122" s="448">
        <f t="shared" si="29"/>
        <v>0</v>
      </c>
      <c r="Q122" s="448">
        <f t="shared" si="29"/>
        <v>0</v>
      </c>
      <c r="R122" s="448">
        <f t="shared" si="29"/>
        <v>0</v>
      </c>
      <c r="S122" s="448">
        <f t="shared" si="29"/>
        <v>0</v>
      </c>
      <c r="T122" s="448">
        <f t="shared" si="29"/>
        <v>0</v>
      </c>
      <c r="U122" s="448">
        <f t="shared" si="29"/>
        <v>0</v>
      </c>
      <c r="V122" s="448">
        <f t="shared" si="29"/>
        <v>0</v>
      </c>
      <c r="W122" s="448">
        <f t="shared" si="29"/>
        <v>0</v>
      </c>
      <c r="X122" s="448">
        <f t="shared" si="29"/>
        <v>0</v>
      </c>
      <c r="Y122" s="448">
        <f t="shared" si="29"/>
        <v>0</v>
      </c>
      <c r="Z122" s="448">
        <f t="shared" si="29"/>
        <v>0</v>
      </c>
      <c r="AA122" s="448">
        <f t="shared" si="29"/>
        <v>0</v>
      </c>
      <c r="AB122" s="448">
        <f t="shared" si="29"/>
        <v>0</v>
      </c>
      <c r="AC122" s="448">
        <f t="shared" si="29"/>
        <v>0</v>
      </c>
      <c r="AD122" s="448">
        <f t="shared" si="29"/>
        <v>0</v>
      </c>
      <c r="AE122" s="1361"/>
      <c r="AF122" s="1361"/>
    </row>
    <row r="123" spans="2:32" ht="18" hidden="1" customHeight="1">
      <c r="B123" s="2463" t="s">
        <v>1238</v>
      </c>
      <c r="C123" s="1352" t="s">
        <v>1239</v>
      </c>
      <c r="D123" s="1353">
        <f t="shared" ref="D123:D131" si="30">SUM(H123:AB123)</f>
        <v>0</v>
      </c>
      <c r="E123" s="1362">
        <f t="shared" ref="E123:E131" si="31">SUM(AC123:AD123)</f>
        <v>0</v>
      </c>
      <c r="F123" s="1365"/>
      <c r="G123" s="1366"/>
      <c r="H123" s="1364"/>
      <c r="I123" s="1355"/>
      <c r="J123" s="1355"/>
      <c r="K123" s="1355"/>
      <c r="L123" s="1355"/>
      <c r="M123" s="1355"/>
      <c r="N123" s="1355"/>
      <c r="O123" s="1355"/>
      <c r="P123" s="1355"/>
      <c r="Q123" s="1355"/>
      <c r="R123" s="1355"/>
      <c r="S123" s="1355"/>
      <c r="T123" s="1355"/>
      <c r="U123" s="1355"/>
      <c r="V123" s="1355"/>
      <c r="W123" s="1355"/>
      <c r="X123" s="1355"/>
      <c r="Y123" s="1355"/>
      <c r="Z123" s="1355"/>
      <c r="AA123" s="1355"/>
      <c r="AB123" s="1355"/>
      <c r="AC123" s="1355"/>
      <c r="AD123" s="1355"/>
      <c r="AE123" s="1361"/>
      <c r="AF123" s="1361"/>
    </row>
    <row r="124" spans="2:32" ht="18" hidden="1" customHeight="1">
      <c r="B124" s="2464"/>
      <c r="C124" s="1352" t="s">
        <v>1167</v>
      </c>
      <c r="D124" s="1353">
        <f t="shared" si="30"/>
        <v>0</v>
      </c>
      <c r="E124" s="1362">
        <f t="shared" si="31"/>
        <v>0</v>
      </c>
      <c r="F124" s="1365"/>
      <c r="G124" s="1366"/>
      <c r="H124" s="1364"/>
      <c r="I124" s="1355"/>
      <c r="J124" s="1355"/>
      <c r="K124" s="1355"/>
      <c r="L124" s="1355"/>
      <c r="M124" s="1355"/>
      <c r="N124" s="1355"/>
      <c r="O124" s="1355"/>
      <c r="P124" s="1355"/>
      <c r="Q124" s="1355"/>
      <c r="R124" s="1355"/>
      <c r="S124" s="1355"/>
      <c r="T124" s="1355"/>
      <c r="U124" s="1355"/>
      <c r="V124" s="1355"/>
      <c r="W124" s="1355"/>
      <c r="X124" s="1355"/>
      <c r="Y124" s="1355"/>
      <c r="Z124" s="1355"/>
      <c r="AA124" s="1355"/>
      <c r="AB124" s="1355"/>
      <c r="AC124" s="1355"/>
      <c r="AD124" s="1355"/>
      <c r="AE124" s="1361"/>
      <c r="AF124" s="1361"/>
    </row>
    <row r="125" spans="2:32" ht="18" hidden="1" customHeight="1">
      <c r="B125" s="2464"/>
      <c r="C125" s="1352" t="s">
        <v>1240</v>
      </c>
      <c r="D125" s="1353">
        <f t="shared" si="30"/>
        <v>0</v>
      </c>
      <c r="E125" s="1362">
        <f t="shared" si="31"/>
        <v>0</v>
      </c>
      <c r="F125" s="1365"/>
      <c r="G125" s="1366"/>
      <c r="H125" s="1364"/>
      <c r="I125" s="1355"/>
      <c r="J125" s="1355"/>
      <c r="K125" s="1355"/>
      <c r="L125" s="1355"/>
      <c r="M125" s="1355"/>
      <c r="N125" s="1355"/>
      <c r="O125" s="1355"/>
      <c r="P125" s="1355"/>
      <c r="Q125" s="1355"/>
      <c r="R125" s="1355"/>
      <c r="S125" s="1355"/>
      <c r="T125" s="1355"/>
      <c r="U125" s="1355"/>
      <c r="V125" s="1355"/>
      <c r="W125" s="1355"/>
      <c r="X125" s="1355"/>
      <c r="Y125" s="1355"/>
      <c r="Z125" s="1355"/>
      <c r="AA125" s="1355"/>
      <c r="AB125" s="1355"/>
      <c r="AC125" s="1355"/>
      <c r="AD125" s="1355"/>
      <c r="AE125" s="1361"/>
      <c r="AF125" s="1361"/>
    </row>
    <row r="126" spans="2:32" ht="18" hidden="1" customHeight="1">
      <c r="B126" s="2464"/>
      <c r="C126" s="1352" t="s">
        <v>1241</v>
      </c>
      <c r="D126" s="1353">
        <f t="shared" si="30"/>
        <v>0</v>
      </c>
      <c r="E126" s="1362">
        <f t="shared" si="31"/>
        <v>0</v>
      </c>
      <c r="F126" s="1365"/>
      <c r="G126" s="1366"/>
      <c r="H126" s="1364"/>
      <c r="I126" s="1355"/>
      <c r="J126" s="1355"/>
      <c r="K126" s="1355"/>
      <c r="L126" s="1355"/>
      <c r="M126" s="1355"/>
      <c r="N126" s="1355"/>
      <c r="O126" s="1355"/>
      <c r="P126" s="1355"/>
      <c r="Q126" s="1355"/>
      <c r="R126" s="1355"/>
      <c r="S126" s="1355"/>
      <c r="T126" s="1355"/>
      <c r="U126" s="1355"/>
      <c r="V126" s="1355"/>
      <c r="W126" s="1355"/>
      <c r="X126" s="1355"/>
      <c r="Y126" s="1355"/>
      <c r="Z126" s="1355"/>
      <c r="AA126" s="1355"/>
      <c r="AB126" s="1355"/>
      <c r="AC126" s="1355"/>
      <c r="AD126" s="1355"/>
      <c r="AE126" s="1361"/>
      <c r="AF126" s="1361"/>
    </row>
    <row r="127" spans="2:32" ht="18" hidden="1" customHeight="1">
      <c r="B127" s="2464"/>
      <c r="C127" s="1352" t="s">
        <v>1242</v>
      </c>
      <c r="D127" s="1353">
        <f t="shared" si="30"/>
        <v>0</v>
      </c>
      <c r="E127" s="1362">
        <f t="shared" si="31"/>
        <v>0</v>
      </c>
      <c r="F127" s="1365"/>
      <c r="G127" s="1366"/>
      <c r="H127" s="1364"/>
      <c r="I127" s="1355"/>
      <c r="J127" s="1355"/>
      <c r="K127" s="1355"/>
      <c r="L127" s="1355"/>
      <c r="M127" s="1355"/>
      <c r="N127" s="1355"/>
      <c r="O127" s="1355"/>
      <c r="P127" s="1355"/>
      <c r="Q127" s="1355"/>
      <c r="R127" s="1355"/>
      <c r="S127" s="1355"/>
      <c r="T127" s="1355"/>
      <c r="U127" s="1355"/>
      <c r="V127" s="1355"/>
      <c r="W127" s="1355"/>
      <c r="X127" s="1355"/>
      <c r="Y127" s="1355"/>
      <c r="Z127" s="1355"/>
      <c r="AA127" s="1355"/>
      <c r="AB127" s="1355"/>
      <c r="AC127" s="1355"/>
      <c r="AD127" s="1355"/>
      <c r="AE127" s="1361"/>
      <c r="AF127" s="1361"/>
    </row>
    <row r="128" spans="2:32" ht="18" hidden="1" customHeight="1">
      <c r="B128" s="2464"/>
      <c r="C128" s="1352" t="s">
        <v>1243</v>
      </c>
      <c r="D128" s="1353">
        <f t="shared" si="30"/>
        <v>0</v>
      </c>
      <c r="E128" s="1362">
        <f t="shared" si="31"/>
        <v>0</v>
      </c>
      <c r="F128" s="1365"/>
      <c r="G128" s="1366"/>
      <c r="H128" s="1364"/>
      <c r="I128" s="1355"/>
      <c r="J128" s="1355"/>
      <c r="K128" s="1355"/>
      <c r="L128" s="1355"/>
      <c r="M128" s="1355"/>
      <c r="N128" s="1355"/>
      <c r="O128" s="1355"/>
      <c r="P128" s="1355"/>
      <c r="Q128" s="1355"/>
      <c r="R128" s="1355"/>
      <c r="S128" s="1355"/>
      <c r="T128" s="1355"/>
      <c r="U128" s="1355"/>
      <c r="V128" s="1355"/>
      <c r="W128" s="1355"/>
      <c r="X128" s="1355"/>
      <c r="Y128" s="1355"/>
      <c r="Z128" s="1355"/>
      <c r="AA128" s="1355"/>
      <c r="AB128" s="1355"/>
      <c r="AC128" s="1355"/>
      <c r="AD128" s="1355"/>
      <c r="AE128" s="1361"/>
      <c r="AF128" s="1361"/>
    </row>
    <row r="129" spans="2:32" ht="18" hidden="1" customHeight="1">
      <c r="B129" s="2464"/>
      <c r="C129" s="1352" t="s">
        <v>1244</v>
      </c>
      <c r="D129" s="1353">
        <f t="shared" si="30"/>
        <v>0</v>
      </c>
      <c r="E129" s="1362">
        <f t="shared" si="31"/>
        <v>0</v>
      </c>
      <c r="F129" s="1365"/>
      <c r="G129" s="1366"/>
      <c r="H129" s="1364"/>
      <c r="I129" s="1355"/>
      <c r="J129" s="1355"/>
      <c r="K129" s="1355"/>
      <c r="L129" s="1355"/>
      <c r="M129" s="1355"/>
      <c r="N129" s="1355"/>
      <c r="O129" s="1355"/>
      <c r="P129" s="1355"/>
      <c r="Q129" s="1355"/>
      <c r="R129" s="1355"/>
      <c r="S129" s="1355"/>
      <c r="T129" s="1355"/>
      <c r="U129" s="1355"/>
      <c r="V129" s="1355"/>
      <c r="W129" s="1355"/>
      <c r="X129" s="1355"/>
      <c r="Y129" s="1355"/>
      <c r="Z129" s="1355"/>
      <c r="AA129" s="1355"/>
      <c r="AB129" s="1355"/>
      <c r="AC129" s="1355"/>
      <c r="AD129" s="1355"/>
      <c r="AE129" s="1361"/>
      <c r="AF129" s="1361"/>
    </row>
    <row r="130" spans="2:32" ht="18" hidden="1" customHeight="1">
      <c r="B130" s="2464"/>
      <c r="C130" s="1356" t="s">
        <v>1182</v>
      </c>
      <c r="D130" s="1353">
        <f t="shared" si="30"/>
        <v>0</v>
      </c>
      <c r="E130" s="1362">
        <f t="shared" si="31"/>
        <v>0</v>
      </c>
      <c r="F130" s="1365"/>
      <c r="G130" s="1366"/>
      <c r="H130" s="1364"/>
      <c r="I130" s="1355"/>
      <c r="J130" s="1355"/>
      <c r="K130" s="1355"/>
      <c r="L130" s="1355"/>
      <c r="M130" s="1355"/>
      <c r="N130" s="1355"/>
      <c r="O130" s="1355"/>
      <c r="P130" s="1355"/>
      <c r="Q130" s="1355"/>
      <c r="R130" s="1355"/>
      <c r="S130" s="1355"/>
      <c r="T130" s="1355"/>
      <c r="U130" s="1355"/>
      <c r="V130" s="1355"/>
      <c r="W130" s="1355"/>
      <c r="X130" s="1355"/>
      <c r="Y130" s="1355"/>
      <c r="Z130" s="1355"/>
      <c r="AA130" s="1355"/>
      <c r="AB130" s="1355"/>
      <c r="AC130" s="1355"/>
      <c r="AD130" s="1355"/>
      <c r="AE130" s="1361"/>
      <c r="AF130" s="1361"/>
    </row>
    <row r="131" spans="2:32" ht="18" hidden="1" customHeight="1">
      <c r="B131" s="2465"/>
      <c r="C131" s="1356" t="s">
        <v>1182</v>
      </c>
      <c r="D131" s="1353">
        <f t="shared" si="30"/>
        <v>0</v>
      </c>
      <c r="E131" s="459">
        <f t="shared" si="31"/>
        <v>0</v>
      </c>
      <c r="F131" s="1365"/>
      <c r="G131" s="1366"/>
      <c r="H131" s="1367"/>
      <c r="I131" s="1358"/>
      <c r="J131" s="1358"/>
      <c r="K131" s="1358"/>
      <c r="L131" s="1358"/>
      <c r="M131" s="1358"/>
      <c r="N131" s="1358"/>
      <c r="O131" s="1358"/>
      <c r="P131" s="1358"/>
      <c r="Q131" s="1358"/>
      <c r="R131" s="1358"/>
      <c r="S131" s="1358"/>
      <c r="T131" s="1358"/>
      <c r="U131" s="1358"/>
      <c r="V131" s="1358"/>
      <c r="W131" s="1358"/>
      <c r="X131" s="1358"/>
      <c r="Y131" s="1358"/>
      <c r="Z131" s="1358"/>
      <c r="AA131" s="1358"/>
      <c r="AB131" s="1358"/>
      <c r="AC131" s="1358"/>
      <c r="AD131" s="1358"/>
      <c r="AE131" s="1361"/>
      <c r="AF131" s="1361"/>
    </row>
    <row r="132" spans="2:32" ht="18" hidden="1" customHeight="1">
      <c r="C132" s="26"/>
      <c r="D132" s="1368">
        <f t="shared" ref="D132:AD132" si="32">SUBTOTAL(109,D123:D131)</f>
        <v>0</v>
      </c>
      <c r="E132" s="1368">
        <f t="shared" si="32"/>
        <v>0</v>
      </c>
      <c r="F132" s="464">
        <f t="shared" si="32"/>
        <v>0</v>
      </c>
      <c r="G132" s="1369">
        <f t="shared" si="32"/>
        <v>0</v>
      </c>
      <c r="H132" s="1368">
        <f t="shared" si="32"/>
        <v>0</v>
      </c>
      <c r="I132" s="1368">
        <f t="shared" si="32"/>
        <v>0</v>
      </c>
      <c r="J132" s="1368">
        <f t="shared" si="32"/>
        <v>0</v>
      </c>
      <c r="K132" s="1368">
        <f t="shared" si="32"/>
        <v>0</v>
      </c>
      <c r="L132" s="1368">
        <f t="shared" si="32"/>
        <v>0</v>
      </c>
      <c r="M132" s="1368">
        <f t="shared" si="32"/>
        <v>0</v>
      </c>
      <c r="N132" s="1368">
        <f t="shared" si="32"/>
        <v>0</v>
      </c>
      <c r="O132" s="1368">
        <f t="shared" si="32"/>
        <v>0</v>
      </c>
      <c r="P132" s="1368">
        <f t="shared" si="32"/>
        <v>0</v>
      </c>
      <c r="Q132" s="1368">
        <f t="shared" si="32"/>
        <v>0</v>
      </c>
      <c r="R132" s="1368">
        <f t="shared" si="32"/>
        <v>0</v>
      </c>
      <c r="S132" s="1368">
        <f t="shared" si="32"/>
        <v>0</v>
      </c>
      <c r="T132" s="1368">
        <f t="shared" si="32"/>
        <v>0</v>
      </c>
      <c r="U132" s="1368">
        <f t="shared" si="32"/>
        <v>0</v>
      </c>
      <c r="V132" s="1368">
        <f t="shared" si="32"/>
        <v>0</v>
      </c>
      <c r="W132" s="1368">
        <f t="shared" si="32"/>
        <v>0</v>
      </c>
      <c r="X132" s="1368">
        <f t="shared" si="32"/>
        <v>0</v>
      </c>
      <c r="Y132" s="1368">
        <f t="shared" si="32"/>
        <v>0</v>
      </c>
      <c r="Z132" s="1368">
        <f t="shared" si="32"/>
        <v>0</v>
      </c>
      <c r="AA132" s="1368">
        <f t="shared" si="32"/>
        <v>0</v>
      </c>
      <c r="AB132" s="1368">
        <f t="shared" si="32"/>
        <v>0</v>
      </c>
      <c r="AC132" s="1368">
        <f t="shared" si="32"/>
        <v>0</v>
      </c>
      <c r="AD132" s="1368">
        <f t="shared" si="32"/>
        <v>0</v>
      </c>
      <c r="AE132" s="1361"/>
      <c r="AF132" s="1361"/>
    </row>
    <row r="133" spans="2:32" ht="18" hidden="1" customHeight="1">
      <c r="B133" s="2463" t="s">
        <v>1245</v>
      </c>
      <c r="C133" s="1352" t="s">
        <v>1246</v>
      </c>
      <c r="D133" s="1370">
        <f t="shared" ref="D133:D139" si="33">SUM(H133:AB133)</f>
        <v>0</v>
      </c>
      <c r="E133" s="460">
        <f t="shared" ref="E133:E139" si="34">SUM(AC133:AD133)</f>
        <v>0</v>
      </c>
      <c r="F133" s="1365"/>
      <c r="G133" s="1366"/>
      <c r="H133" s="1472"/>
      <c r="I133" s="1371"/>
      <c r="J133" s="1371"/>
      <c r="K133" s="1371"/>
      <c r="L133" s="1371"/>
      <c r="M133" s="1371"/>
      <c r="N133" s="1371"/>
      <c r="O133" s="1371"/>
      <c r="P133" s="1371"/>
      <c r="Q133" s="1371"/>
      <c r="R133" s="1371"/>
      <c r="S133" s="1371"/>
      <c r="T133" s="1371"/>
      <c r="U133" s="1371"/>
      <c r="V133" s="1371"/>
      <c r="W133" s="1371"/>
      <c r="X133" s="1371"/>
      <c r="Y133" s="1371"/>
      <c r="Z133" s="1371"/>
      <c r="AA133" s="1371"/>
      <c r="AB133" s="1371"/>
      <c r="AC133" s="1371"/>
      <c r="AD133" s="1371"/>
      <c r="AE133" s="1361"/>
      <c r="AF133" s="1361"/>
    </row>
    <row r="134" spans="2:32" ht="18" hidden="1" customHeight="1">
      <c r="B134" s="2464"/>
      <c r="C134" s="1352" t="s">
        <v>1247</v>
      </c>
      <c r="D134" s="1370">
        <f t="shared" si="33"/>
        <v>0</v>
      </c>
      <c r="E134" s="1362">
        <f t="shared" si="34"/>
        <v>0</v>
      </c>
      <c r="F134" s="1365"/>
      <c r="G134" s="1366"/>
      <c r="H134" s="1364"/>
      <c r="I134" s="1355"/>
      <c r="J134" s="1355"/>
      <c r="K134" s="1355"/>
      <c r="L134" s="1355"/>
      <c r="M134" s="1355"/>
      <c r="N134" s="1355"/>
      <c r="O134" s="1355"/>
      <c r="P134" s="1355"/>
      <c r="Q134" s="1355"/>
      <c r="R134" s="1355"/>
      <c r="S134" s="1355"/>
      <c r="T134" s="1355"/>
      <c r="U134" s="1355"/>
      <c r="V134" s="1355"/>
      <c r="W134" s="1355"/>
      <c r="X134" s="1355"/>
      <c r="Y134" s="1355"/>
      <c r="Z134" s="1355"/>
      <c r="AA134" s="1355"/>
      <c r="AB134" s="1355"/>
      <c r="AC134" s="1355"/>
      <c r="AD134" s="1355"/>
      <c r="AE134" s="1361"/>
      <c r="AF134" s="1361"/>
    </row>
    <row r="135" spans="2:32" ht="18" hidden="1" customHeight="1">
      <c r="B135" s="2464"/>
      <c r="C135" s="1352" t="s">
        <v>1248</v>
      </c>
      <c r="D135" s="1370">
        <f t="shared" si="33"/>
        <v>0</v>
      </c>
      <c r="E135" s="1362">
        <f t="shared" si="34"/>
        <v>0</v>
      </c>
      <c r="F135" s="1365"/>
      <c r="G135" s="1366"/>
      <c r="H135" s="1364"/>
      <c r="I135" s="1355"/>
      <c r="J135" s="1355"/>
      <c r="K135" s="1355"/>
      <c r="L135" s="1355"/>
      <c r="M135" s="1355"/>
      <c r="N135" s="1355"/>
      <c r="O135" s="1355"/>
      <c r="P135" s="1355"/>
      <c r="Q135" s="1355"/>
      <c r="R135" s="1355"/>
      <c r="S135" s="1355"/>
      <c r="T135" s="1355"/>
      <c r="U135" s="1355"/>
      <c r="V135" s="1355"/>
      <c r="W135" s="1355"/>
      <c r="X135" s="1355"/>
      <c r="Y135" s="1355"/>
      <c r="Z135" s="1355"/>
      <c r="AA135" s="1355"/>
      <c r="AB135" s="1355"/>
      <c r="AC135" s="1355"/>
      <c r="AD135" s="1355"/>
      <c r="AE135" s="1361"/>
      <c r="AF135" s="1361"/>
    </row>
    <row r="136" spans="2:32" ht="18" hidden="1" customHeight="1">
      <c r="B136" s="2464"/>
      <c r="C136" s="1352" t="s">
        <v>1249</v>
      </c>
      <c r="D136" s="1370">
        <f t="shared" si="33"/>
        <v>0</v>
      </c>
      <c r="E136" s="1362">
        <f t="shared" si="34"/>
        <v>0</v>
      </c>
      <c r="F136" s="1365"/>
      <c r="G136" s="1366"/>
      <c r="H136" s="1364"/>
      <c r="I136" s="1355"/>
      <c r="J136" s="1355"/>
      <c r="K136" s="1355"/>
      <c r="L136" s="1355"/>
      <c r="M136" s="1355"/>
      <c r="N136" s="1355"/>
      <c r="O136" s="1355"/>
      <c r="P136" s="1355"/>
      <c r="Q136" s="1355"/>
      <c r="R136" s="1355"/>
      <c r="S136" s="1355"/>
      <c r="T136" s="1355"/>
      <c r="U136" s="1355"/>
      <c r="V136" s="1355"/>
      <c r="W136" s="1355"/>
      <c r="X136" s="1355"/>
      <c r="Y136" s="1355"/>
      <c r="Z136" s="1355"/>
      <c r="AA136" s="1355"/>
      <c r="AB136" s="1355"/>
      <c r="AC136" s="1355"/>
      <c r="AD136" s="1355"/>
      <c r="AE136" s="1361"/>
      <c r="AF136" s="1361"/>
    </row>
    <row r="137" spans="2:32" ht="18" hidden="1" customHeight="1">
      <c r="B137" s="2464"/>
      <c r="C137" s="1352" t="s">
        <v>1250</v>
      </c>
      <c r="D137" s="1370">
        <f t="shared" si="33"/>
        <v>0</v>
      </c>
      <c r="E137" s="1362">
        <f t="shared" si="34"/>
        <v>0</v>
      </c>
      <c r="F137" s="1365"/>
      <c r="G137" s="1366"/>
      <c r="H137" s="1364"/>
      <c r="I137" s="1355"/>
      <c r="J137" s="1355"/>
      <c r="K137" s="1355"/>
      <c r="L137" s="1355"/>
      <c r="M137" s="1355"/>
      <c r="N137" s="1355"/>
      <c r="O137" s="1355"/>
      <c r="P137" s="1355"/>
      <c r="Q137" s="1355"/>
      <c r="R137" s="1355"/>
      <c r="S137" s="1355"/>
      <c r="T137" s="1355"/>
      <c r="U137" s="1355"/>
      <c r="V137" s="1355"/>
      <c r="W137" s="1355"/>
      <c r="X137" s="1355"/>
      <c r="Y137" s="1355"/>
      <c r="Z137" s="1355"/>
      <c r="AA137" s="1355"/>
      <c r="AB137" s="1355"/>
      <c r="AC137" s="1355"/>
      <c r="AD137" s="1355"/>
      <c r="AE137" s="1361"/>
      <c r="AF137" s="1361"/>
    </row>
    <row r="138" spans="2:32" ht="18" hidden="1" customHeight="1">
      <c r="B138" s="2464"/>
      <c r="C138" s="1352" t="s">
        <v>1251</v>
      </c>
      <c r="D138" s="1370">
        <f t="shared" si="33"/>
        <v>0</v>
      </c>
      <c r="E138" s="1362">
        <f t="shared" si="34"/>
        <v>0</v>
      </c>
      <c r="F138" s="1365"/>
      <c r="G138" s="1366"/>
      <c r="H138" s="1364"/>
      <c r="I138" s="1355"/>
      <c r="J138" s="1355"/>
      <c r="K138" s="1355"/>
      <c r="L138" s="1355"/>
      <c r="M138" s="1355"/>
      <c r="N138" s="1355"/>
      <c r="O138" s="1355"/>
      <c r="P138" s="1355"/>
      <c r="Q138" s="1355"/>
      <c r="R138" s="1355"/>
      <c r="S138" s="1355"/>
      <c r="T138" s="1355"/>
      <c r="U138" s="1355"/>
      <c r="V138" s="1355"/>
      <c r="W138" s="1355"/>
      <c r="X138" s="1355"/>
      <c r="Y138" s="1355"/>
      <c r="Z138" s="1355"/>
      <c r="AA138" s="1355"/>
      <c r="AB138" s="1355"/>
      <c r="AC138" s="1355"/>
      <c r="AD138" s="1355"/>
      <c r="AE138" s="1361"/>
      <c r="AF138" s="1361"/>
    </row>
    <row r="139" spans="2:32" ht="18" hidden="1" customHeight="1">
      <c r="B139" s="2465"/>
      <c r="C139" s="1356" t="s">
        <v>1182</v>
      </c>
      <c r="D139" s="1370">
        <f t="shared" si="33"/>
        <v>0</v>
      </c>
      <c r="E139" s="459">
        <f t="shared" si="34"/>
        <v>0</v>
      </c>
      <c r="F139" s="1365"/>
      <c r="G139" s="1366"/>
      <c r="H139" s="1367"/>
      <c r="I139" s="1358"/>
      <c r="J139" s="1358"/>
      <c r="K139" s="1358"/>
      <c r="L139" s="1358"/>
      <c r="M139" s="1358"/>
      <c r="N139" s="1358"/>
      <c r="O139" s="1358"/>
      <c r="P139" s="1358"/>
      <c r="Q139" s="1358"/>
      <c r="R139" s="1358"/>
      <c r="S139" s="1358"/>
      <c r="T139" s="1358"/>
      <c r="U139" s="1358"/>
      <c r="V139" s="1358"/>
      <c r="W139" s="1358"/>
      <c r="X139" s="1358"/>
      <c r="Y139" s="1358"/>
      <c r="Z139" s="1358"/>
      <c r="AA139" s="1358"/>
      <c r="AB139" s="1358"/>
      <c r="AC139" s="1358"/>
      <c r="AD139" s="1358"/>
      <c r="AE139" s="1361"/>
      <c r="AF139" s="1361"/>
    </row>
    <row r="140" spans="2:32" ht="18" hidden="1" customHeight="1">
      <c r="C140" s="26"/>
      <c r="D140" s="1368">
        <f t="shared" ref="D140:AD140" si="35">SUBTOTAL(109,D133:D139)</f>
        <v>0</v>
      </c>
      <c r="E140" s="1368">
        <f t="shared" si="35"/>
        <v>0</v>
      </c>
      <c r="F140" s="464">
        <f t="shared" si="35"/>
        <v>0</v>
      </c>
      <c r="G140" s="1369">
        <f t="shared" si="35"/>
        <v>0</v>
      </c>
      <c r="H140" s="1368">
        <f t="shared" si="35"/>
        <v>0</v>
      </c>
      <c r="I140" s="1368">
        <f t="shared" si="35"/>
        <v>0</v>
      </c>
      <c r="J140" s="1368">
        <f t="shared" si="35"/>
        <v>0</v>
      </c>
      <c r="K140" s="1368">
        <f t="shared" si="35"/>
        <v>0</v>
      </c>
      <c r="L140" s="1368">
        <f t="shared" si="35"/>
        <v>0</v>
      </c>
      <c r="M140" s="1368">
        <f t="shared" si="35"/>
        <v>0</v>
      </c>
      <c r="N140" s="1368">
        <f t="shared" si="35"/>
        <v>0</v>
      </c>
      <c r="O140" s="1368">
        <f t="shared" si="35"/>
        <v>0</v>
      </c>
      <c r="P140" s="1368">
        <f t="shared" si="35"/>
        <v>0</v>
      </c>
      <c r="Q140" s="1368">
        <f t="shared" si="35"/>
        <v>0</v>
      </c>
      <c r="R140" s="1368">
        <f t="shared" si="35"/>
        <v>0</v>
      </c>
      <c r="S140" s="1368">
        <f t="shared" si="35"/>
        <v>0</v>
      </c>
      <c r="T140" s="1368">
        <f t="shared" si="35"/>
        <v>0</v>
      </c>
      <c r="U140" s="1368">
        <f t="shared" si="35"/>
        <v>0</v>
      </c>
      <c r="V140" s="1368">
        <f t="shared" si="35"/>
        <v>0</v>
      </c>
      <c r="W140" s="1368">
        <f t="shared" si="35"/>
        <v>0</v>
      </c>
      <c r="X140" s="1368">
        <f t="shared" si="35"/>
        <v>0</v>
      </c>
      <c r="Y140" s="1368">
        <f t="shared" si="35"/>
        <v>0</v>
      </c>
      <c r="Z140" s="1368">
        <f t="shared" si="35"/>
        <v>0</v>
      </c>
      <c r="AA140" s="1368">
        <f t="shared" si="35"/>
        <v>0</v>
      </c>
      <c r="AB140" s="1368">
        <f t="shared" si="35"/>
        <v>0</v>
      </c>
      <c r="AC140" s="1368">
        <f t="shared" si="35"/>
        <v>0</v>
      </c>
      <c r="AD140" s="1368">
        <f t="shared" si="35"/>
        <v>0</v>
      </c>
      <c r="AE140" s="1361"/>
      <c r="AF140" s="1361"/>
    </row>
    <row r="141" spans="2:32" ht="18" hidden="1" customHeight="1">
      <c r="B141" s="2463" t="s">
        <v>1252</v>
      </c>
      <c r="C141" s="1352" t="s">
        <v>1253</v>
      </c>
      <c r="D141" s="1370">
        <f t="shared" ref="D141:D147" si="36">SUM(H141:AB141)</f>
        <v>0</v>
      </c>
      <c r="E141" s="460">
        <f t="shared" ref="E141:E147" si="37">SUM(AC141:AD141)</f>
        <v>0</v>
      </c>
      <c r="F141" s="1365"/>
      <c r="G141" s="1366"/>
      <c r="H141" s="1472"/>
      <c r="I141" s="1371"/>
      <c r="J141" s="1371"/>
      <c r="K141" s="1371"/>
      <c r="L141" s="1371"/>
      <c r="M141" s="1371"/>
      <c r="N141" s="1371"/>
      <c r="O141" s="1371"/>
      <c r="P141" s="1371"/>
      <c r="Q141" s="1371"/>
      <c r="R141" s="1371"/>
      <c r="S141" s="1371"/>
      <c r="T141" s="1371"/>
      <c r="U141" s="1371"/>
      <c r="V141" s="1371"/>
      <c r="W141" s="1371"/>
      <c r="X141" s="1371"/>
      <c r="Y141" s="1371"/>
      <c r="Z141" s="1371"/>
      <c r="AA141" s="1371"/>
      <c r="AB141" s="1371"/>
      <c r="AC141" s="1371"/>
      <c r="AD141" s="1371"/>
      <c r="AE141" s="1361"/>
      <c r="AF141" s="1361"/>
    </row>
    <row r="142" spans="2:32" ht="18" hidden="1" customHeight="1">
      <c r="B142" s="2464"/>
      <c r="C142" s="1352" t="s">
        <v>1254</v>
      </c>
      <c r="D142" s="1370">
        <f t="shared" si="36"/>
        <v>0</v>
      </c>
      <c r="E142" s="1362">
        <f t="shared" si="37"/>
        <v>0</v>
      </c>
      <c r="F142" s="1365"/>
      <c r="G142" s="1366"/>
      <c r="H142" s="1364"/>
      <c r="I142" s="1355"/>
      <c r="J142" s="1355"/>
      <c r="K142" s="1355"/>
      <c r="L142" s="1355"/>
      <c r="M142" s="1355"/>
      <c r="N142" s="1355"/>
      <c r="O142" s="1355"/>
      <c r="P142" s="1355"/>
      <c r="Q142" s="1355"/>
      <c r="R142" s="1355"/>
      <c r="S142" s="1355"/>
      <c r="T142" s="1355"/>
      <c r="U142" s="1355"/>
      <c r="V142" s="1355"/>
      <c r="W142" s="1355"/>
      <c r="X142" s="1355"/>
      <c r="Y142" s="1355"/>
      <c r="Z142" s="1355"/>
      <c r="AA142" s="1355"/>
      <c r="AB142" s="1355"/>
      <c r="AC142" s="1355"/>
      <c r="AD142" s="1355"/>
      <c r="AE142" s="1361"/>
      <c r="AF142" s="1361"/>
    </row>
    <row r="143" spans="2:32" ht="18" hidden="1" customHeight="1">
      <c r="B143" s="2464"/>
      <c r="C143" s="1352" t="s">
        <v>1255</v>
      </c>
      <c r="D143" s="1370">
        <f t="shared" si="36"/>
        <v>0</v>
      </c>
      <c r="E143" s="1362">
        <f t="shared" si="37"/>
        <v>0</v>
      </c>
      <c r="F143" s="1365"/>
      <c r="G143" s="1366"/>
      <c r="H143" s="1364"/>
      <c r="I143" s="1355"/>
      <c r="J143" s="1355"/>
      <c r="K143" s="1355"/>
      <c r="L143" s="1355"/>
      <c r="M143" s="1355"/>
      <c r="N143" s="1355"/>
      <c r="O143" s="1355"/>
      <c r="P143" s="1355"/>
      <c r="Q143" s="1355"/>
      <c r="R143" s="1355"/>
      <c r="S143" s="1355"/>
      <c r="T143" s="1355"/>
      <c r="U143" s="1355"/>
      <c r="V143" s="1355"/>
      <c r="W143" s="1355"/>
      <c r="X143" s="1355"/>
      <c r="Y143" s="1355"/>
      <c r="Z143" s="1355"/>
      <c r="AA143" s="1355"/>
      <c r="AB143" s="1355"/>
      <c r="AC143" s="1355"/>
      <c r="AD143" s="1355"/>
      <c r="AE143" s="1361"/>
      <c r="AF143" s="1361"/>
    </row>
    <row r="144" spans="2:32" ht="18" hidden="1" customHeight="1">
      <c r="B144" s="2464"/>
      <c r="C144" s="1352" t="s">
        <v>1256</v>
      </c>
      <c r="D144" s="1370">
        <f t="shared" si="36"/>
        <v>0</v>
      </c>
      <c r="E144" s="1362">
        <f t="shared" si="37"/>
        <v>0</v>
      </c>
      <c r="F144" s="1365"/>
      <c r="G144" s="1366"/>
      <c r="H144" s="1364"/>
      <c r="I144" s="1355"/>
      <c r="J144" s="1355"/>
      <c r="K144" s="1355"/>
      <c r="L144" s="1355"/>
      <c r="M144" s="1355"/>
      <c r="N144" s="1355"/>
      <c r="O144" s="1355"/>
      <c r="P144" s="1355"/>
      <c r="Q144" s="1355"/>
      <c r="R144" s="1355"/>
      <c r="S144" s="1355"/>
      <c r="T144" s="1355"/>
      <c r="U144" s="1355"/>
      <c r="V144" s="1355"/>
      <c r="W144" s="1355"/>
      <c r="X144" s="1355"/>
      <c r="Y144" s="1355"/>
      <c r="Z144" s="1355"/>
      <c r="AA144" s="1355"/>
      <c r="AB144" s="1355"/>
      <c r="AC144" s="1355"/>
      <c r="AD144" s="1355"/>
      <c r="AE144" s="1361"/>
      <c r="AF144" s="1361"/>
    </row>
    <row r="145" spans="2:32" ht="18" hidden="1" customHeight="1">
      <c r="B145" s="2464"/>
      <c r="C145" s="1352" t="s">
        <v>1257</v>
      </c>
      <c r="D145" s="1370">
        <f t="shared" si="36"/>
        <v>0</v>
      </c>
      <c r="E145" s="1362">
        <f t="shared" si="37"/>
        <v>0</v>
      </c>
      <c r="F145" s="1365"/>
      <c r="G145" s="1366"/>
      <c r="H145" s="1364"/>
      <c r="I145" s="1355"/>
      <c r="J145" s="1355"/>
      <c r="K145" s="1355"/>
      <c r="L145" s="1355"/>
      <c r="M145" s="1355"/>
      <c r="N145" s="1355"/>
      <c r="O145" s="1355"/>
      <c r="P145" s="1355"/>
      <c r="Q145" s="1355"/>
      <c r="R145" s="1355"/>
      <c r="S145" s="1355"/>
      <c r="T145" s="1355"/>
      <c r="U145" s="1355"/>
      <c r="V145" s="1355"/>
      <c r="W145" s="1355"/>
      <c r="X145" s="1355"/>
      <c r="Y145" s="1355"/>
      <c r="Z145" s="1355"/>
      <c r="AA145" s="1355"/>
      <c r="AB145" s="1355"/>
      <c r="AC145" s="1355"/>
      <c r="AD145" s="1355"/>
      <c r="AE145" s="1361"/>
      <c r="AF145" s="1361"/>
    </row>
    <row r="146" spans="2:32" ht="18" hidden="1" customHeight="1">
      <c r="B146" s="2464"/>
      <c r="C146" s="1352" t="s">
        <v>1258</v>
      </c>
      <c r="D146" s="1370">
        <f t="shared" si="36"/>
        <v>0</v>
      </c>
      <c r="E146" s="1362">
        <f t="shared" si="37"/>
        <v>0</v>
      </c>
      <c r="F146" s="1365"/>
      <c r="G146" s="1366"/>
      <c r="H146" s="1364"/>
      <c r="I146" s="1355"/>
      <c r="J146" s="1355"/>
      <c r="K146" s="1355"/>
      <c r="L146" s="1355"/>
      <c r="M146" s="1355"/>
      <c r="N146" s="1355"/>
      <c r="O146" s="1355"/>
      <c r="P146" s="1355"/>
      <c r="Q146" s="1355"/>
      <c r="R146" s="1355"/>
      <c r="S146" s="1355"/>
      <c r="T146" s="1355"/>
      <c r="U146" s="1355"/>
      <c r="V146" s="1355"/>
      <c r="W146" s="1355"/>
      <c r="X146" s="1355"/>
      <c r="Y146" s="1355"/>
      <c r="Z146" s="1355"/>
      <c r="AA146" s="1355"/>
      <c r="AB146" s="1355"/>
      <c r="AC146" s="1355"/>
      <c r="AD146" s="1355"/>
      <c r="AE146" s="1361"/>
      <c r="AF146" s="1361"/>
    </row>
    <row r="147" spans="2:32" ht="18" hidden="1" customHeight="1">
      <c r="B147" s="2465"/>
      <c r="C147" s="1356" t="s">
        <v>1182</v>
      </c>
      <c r="D147" s="1370">
        <f t="shared" si="36"/>
        <v>0</v>
      </c>
      <c r="E147" s="459">
        <f t="shared" si="37"/>
        <v>0</v>
      </c>
      <c r="F147" s="1365"/>
      <c r="G147" s="1366"/>
      <c r="H147" s="1367"/>
      <c r="I147" s="1358"/>
      <c r="J147" s="1358"/>
      <c r="K147" s="1358"/>
      <c r="L147" s="1358"/>
      <c r="M147" s="1358"/>
      <c r="N147" s="1358"/>
      <c r="O147" s="1358"/>
      <c r="P147" s="1358"/>
      <c r="Q147" s="1358"/>
      <c r="R147" s="1358"/>
      <c r="S147" s="1358"/>
      <c r="T147" s="1358"/>
      <c r="U147" s="1358"/>
      <c r="V147" s="1358"/>
      <c r="W147" s="1358"/>
      <c r="X147" s="1358"/>
      <c r="Y147" s="1358"/>
      <c r="Z147" s="1358"/>
      <c r="AA147" s="1358"/>
      <c r="AB147" s="1358"/>
      <c r="AC147" s="1358"/>
      <c r="AD147" s="1358"/>
      <c r="AE147" s="1361"/>
      <c r="AF147" s="1361"/>
    </row>
    <row r="148" spans="2:32" ht="18" hidden="1" customHeight="1">
      <c r="C148" s="26"/>
      <c r="D148" s="1368">
        <f t="shared" ref="D148:AD148" si="38">SUBTOTAL(109,D141:D147)</f>
        <v>0</v>
      </c>
      <c r="E148" s="1368">
        <f t="shared" si="38"/>
        <v>0</v>
      </c>
      <c r="F148" s="464">
        <f t="shared" si="38"/>
        <v>0</v>
      </c>
      <c r="G148" s="1369">
        <f t="shared" si="38"/>
        <v>0</v>
      </c>
      <c r="H148" s="1368">
        <f t="shared" si="38"/>
        <v>0</v>
      </c>
      <c r="I148" s="1368">
        <f t="shared" si="38"/>
        <v>0</v>
      </c>
      <c r="J148" s="1368">
        <f t="shared" si="38"/>
        <v>0</v>
      </c>
      <c r="K148" s="1368">
        <f t="shared" si="38"/>
        <v>0</v>
      </c>
      <c r="L148" s="1368">
        <f t="shared" si="38"/>
        <v>0</v>
      </c>
      <c r="M148" s="1368">
        <f t="shared" si="38"/>
        <v>0</v>
      </c>
      <c r="N148" s="1368">
        <f t="shared" si="38"/>
        <v>0</v>
      </c>
      <c r="O148" s="1368">
        <f t="shared" si="38"/>
        <v>0</v>
      </c>
      <c r="P148" s="1368">
        <f t="shared" si="38"/>
        <v>0</v>
      </c>
      <c r="Q148" s="1368">
        <f t="shared" si="38"/>
        <v>0</v>
      </c>
      <c r="R148" s="1368">
        <f t="shared" si="38"/>
        <v>0</v>
      </c>
      <c r="S148" s="1368">
        <f t="shared" si="38"/>
        <v>0</v>
      </c>
      <c r="T148" s="1368">
        <f t="shared" si="38"/>
        <v>0</v>
      </c>
      <c r="U148" s="1368">
        <f t="shared" si="38"/>
        <v>0</v>
      </c>
      <c r="V148" s="1368">
        <f t="shared" si="38"/>
        <v>0</v>
      </c>
      <c r="W148" s="1368">
        <f t="shared" si="38"/>
        <v>0</v>
      </c>
      <c r="X148" s="1368">
        <f t="shared" si="38"/>
        <v>0</v>
      </c>
      <c r="Y148" s="1368">
        <f t="shared" si="38"/>
        <v>0</v>
      </c>
      <c r="Z148" s="1368">
        <f t="shared" si="38"/>
        <v>0</v>
      </c>
      <c r="AA148" s="1368">
        <f t="shared" si="38"/>
        <v>0</v>
      </c>
      <c r="AB148" s="1368">
        <f t="shared" si="38"/>
        <v>0</v>
      </c>
      <c r="AC148" s="1368">
        <f t="shared" si="38"/>
        <v>0</v>
      </c>
      <c r="AD148" s="1368">
        <f t="shared" si="38"/>
        <v>0</v>
      </c>
      <c r="AE148" s="1361"/>
      <c r="AF148" s="1361"/>
    </row>
    <row r="149" spans="2:32" ht="18" hidden="1" customHeight="1">
      <c r="B149" s="2463" t="s">
        <v>1259</v>
      </c>
      <c r="C149" s="1352" t="s">
        <v>1260</v>
      </c>
      <c r="D149" s="1370">
        <f t="shared" ref="D149:D159" si="39">SUM(H149:AB149)</f>
        <v>0</v>
      </c>
      <c r="E149" s="460">
        <f t="shared" ref="E149:E159" si="40">SUM(AC149:AD149)</f>
        <v>0</v>
      </c>
      <c r="F149" s="1365"/>
      <c r="G149" s="1366"/>
      <c r="H149" s="1472"/>
      <c r="I149" s="1371"/>
      <c r="J149" s="1371"/>
      <c r="K149" s="1371"/>
      <c r="L149" s="1371"/>
      <c r="M149" s="1371"/>
      <c r="N149" s="1371"/>
      <c r="O149" s="1371"/>
      <c r="P149" s="1371"/>
      <c r="Q149" s="1371"/>
      <c r="R149" s="1371"/>
      <c r="S149" s="1371"/>
      <c r="T149" s="1371"/>
      <c r="U149" s="1371"/>
      <c r="V149" s="1371"/>
      <c r="W149" s="1371"/>
      <c r="X149" s="1371"/>
      <c r="Y149" s="1371"/>
      <c r="Z149" s="1371"/>
      <c r="AA149" s="1371"/>
      <c r="AB149" s="1371"/>
      <c r="AC149" s="1371"/>
      <c r="AD149" s="1371"/>
      <c r="AE149" s="1361"/>
      <c r="AF149" s="1361"/>
    </row>
    <row r="150" spans="2:32" ht="18" hidden="1" customHeight="1">
      <c r="B150" s="2464"/>
      <c r="C150" s="1352" t="s">
        <v>1261</v>
      </c>
      <c r="D150" s="1370">
        <f t="shared" si="39"/>
        <v>0</v>
      </c>
      <c r="E150" s="1362">
        <f t="shared" si="40"/>
        <v>0</v>
      </c>
      <c r="F150" s="1365"/>
      <c r="G150" s="1366"/>
      <c r="H150" s="1364"/>
      <c r="I150" s="1355"/>
      <c r="J150" s="1355"/>
      <c r="K150" s="1355"/>
      <c r="L150" s="1355"/>
      <c r="M150" s="1355"/>
      <c r="N150" s="1355"/>
      <c r="O150" s="1355"/>
      <c r="P150" s="1355"/>
      <c r="Q150" s="1355"/>
      <c r="R150" s="1355"/>
      <c r="S150" s="1355"/>
      <c r="T150" s="1355"/>
      <c r="U150" s="1355"/>
      <c r="V150" s="1355"/>
      <c r="W150" s="1355"/>
      <c r="X150" s="1355"/>
      <c r="Y150" s="1355"/>
      <c r="Z150" s="1355"/>
      <c r="AA150" s="1355"/>
      <c r="AB150" s="1355"/>
      <c r="AC150" s="1355"/>
      <c r="AD150" s="1355"/>
      <c r="AE150" s="1361"/>
      <c r="AF150" s="1361"/>
    </row>
    <row r="151" spans="2:32" ht="18" hidden="1" customHeight="1">
      <c r="B151" s="2464"/>
      <c r="C151" s="1352" t="s">
        <v>1262</v>
      </c>
      <c r="D151" s="1370">
        <f t="shared" si="39"/>
        <v>0</v>
      </c>
      <c r="E151" s="1362">
        <f t="shared" si="40"/>
        <v>0</v>
      </c>
      <c r="F151" s="1365"/>
      <c r="G151" s="1366"/>
      <c r="H151" s="1364"/>
      <c r="I151" s="1355"/>
      <c r="J151" s="1355"/>
      <c r="K151" s="1355"/>
      <c r="L151" s="1355"/>
      <c r="M151" s="1355"/>
      <c r="N151" s="1355"/>
      <c r="O151" s="1355"/>
      <c r="P151" s="1355"/>
      <c r="Q151" s="1355"/>
      <c r="R151" s="1355"/>
      <c r="S151" s="1355"/>
      <c r="T151" s="1355"/>
      <c r="U151" s="1355"/>
      <c r="V151" s="1355"/>
      <c r="W151" s="1355"/>
      <c r="X151" s="1355"/>
      <c r="Y151" s="1355"/>
      <c r="Z151" s="1355"/>
      <c r="AA151" s="1355"/>
      <c r="AB151" s="1355"/>
      <c r="AC151" s="1355"/>
      <c r="AD151" s="1355"/>
      <c r="AE151" s="1361"/>
      <c r="AF151" s="1361"/>
    </row>
    <row r="152" spans="2:32" ht="18" hidden="1" customHeight="1">
      <c r="B152" s="2464"/>
      <c r="C152" s="1352" t="s">
        <v>1185</v>
      </c>
      <c r="D152" s="1370">
        <f t="shared" si="39"/>
        <v>0</v>
      </c>
      <c r="E152" s="1362">
        <f t="shared" si="40"/>
        <v>0</v>
      </c>
      <c r="F152" s="1365"/>
      <c r="G152" s="1366"/>
      <c r="H152" s="1364"/>
      <c r="I152" s="1355"/>
      <c r="J152" s="1355"/>
      <c r="K152" s="1355"/>
      <c r="L152" s="1355"/>
      <c r="M152" s="1355"/>
      <c r="N152" s="1355"/>
      <c r="O152" s="1355"/>
      <c r="P152" s="1355"/>
      <c r="Q152" s="1355"/>
      <c r="R152" s="1355"/>
      <c r="S152" s="1355"/>
      <c r="T152" s="1355"/>
      <c r="U152" s="1355"/>
      <c r="V152" s="1355"/>
      <c r="W152" s="1355"/>
      <c r="X152" s="1355"/>
      <c r="Y152" s="1355"/>
      <c r="Z152" s="1355"/>
      <c r="AA152" s="1355"/>
      <c r="AB152" s="1355"/>
      <c r="AC152" s="1355"/>
      <c r="AD152" s="1355"/>
      <c r="AE152" s="1361"/>
      <c r="AF152" s="1361"/>
    </row>
    <row r="153" spans="2:32" ht="18" hidden="1" customHeight="1">
      <c r="B153" s="2464"/>
      <c r="C153" s="1352" t="s">
        <v>1263</v>
      </c>
      <c r="D153" s="1370">
        <f t="shared" si="39"/>
        <v>0</v>
      </c>
      <c r="E153" s="1362">
        <f t="shared" si="40"/>
        <v>0</v>
      </c>
      <c r="F153" s="1365"/>
      <c r="G153" s="1366"/>
      <c r="H153" s="1364"/>
      <c r="I153" s="1355"/>
      <c r="J153" s="1355"/>
      <c r="K153" s="1355"/>
      <c r="L153" s="1355"/>
      <c r="M153" s="1355"/>
      <c r="N153" s="1355"/>
      <c r="O153" s="1355"/>
      <c r="P153" s="1355"/>
      <c r="Q153" s="1355"/>
      <c r="R153" s="1355"/>
      <c r="S153" s="1355"/>
      <c r="T153" s="1355"/>
      <c r="U153" s="1355"/>
      <c r="V153" s="1355"/>
      <c r="W153" s="1355"/>
      <c r="X153" s="1355"/>
      <c r="Y153" s="1355"/>
      <c r="Z153" s="1355"/>
      <c r="AA153" s="1355"/>
      <c r="AB153" s="1355"/>
      <c r="AC153" s="1355"/>
      <c r="AD153" s="1355"/>
      <c r="AE153" s="1361"/>
      <c r="AF153" s="1361"/>
    </row>
    <row r="154" spans="2:32" ht="18" hidden="1" customHeight="1">
      <c r="B154" s="2464"/>
      <c r="C154" s="1352" t="s">
        <v>1264</v>
      </c>
      <c r="D154" s="1370">
        <f t="shared" si="39"/>
        <v>0</v>
      </c>
      <c r="E154" s="1362">
        <f t="shared" si="40"/>
        <v>0</v>
      </c>
      <c r="F154" s="1365"/>
      <c r="G154" s="1366"/>
      <c r="H154" s="1364"/>
      <c r="I154" s="1355"/>
      <c r="J154" s="1355"/>
      <c r="K154" s="1355"/>
      <c r="L154" s="1355"/>
      <c r="M154" s="1355"/>
      <c r="N154" s="1355"/>
      <c r="O154" s="1355"/>
      <c r="P154" s="1355"/>
      <c r="Q154" s="1355"/>
      <c r="R154" s="1355"/>
      <c r="S154" s="1355"/>
      <c r="T154" s="1355"/>
      <c r="U154" s="1355"/>
      <c r="V154" s="1355"/>
      <c r="W154" s="1355"/>
      <c r="X154" s="1355"/>
      <c r="Y154" s="1355"/>
      <c r="Z154" s="1355"/>
      <c r="AA154" s="1355"/>
      <c r="AB154" s="1355"/>
      <c r="AC154" s="1355"/>
      <c r="AD154" s="1355"/>
      <c r="AE154" s="1361"/>
      <c r="AF154" s="1361"/>
    </row>
    <row r="155" spans="2:32" ht="18" hidden="1" customHeight="1">
      <c r="B155" s="2464"/>
      <c r="C155" s="1352" t="s">
        <v>1265</v>
      </c>
      <c r="D155" s="1370">
        <f t="shared" si="39"/>
        <v>0</v>
      </c>
      <c r="E155" s="1362">
        <f t="shared" si="40"/>
        <v>0</v>
      </c>
      <c r="F155" s="1365"/>
      <c r="G155" s="1366"/>
      <c r="H155" s="1364"/>
      <c r="I155" s="1355"/>
      <c r="J155" s="1355"/>
      <c r="K155" s="1355"/>
      <c r="L155" s="1355"/>
      <c r="M155" s="1355"/>
      <c r="N155" s="1355"/>
      <c r="O155" s="1355"/>
      <c r="P155" s="1355"/>
      <c r="Q155" s="1355"/>
      <c r="R155" s="1355"/>
      <c r="S155" s="1355"/>
      <c r="T155" s="1355"/>
      <c r="U155" s="1355"/>
      <c r="V155" s="1355"/>
      <c r="W155" s="1355"/>
      <c r="X155" s="1355"/>
      <c r="Y155" s="1355"/>
      <c r="Z155" s="1355"/>
      <c r="AA155" s="1355"/>
      <c r="AB155" s="1355"/>
      <c r="AC155" s="1355"/>
      <c r="AD155" s="1355"/>
      <c r="AE155" s="1361"/>
      <c r="AF155" s="1361"/>
    </row>
    <row r="156" spans="2:32" ht="18" hidden="1" customHeight="1">
      <c r="B156" s="2464"/>
      <c r="C156" s="1352" t="s">
        <v>1176</v>
      </c>
      <c r="D156" s="1370">
        <f t="shared" si="39"/>
        <v>0</v>
      </c>
      <c r="E156" s="1362">
        <f t="shared" si="40"/>
        <v>0</v>
      </c>
      <c r="F156" s="1365"/>
      <c r="G156" s="1366"/>
      <c r="H156" s="1364"/>
      <c r="I156" s="1355"/>
      <c r="J156" s="1355"/>
      <c r="K156" s="1355"/>
      <c r="L156" s="1355"/>
      <c r="M156" s="1355"/>
      <c r="N156" s="1355"/>
      <c r="O156" s="1355"/>
      <c r="P156" s="1355"/>
      <c r="Q156" s="1355"/>
      <c r="R156" s="1355"/>
      <c r="S156" s="1355"/>
      <c r="T156" s="1355"/>
      <c r="U156" s="1355"/>
      <c r="V156" s="1355"/>
      <c r="W156" s="1355"/>
      <c r="X156" s="1355"/>
      <c r="Y156" s="1355"/>
      <c r="Z156" s="1355"/>
      <c r="AA156" s="1355"/>
      <c r="AB156" s="1355"/>
      <c r="AC156" s="1355"/>
      <c r="AD156" s="1355"/>
      <c r="AE156" s="1361"/>
      <c r="AF156" s="1361"/>
    </row>
    <row r="157" spans="2:32" ht="18" hidden="1" customHeight="1">
      <c r="B157" s="2464"/>
      <c r="C157" s="1352" t="s">
        <v>1266</v>
      </c>
      <c r="D157" s="1370">
        <f t="shared" si="39"/>
        <v>0</v>
      </c>
      <c r="E157" s="1362">
        <f t="shared" si="40"/>
        <v>0</v>
      </c>
      <c r="F157" s="1365"/>
      <c r="G157" s="1366"/>
      <c r="H157" s="1364"/>
      <c r="I157" s="1355"/>
      <c r="J157" s="1355"/>
      <c r="K157" s="1355"/>
      <c r="L157" s="1355"/>
      <c r="M157" s="1355"/>
      <c r="N157" s="1355"/>
      <c r="O157" s="1355"/>
      <c r="P157" s="1355"/>
      <c r="Q157" s="1355"/>
      <c r="R157" s="1355"/>
      <c r="S157" s="1355"/>
      <c r="T157" s="1355"/>
      <c r="U157" s="1355"/>
      <c r="V157" s="1355"/>
      <c r="W157" s="1355"/>
      <c r="X157" s="1355"/>
      <c r="Y157" s="1355"/>
      <c r="Z157" s="1355"/>
      <c r="AA157" s="1355"/>
      <c r="AB157" s="1355"/>
      <c r="AC157" s="1355"/>
      <c r="AD157" s="1355"/>
      <c r="AE157" s="1361"/>
      <c r="AF157" s="1361"/>
    </row>
    <row r="158" spans="2:32" ht="18" hidden="1" customHeight="1">
      <c r="B158" s="2464"/>
      <c r="C158" s="1352" t="s">
        <v>1267</v>
      </c>
      <c r="D158" s="1370">
        <f t="shared" si="39"/>
        <v>0</v>
      </c>
      <c r="E158" s="1362">
        <f t="shared" si="40"/>
        <v>0</v>
      </c>
      <c r="F158" s="1365"/>
      <c r="G158" s="1366"/>
      <c r="H158" s="1364"/>
      <c r="I158" s="1355"/>
      <c r="J158" s="1355"/>
      <c r="K158" s="1355"/>
      <c r="L158" s="1355"/>
      <c r="M158" s="1355"/>
      <c r="N158" s="1355"/>
      <c r="O158" s="1355"/>
      <c r="P158" s="1355"/>
      <c r="Q158" s="1355"/>
      <c r="R158" s="1355"/>
      <c r="S158" s="1355"/>
      <c r="T158" s="1355"/>
      <c r="U158" s="1355"/>
      <c r="V158" s="1355"/>
      <c r="W158" s="1355"/>
      <c r="X158" s="1355"/>
      <c r="Y158" s="1355"/>
      <c r="Z158" s="1355"/>
      <c r="AA158" s="1355"/>
      <c r="AB158" s="1355"/>
      <c r="AC158" s="1355"/>
      <c r="AD158" s="1355"/>
      <c r="AE158" s="1361"/>
      <c r="AF158" s="1361"/>
    </row>
    <row r="159" spans="2:32" ht="18" hidden="1" customHeight="1">
      <c r="B159" s="2465"/>
      <c r="C159" s="1356" t="s">
        <v>1182</v>
      </c>
      <c r="D159" s="1370">
        <f t="shared" si="39"/>
        <v>0</v>
      </c>
      <c r="E159" s="459">
        <f t="shared" si="40"/>
        <v>0</v>
      </c>
      <c r="F159" s="1365"/>
      <c r="G159" s="1366"/>
      <c r="H159" s="1367"/>
      <c r="I159" s="1358"/>
      <c r="J159" s="1358"/>
      <c r="K159" s="1358"/>
      <c r="L159" s="1358"/>
      <c r="M159" s="1358"/>
      <c r="N159" s="1358"/>
      <c r="O159" s="1358"/>
      <c r="P159" s="1358"/>
      <c r="Q159" s="1358"/>
      <c r="R159" s="1358"/>
      <c r="S159" s="1358"/>
      <c r="T159" s="1358"/>
      <c r="U159" s="1358"/>
      <c r="V159" s="1358"/>
      <c r="W159" s="1358"/>
      <c r="X159" s="1358"/>
      <c r="Y159" s="1358"/>
      <c r="Z159" s="1358"/>
      <c r="AA159" s="1358"/>
      <c r="AB159" s="1358"/>
      <c r="AC159" s="1358"/>
      <c r="AD159" s="1358"/>
      <c r="AE159" s="1361"/>
      <c r="AF159" s="1361"/>
    </row>
    <row r="160" spans="2:32" ht="18" hidden="1" customHeight="1">
      <c r="C160" s="26"/>
      <c r="D160" s="1368">
        <f t="shared" ref="D160:AD160" si="41">SUBTOTAL(109,D149:D159)</f>
        <v>0</v>
      </c>
      <c r="E160" s="1368">
        <f t="shared" si="41"/>
        <v>0</v>
      </c>
      <c r="F160" s="464">
        <f t="shared" si="41"/>
        <v>0</v>
      </c>
      <c r="G160" s="1369">
        <f t="shared" si="41"/>
        <v>0</v>
      </c>
      <c r="H160" s="1368">
        <f t="shared" si="41"/>
        <v>0</v>
      </c>
      <c r="I160" s="1368">
        <f t="shared" si="41"/>
        <v>0</v>
      </c>
      <c r="J160" s="1368">
        <f t="shared" si="41"/>
        <v>0</v>
      </c>
      <c r="K160" s="1368">
        <f t="shared" si="41"/>
        <v>0</v>
      </c>
      <c r="L160" s="1368">
        <f t="shared" si="41"/>
        <v>0</v>
      </c>
      <c r="M160" s="1368">
        <f t="shared" si="41"/>
        <v>0</v>
      </c>
      <c r="N160" s="1368">
        <f t="shared" si="41"/>
        <v>0</v>
      </c>
      <c r="O160" s="1368">
        <f t="shared" si="41"/>
        <v>0</v>
      </c>
      <c r="P160" s="1368">
        <f t="shared" si="41"/>
        <v>0</v>
      </c>
      <c r="Q160" s="1368">
        <f t="shared" si="41"/>
        <v>0</v>
      </c>
      <c r="R160" s="1368">
        <f t="shared" si="41"/>
        <v>0</v>
      </c>
      <c r="S160" s="1368">
        <f t="shared" si="41"/>
        <v>0</v>
      </c>
      <c r="T160" s="1368">
        <f t="shared" si="41"/>
        <v>0</v>
      </c>
      <c r="U160" s="1368">
        <f t="shared" si="41"/>
        <v>0</v>
      </c>
      <c r="V160" s="1368">
        <f t="shared" si="41"/>
        <v>0</v>
      </c>
      <c r="W160" s="1368">
        <f t="shared" si="41"/>
        <v>0</v>
      </c>
      <c r="X160" s="1368">
        <f t="shared" si="41"/>
        <v>0</v>
      </c>
      <c r="Y160" s="1368">
        <f t="shared" si="41"/>
        <v>0</v>
      </c>
      <c r="Z160" s="1368">
        <f t="shared" si="41"/>
        <v>0</v>
      </c>
      <c r="AA160" s="1368">
        <f t="shared" si="41"/>
        <v>0</v>
      </c>
      <c r="AB160" s="1368">
        <f t="shared" si="41"/>
        <v>0</v>
      </c>
      <c r="AC160" s="1368">
        <f t="shared" si="41"/>
        <v>0</v>
      </c>
      <c r="AD160" s="1368">
        <f t="shared" si="41"/>
        <v>0</v>
      </c>
      <c r="AE160" s="1361"/>
      <c r="AF160" s="1361"/>
    </row>
    <row r="161" spans="2:32" ht="18" hidden="1" customHeight="1">
      <c r="B161" s="2463" t="s">
        <v>1268</v>
      </c>
      <c r="C161" s="1352" t="s">
        <v>1269</v>
      </c>
      <c r="D161" s="1370">
        <f>SUM(H161:AB161)</f>
        <v>0</v>
      </c>
      <c r="E161" s="460">
        <f>SUM(AC161:AD161)</f>
        <v>0</v>
      </c>
      <c r="F161" s="1365"/>
      <c r="G161" s="1366"/>
      <c r="H161" s="1472"/>
      <c r="I161" s="1371"/>
      <c r="J161" s="1371"/>
      <c r="K161" s="1371"/>
      <c r="L161" s="1371"/>
      <c r="M161" s="1371"/>
      <c r="N161" s="1371"/>
      <c r="O161" s="1371"/>
      <c r="P161" s="1371"/>
      <c r="Q161" s="1371"/>
      <c r="R161" s="1371"/>
      <c r="S161" s="1371"/>
      <c r="T161" s="1371"/>
      <c r="U161" s="1371"/>
      <c r="V161" s="1371"/>
      <c r="W161" s="1371"/>
      <c r="X161" s="1371"/>
      <c r="Y161" s="1371"/>
      <c r="Z161" s="1371"/>
      <c r="AA161" s="1371"/>
      <c r="AB161" s="1371"/>
      <c r="AC161" s="1371"/>
      <c r="AD161" s="1371"/>
      <c r="AE161" s="1361"/>
      <c r="AF161" s="1361"/>
    </row>
    <row r="162" spans="2:32" ht="18" hidden="1" customHeight="1">
      <c r="B162" s="2464"/>
      <c r="C162" s="1352" t="s">
        <v>1270</v>
      </c>
      <c r="D162" s="1370">
        <f>SUM(H162:AB162)</f>
        <v>0</v>
      </c>
      <c r="E162" s="1362">
        <f>SUM(AC162:AD162)</f>
        <v>0</v>
      </c>
      <c r="F162" s="1365"/>
      <c r="G162" s="1366"/>
      <c r="H162" s="1364"/>
      <c r="I162" s="1355"/>
      <c r="J162" s="1355"/>
      <c r="K162" s="1355"/>
      <c r="L162" s="1355"/>
      <c r="M162" s="1355"/>
      <c r="N162" s="1355"/>
      <c r="O162" s="1355"/>
      <c r="P162" s="1355"/>
      <c r="Q162" s="1355"/>
      <c r="R162" s="1355"/>
      <c r="S162" s="1355"/>
      <c r="T162" s="1355"/>
      <c r="U162" s="1355"/>
      <c r="V162" s="1355"/>
      <c r="W162" s="1355"/>
      <c r="X162" s="1355"/>
      <c r="Y162" s="1355"/>
      <c r="Z162" s="1355"/>
      <c r="AA162" s="1355"/>
      <c r="AB162" s="1355"/>
      <c r="AC162" s="1355"/>
      <c r="AD162" s="1355"/>
      <c r="AE162" s="1361"/>
      <c r="AF162" s="1361"/>
    </row>
    <row r="163" spans="2:32" ht="18" hidden="1" customHeight="1">
      <c r="B163" s="2464"/>
      <c r="C163" s="1352" t="s">
        <v>1271</v>
      </c>
      <c r="D163" s="1370">
        <f>SUM(H163:AB163)</f>
        <v>0</v>
      </c>
      <c r="E163" s="1362">
        <f>SUM(AC163:AD163)</f>
        <v>0</v>
      </c>
      <c r="F163" s="1365"/>
      <c r="G163" s="1366"/>
      <c r="H163" s="1364"/>
      <c r="I163" s="1355"/>
      <c r="J163" s="1355"/>
      <c r="K163" s="1355"/>
      <c r="L163" s="1355"/>
      <c r="M163" s="1355"/>
      <c r="N163" s="1355"/>
      <c r="O163" s="1355"/>
      <c r="P163" s="1355"/>
      <c r="Q163" s="1355"/>
      <c r="R163" s="1355"/>
      <c r="S163" s="1355"/>
      <c r="T163" s="1355"/>
      <c r="U163" s="1355"/>
      <c r="V163" s="1355"/>
      <c r="W163" s="1355"/>
      <c r="X163" s="1355"/>
      <c r="Y163" s="1355"/>
      <c r="Z163" s="1355"/>
      <c r="AA163" s="1355"/>
      <c r="AB163" s="1355"/>
      <c r="AC163" s="1355"/>
      <c r="AD163" s="1355"/>
      <c r="AE163" s="1361"/>
      <c r="AF163" s="1361"/>
    </row>
    <row r="164" spans="2:32" ht="18" hidden="1" customHeight="1">
      <c r="B164" s="2464"/>
      <c r="C164" s="1352" t="s">
        <v>1272</v>
      </c>
      <c r="D164" s="1370">
        <f>SUM(H164:AB164)</f>
        <v>0</v>
      </c>
      <c r="E164" s="1362">
        <f>SUM(AC164:AD164)</f>
        <v>0</v>
      </c>
      <c r="F164" s="1365"/>
      <c r="G164" s="1366"/>
      <c r="H164" s="1364"/>
      <c r="I164" s="1355"/>
      <c r="J164" s="1355"/>
      <c r="K164" s="1355"/>
      <c r="L164" s="1355"/>
      <c r="M164" s="1355"/>
      <c r="N164" s="1355"/>
      <c r="O164" s="1355"/>
      <c r="P164" s="1355"/>
      <c r="Q164" s="1355"/>
      <c r="R164" s="1355"/>
      <c r="S164" s="1355"/>
      <c r="T164" s="1355"/>
      <c r="U164" s="1355"/>
      <c r="V164" s="1355"/>
      <c r="W164" s="1355"/>
      <c r="X164" s="1355"/>
      <c r="Y164" s="1355"/>
      <c r="Z164" s="1355"/>
      <c r="AA164" s="1355"/>
      <c r="AB164" s="1355"/>
      <c r="AC164" s="1355"/>
      <c r="AD164" s="1355"/>
      <c r="AE164" s="1361"/>
      <c r="AF164" s="1361"/>
    </row>
    <row r="165" spans="2:32" ht="18" hidden="1" customHeight="1">
      <c r="B165" s="2465"/>
      <c r="C165" s="1356" t="s">
        <v>1182</v>
      </c>
      <c r="D165" s="1370">
        <f>SUM(H165:AB165)</f>
        <v>0</v>
      </c>
      <c r="E165" s="459">
        <f>SUM(AC165:AD165)</f>
        <v>0</v>
      </c>
      <c r="F165" s="1365"/>
      <c r="G165" s="1366"/>
      <c r="H165" s="1367"/>
      <c r="I165" s="1358"/>
      <c r="J165" s="1358"/>
      <c r="K165" s="1358"/>
      <c r="L165" s="1358"/>
      <c r="M165" s="1358"/>
      <c r="N165" s="1358"/>
      <c r="O165" s="1358"/>
      <c r="P165" s="1358"/>
      <c r="Q165" s="1358"/>
      <c r="R165" s="1358"/>
      <c r="S165" s="1358"/>
      <c r="T165" s="1358"/>
      <c r="U165" s="1358"/>
      <c r="V165" s="1358"/>
      <c r="W165" s="1358"/>
      <c r="X165" s="1358"/>
      <c r="Y165" s="1358"/>
      <c r="Z165" s="1358"/>
      <c r="AA165" s="1358"/>
      <c r="AB165" s="1358"/>
      <c r="AC165" s="1358"/>
      <c r="AD165" s="1358"/>
      <c r="AE165" s="1361"/>
      <c r="AF165" s="1361"/>
    </row>
    <row r="166" spans="2:32" ht="18" hidden="1" customHeight="1">
      <c r="C166" s="26"/>
      <c r="D166" s="1368">
        <f t="shared" ref="D166:AD166" si="42">SUBTOTAL(109,D161:D165)</f>
        <v>0</v>
      </c>
      <c r="E166" s="1368">
        <f t="shared" si="42"/>
        <v>0</v>
      </c>
      <c r="F166" s="464">
        <f t="shared" si="42"/>
        <v>0</v>
      </c>
      <c r="G166" s="1369">
        <f t="shared" si="42"/>
        <v>0</v>
      </c>
      <c r="H166" s="1368">
        <f t="shared" si="42"/>
        <v>0</v>
      </c>
      <c r="I166" s="1368">
        <f t="shared" si="42"/>
        <v>0</v>
      </c>
      <c r="J166" s="1368">
        <f t="shared" si="42"/>
        <v>0</v>
      </c>
      <c r="K166" s="1368">
        <f t="shared" si="42"/>
        <v>0</v>
      </c>
      <c r="L166" s="1368">
        <f t="shared" si="42"/>
        <v>0</v>
      </c>
      <c r="M166" s="1368">
        <f t="shared" si="42"/>
        <v>0</v>
      </c>
      <c r="N166" s="1368">
        <f t="shared" si="42"/>
        <v>0</v>
      </c>
      <c r="O166" s="1368">
        <f t="shared" si="42"/>
        <v>0</v>
      </c>
      <c r="P166" s="1368">
        <f t="shared" si="42"/>
        <v>0</v>
      </c>
      <c r="Q166" s="1368">
        <f t="shared" si="42"/>
        <v>0</v>
      </c>
      <c r="R166" s="1368">
        <f t="shared" si="42"/>
        <v>0</v>
      </c>
      <c r="S166" s="1368">
        <f t="shared" si="42"/>
        <v>0</v>
      </c>
      <c r="T166" s="1368">
        <f t="shared" si="42"/>
        <v>0</v>
      </c>
      <c r="U166" s="1368">
        <f t="shared" si="42"/>
        <v>0</v>
      </c>
      <c r="V166" s="1368">
        <f t="shared" si="42"/>
        <v>0</v>
      </c>
      <c r="W166" s="1368">
        <f t="shared" si="42"/>
        <v>0</v>
      </c>
      <c r="X166" s="1368">
        <f t="shared" si="42"/>
        <v>0</v>
      </c>
      <c r="Y166" s="1368">
        <f t="shared" si="42"/>
        <v>0</v>
      </c>
      <c r="Z166" s="1368">
        <f t="shared" si="42"/>
        <v>0</v>
      </c>
      <c r="AA166" s="1368">
        <f t="shared" si="42"/>
        <v>0</v>
      </c>
      <c r="AB166" s="1368">
        <f t="shared" si="42"/>
        <v>0</v>
      </c>
      <c r="AC166" s="1368">
        <f t="shared" si="42"/>
        <v>0</v>
      </c>
      <c r="AD166" s="1368">
        <f t="shared" si="42"/>
        <v>0</v>
      </c>
      <c r="AE166" s="1361"/>
      <c r="AF166" s="1361"/>
    </row>
    <row r="167" spans="2:32" ht="18" hidden="1" customHeight="1">
      <c r="B167" s="2463" t="s">
        <v>1273</v>
      </c>
      <c r="C167" s="1352" t="s">
        <v>1274</v>
      </c>
      <c r="D167" s="1370">
        <f t="shared" ref="D167:D172" si="43">SUM(H167:AB167)</f>
        <v>0</v>
      </c>
      <c r="E167" s="460">
        <f t="shared" ref="E167:E172" si="44">SUM(AC167:AD167)</f>
        <v>0</v>
      </c>
      <c r="F167" s="1365"/>
      <c r="G167" s="1366"/>
      <c r="H167" s="1472"/>
      <c r="I167" s="1371"/>
      <c r="J167" s="1371"/>
      <c r="K167" s="1371"/>
      <c r="L167" s="1371"/>
      <c r="M167" s="1371"/>
      <c r="N167" s="1371"/>
      <c r="O167" s="1371"/>
      <c r="P167" s="1371"/>
      <c r="Q167" s="1371"/>
      <c r="R167" s="1371"/>
      <c r="S167" s="1371"/>
      <c r="T167" s="1371"/>
      <c r="U167" s="1371"/>
      <c r="V167" s="1371"/>
      <c r="W167" s="1371"/>
      <c r="X167" s="1371"/>
      <c r="Y167" s="1371"/>
      <c r="Z167" s="1371"/>
      <c r="AA167" s="1371"/>
      <c r="AB167" s="1371"/>
      <c r="AC167" s="1371"/>
      <c r="AD167" s="1371"/>
      <c r="AE167" s="1361"/>
      <c r="AF167" s="1361"/>
    </row>
    <row r="168" spans="2:32" ht="18" hidden="1" customHeight="1">
      <c r="B168" s="2464"/>
      <c r="C168" s="1352" t="s">
        <v>1241</v>
      </c>
      <c r="D168" s="1370">
        <f t="shared" si="43"/>
        <v>0</v>
      </c>
      <c r="E168" s="1362">
        <f t="shared" si="44"/>
        <v>0</v>
      </c>
      <c r="F168" s="1365"/>
      <c r="G168" s="1366"/>
      <c r="H168" s="1364"/>
      <c r="I168" s="1355"/>
      <c r="J168" s="1355"/>
      <c r="K168" s="1355"/>
      <c r="L168" s="1355"/>
      <c r="M168" s="1355"/>
      <c r="N168" s="1355"/>
      <c r="O168" s="1355"/>
      <c r="P168" s="1355"/>
      <c r="Q168" s="1355"/>
      <c r="R168" s="1355"/>
      <c r="S168" s="1355"/>
      <c r="T168" s="1355"/>
      <c r="U168" s="1355"/>
      <c r="V168" s="1355"/>
      <c r="W168" s="1355"/>
      <c r="X168" s="1355"/>
      <c r="Y168" s="1355"/>
      <c r="Z168" s="1355"/>
      <c r="AA168" s="1355"/>
      <c r="AB168" s="1355"/>
      <c r="AC168" s="1355"/>
      <c r="AD168" s="1355"/>
      <c r="AE168" s="1361"/>
      <c r="AF168" s="1361"/>
    </row>
    <row r="169" spans="2:32" ht="18" hidden="1" customHeight="1">
      <c r="B169" s="2464"/>
      <c r="C169" s="1352" t="s">
        <v>1275</v>
      </c>
      <c r="D169" s="1370">
        <f t="shared" si="43"/>
        <v>0</v>
      </c>
      <c r="E169" s="1362">
        <f t="shared" si="44"/>
        <v>0</v>
      </c>
      <c r="F169" s="1365"/>
      <c r="G169" s="1366"/>
      <c r="H169" s="1364"/>
      <c r="I169" s="1355"/>
      <c r="J169" s="1355"/>
      <c r="K169" s="1355"/>
      <c r="L169" s="1355"/>
      <c r="M169" s="1355"/>
      <c r="N169" s="1355"/>
      <c r="O169" s="1355"/>
      <c r="P169" s="1355"/>
      <c r="Q169" s="1355"/>
      <c r="R169" s="1355"/>
      <c r="S169" s="1355"/>
      <c r="T169" s="1355"/>
      <c r="U169" s="1355"/>
      <c r="V169" s="1355"/>
      <c r="W169" s="1355"/>
      <c r="X169" s="1355"/>
      <c r="Y169" s="1355"/>
      <c r="Z169" s="1355"/>
      <c r="AA169" s="1355"/>
      <c r="AB169" s="1355"/>
      <c r="AC169" s="1355"/>
      <c r="AD169" s="1355"/>
      <c r="AE169" s="1361"/>
      <c r="AF169" s="1361"/>
    </row>
    <row r="170" spans="2:32" ht="18" hidden="1" customHeight="1">
      <c r="B170" s="2464"/>
      <c r="C170" s="1352" t="s">
        <v>1175</v>
      </c>
      <c r="D170" s="1370">
        <f t="shared" si="43"/>
        <v>0</v>
      </c>
      <c r="E170" s="1362">
        <f t="shared" si="44"/>
        <v>0</v>
      </c>
      <c r="F170" s="1365"/>
      <c r="G170" s="1366"/>
      <c r="H170" s="1364"/>
      <c r="I170" s="1355"/>
      <c r="J170" s="1355"/>
      <c r="K170" s="1355"/>
      <c r="L170" s="1355"/>
      <c r="M170" s="1355"/>
      <c r="N170" s="1355"/>
      <c r="O170" s="1355"/>
      <c r="P170" s="1355"/>
      <c r="Q170" s="1355"/>
      <c r="R170" s="1355"/>
      <c r="S170" s="1355"/>
      <c r="T170" s="1355"/>
      <c r="U170" s="1355"/>
      <c r="V170" s="1355"/>
      <c r="W170" s="1355"/>
      <c r="X170" s="1355"/>
      <c r="Y170" s="1355"/>
      <c r="Z170" s="1355"/>
      <c r="AA170" s="1355"/>
      <c r="AB170" s="1355"/>
      <c r="AC170" s="1355"/>
      <c r="AD170" s="1355"/>
      <c r="AE170" s="1361"/>
      <c r="AF170" s="1361"/>
    </row>
    <row r="171" spans="2:32" ht="18" hidden="1" customHeight="1">
      <c r="B171" s="2464"/>
      <c r="C171" s="1372" t="s">
        <v>1182</v>
      </c>
      <c r="D171" s="1370">
        <f t="shared" si="43"/>
        <v>0</v>
      </c>
      <c r="E171" s="1362">
        <f t="shared" si="44"/>
        <v>0</v>
      </c>
      <c r="F171" s="1365"/>
      <c r="G171" s="1366"/>
      <c r="H171" s="1364"/>
      <c r="I171" s="1355"/>
      <c r="J171" s="1355"/>
      <c r="K171" s="1355"/>
      <c r="L171" s="1355"/>
      <c r="M171" s="1355"/>
      <c r="N171" s="1355"/>
      <c r="O171" s="1355"/>
      <c r="P171" s="1355"/>
      <c r="Q171" s="1355"/>
      <c r="R171" s="1355"/>
      <c r="S171" s="1355"/>
      <c r="T171" s="1355"/>
      <c r="U171" s="1355"/>
      <c r="V171" s="1355"/>
      <c r="W171" s="1355"/>
      <c r="X171" s="1355"/>
      <c r="Y171" s="1355"/>
      <c r="Z171" s="1355"/>
      <c r="AA171" s="1355"/>
      <c r="AB171" s="1355"/>
      <c r="AC171" s="1355"/>
      <c r="AD171" s="1355"/>
      <c r="AE171" s="1361"/>
      <c r="AF171" s="1361"/>
    </row>
    <row r="172" spans="2:32" ht="18" hidden="1" customHeight="1">
      <c r="B172" s="2465"/>
      <c r="C172" s="1356" t="s">
        <v>1182</v>
      </c>
      <c r="D172" s="1370">
        <f t="shared" si="43"/>
        <v>0</v>
      </c>
      <c r="E172" s="459">
        <f t="shared" si="44"/>
        <v>0</v>
      </c>
      <c r="F172" s="1365"/>
      <c r="G172" s="1366"/>
      <c r="H172" s="1367"/>
      <c r="I172" s="1358"/>
      <c r="J172" s="1358"/>
      <c r="K172" s="1358"/>
      <c r="L172" s="1358"/>
      <c r="M172" s="1358"/>
      <c r="N172" s="1358"/>
      <c r="O172" s="1358"/>
      <c r="P172" s="1358"/>
      <c r="Q172" s="1358"/>
      <c r="R172" s="1358"/>
      <c r="S172" s="1358"/>
      <c r="T172" s="1358"/>
      <c r="U172" s="1358"/>
      <c r="V172" s="1358"/>
      <c r="W172" s="1358"/>
      <c r="X172" s="1358"/>
      <c r="Y172" s="1358"/>
      <c r="Z172" s="1358"/>
      <c r="AA172" s="1358"/>
      <c r="AB172" s="1358"/>
      <c r="AC172" s="1358"/>
      <c r="AD172" s="1358"/>
      <c r="AE172" s="1361"/>
      <c r="AF172" s="1361"/>
    </row>
    <row r="173" spans="2:32" ht="18" hidden="1" customHeight="1">
      <c r="C173" s="26"/>
      <c r="D173" s="1368">
        <f t="shared" ref="D173:AD173" si="45">SUBTOTAL(109,D167:D172)</f>
        <v>0</v>
      </c>
      <c r="E173" s="1368">
        <f t="shared" si="45"/>
        <v>0</v>
      </c>
      <c r="F173" s="464">
        <f t="shared" si="45"/>
        <v>0</v>
      </c>
      <c r="G173" s="1369">
        <f t="shared" si="45"/>
        <v>0</v>
      </c>
      <c r="H173" s="1368">
        <f t="shared" si="45"/>
        <v>0</v>
      </c>
      <c r="I173" s="1368">
        <f t="shared" si="45"/>
        <v>0</v>
      </c>
      <c r="J173" s="1368">
        <f t="shared" si="45"/>
        <v>0</v>
      </c>
      <c r="K173" s="1368">
        <f t="shared" si="45"/>
        <v>0</v>
      </c>
      <c r="L173" s="1368">
        <f t="shared" si="45"/>
        <v>0</v>
      </c>
      <c r="M173" s="1368">
        <f t="shared" si="45"/>
        <v>0</v>
      </c>
      <c r="N173" s="1368">
        <f t="shared" si="45"/>
        <v>0</v>
      </c>
      <c r="O173" s="1368">
        <f t="shared" si="45"/>
        <v>0</v>
      </c>
      <c r="P173" s="1368">
        <f t="shared" si="45"/>
        <v>0</v>
      </c>
      <c r="Q173" s="1368">
        <f t="shared" si="45"/>
        <v>0</v>
      </c>
      <c r="R173" s="1368">
        <f t="shared" si="45"/>
        <v>0</v>
      </c>
      <c r="S173" s="1368">
        <f t="shared" si="45"/>
        <v>0</v>
      </c>
      <c r="T173" s="1368">
        <f t="shared" si="45"/>
        <v>0</v>
      </c>
      <c r="U173" s="1368">
        <f t="shared" si="45"/>
        <v>0</v>
      </c>
      <c r="V173" s="1368">
        <f t="shared" si="45"/>
        <v>0</v>
      </c>
      <c r="W173" s="1368">
        <f t="shared" si="45"/>
        <v>0</v>
      </c>
      <c r="X173" s="1368">
        <f t="shared" si="45"/>
        <v>0</v>
      </c>
      <c r="Y173" s="1368">
        <f t="shared" si="45"/>
        <v>0</v>
      </c>
      <c r="Z173" s="1368">
        <f t="shared" si="45"/>
        <v>0</v>
      </c>
      <c r="AA173" s="1368">
        <f t="shared" si="45"/>
        <v>0</v>
      </c>
      <c r="AB173" s="1368">
        <f t="shared" si="45"/>
        <v>0</v>
      </c>
      <c r="AC173" s="1368">
        <f t="shared" si="45"/>
        <v>0</v>
      </c>
      <c r="AD173" s="1368">
        <f t="shared" si="45"/>
        <v>0</v>
      </c>
      <c r="AE173" s="1361"/>
      <c r="AF173" s="1361"/>
    </row>
    <row r="174" spans="2:32" ht="18" hidden="1" customHeight="1">
      <c r="B174" s="2463" t="s">
        <v>1276</v>
      </c>
      <c r="C174" s="1352" t="s">
        <v>1277</v>
      </c>
      <c r="D174" s="1370">
        <f t="shared" ref="D174:D179" si="46">SUM(H174:AB174)</f>
        <v>0</v>
      </c>
      <c r="E174" s="460">
        <f t="shared" ref="E174:E179" si="47">SUM(AC174:AD174)</f>
        <v>0</v>
      </c>
      <c r="F174" s="1365"/>
      <c r="G174" s="1366"/>
      <c r="H174" s="1472"/>
      <c r="I174" s="1371"/>
      <c r="J174" s="1371"/>
      <c r="K174" s="1371"/>
      <c r="L174" s="1371"/>
      <c r="M174" s="1371"/>
      <c r="N174" s="1371"/>
      <c r="O174" s="1371"/>
      <c r="P174" s="1371"/>
      <c r="Q174" s="1371"/>
      <c r="R174" s="1371"/>
      <c r="S174" s="1371"/>
      <c r="T174" s="1371"/>
      <c r="U174" s="1371"/>
      <c r="V174" s="1371"/>
      <c r="W174" s="1371"/>
      <c r="X174" s="1371"/>
      <c r="Y174" s="1371"/>
      <c r="Z174" s="1371"/>
      <c r="AA174" s="1371"/>
      <c r="AB174" s="1371"/>
      <c r="AC174" s="1371"/>
      <c r="AD174" s="1371"/>
      <c r="AE174" s="1361"/>
      <c r="AF174" s="1361"/>
    </row>
    <row r="175" spans="2:32" ht="18" hidden="1" customHeight="1">
      <c r="B175" s="2464"/>
      <c r="C175" s="1352" t="s">
        <v>1241</v>
      </c>
      <c r="D175" s="1370">
        <f t="shared" si="46"/>
        <v>0</v>
      </c>
      <c r="E175" s="1362">
        <f t="shared" si="47"/>
        <v>0</v>
      </c>
      <c r="F175" s="1365"/>
      <c r="G175" s="1366"/>
      <c r="H175" s="1364"/>
      <c r="I175" s="1355"/>
      <c r="J175" s="1355"/>
      <c r="K175" s="1355"/>
      <c r="L175" s="1355"/>
      <c r="M175" s="1355"/>
      <c r="N175" s="1355"/>
      <c r="O175" s="1355"/>
      <c r="P175" s="1355"/>
      <c r="Q175" s="1355"/>
      <c r="R175" s="1355"/>
      <c r="S175" s="1355"/>
      <c r="T175" s="1355"/>
      <c r="U175" s="1355"/>
      <c r="V175" s="1355"/>
      <c r="W175" s="1355"/>
      <c r="X175" s="1355"/>
      <c r="Y175" s="1355"/>
      <c r="Z175" s="1355"/>
      <c r="AA175" s="1355"/>
      <c r="AB175" s="1355"/>
      <c r="AC175" s="1355"/>
      <c r="AD175" s="1355"/>
      <c r="AE175" s="1361"/>
      <c r="AF175" s="1361"/>
    </row>
    <row r="176" spans="2:32" ht="18" hidden="1" customHeight="1">
      <c r="B176" s="2464"/>
      <c r="C176" s="1352" t="s">
        <v>1275</v>
      </c>
      <c r="D176" s="1370">
        <f t="shared" si="46"/>
        <v>0</v>
      </c>
      <c r="E176" s="1362">
        <f t="shared" si="47"/>
        <v>0</v>
      </c>
      <c r="F176" s="1365"/>
      <c r="G176" s="1366"/>
      <c r="H176" s="1364"/>
      <c r="I176" s="1355"/>
      <c r="J176" s="1355"/>
      <c r="K176" s="1355"/>
      <c r="L176" s="1355"/>
      <c r="M176" s="1355"/>
      <c r="N176" s="1355"/>
      <c r="O176" s="1355"/>
      <c r="P176" s="1355"/>
      <c r="Q176" s="1355"/>
      <c r="R176" s="1355"/>
      <c r="S176" s="1355"/>
      <c r="T176" s="1355"/>
      <c r="U176" s="1355"/>
      <c r="V176" s="1355"/>
      <c r="W176" s="1355"/>
      <c r="X176" s="1355"/>
      <c r="Y176" s="1355"/>
      <c r="Z176" s="1355"/>
      <c r="AA176" s="1355"/>
      <c r="AB176" s="1355"/>
      <c r="AC176" s="1355"/>
      <c r="AD176" s="1355"/>
      <c r="AE176" s="1361"/>
      <c r="AF176" s="1361"/>
    </row>
    <row r="177" spans="2:32" ht="18" hidden="1" customHeight="1">
      <c r="B177" s="2464"/>
      <c r="C177" s="1352" t="s">
        <v>1175</v>
      </c>
      <c r="D177" s="1370">
        <f t="shared" si="46"/>
        <v>0</v>
      </c>
      <c r="E177" s="1362">
        <f t="shared" si="47"/>
        <v>0</v>
      </c>
      <c r="F177" s="1365"/>
      <c r="G177" s="1366"/>
      <c r="H177" s="1364"/>
      <c r="I177" s="1355"/>
      <c r="J177" s="1355"/>
      <c r="K177" s="1355"/>
      <c r="L177" s="1355"/>
      <c r="M177" s="1355"/>
      <c r="N177" s="1355"/>
      <c r="O177" s="1355"/>
      <c r="P177" s="1355"/>
      <c r="Q177" s="1355"/>
      <c r="R177" s="1355"/>
      <c r="S177" s="1355"/>
      <c r="T177" s="1355"/>
      <c r="U177" s="1355"/>
      <c r="V177" s="1355"/>
      <c r="W177" s="1355"/>
      <c r="X177" s="1355"/>
      <c r="Y177" s="1355"/>
      <c r="Z177" s="1355"/>
      <c r="AA177" s="1355"/>
      <c r="AB177" s="1355"/>
      <c r="AC177" s="1355"/>
      <c r="AD177" s="1355"/>
      <c r="AE177" s="1361"/>
      <c r="AF177" s="1361"/>
    </row>
    <row r="178" spans="2:32" ht="18" hidden="1" customHeight="1">
      <c r="B178" s="2464"/>
      <c r="C178" s="1372" t="s">
        <v>1182</v>
      </c>
      <c r="D178" s="1370">
        <f t="shared" si="46"/>
        <v>0</v>
      </c>
      <c r="E178" s="1362">
        <f t="shared" si="47"/>
        <v>0</v>
      </c>
      <c r="F178" s="1365"/>
      <c r="G178" s="1366"/>
      <c r="H178" s="1364"/>
      <c r="I178" s="1355"/>
      <c r="J178" s="1355"/>
      <c r="K178" s="1355"/>
      <c r="L178" s="1355"/>
      <c r="M178" s="1355"/>
      <c r="N178" s="1355"/>
      <c r="O178" s="1355"/>
      <c r="P178" s="1355"/>
      <c r="Q178" s="1355"/>
      <c r="R178" s="1355"/>
      <c r="S178" s="1355"/>
      <c r="T178" s="1355"/>
      <c r="U178" s="1355"/>
      <c r="V178" s="1355"/>
      <c r="W178" s="1355"/>
      <c r="X178" s="1355"/>
      <c r="Y178" s="1355"/>
      <c r="Z178" s="1355"/>
      <c r="AA178" s="1355"/>
      <c r="AB178" s="1355"/>
      <c r="AC178" s="1355"/>
      <c r="AD178" s="1355"/>
      <c r="AE178" s="1361"/>
      <c r="AF178" s="1361"/>
    </row>
    <row r="179" spans="2:32" ht="18" hidden="1" customHeight="1">
      <c r="B179" s="2465"/>
      <c r="C179" s="1356" t="s">
        <v>1182</v>
      </c>
      <c r="D179" s="1370">
        <f t="shared" si="46"/>
        <v>0</v>
      </c>
      <c r="E179" s="459">
        <f t="shared" si="47"/>
        <v>0</v>
      </c>
      <c r="F179" s="1365"/>
      <c r="G179" s="1366"/>
      <c r="H179" s="1367"/>
      <c r="I179" s="1358"/>
      <c r="J179" s="1358"/>
      <c r="K179" s="1358"/>
      <c r="L179" s="1358"/>
      <c r="M179" s="1358"/>
      <c r="N179" s="1358"/>
      <c r="O179" s="1358"/>
      <c r="P179" s="1358"/>
      <c r="Q179" s="1358"/>
      <c r="R179" s="1358"/>
      <c r="S179" s="1358"/>
      <c r="T179" s="1358"/>
      <c r="U179" s="1358"/>
      <c r="V179" s="1358"/>
      <c r="W179" s="1358"/>
      <c r="X179" s="1358"/>
      <c r="Y179" s="1358"/>
      <c r="Z179" s="1358"/>
      <c r="AA179" s="1358"/>
      <c r="AB179" s="1358"/>
      <c r="AC179" s="1358"/>
      <c r="AD179" s="1358"/>
      <c r="AE179" s="1361"/>
      <c r="AF179" s="1361"/>
    </row>
    <row r="180" spans="2:32" ht="18" hidden="1" customHeight="1">
      <c r="C180" s="26"/>
      <c r="D180" s="1368">
        <f t="shared" ref="D180:AD180" si="48">SUBTOTAL(109,D174:D179)</f>
        <v>0</v>
      </c>
      <c r="E180" s="1368">
        <f t="shared" si="48"/>
        <v>0</v>
      </c>
      <c r="F180" s="464">
        <f t="shared" si="48"/>
        <v>0</v>
      </c>
      <c r="G180" s="1369">
        <f t="shared" si="48"/>
        <v>0</v>
      </c>
      <c r="H180" s="1368">
        <f t="shared" si="48"/>
        <v>0</v>
      </c>
      <c r="I180" s="1368">
        <f t="shared" si="48"/>
        <v>0</v>
      </c>
      <c r="J180" s="1368">
        <f t="shared" si="48"/>
        <v>0</v>
      </c>
      <c r="K180" s="1368">
        <f t="shared" si="48"/>
        <v>0</v>
      </c>
      <c r="L180" s="1368">
        <f t="shared" si="48"/>
        <v>0</v>
      </c>
      <c r="M180" s="1368">
        <f t="shared" si="48"/>
        <v>0</v>
      </c>
      <c r="N180" s="1368">
        <f t="shared" si="48"/>
        <v>0</v>
      </c>
      <c r="O180" s="1368">
        <f t="shared" si="48"/>
        <v>0</v>
      </c>
      <c r="P180" s="1368">
        <f t="shared" si="48"/>
        <v>0</v>
      </c>
      <c r="Q180" s="1368">
        <f t="shared" si="48"/>
        <v>0</v>
      </c>
      <c r="R180" s="1368">
        <f t="shared" si="48"/>
        <v>0</v>
      </c>
      <c r="S180" s="1368">
        <f t="shared" si="48"/>
        <v>0</v>
      </c>
      <c r="T180" s="1368">
        <f t="shared" si="48"/>
        <v>0</v>
      </c>
      <c r="U180" s="1368">
        <f t="shared" si="48"/>
        <v>0</v>
      </c>
      <c r="V180" s="1368">
        <f t="shared" si="48"/>
        <v>0</v>
      </c>
      <c r="W180" s="1368">
        <f t="shared" si="48"/>
        <v>0</v>
      </c>
      <c r="X180" s="1368">
        <f t="shared" si="48"/>
        <v>0</v>
      </c>
      <c r="Y180" s="1368">
        <f t="shared" si="48"/>
        <v>0</v>
      </c>
      <c r="Z180" s="1368">
        <f t="shared" si="48"/>
        <v>0</v>
      </c>
      <c r="AA180" s="1368">
        <f t="shared" si="48"/>
        <v>0</v>
      </c>
      <c r="AB180" s="1368">
        <f t="shared" si="48"/>
        <v>0</v>
      </c>
      <c r="AC180" s="1368">
        <f t="shared" si="48"/>
        <v>0</v>
      </c>
      <c r="AD180" s="1368">
        <f t="shared" si="48"/>
        <v>0</v>
      </c>
      <c r="AE180" s="1361"/>
      <c r="AF180" s="1361"/>
    </row>
    <row r="181" spans="2:32" ht="18" hidden="1" customHeight="1">
      <c r="B181" s="2463" t="s">
        <v>1278</v>
      </c>
      <c r="C181" s="1352" t="s">
        <v>1279</v>
      </c>
      <c r="D181" s="1370">
        <f t="shared" ref="D181:D187" si="49">SUM(H181:AB181)</f>
        <v>0</v>
      </c>
      <c r="E181" s="460">
        <f t="shared" ref="E181:E187" si="50">SUM(AC181:AD181)</f>
        <v>0</v>
      </c>
      <c r="F181" s="1365"/>
      <c r="G181" s="1366"/>
      <c r="H181" s="1472"/>
      <c r="I181" s="1371"/>
      <c r="J181" s="1371"/>
      <c r="K181" s="1371"/>
      <c r="L181" s="1371"/>
      <c r="M181" s="1371"/>
      <c r="N181" s="1371"/>
      <c r="O181" s="1371"/>
      <c r="P181" s="1371"/>
      <c r="Q181" s="1371"/>
      <c r="R181" s="1371"/>
      <c r="S181" s="1371"/>
      <c r="T181" s="1371"/>
      <c r="U181" s="1371"/>
      <c r="V181" s="1371"/>
      <c r="W181" s="1371"/>
      <c r="X181" s="1371"/>
      <c r="Y181" s="1371"/>
      <c r="Z181" s="1371"/>
      <c r="AA181" s="1371"/>
      <c r="AB181" s="1371"/>
      <c r="AC181" s="1371"/>
      <c r="AD181" s="1371"/>
      <c r="AE181" s="1361"/>
      <c r="AF181" s="1361"/>
    </row>
    <row r="182" spans="2:32" ht="18" hidden="1" customHeight="1">
      <c r="B182" s="2464"/>
      <c r="C182" s="1352" t="s">
        <v>1280</v>
      </c>
      <c r="D182" s="1370">
        <f t="shared" si="49"/>
        <v>0</v>
      </c>
      <c r="E182" s="1362">
        <f t="shared" si="50"/>
        <v>0</v>
      </c>
      <c r="F182" s="1365"/>
      <c r="G182" s="1366"/>
      <c r="H182" s="1367"/>
      <c r="I182" s="1355"/>
      <c r="J182" s="1358"/>
      <c r="K182" s="1358"/>
      <c r="L182" s="1358"/>
      <c r="M182" s="1358"/>
      <c r="N182" s="1358"/>
      <c r="O182" s="1358"/>
      <c r="P182" s="1358"/>
      <c r="Q182" s="1358"/>
      <c r="R182" s="1358"/>
      <c r="S182" s="1358"/>
      <c r="T182" s="1358"/>
      <c r="U182" s="1358"/>
      <c r="V182" s="1358"/>
      <c r="W182" s="1358"/>
      <c r="X182" s="1358"/>
      <c r="Y182" s="1358"/>
      <c r="Z182" s="1358"/>
      <c r="AA182" s="1358"/>
      <c r="AB182" s="1358"/>
      <c r="AC182" s="1358"/>
      <c r="AD182" s="1358"/>
      <c r="AE182" s="1361"/>
      <c r="AF182" s="1361"/>
    </row>
    <row r="183" spans="2:32" ht="18" hidden="1" customHeight="1">
      <c r="B183" s="2464"/>
      <c r="C183" s="1352" t="s">
        <v>1281</v>
      </c>
      <c r="D183" s="1370">
        <f t="shared" si="49"/>
        <v>0</v>
      </c>
      <c r="E183" s="1362">
        <f t="shared" si="50"/>
        <v>0</v>
      </c>
      <c r="F183" s="1365"/>
      <c r="G183" s="1366"/>
      <c r="H183" s="1364"/>
      <c r="I183" s="1355"/>
      <c r="J183" s="1355"/>
      <c r="K183" s="1355"/>
      <c r="L183" s="1355"/>
      <c r="M183" s="1355"/>
      <c r="N183" s="1355"/>
      <c r="O183" s="1355"/>
      <c r="P183" s="1355"/>
      <c r="Q183" s="1355"/>
      <c r="R183" s="1355"/>
      <c r="S183" s="1355"/>
      <c r="T183" s="1355"/>
      <c r="U183" s="1355"/>
      <c r="V183" s="1355"/>
      <c r="W183" s="1355"/>
      <c r="X183" s="1355"/>
      <c r="Y183" s="1355"/>
      <c r="Z183" s="1355"/>
      <c r="AA183" s="1355"/>
      <c r="AB183" s="1355"/>
      <c r="AC183" s="1355"/>
      <c r="AD183" s="1355"/>
      <c r="AE183" s="1361"/>
      <c r="AF183" s="1361"/>
    </row>
    <row r="184" spans="2:32" ht="18" hidden="1" customHeight="1">
      <c r="B184" s="2464"/>
      <c r="C184" s="1352" t="s">
        <v>1282</v>
      </c>
      <c r="D184" s="1370">
        <f t="shared" si="49"/>
        <v>0</v>
      </c>
      <c r="E184" s="1362">
        <f t="shared" si="50"/>
        <v>0</v>
      </c>
      <c r="F184" s="1365"/>
      <c r="G184" s="1366"/>
      <c r="H184" s="1364"/>
      <c r="I184" s="1355"/>
      <c r="J184" s="1355"/>
      <c r="K184" s="1355"/>
      <c r="L184" s="1355"/>
      <c r="M184" s="1355"/>
      <c r="N184" s="1355"/>
      <c r="O184" s="1355"/>
      <c r="P184" s="1355"/>
      <c r="Q184" s="1355"/>
      <c r="R184" s="1355"/>
      <c r="S184" s="1355"/>
      <c r="T184" s="1355"/>
      <c r="U184" s="1355"/>
      <c r="V184" s="1355"/>
      <c r="W184" s="1355"/>
      <c r="X184" s="1355"/>
      <c r="Y184" s="1355"/>
      <c r="Z184" s="1355"/>
      <c r="AA184" s="1355"/>
      <c r="AB184" s="1355"/>
      <c r="AC184" s="1355"/>
      <c r="AD184" s="1355"/>
      <c r="AE184" s="1361"/>
      <c r="AF184" s="1361"/>
    </row>
    <row r="185" spans="2:32" ht="18" hidden="1" customHeight="1">
      <c r="B185" s="2464"/>
      <c r="C185" s="1352" t="s">
        <v>1283</v>
      </c>
      <c r="D185" s="1370">
        <f t="shared" si="49"/>
        <v>0</v>
      </c>
      <c r="E185" s="1362">
        <f t="shared" si="50"/>
        <v>0</v>
      </c>
      <c r="F185" s="1365"/>
      <c r="G185" s="1366"/>
      <c r="H185" s="1364"/>
      <c r="I185" s="1355"/>
      <c r="J185" s="1355"/>
      <c r="K185" s="1355"/>
      <c r="L185" s="1355"/>
      <c r="M185" s="1355"/>
      <c r="N185" s="1355"/>
      <c r="O185" s="1355"/>
      <c r="P185" s="1355"/>
      <c r="Q185" s="1355"/>
      <c r="R185" s="1355"/>
      <c r="S185" s="1355"/>
      <c r="T185" s="1355"/>
      <c r="U185" s="1355"/>
      <c r="V185" s="1355"/>
      <c r="W185" s="1355"/>
      <c r="X185" s="1355"/>
      <c r="Y185" s="1355"/>
      <c r="Z185" s="1355"/>
      <c r="AA185" s="1355"/>
      <c r="AB185" s="1355"/>
      <c r="AC185" s="1355"/>
      <c r="AD185" s="1355"/>
      <c r="AE185" s="1361"/>
      <c r="AF185" s="1361"/>
    </row>
    <row r="186" spans="2:32" ht="18" hidden="1" customHeight="1">
      <c r="B186" s="2464"/>
      <c r="C186" s="1352" t="s">
        <v>1284</v>
      </c>
      <c r="D186" s="1370">
        <f t="shared" si="49"/>
        <v>0</v>
      </c>
      <c r="E186" s="1362">
        <f t="shared" si="50"/>
        <v>0</v>
      </c>
      <c r="F186" s="1365"/>
      <c r="G186" s="1366"/>
      <c r="H186" s="1364"/>
      <c r="I186" s="1355"/>
      <c r="J186" s="1355"/>
      <c r="K186" s="1355"/>
      <c r="L186" s="1355"/>
      <c r="M186" s="1355"/>
      <c r="N186" s="1355"/>
      <c r="O186" s="1355"/>
      <c r="P186" s="1355"/>
      <c r="Q186" s="1355"/>
      <c r="R186" s="1355"/>
      <c r="S186" s="1355"/>
      <c r="T186" s="1355"/>
      <c r="U186" s="1355"/>
      <c r="V186" s="1355"/>
      <c r="W186" s="1355"/>
      <c r="X186" s="1355"/>
      <c r="Y186" s="1355"/>
      <c r="Z186" s="1355"/>
      <c r="AA186" s="1355"/>
      <c r="AB186" s="1355"/>
      <c r="AC186" s="1355"/>
      <c r="AD186" s="1355"/>
      <c r="AE186" s="1361"/>
      <c r="AF186" s="1361"/>
    </row>
    <row r="187" spans="2:32" ht="18" hidden="1" customHeight="1">
      <c r="B187" s="2465"/>
      <c r="C187" s="1356" t="s">
        <v>1182</v>
      </c>
      <c r="D187" s="1370">
        <f t="shared" si="49"/>
        <v>0</v>
      </c>
      <c r="E187" s="459">
        <f t="shared" si="50"/>
        <v>0</v>
      </c>
      <c r="F187" s="1365"/>
      <c r="G187" s="1366"/>
      <c r="H187" s="1367"/>
      <c r="I187" s="1358"/>
      <c r="J187" s="1358"/>
      <c r="K187" s="1358"/>
      <c r="L187" s="1358"/>
      <c r="M187" s="1358"/>
      <c r="N187" s="1358"/>
      <c r="O187" s="1358"/>
      <c r="P187" s="1358"/>
      <c r="Q187" s="1358"/>
      <c r="R187" s="1358"/>
      <c r="S187" s="1358"/>
      <c r="T187" s="1358"/>
      <c r="U187" s="1358"/>
      <c r="V187" s="1358"/>
      <c r="W187" s="1358"/>
      <c r="X187" s="1358"/>
      <c r="Y187" s="1358"/>
      <c r="Z187" s="1358"/>
      <c r="AA187" s="1358"/>
      <c r="AB187" s="1358"/>
      <c r="AC187" s="1358"/>
      <c r="AD187" s="1358"/>
      <c r="AE187" s="1361"/>
      <c r="AF187" s="1361"/>
    </row>
    <row r="188" spans="2:32" ht="18" hidden="1" customHeight="1">
      <c r="C188" s="26"/>
      <c r="D188" s="1368">
        <f t="shared" ref="D188:AD188" si="51">SUBTOTAL(109,D181:D187)</f>
        <v>0</v>
      </c>
      <c r="E188" s="1368">
        <f t="shared" si="51"/>
        <v>0</v>
      </c>
      <c r="F188" s="464">
        <f t="shared" si="51"/>
        <v>0</v>
      </c>
      <c r="G188" s="1369">
        <f t="shared" si="51"/>
        <v>0</v>
      </c>
      <c r="H188" s="1368">
        <f t="shared" si="51"/>
        <v>0</v>
      </c>
      <c r="I188" s="1368">
        <f t="shared" si="51"/>
        <v>0</v>
      </c>
      <c r="J188" s="1368">
        <f t="shared" si="51"/>
        <v>0</v>
      </c>
      <c r="K188" s="1368">
        <f t="shared" si="51"/>
        <v>0</v>
      </c>
      <c r="L188" s="1368">
        <f t="shared" si="51"/>
        <v>0</v>
      </c>
      <c r="M188" s="1368">
        <f t="shared" si="51"/>
        <v>0</v>
      </c>
      <c r="N188" s="1368">
        <f t="shared" si="51"/>
        <v>0</v>
      </c>
      <c r="O188" s="1368">
        <f t="shared" si="51"/>
        <v>0</v>
      </c>
      <c r="P188" s="1368">
        <f t="shared" si="51"/>
        <v>0</v>
      </c>
      <c r="Q188" s="1368">
        <f t="shared" si="51"/>
        <v>0</v>
      </c>
      <c r="R188" s="1368">
        <f t="shared" si="51"/>
        <v>0</v>
      </c>
      <c r="S188" s="1368">
        <f t="shared" si="51"/>
        <v>0</v>
      </c>
      <c r="T188" s="1368">
        <f t="shared" si="51"/>
        <v>0</v>
      </c>
      <c r="U188" s="1368">
        <f t="shared" si="51"/>
        <v>0</v>
      </c>
      <c r="V188" s="1368">
        <f t="shared" si="51"/>
        <v>0</v>
      </c>
      <c r="W188" s="1368">
        <f t="shared" si="51"/>
        <v>0</v>
      </c>
      <c r="X188" s="1368">
        <f t="shared" si="51"/>
        <v>0</v>
      </c>
      <c r="Y188" s="1368">
        <f t="shared" si="51"/>
        <v>0</v>
      </c>
      <c r="Z188" s="1368">
        <f t="shared" si="51"/>
        <v>0</v>
      </c>
      <c r="AA188" s="1368">
        <f t="shared" si="51"/>
        <v>0</v>
      </c>
      <c r="AB188" s="1368">
        <f t="shared" si="51"/>
        <v>0</v>
      </c>
      <c r="AC188" s="1368">
        <f t="shared" si="51"/>
        <v>0</v>
      </c>
      <c r="AD188" s="1368">
        <f t="shared" si="51"/>
        <v>0</v>
      </c>
      <c r="AE188" s="1361"/>
      <c r="AF188" s="1361"/>
    </row>
    <row r="189" spans="2:32" ht="18" hidden="1" customHeight="1">
      <c r="B189" s="2463" t="s">
        <v>1285</v>
      </c>
      <c r="C189" s="1352" t="s">
        <v>1286</v>
      </c>
      <c r="D189" s="1370">
        <f t="shared" ref="D189:D196" si="52">SUM(H189:AB189)</f>
        <v>0</v>
      </c>
      <c r="E189" s="460">
        <f t="shared" ref="E189:E196" si="53">SUM(AC189:AD189)</f>
        <v>0</v>
      </c>
      <c r="F189" s="1365"/>
      <c r="G189" s="1366"/>
      <c r="H189" s="1472"/>
      <c r="I189" s="1371"/>
      <c r="J189" s="1371"/>
      <c r="K189" s="1371"/>
      <c r="L189" s="1371"/>
      <c r="M189" s="1371"/>
      <c r="N189" s="1371"/>
      <c r="O189" s="1371"/>
      <c r="P189" s="1371"/>
      <c r="Q189" s="1371"/>
      <c r="R189" s="1371"/>
      <c r="S189" s="1371"/>
      <c r="T189" s="1371"/>
      <c r="U189" s="1371"/>
      <c r="V189" s="1371"/>
      <c r="W189" s="1371"/>
      <c r="X189" s="1371"/>
      <c r="Y189" s="1371"/>
      <c r="Z189" s="1371"/>
      <c r="AA189" s="1371"/>
      <c r="AB189" s="1371"/>
      <c r="AC189" s="1371"/>
      <c r="AD189" s="1371"/>
      <c r="AE189" s="1361"/>
      <c r="AF189" s="1361"/>
    </row>
    <row r="190" spans="2:32" ht="18" hidden="1" customHeight="1">
      <c r="B190" s="2464"/>
      <c r="C190" s="1352" t="s">
        <v>1287</v>
      </c>
      <c r="D190" s="1370">
        <f t="shared" si="52"/>
        <v>0</v>
      </c>
      <c r="E190" s="1362">
        <f t="shared" si="53"/>
        <v>0</v>
      </c>
      <c r="F190" s="1365"/>
      <c r="G190" s="1366"/>
      <c r="H190" s="1364"/>
      <c r="I190" s="1355"/>
      <c r="J190" s="1355"/>
      <c r="K190" s="1355"/>
      <c r="L190" s="1355"/>
      <c r="M190" s="1355"/>
      <c r="N190" s="1355"/>
      <c r="O190" s="1355"/>
      <c r="P190" s="1355"/>
      <c r="Q190" s="1355"/>
      <c r="R190" s="1355"/>
      <c r="S190" s="1355"/>
      <c r="T190" s="1355"/>
      <c r="U190" s="1355"/>
      <c r="V190" s="1355"/>
      <c r="W190" s="1355"/>
      <c r="X190" s="1355"/>
      <c r="Y190" s="1355"/>
      <c r="Z190" s="1355"/>
      <c r="AA190" s="1355"/>
      <c r="AB190" s="1355"/>
      <c r="AC190" s="1355"/>
      <c r="AD190" s="1355"/>
      <c r="AE190" s="1361"/>
      <c r="AF190" s="1361"/>
    </row>
    <row r="191" spans="2:32" ht="18" hidden="1" customHeight="1">
      <c r="B191" s="2464"/>
      <c r="C191" s="1352" t="s">
        <v>1288</v>
      </c>
      <c r="D191" s="1370">
        <f t="shared" si="52"/>
        <v>0</v>
      </c>
      <c r="E191" s="1362">
        <f t="shared" si="53"/>
        <v>0</v>
      </c>
      <c r="F191" s="1365"/>
      <c r="G191" s="1366"/>
      <c r="H191" s="1364"/>
      <c r="I191" s="1355"/>
      <c r="J191" s="1355"/>
      <c r="K191" s="1355"/>
      <c r="L191" s="1355"/>
      <c r="M191" s="1355"/>
      <c r="N191" s="1355"/>
      <c r="O191" s="1355"/>
      <c r="P191" s="1355"/>
      <c r="Q191" s="1355"/>
      <c r="R191" s="1355"/>
      <c r="S191" s="1355"/>
      <c r="T191" s="1355"/>
      <c r="U191" s="1355"/>
      <c r="V191" s="1355"/>
      <c r="W191" s="1355"/>
      <c r="X191" s="1355"/>
      <c r="Y191" s="1355"/>
      <c r="Z191" s="1355"/>
      <c r="AA191" s="1355"/>
      <c r="AB191" s="1355"/>
      <c r="AC191" s="1355"/>
      <c r="AD191" s="1355"/>
      <c r="AE191" s="1361"/>
      <c r="AF191" s="1361"/>
    </row>
    <row r="192" spans="2:32" ht="18" hidden="1" customHeight="1">
      <c r="B192" s="2464"/>
      <c r="C192" s="1352" t="s">
        <v>1289</v>
      </c>
      <c r="D192" s="1370">
        <f t="shared" si="52"/>
        <v>0</v>
      </c>
      <c r="E192" s="1362">
        <f t="shared" si="53"/>
        <v>0</v>
      </c>
      <c r="F192" s="1365"/>
      <c r="G192" s="1366"/>
      <c r="H192" s="1364"/>
      <c r="I192" s="1355"/>
      <c r="J192" s="1355"/>
      <c r="K192" s="1355"/>
      <c r="L192" s="1355"/>
      <c r="M192" s="1355"/>
      <c r="N192" s="1355"/>
      <c r="O192" s="1355"/>
      <c r="P192" s="1355"/>
      <c r="Q192" s="1355"/>
      <c r="R192" s="1355"/>
      <c r="S192" s="1355"/>
      <c r="T192" s="1355"/>
      <c r="U192" s="1355"/>
      <c r="V192" s="1355"/>
      <c r="W192" s="1355"/>
      <c r="X192" s="1355"/>
      <c r="Y192" s="1355"/>
      <c r="Z192" s="1355"/>
      <c r="AA192" s="1355"/>
      <c r="AB192" s="1355"/>
      <c r="AC192" s="1355"/>
      <c r="AD192" s="1355"/>
      <c r="AE192" s="1361"/>
      <c r="AF192" s="1361"/>
    </row>
    <row r="193" spans="2:32" ht="18" hidden="1" customHeight="1">
      <c r="B193" s="2464"/>
      <c r="C193" s="1352" t="s">
        <v>1290</v>
      </c>
      <c r="D193" s="1370">
        <f t="shared" si="52"/>
        <v>0</v>
      </c>
      <c r="E193" s="1362">
        <f t="shared" si="53"/>
        <v>0</v>
      </c>
      <c r="F193" s="1365"/>
      <c r="G193" s="1366"/>
      <c r="H193" s="1364"/>
      <c r="I193" s="1355"/>
      <c r="J193" s="1355"/>
      <c r="K193" s="1355"/>
      <c r="L193" s="1355"/>
      <c r="M193" s="1355"/>
      <c r="N193" s="1355"/>
      <c r="O193" s="1355"/>
      <c r="P193" s="1355"/>
      <c r="Q193" s="1355"/>
      <c r="R193" s="1355"/>
      <c r="S193" s="1355"/>
      <c r="T193" s="1355"/>
      <c r="U193" s="1355"/>
      <c r="V193" s="1355"/>
      <c r="W193" s="1355"/>
      <c r="X193" s="1355"/>
      <c r="Y193" s="1355"/>
      <c r="Z193" s="1355"/>
      <c r="AA193" s="1355"/>
      <c r="AB193" s="1355"/>
      <c r="AC193" s="1355"/>
      <c r="AD193" s="1355"/>
      <c r="AE193" s="1361"/>
      <c r="AF193" s="1361"/>
    </row>
    <row r="194" spans="2:32" ht="18" hidden="1" customHeight="1">
      <c r="B194" s="2464"/>
      <c r="C194" s="1352" t="s">
        <v>1291</v>
      </c>
      <c r="D194" s="1370">
        <f t="shared" si="52"/>
        <v>0</v>
      </c>
      <c r="E194" s="1362">
        <f t="shared" si="53"/>
        <v>0</v>
      </c>
      <c r="F194" s="1365"/>
      <c r="G194" s="1366"/>
      <c r="H194" s="1364"/>
      <c r="I194" s="1355"/>
      <c r="J194" s="1355"/>
      <c r="K194" s="1355"/>
      <c r="L194" s="1355"/>
      <c r="M194" s="1355"/>
      <c r="N194" s="1355"/>
      <c r="O194" s="1355"/>
      <c r="P194" s="1355"/>
      <c r="Q194" s="1355"/>
      <c r="R194" s="1355"/>
      <c r="S194" s="1355"/>
      <c r="T194" s="1355"/>
      <c r="U194" s="1355"/>
      <c r="V194" s="1355"/>
      <c r="W194" s="1355"/>
      <c r="X194" s="1355"/>
      <c r="Y194" s="1355"/>
      <c r="Z194" s="1355"/>
      <c r="AA194" s="1355"/>
      <c r="AB194" s="1355"/>
      <c r="AC194" s="1355"/>
      <c r="AD194" s="1355"/>
      <c r="AE194" s="1361"/>
      <c r="AF194" s="1361"/>
    </row>
    <row r="195" spans="2:32" ht="18" hidden="1" customHeight="1">
      <c r="B195" s="2464"/>
      <c r="C195" s="1372" t="s">
        <v>1182</v>
      </c>
      <c r="D195" s="1370">
        <f t="shared" si="52"/>
        <v>0</v>
      </c>
      <c r="E195" s="1362">
        <f t="shared" si="53"/>
        <v>0</v>
      </c>
      <c r="F195" s="1365"/>
      <c r="G195" s="1366"/>
      <c r="H195" s="1364"/>
      <c r="I195" s="1355"/>
      <c r="J195" s="1355"/>
      <c r="K195" s="1355"/>
      <c r="L195" s="1355"/>
      <c r="M195" s="1355"/>
      <c r="N195" s="1355"/>
      <c r="O195" s="1355"/>
      <c r="P195" s="1355"/>
      <c r="Q195" s="1355"/>
      <c r="R195" s="1355"/>
      <c r="S195" s="1355"/>
      <c r="T195" s="1355"/>
      <c r="U195" s="1355"/>
      <c r="V195" s="1355"/>
      <c r="W195" s="1355"/>
      <c r="X195" s="1355"/>
      <c r="Y195" s="1355"/>
      <c r="Z195" s="1355"/>
      <c r="AA195" s="1355"/>
      <c r="AB195" s="1355"/>
      <c r="AC195" s="1355"/>
      <c r="AD195" s="1355"/>
      <c r="AE195" s="1361"/>
      <c r="AF195" s="1361"/>
    </row>
    <row r="196" spans="2:32" ht="18" hidden="1" customHeight="1">
      <c r="B196" s="2465"/>
      <c r="C196" s="1356" t="s">
        <v>1182</v>
      </c>
      <c r="D196" s="1370">
        <f t="shared" si="52"/>
        <v>0</v>
      </c>
      <c r="E196" s="459">
        <f t="shared" si="53"/>
        <v>0</v>
      </c>
      <c r="F196" s="1365"/>
      <c r="G196" s="1366"/>
      <c r="H196" s="1367"/>
      <c r="I196" s="1358"/>
      <c r="J196" s="1358"/>
      <c r="K196" s="1358"/>
      <c r="L196" s="1358"/>
      <c r="M196" s="1358"/>
      <c r="N196" s="1358"/>
      <c r="O196" s="1358"/>
      <c r="P196" s="1358"/>
      <c r="Q196" s="1358"/>
      <c r="R196" s="1358"/>
      <c r="S196" s="1358"/>
      <c r="T196" s="1358"/>
      <c r="U196" s="1358"/>
      <c r="V196" s="1358"/>
      <c r="W196" s="1358"/>
      <c r="X196" s="1358"/>
      <c r="Y196" s="1358"/>
      <c r="Z196" s="1358"/>
      <c r="AA196" s="1358"/>
      <c r="AB196" s="1358"/>
      <c r="AC196" s="1358"/>
      <c r="AD196" s="1358"/>
      <c r="AE196" s="1361"/>
      <c r="AF196" s="1361"/>
    </row>
    <row r="197" spans="2:32" ht="18" hidden="1" customHeight="1">
      <c r="C197" s="26"/>
      <c r="D197" s="1368">
        <f t="shared" ref="D197:AD197" si="54">SUBTOTAL(109,D189:D196)</f>
        <v>0</v>
      </c>
      <c r="E197" s="1368">
        <f t="shared" si="54"/>
        <v>0</v>
      </c>
      <c r="F197" s="464">
        <f t="shared" si="54"/>
        <v>0</v>
      </c>
      <c r="G197" s="1369">
        <f t="shared" si="54"/>
        <v>0</v>
      </c>
      <c r="H197" s="1368">
        <f t="shared" si="54"/>
        <v>0</v>
      </c>
      <c r="I197" s="1368">
        <f t="shared" si="54"/>
        <v>0</v>
      </c>
      <c r="J197" s="1368">
        <f t="shared" si="54"/>
        <v>0</v>
      </c>
      <c r="K197" s="1368">
        <f t="shared" si="54"/>
        <v>0</v>
      </c>
      <c r="L197" s="1368">
        <f t="shared" si="54"/>
        <v>0</v>
      </c>
      <c r="M197" s="1368">
        <f t="shared" si="54"/>
        <v>0</v>
      </c>
      <c r="N197" s="1368">
        <f t="shared" si="54"/>
        <v>0</v>
      </c>
      <c r="O197" s="1368">
        <f t="shared" si="54"/>
        <v>0</v>
      </c>
      <c r="P197" s="1368">
        <f t="shared" si="54"/>
        <v>0</v>
      </c>
      <c r="Q197" s="1368">
        <f t="shared" si="54"/>
        <v>0</v>
      </c>
      <c r="R197" s="1368">
        <f t="shared" si="54"/>
        <v>0</v>
      </c>
      <c r="S197" s="1368">
        <f t="shared" si="54"/>
        <v>0</v>
      </c>
      <c r="T197" s="1368">
        <f t="shared" si="54"/>
        <v>0</v>
      </c>
      <c r="U197" s="1368">
        <f t="shared" si="54"/>
        <v>0</v>
      </c>
      <c r="V197" s="1368">
        <f t="shared" si="54"/>
        <v>0</v>
      </c>
      <c r="W197" s="1368">
        <f t="shared" si="54"/>
        <v>0</v>
      </c>
      <c r="X197" s="1368">
        <f t="shared" si="54"/>
        <v>0</v>
      </c>
      <c r="Y197" s="1368">
        <f t="shared" si="54"/>
        <v>0</v>
      </c>
      <c r="Z197" s="1368">
        <f t="shared" si="54"/>
        <v>0</v>
      </c>
      <c r="AA197" s="1368">
        <f t="shared" si="54"/>
        <v>0</v>
      </c>
      <c r="AB197" s="1368">
        <f t="shared" si="54"/>
        <v>0</v>
      </c>
      <c r="AC197" s="1368">
        <f t="shared" si="54"/>
        <v>0</v>
      </c>
      <c r="AD197" s="1368">
        <f t="shared" si="54"/>
        <v>0</v>
      </c>
      <c r="AE197" s="1361"/>
      <c r="AF197" s="1361"/>
    </row>
    <row r="198" spans="2:32" ht="18" hidden="1" customHeight="1">
      <c r="B198" s="2463" t="s">
        <v>1292</v>
      </c>
      <c r="C198" s="1352" t="s">
        <v>1293</v>
      </c>
      <c r="D198" s="1370">
        <f>SUM(H198:AB198)</f>
        <v>0</v>
      </c>
      <c r="E198" s="460">
        <f>SUM(AC198:AD198)</f>
        <v>0</v>
      </c>
      <c r="F198" s="1365"/>
      <c r="G198" s="1366"/>
      <c r="H198" s="1472"/>
      <c r="I198" s="1371"/>
      <c r="J198" s="1371"/>
      <c r="K198" s="1371"/>
      <c r="L198" s="1371"/>
      <c r="M198" s="1371"/>
      <c r="N198" s="1371"/>
      <c r="O198" s="1371"/>
      <c r="P198" s="1371"/>
      <c r="Q198" s="1371"/>
      <c r="R198" s="1371"/>
      <c r="S198" s="1371"/>
      <c r="T198" s="1371"/>
      <c r="U198" s="1371"/>
      <c r="V198" s="1371"/>
      <c r="W198" s="1371"/>
      <c r="X198" s="1371"/>
      <c r="Y198" s="1371"/>
      <c r="Z198" s="1371"/>
      <c r="AA198" s="1371"/>
      <c r="AB198" s="1371"/>
      <c r="AC198" s="1371"/>
      <c r="AD198" s="1371"/>
      <c r="AE198" s="1361"/>
      <c r="AF198" s="1361"/>
    </row>
    <row r="199" spans="2:32" ht="18" hidden="1" customHeight="1">
      <c r="B199" s="2464"/>
      <c r="C199" s="1352" t="s">
        <v>1187</v>
      </c>
      <c r="D199" s="1370">
        <f>SUM(H199:AB199)</f>
        <v>0</v>
      </c>
      <c r="E199" s="1362">
        <f>SUM(AC199:AD199)</f>
        <v>0</v>
      </c>
      <c r="F199" s="1365"/>
      <c r="G199" s="1366"/>
      <c r="H199" s="1364"/>
      <c r="I199" s="1355"/>
      <c r="J199" s="1355"/>
      <c r="K199" s="1355"/>
      <c r="L199" s="1355"/>
      <c r="M199" s="1355"/>
      <c r="N199" s="1355"/>
      <c r="O199" s="1355"/>
      <c r="P199" s="1355"/>
      <c r="Q199" s="1355"/>
      <c r="R199" s="1355"/>
      <c r="S199" s="1355"/>
      <c r="T199" s="1355"/>
      <c r="U199" s="1355"/>
      <c r="V199" s="1355"/>
      <c r="W199" s="1355"/>
      <c r="X199" s="1355"/>
      <c r="Y199" s="1355"/>
      <c r="Z199" s="1355"/>
      <c r="AA199" s="1355"/>
      <c r="AB199" s="1355"/>
      <c r="AC199" s="1355"/>
      <c r="AD199" s="1355"/>
      <c r="AE199" s="1361"/>
      <c r="AF199" s="1361"/>
    </row>
    <row r="200" spans="2:32" ht="18" hidden="1" customHeight="1">
      <c r="B200" s="2464"/>
      <c r="C200" s="1372" t="s">
        <v>1182</v>
      </c>
      <c r="D200" s="1370">
        <f>SUM(H200:AB200)</f>
        <v>0</v>
      </c>
      <c r="E200" s="1362">
        <f>SUM(AC200:AD200)</f>
        <v>0</v>
      </c>
      <c r="F200" s="1365"/>
      <c r="G200" s="1366"/>
      <c r="H200" s="1364"/>
      <c r="I200" s="1355"/>
      <c r="J200" s="1355"/>
      <c r="K200" s="1355"/>
      <c r="L200" s="1355"/>
      <c r="M200" s="1355"/>
      <c r="N200" s="1355"/>
      <c r="O200" s="1355"/>
      <c r="P200" s="1355"/>
      <c r="Q200" s="1355"/>
      <c r="R200" s="1355"/>
      <c r="S200" s="1355"/>
      <c r="T200" s="1355"/>
      <c r="U200" s="1355"/>
      <c r="V200" s="1355"/>
      <c r="W200" s="1355"/>
      <c r="X200" s="1355"/>
      <c r="Y200" s="1355"/>
      <c r="Z200" s="1355"/>
      <c r="AA200" s="1355"/>
      <c r="AB200" s="1355"/>
      <c r="AC200" s="1355"/>
      <c r="AD200" s="1355"/>
      <c r="AE200" s="1361"/>
      <c r="AF200" s="1361"/>
    </row>
    <row r="201" spans="2:32" ht="18" hidden="1" customHeight="1">
      <c r="B201" s="2465"/>
      <c r="C201" s="1356" t="s">
        <v>1182</v>
      </c>
      <c r="D201" s="1370">
        <f>SUM(H201:AB201)</f>
        <v>0</v>
      </c>
      <c r="E201" s="459">
        <f>SUM(AC201:AD201)</f>
        <v>0</v>
      </c>
      <c r="F201" s="1365"/>
      <c r="G201" s="1366"/>
      <c r="H201" s="1367"/>
      <c r="I201" s="1358"/>
      <c r="J201" s="1358"/>
      <c r="K201" s="1358"/>
      <c r="L201" s="1358"/>
      <c r="M201" s="1358"/>
      <c r="N201" s="1358"/>
      <c r="O201" s="1358"/>
      <c r="P201" s="1358"/>
      <c r="Q201" s="1358"/>
      <c r="R201" s="1358"/>
      <c r="S201" s="1358"/>
      <c r="T201" s="1358"/>
      <c r="U201" s="1358"/>
      <c r="V201" s="1358"/>
      <c r="W201" s="1358"/>
      <c r="X201" s="1358"/>
      <c r="Y201" s="1358"/>
      <c r="Z201" s="1358"/>
      <c r="AA201" s="1358"/>
      <c r="AB201" s="1358"/>
      <c r="AC201" s="1358"/>
      <c r="AD201" s="1358"/>
      <c r="AE201" s="1361"/>
      <c r="AF201" s="1361"/>
    </row>
    <row r="202" spans="2:32" ht="18" hidden="1" customHeight="1">
      <c r="C202" s="26"/>
      <c r="D202" s="1368">
        <f t="shared" ref="D202:AD202" si="55">SUBTOTAL(109,D198:D201)</f>
        <v>0</v>
      </c>
      <c r="E202" s="1368">
        <f t="shared" si="55"/>
        <v>0</v>
      </c>
      <c r="F202" s="464">
        <f t="shared" si="55"/>
        <v>0</v>
      </c>
      <c r="G202" s="1369">
        <f t="shared" si="55"/>
        <v>0</v>
      </c>
      <c r="H202" s="1368">
        <f t="shared" si="55"/>
        <v>0</v>
      </c>
      <c r="I202" s="1368">
        <f t="shared" si="55"/>
        <v>0</v>
      </c>
      <c r="J202" s="1368">
        <f t="shared" si="55"/>
        <v>0</v>
      </c>
      <c r="K202" s="1368">
        <f t="shared" si="55"/>
        <v>0</v>
      </c>
      <c r="L202" s="1368">
        <f t="shared" si="55"/>
        <v>0</v>
      </c>
      <c r="M202" s="1368">
        <f t="shared" si="55"/>
        <v>0</v>
      </c>
      <c r="N202" s="1368">
        <f t="shared" si="55"/>
        <v>0</v>
      </c>
      <c r="O202" s="1368">
        <f t="shared" si="55"/>
        <v>0</v>
      </c>
      <c r="P202" s="1368">
        <f t="shared" si="55"/>
        <v>0</v>
      </c>
      <c r="Q202" s="1368">
        <f t="shared" si="55"/>
        <v>0</v>
      </c>
      <c r="R202" s="1368">
        <f t="shared" si="55"/>
        <v>0</v>
      </c>
      <c r="S202" s="1368">
        <f t="shared" si="55"/>
        <v>0</v>
      </c>
      <c r="T202" s="1368">
        <f t="shared" si="55"/>
        <v>0</v>
      </c>
      <c r="U202" s="1368">
        <f t="shared" si="55"/>
        <v>0</v>
      </c>
      <c r="V202" s="1368">
        <f t="shared" si="55"/>
        <v>0</v>
      </c>
      <c r="W202" s="1368">
        <f t="shared" si="55"/>
        <v>0</v>
      </c>
      <c r="X202" s="1368">
        <f t="shared" si="55"/>
        <v>0</v>
      </c>
      <c r="Y202" s="1368">
        <f t="shared" si="55"/>
        <v>0</v>
      </c>
      <c r="Z202" s="1368">
        <f t="shared" si="55"/>
        <v>0</v>
      </c>
      <c r="AA202" s="1368">
        <f t="shared" si="55"/>
        <v>0</v>
      </c>
      <c r="AB202" s="1368">
        <f t="shared" si="55"/>
        <v>0</v>
      </c>
      <c r="AC202" s="1368">
        <f t="shared" si="55"/>
        <v>0</v>
      </c>
      <c r="AD202" s="1368">
        <f t="shared" si="55"/>
        <v>0</v>
      </c>
      <c r="AE202" s="1361"/>
      <c r="AF202" s="1361"/>
    </row>
    <row r="203" spans="2:32" ht="18" hidden="1" customHeight="1">
      <c r="B203" s="2463" t="s">
        <v>1294</v>
      </c>
      <c r="C203" s="1372" t="s">
        <v>1182</v>
      </c>
      <c r="D203" s="1370">
        <f>SUM(H203:AB203)</f>
        <v>0</v>
      </c>
      <c r="E203" s="460">
        <f>SUM(AC203:AD203)</f>
        <v>0</v>
      </c>
      <c r="F203" s="1365"/>
      <c r="G203" s="1366"/>
      <c r="H203" s="1472"/>
      <c r="I203" s="1371"/>
      <c r="J203" s="1371"/>
      <c r="K203" s="1371"/>
      <c r="L203" s="1371"/>
      <c r="M203" s="1371"/>
      <c r="N203" s="1371"/>
      <c r="O203" s="1371"/>
      <c r="P203" s="1371"/>
      <c r="Q203" s="1371"/>
      <c r="R203" s="1371"/>
      <c r="S203" s="1371"/>
      <c r="T203" s="1371"/>
      <c r="U203" s="1371"/>
      <c r="V203" s="1371"/>
      <c r="W203" s="1371"/>
      <c r="X203" s="1371"/>
      <c r="Y203" s="1371"/>
      <c r="Z203" s="1371"/>
      <c r="AA203" s="1371"/>
      <c r="AB203" s="1371"/>
      <c r="AC203" s="1371"/>
      <c r="AD203" s="1371"/>
      <c r="AE203" s="1361"/>
      <c r="AF203" s="1361"/>
    </row>
    <row r="204" spans="2:32" ht="18" hidden="1" customHeight="1">
      <c r="B204" s="2464"/>
      <c r="C204" s="1372" t="s">
        <v>1182</v>
      </c>
      <c r="D204" s="1370">
        <f>SUM(H204:AB204)</f>
        <v>0</v>
      </c>
      <c r="E204" s="1362">
        <f>SUM(AC204:AD204)</f>
        <v>0</v>
      </c>
      <c r="F204" s="1365"/>
      <c r="G204" s="1366"/>
      <c r="H204" s="1364"/>
      <c r="I204" s="1355"/>
      <c r="J204" s="1355"/>
      <c r="K204" s="1355"/>
      <c r="L204" s="1355"/>
      <c r="M204" s="1355"/>
      <c r="N204" s="1355"/>
      <c r="O204" s="1355"/>
      <c r="P204" s="1355"/>
      <c r="Q204" s="1355"/>
      <c r="R204" s="1355"/>
      <c r="S204" s="1355"/>
      <c r="T204" s="1355"/>
      <c r="U204" s="1355"/>
      <c r="V204" s="1355"/>
      <c r="W204" s="1355"/>
      <c r="X204" s="1355"/>
      <c r="Y204" s="1355"/>
      <c r="Z204" s="1355"/>
      <c r="AA204" s="1355"/>
      <c r="AB204" s="1355"/>
      <c r="AC204" s="1355"/>
      <c r="AD204" s="1355"/>
      <c r="AE204" s="1361"/>
      <c r="AF204" s="1361"/>
    </row>
    <row r="205" spans="2:32" ht="18" hidden="1" customHeight="1">
      <c r="B205" s="2465"/>
      <c r="C205" s="1372" t="s">
        <v>1182</v>
      </c>
      <c r="D205" s="1370">
        <f>SUM(H205:AB205)</f>
        <v>0</v>
      </c>
      <c r="E205" s="459">
        <f>SUM(AC205:AD205)</f>
        <v>0</v>
      </c>
      <c r="F205" s="1365"/>
      <c r="G205" s="1366"/>
      <c r="H205" s="1367"/>
      <c r="I205" s="1358"/>
      <c r="J205" s="1358"/>
      <c r="K205" s="1358"/>
      <c r="L205" s="1358"/>
      <c r="M205" s="1358"/>
      <c r="N205" s="1358"/>
      <c r="O205" s="1358"/>
      <c r="P205" s="1358"/>
      <c r="Q205" s="1358"/>
      <c r="R205" s="1358"/>
      <c r="S205" s="1358"/>
      <c r="T205" s="1358"/>
      <c r="U205" s="1358"/>
      <c r="V205" s="1358"/>
      <c r="W205" s="1358"/>
      <c r="X205" s="1358"/>
      <c r="Y205" s="1358"/>
      <c r="Z205" s="1358"/>
      <c r="AA205" s="1358"/>
      <c r="AB205" s="1358"/>
      <c r="AC205" s="1358"/>
      <c r="AD205" s="1358"/>
      <c r="AE205" s="1373"/>
      <c r="AF205" s="1373"/>
    </row>
    <row r="206" spans="2:32" s="29" customFormat="1" ht="18" hidden="1" customHeight="1">
      <c r="B206" s="205"/>
      <c r="C206" s="184"/>
      <c r="D206" s="188"/>
      <c r="E206" s="189"/>
      <c r="F206" s="465"/>
      <c r="G206" s="466"/>
      <c r="H206" s="188"/>
      <c r="I206" s="188"/>
      <c r="J206" s="188"/>
      <c r="K206" s="188"/>
      <c r="L206" s="188"/>
      <c r="M206" s="188"/>
      <c r="N206" s="188"/>
      <c r="O206" s="188"/>
      <c r="P206" s="188"/>
      <c r="Q206" s="188"/>
      <c r="R206" s="188"/>
      <c r="S206" s="188"/>
      <c r="T206" s="188"/>
      <c r="U206" s="188"/>
      <c r="V206" s="188"/>
      <c r="W206" s="188"/>
      <c r="X206" s="188"/>
      <c r="Y206" s="188"/>
      <c r="Z206" s="188"/>
      <c r="AA206" s="188"/>
      <c r="AB206" s="188"/>
      <c r="AC206" s="188"/>
      <c r="AD206" s="188"/>
    </row>
    <row r="207" spans="2:32" s="29" customFormat="1" ht="18" hidden="1" customHeight="1" thickBot="1">
      <c r="B207" s="205"/>
      <c r="C207" s="184"/>
      <c r="D207" s="448">
        <f>SUM(D203:D206)</f>
        <v>0</v>
      </c>
      <c r="E207" s="448">
        <f>SUM(E203:E206)</f>
        <v>0</v>
      </c>
      <c r="F207" s="467">
        <f t="shared" ref="F207:AD207" si="56">SUM(F203:F206)</f>
        <v>0</v>
      </c>
      <c r="G207" s="468">
        <f t="shared" si="56"/>
        <v>0</v>
      </c>
      <c r="H207" s="448">
        <f t="shared" si="56"/>
        <v>0</v>
      </c>
      <c r="I207" s="448">
        <f t="shared" si="56"/>
        <v>0</v>
      </c>
      <c r="J207" s="448">
        <f t="shared" si="56"/>
        <v>0</v>
      </c>
      <c r="K207" s="448">
        <f t="shared" si="56"/>
        <v>0</v>
      </c>
      <c r="L207" s="448">
        <f t="shared" si="56"/>
        <v>0</v>
      </c>
      <c r="M207" s="448">
        <f t="shared" si="56"/>
        <v>0</v>
      </c>
      <c r="N207" s="448">
        <f t="shared" si="56"/>
        <v>0</v>
      </c>
      <c r="O207" s="448">
        <f t="shared" si="56"/>
        <v>0</v>
      </c>
      <c r="P207" s="448">
        <f t="shared" si="56"/>
        <v>0</v>
      </c>
      <c r="Q207" s="448">
        <f t="shared" si="56"/>
        <v>0</v>
      </c>
      <c r="R207" s="448">
        <f t="shared" si="56"/>
        <v>0</v>
      </c>
      <c r="S207" s="448">
        <f t="shared" si="56"/>
        <v>0</v>
      </c>
      <c r="T207" s="448">
        <f t="shared" si="56"/>
        <v>0</v>
      </c>
      <c r="U207" s="448">
        <f t="shared" si="56"/>
        <v>0</v>
      </c>
      <c r="V207" s="448">
        <f t="shared" si="56"/>
        <v>0</v>
      </c>
      <c r="W207" s="448">
        <f t="shared" si="56"/>
        <v>0</v>
      </c>
      <c r="X207" s="448">
        <f t="shared" si="56"/>
        <v>0</v>
      </c>
      <c r="Y207" s="448">
        <f t="shared" si="56"/>
        <v>0</v>
      </c>
      <c r="Z207" s="448">
        <f t="shared" si="56"/>
        <v>0</v>
      </c>
      <c r="AA207" s="448">
        <f t="shared" si="56"/>
        <v>0</v>
      </c>
      <c r="AB207" s="448">
        <f t="shared" si="56"/>
        <v>0</v>
      </c>
      <c r="AC207" s="448">
        <f t="shared" si="56"/>
        <v>0</v>
      </c>
      <c r="AD207" s="448">
        <f t="shared" si="56"/>
        <v>0</v>
      </c>
    </row>
    <row r="208" spans="2:32" s="29" customFormat="1" ht="18" hidden="1" customHeight="1">
      <c r="B208" s="205"/>
      <c r="C208" s="184"/>
      <c r="D208" s="956"/>
      <c r="E208" s="189"/>
      <c r="F208" s="188"/>
      <c r="G208" s="188"/>
      <c r="H208" s="188"/>
      <c r="I208" s="188"/>
      <c r="J208" s="188"/>
      <c r="K208" s="188"/>
      <c r="L208" s="188"/>
      <c r="M208" s="188"/>
      <c r="N208" s="188"/>
      <c r="O208" s="188"/>
      <c r="P208" s="188"/>
      <c r="Q208" s="188"/>
      <c r="R208" s="188"/>
      <c r="S208" s="188"/>
      <c r="T208" s="188"/>
      <c r="U208" s="188"/>
      <c r="V208" s="188"/>
      <c r="W208" s="188"/>
      <c r="X208" s="188"/>
      <c r="Y208" s="188"/>
      <c r="Z208" s="188"/>
      <c r="AA208" s="188"/>
      <c r="AB208" s="188"/>
      <c r="AC208" s="188"/>
      <c r="AD208" s="188"/>
    </row>
    <row r="209" spans="3:19" ht="18" customHeight="1">
      <c r="C209" s="2466" t="s">
        <v>1295</v>
      </c>
      <c r="D209" s="2435"/>
      <c r="E209" s="2435"/>
      <c r="F209" s="2435"/>
      <c r="G209" s="2435"/>
      <c r="H209" s="2435"/>
      <c r="I209" s="2435"/>
      <c r="J209" s="2435"/>
    </row>
    <row r="210" spans="3:19" ht="53.25" customHeight="1">
      <c r="C210" s="2467"/>
      <c r="D210" s="1861"/>
      <c r="E210" s="1861"/>
      <c r="F210" s="1861"/>
      <c r="G210" s="1861"/>
      <c r="H210" s="1861"/>
      <c r="I210" s="1861"/>
      <c r="J210" s="1861"/>
      <c r="K210" s="70"/>
      <c r="L210" s="70"/>
      <c r="M210" s="70"/>
      <c r="N210" s="70"/>
      <c r="O210" s="70"/>
      <c r="P210" s="70"/>
      <c r="Q210" s="70"/>
      <c r="R210" s="70"/>
      <c r="S210" s="70"/>
    </row>
    <row r="212" spans="3:19" ht="18" customHeight="1">
      <c r="C212" s="2435"/>
      <c r="D212" s="2435"/>
      <c r="E212" s="2435"/>
      <c r="F212" s="2435"/>
      <c r="G212" s="2435"/>
      <c r="H212" s="2435"/>
      <c r="I212" s="2435"/>
      <c r="J212" s="2435"/>
    </row>
  </sheetData>
  <sheetProtection algorithmName="SHA-512" hashValue="g62lMAOiWtKXsUSwXJmMhGthTJigxKnsOBAXLsnLHVkcfrJ8QDz0G1j/mUCvp+lben8ta5XZphXQAMYzxuTgUw==" saltValue="DOgZ+azJHjEJZzpx6OXncw==" spinCount="100000" sheet="1" objects="1" scenarios="1"/>
  <mergeCells count="29">
    <mergeCell ref="C210:J210"/>
    <mergeCell ref="B78:B84"/>
    <mergeCell ref="AC2:AD2"/>
    <mergeCell ref="B29:B39"/>
    <mergeCell ref="B16:B27"/>
    <mergeCell ref="B120:B121"/>
    <mergeCell ref="B133:B139"/>
    <mergeCell ref="B167:B172"/>
    <mergeCell ref="B92:B109"/>
    <mergeCell ref="B6:B14"/>
    <mergeCell ref="F2:G2"/>
    <mergeCell ref="A4:B4"/>
    <mergeCell ref="B189:B196"/>
    <mergeCell ref="C212:J212"/>
    <mergeCell ref="B111:B116"/>
    <mergeCell ref="B203:B205"/>
    <mergeCell ref="B41:B45"/>
    <mergeCell ref="B123:B131"/>
    <mergeCell ref="B61:B68"/>
    <mergeCell ref="B141:B147"/>
    <mergeCell ref="B174:B179"/>
    <mergeCell ref="B198:B201"/>
    <mergeCell ref="B86:B90"/>
    <mergeCell ref="B161:B165"/>
    <mergeCell ref="B149:B159"/>
    <mergeCell ref="B70:B76"/>
    <mergeCell ref="C209:J209"/>
    <mergeCell ref="B47:B59"/>
    <mergeCell ref="B181:B187"/>
  </mergeCells>
  <conditionalFormatting sqref="H4:AB4">
    <cfRule type="cellIs" dxfId="1568" priority="56" operator="equal">
      <formula>0</formula>
    </cfRule>
    <cfRule type="cellIs" dxfId="1567" priority="57" operator="greaterThan">
      <formula>0</formula>
    </cfRule>
  </conditionalFormatting>
  <printOptions horizontalCentered="1"/>
  <pageMargins left="0" right="0.25" top="0" bottom="0" header="0.25" footer="0.25"/>
  <pageSetup scale="54" fitToWidth="2" fitToHeight="2" orientation="landscape" r:id="rId1"/>
  <headerFooter>
    <oddFooter>&amp;L&amp;F&amp;C&amp;P of &amp;N&amp;R &amp;A</oddFooter>
  </headerFooter>
  <rowBreaks count="1" manualBreakCount="1">
    <brk id="83" min="2" max="99" man="1"/>
  </rowBreaks>
  <legacyDrawing r:id="rId2"/>
  <tableParts count="1">
    <tablePart r:id="rId3"/>
  </tablePar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dimension ref="B2:AM42"/>
  <sheetViews>
    <sheetView showGridLines="0" showRowColHeaders="0" workbookViewId="0">
      <selection activeCell="U28" sqref="U28:AB28"/>
    </sheetView>
  </sheetViews>
  <sheetFormatPr defaultColWidth="8.7109375" defaultRowHeight="18" customHeight="1"/>
  <cols>
    <col min="2" max="39" width="4.28515625" customWidth="1"/>
  </cols>
  <sheetData>
    <row r="2" spans="2:39" ht="63" customHeight="1">
      <c r="B2" s="2476" t="s">
        <v>1296</v>
      </c>
      <c r="C2" s="1777"/>
      <c r="D2" s="1777"/>
      <c r="E2" s="1777"/>
      <c r="F2" s="1777"/>
      <c r="G2" s="1777"/>
      <c r="H2" s="1777"/>
      <c r="I2" s="1777"/>
      <c r="J2" s="1777"/>
      <c r="K2" s="1777"/>
      <c r="L2" s="1777"/>
      <c r="M2" s="1777"/>
      <c r="N2" s="1777"/>
      <c r="O2" s="1777"/>
      <c r="P2" s="1777"/>
      <c r="Q2" s="1777"/>
      <c r="R2" s="1777"/>
      <c r="S2" s="1777"/>
      <c r="T2" s="1777"/>
      <c r="U2" s="1777"/>
      <c r="V2" s="1777"/>
      <c r="W2" s="1777"/>
      <c r="X2" s="1777"/>
      <c r="Y2" s="1777"/>
      <c r="Z2" s="1777"/>
      <c r="AA2" s="1777"/>
      <c r="AB2" s="1777"/>
      <c r="AC2" s="1777"/>
      <c r="AD2" s="1777"/>
      <c r="AE2" s="1777"/>
      <c r="AF2" s="1777"/>
      <c r="AG2" s="1778"/>
      <c r="AH2" s="575"/>
      <c r="AI2" s="575"/>
      <c r="AJ2" s="575"/>
      <c r="AK2" s="575"/>
      <c r="AL2" s="575"/>
      <c r="AM2" s="575"/>
    </row>
    <row r="4" spans="2:39" ht="18" customHeight="1">
      <c r="B4" s="2475" t="s">
        <v>1297</v>
      </c>
      <c r="C4" s="1777"/>
      <c r="D4" s="1777"/>
      <c r="E4" s="1777"/>
      <c r="F4" s="1777"/>
      <c r="G4" s="1777"/>
      <c r="H4" s="1777"/>
      <c r="I4" s="1778"/>
      <c r="J4" s="2475" t="s">
        <v>1298</v>
      </c>
      <c r="K4" s="1777"/>
      <c r="L4" s="1777"/>
      <c r="M4" s="1777"/>
      <c r="N4" s="1778"/>
      <c r="U4" s="2475" t="s">
        <v>1297</v>
      </c>
      <c r="V4" s="1777"/>
      <c r="W4" s="1777"/>
      <c r="X4" s="1777"/>
      <c r="Y4" s="1777"/>
      <c r="Z4" s="1777"/>
      <c r="AA4" s="1777"/>
      <c r="AB4" s="1778"/>
      <c r="AC4" s="2475" t="s">
        <v>1298</v>
      </c>
      <c r="AD4" s="1777"/>
      <c r="AE4" s="1777"/>
      <c r="AF4" s="1777"/>
      <c r="AG4" s="1778"/>
    </row>
    <row r="5" spans="2:39" ht="18" customHeight="1">
      <c r="B5" s="2473"/>
      <c r="C5" s="1861"/>
      <c r="D5" s="1861"/>
      <c r="E5" s="1861"/>
      <c r="F5" s="1861"/>
      <c r="G5" s="1861"/>
      <c r="H5" s="1861"/>
      <c r="I5" s="1862"/>
      <c r="J5" s="2474"/>
      <c r="K5" s="1861"/>
      <c r="L5" s="1861"/>
      <c r="M5" s="1861"/>
      <c r="N5" s="1862"/>
      <c r="U5" s="2473"/>
      <c r="V5" s="1861"/>
      <c r="W5" s="1861"/>
      <c r="X5" s="1861"/>
      <c r="Y5" s="1861"/>
      <c r="Z5" s="1861"/>
      <c r="AA5" s="1861"/>
      <c r="AB5" s="1862"/>
      <c r="AC5" s="2474"/>
      <c r="AD5" s="1861"/>
      <c r="AE5" s="1861"/>
      <c r="AF5" s="1861"/>
      <c r="AG5" s="1862"/>
    </row>
    <row r="6" spans="2:39" ht="18" customHeight="1">
      <c r="B6" s="2473"/>
      <c r="C6" s="1861"/>
      <c r="D6" s="1861"/>
      <c r="E6" s="1861"/>
      <c r="F6" s="1861"/>
      <c r="G6" s="1861"/>
      <c r="H6" s="1861"/>
      <c r="I6" s="1862"/>
      <c r="J6" s="2474"/>
      <c r="K6" s="1861"/>
      <c r="L6" s="1861"/>
      <c r="M6" s="1861"/>
      <c r="N6" s="1862"/>
      <c r="U6" s="2473"/>
      <c r="V6" s="1861"/>
      <c r="W6" s="1861"/>
      <c r="X6" s="1861"/>
      <c r="Y6" s="1861"/>
      <c r="Z6" s="1861"/>
      <c r="AA6" s="1861"/>
      <c r="AB6" s="1862"/>
      <c r="AC6" s="2474"/>
      <c r="AD6" s="1861"/>
      <c r="AE6" s="1861"/>
      <c r="AF6" s="1861"/>
      <c r="AG6" s="1862"/>
    </row>
    <row r="7" spans="2:39" ht="18" customHeight="1">
      <c r="B7" s="2473"/>
      <c r="C7" s="1861"/>
      <c r="D7" s="1861"/>
      <c r="E7" s="1861"/>
      <c r="F7" s="1861"/>
      <c r="G7" s="1861"/>
      <c r="H7" s="1861"/>
      <c r="I7" s="1862"/>
      <c r="J7" s="2474"/>
      <c r="K7" s="1861"/>
      <c r="L7" s="1861"/>
      <c r="M7" s="1861"/>
      <c r="N7" s="1862"/>
      <c r="U7" s="2473"/>
      <c r="V7" s="1861"/>
      <c r="W7" s="1861"/>
      <c r="X7" s="1861"/>
      <c r="Y7" s="1861"/>
      <c r="Z7" s="1861"/>
      <c r="AA7" s="1861"/>
      <c r="AB7" s="1862"/>
      <c r="AC7" s="2474"/>
      <c r="AD7" s="1861"/>
      <c r="AE7" s="1861"/>
      <c r="AF7" s="1861"/>
      <c r="AG7" s="1862"/>
    </row>
    <row r="8" spans="2:39" ht="18" customHeight="1">
      <c r="B8" s="2473"/>
      <c r="C8" s="1861"/>
      <c r="D8" s="1861"/>
      <c r="E8" s="1861"/>
      <c r="F8" s="1861"/>
      <c r="G8" s="1861"/>
      <c r="H8" s="1861"/>
      <c r="I8" s="1862"/>
      <c r="J8" s="2474"/>
      <c r="K8" s="1861"/>
      <c r="L8" s="1861"/>
      <c r="M8" s="1861"/>
      <c r="N8" s="1862"/>
      <c r="U8" s="2473"/>
      <c r="V8" s="1861"/>
      <c r="W8" s="1861"/>
      <c r="X8" s="1861"/>
      <c r="Y8" s="1861"/>
      <c r="Z8" s="1861"/>
      <c r="AA8" s="1861"/>
      <c r="AB8" s="1862"/>
      <c r="AC8" s="2474"/>
      <c r="AD8" s="1861"/>
      <c r="AE8" s="1861"/>
      <c r="AF8" s="1861"/>
      <c r="AG8" s="1862"/>
    </row>
    <row r="9" spans="2:39" ht="18" customHeight="1">
      <c r="B9" s="2473"/>
      <c r="C9" s="1861"/>
      <c r="D9" s="1861"/>
      <c r="E9" s="1861"/>
      <c r="F9" s="1861"/>
      <c r="G9" s="1861"/>
      <c r="H9" s="1861"/>
      <c r="I9" s="1862"/>
      <c r="J9" s="2474"/>
      <c r="K9" s="1861"/>
      <c r="L9" s="1861"/>
      <c r="M9" s="1861"/>
      <c r="N9" s="1862"/>
      <c r="U9" s="2473"/>
      <c r="V9" s="1861"/>
      <c r="W9" s="1861"/>
      <c r="X9" s="1861"/>
      <c r="Y9" s="1861"/>
      <c r="Z9" s="1861"/>
      <c r="AA9" s="1861"/>
      <c r="AB9" s="1862"/>
      <c r="AC9" s="2474"/>
      <c r="AD9" s="1861"/>
      <c r="AE9" s="1861"/>
      <c r="AF9" s="1861"/>
      <c r="AG9" s="1862"/>
    </row>
    <row r="10" spans="2:39" ht="18" customHeight="1">
      <c r="B10" s="2473"/>
      <c r="C10" s="1861"/>
      <c r="D10" s="1861"/>
      <c r="E10" s="1861"/>
      <c r="F10" s="1861"/>
      <c r="G10" s="1861"/>
      <c r="H10" s="1861"/>
      <c r="I10" s="1862"/>
      <c r="J10" s="2474"/>
      <c r="K10" s="1861"/>
      <c r="L10" s="1861"/>
      <c r="M10" s="1861"/>
      <c r="N10" s="1862"/>
      <c r="U10" s="2473"/>
      <c r="V10" s="1861"/>
      <c r="W10" s="1861"/>
      <c r="X10" s="1861"/>
      <c r="Y10" s="1861"/>
      <c r="Z10" s="1861"/>
      <c r="AA10" s="1861"/>
      <c r="AB10" s="1862"/>
      <c r="AC10" s="2474"/>
      <c r="AD10" s="1861"/>
      <c r="AE10" s="1861"/>
      <c r="AF10" s="1861"/>
      <c r="AG10" s="1862"/>
    </row>
    <row r="11" spans="2:39" ht="18" customHeight="1">
      <c r="B11" s="2473"/>
      <c r="C11" s="1861"/>
      <c r="D11" s="1861"/>
      <c r="E11" s="1861"/>
      <c r="F11" s="1861"/>
      <c r="G11" s="1861"/>
      <c r="H11" s="1861"/>
      <c r="I11" s="1862"/>
      <c r="J11" s="2474"/>
      <c r="K11" s="1861"/>
      <c r="L11" s="1861"/>
      <c r="M11" s="1861"/>
      <c r="N11" s="1862"/>
      <c r="U11" s="2473"/>
      <c r="V11" s="1861"/>
      <c r="W11" s="1861"/>
      <c r="X11" s="1861"/>
      <c r="Y11" s="1861"/>
      <c r="Z11" s="1861"/>
      <c r="AA11" s="1861"/>
      <c r="AB11" s="1862"/>
      <c r="AC11" s="2474"/>
      <c r="AD11" s="1861"/>
      <c r="AE11" s="1861"/>
      <c r="AF11" s="1861"/>
      <c r="AG11" s="1862"/>
    </row>
    <row r="12" spans="2:39" ht="18" customHeight="1">
      <c r="B12" s="2473"/>
      <c r="C12" s="1861"/>
      <c r="D12" s="1861"/>
      <c r="E12" s="1861"/>
      <c r="F12" s="1861"/>
      <c r="G12" s="1861"/>
      <c r="H12" s="1861"/>
      <c r="I12" s="1862"/>
      <c r="J12" s="2474"/>
      <c r="K12" s="1861"/>
      <c r="L12" s="1861"/>
      <c r="M12" s="1861"/>
      <c r="N12" s="1862"/>
      <c r="U12" s="2473"/>
      <c r="V12" s="1861"/>
      <c r="W12" s="1861"/>
      <c r="X12" s="1861"/>
      <c r="Y12" s="1861"/>
      <c r="Z12" s="1861"/>
      <c r="AA12" s="1861"/>
      <c r="AB12" s="1862"/>
      <c r="AC12" s="2474"/>
      <c r="AD12" s="1861"/>
      <c r="AE12" s="1861"/>
      <c r="AF12" s="1861"/>
      <c r="AG12" s="1862"/>
    </row>
    <row r="13" spans="2:39" ht="18" customHeight="1">
      <c r="B13" s="2473"/>
      <c r="C13" s="1861"/>
      <c r="D13" s="1861"/>
      <c r="E13" s="1861"/>
      <c r="F13" s="1861"/>
      <c r="G13" s="1861"/>
      <c r="H13" s="1861"/>
      <c r="I13" s="1862"/>
      <c r="J13" s="2474"/>
      <c r="K13" s="1861"/>
      <c r="L13" s="1861"/>
      <c r="M13" s="1861"/>
      <c r="N13" s="1862"/>
      <c r="U13" s="2473"/>
      <c r="V13" s="1861"/>
      <c r="W13" s="1861"/>
      <c r="X13" s="1861"/>
      <c r="Y13" s="1861"/>
      <c r="Z13" s="1861"/>
      <c r="AA13" s="1861"/>
      <c r="AB13" s="1862"/>
      <c r="AC13" s="2474"/>
      <c r="AD13" s="1861"/>
      <c r="AE13" s="1861"/>
      <c r="AF13" s="1861"/>
      <c r="AG13" s="1862"/>
    </row>
    <row r="14" spans="2:39" ht="18" customHeight="1">
      <c r="B14" s="2473"/>
      <c r="C14" s="1861"/>
      <c r="D14" s="1861"/>
      <c r="E14" s="1861"/>
      <c r="F14" s="1861"/>
      <c r="G14" s="1861"/>
      <c r="H14" s="1861"/>
      <c r="I14" s="1862"/>
      <c r="J14" s="2474"/>
      <c r="K14" s="1861"/>
      <c r="L14" s="1861"/>
      <c r="M14" s="1861"/>
      <c r="N14" s="1862"/>
      <c r="U14" s="2473"/>
      <c r="V14" s="1861"/>
      <c r="W14" s="1861"/>
      <c r="X14" s="1861"/>
      <c r="Y14" s="1861"/>
      <c r="Z14" s="1861"/>
      <c r="AA14" s="1861"/>
      <c r="AB14" s="1862"/>
      <c r="AC14" s="2474"/>
      <c r="AD14" s="1861"/>
      <c r="AE14" s="1861"/>
      <c r="AF14" s="1861"/>
      <c r="AG14" s="1862"/>
    </row>
    <row r="15" spans="2:39" ht="18" customHeight="1">
      <c r="B15" s="2473"/>
      <c r="C15" s="1861"/>
      <c r="D15" s="1861"/>
      <c r="E15" s="1861"/>
      <c r="F15" s="1861"/>
      <c r="G15" s="1861"/>
      <c r="H15" s="1861"/>
      <c r="I15" s="1862"/>
      <c r="J15" s="2474"/>
      <c r="K15" s="1861"/>
      <c r="L15" s="1861"/>
      <c r="M15" s="1861"/>
      <c r="N15" s="1862"/>
      <c r="U15" s="2473"/>
      <c r="V15" s="1861"/>
      <c r="W15" s="1861"/>
      <c r="X15" s="1861"/>
      <c r="Y15" s="1861"/>
      <c r="Z15" s="1861"/>
      <c r="AA15" s="1861"/>
      <c r="AB15" s="1862"/>
      <c r="AC15" s="2474"/>
      <c r="AD15" s="1861"/>
      <c r="AE15" s="1861"/>
      <c r="AF15" s="1861"/>
      <c r="AG15" s="1862"/>
    </row>
    <row r="16" spans="2:39" ht="18" customHeight="1">
      <c r="B16" s="2473"/>
      <c r="C16" s="1861"/>
      <c r="D16" s="1861"/>
      <c r="E16" s="1861"/>
      <c r="F16" s="1861"/>
      <c r="G16" s="1861"/>
      <c r="H16" s="1861"/>
      <c r="I16" s="1862"/>
      <c r="J16" s="2474"/>
      <c r="K16" s="1861"/>
      <c r="L16" s="1861"/>
      <c r="M16" s="1861"/>
      <c r="N16" s="1862"/>
      <c r="U16" s="2473"/>
      <c r="V16" s="1861"/>
      <c r="W16" s="1861"/>
      <c r="X16" s="1861"/>
      <c r="Y16" s="1861"/>
      <c r="Z16" s="1861"/>
      <c r="AA16" s="1861"/>
      <c r="AB16" s="1862"/>
      <c r="AC16" s="2474"/>
      <c r="AD16" s="1861"/>
      <c r="AE16" s="1861"/>
      <c r="AF16" s="1861"/>
      <c r="AG16" s="1862"/>
    </row>
    <row r="17" spans="2:33" ht="18" customHeight="1">
      <c r="B17" s="2473"/>
      <c r="C17" s="1861"/>
      <c r="D17" s="1861"/>
      <c r="E17" s="1861"/>
      <c r="F17" s="1861"/>
      <c r="G17" s="1861"/>
      <c r="H17" s="1861"/>
      <c r="I17" s="1862"/>
      <c r="J17" s="2474"/>
      <c r="K17" s="1861"/>
      <c r="L17" s="1861"/>
      <c r="M17" s="1861"/>
      <c r="N17" s="1862"/>
      <c r="U17" s="2473"/>
      <c r="V17" s="1861"/>
      <c r="W17" s="1861"/>
      <c r="X17" s="1861"/>
      <c r="Y17" s="1861"/>
      <c r="Z17" s="1861"/>
      <c r="AA17" s="1861"/>
      <c r="AB17" s="1862"/>
      <c r="AC17" s="2474"/>
      <c r="AD17" s="1861"/>
      <c r="AE17" s="1861"/>
      <c r="AF17" s="1861"/>
      <c r="AG17" s="1862"/>
    </row>
    <row r="18" spans="2:33" ht="18" customHeight="1">
      <c r="B18" s="2473"/>
      <c r="C18" s="1861"/>
      <c r="D18" s="1861"/>
      <c r="E18" s="1861"/>
      <c r="F18" s="1861"/>
      <c r="G18" s="1861"/>
      <c r="H18" s="1861"/>
      <c r="I18" s="1862"/>
      <c r="J18" s="2474"/>
      <c r="K18" s="1861"/>
      <c r="L18" s="1861"/>
      <c r="M18" s="1861"/>
      <c r="N18" s="1862"/>
      <c r="U18" s="2473"/>
      <c r="V18" s="1861"/>
      <c r="W18" s="1861"/>
      <c r="X18" s="1861"/>
      <c r="Y18" s="1861"/>
      <c r="Z18" s="1861"/>
      <c r="AA18" s="1861"/>
      <c r="AB18" s="1862"/>
      <c r="AC18" s="2474"/>
      <c r="AD18" s="1861"/>
      <c r="AE18" s="1861"/>
      <c r="AF18" s="1861"/>
      <c r="AG18" s="1862"/>
    </row>
    <row r="19" spans="2:33" ht="18" customHeight="1">
      <c r="B19" s="2473"/>
      <c r="C19" s="1861"/>
      <c r="D19" s="1861"/>
      <c r="E19" s="1861"/>
      <c r="F19" s="1861"/>
      <c r="G19" s="1861"/>
      <c r="H19" s="1861"/>
      <c r="I19" s="1862"/>
      <c r="J19" s="2474"/>
      <c r="K19" s="1861"/>
      <c r="L19" s="1861"/>
      <c r="M19" s="1861"/>
      <c r="N19" s="1862"/>
      <c r="U19" s="2473"/>
      <c r="V19" s="1861"/>
      <c r="W19" s="1861"/>
      <c r="X19" s="1861"/>
      <c r="Y19" s="1861"/>
      <c r="Z19" s="1861"/>
      <c r="AA19" s="1861"/>
      <c r="AB19" s="1862"/>
      <c r="AC19" s="2474"/>
      <c r="AD19" s="1861"/>
      <c r="AE19" s="1861"/>
      <c r="AF19" s="1861"/>
      <c r="AG19" s="1862"/>
    </row>
    <row r="20" spans="2:33" ht="18" customHeight="1">
      <c r="B20" s="2473"/>
      <c r="C20" s="1861"/>
      <c r="D20" s="1861"/>
      <c r="E20" s="1861"/>
      <c r="F20" s="1861"/>
      <c r="G20" s="1861"/>
      <c r="H20" s="1861"/>
      <c r="I20" s="1862"/>
      <c r="J20" s="2474"/>
      <c r="K20" s="1861"/>
      <c r="L20" s="1861"/>
      <c r="M20" s="1861"/>
      <c r="N20" s="1862"/>
      <c r="U20" s="2473"/>
      <c r="V20" s="1861"/>
      <c r="W20" s="1861"/>
      <c r="X20" s="1861"/>
      <c r="Y20" s="1861"/>
      <c r="Z20" s="1861"/>
      <c r="AA20" s="1861"/>
      <c r="AB20" s="1862"/>
      <c r="AC20" s="2474"/>
      <c r="AD20" s="1861"/>
      <c r="AE20" s="1861"/>
      <c r="AF20" s="1861"/>
      <c r="AG20" s="1862"/>
    </row>
    <row r="21" spans="2:33" ht="18" customHeight="1">
      <c r="B21" s="2473"/>
      <c r="C21" s="1861"/>
      <c r="D21" s="1861"/>
      <c r="E21" s="1861"/>
      <c r="F21" s="1861"/>
      <c r="G21" s="1861"/>
      <c r="H21" s="1861"/>
      <c r="I21" s="1862"/>
      <c r="J21" s="2474"/>
      <c r="K21" s="1861"/>
      <c r="L21" s="1861"/>
      <c r="M21" s="1861"/>
      <c r="N21" s="1862"/>
      <c r="U21" s="2473"/>
      <c r="V21" s="1861"/>
      <c r="W21" s="1861"/>
      <c r="X21" s="1861"/>
      <c r="Y21" s="1861"/>
      <c r="Z21" s="1861"/>
      <c r="AA21" s="1861"/>
      <c r="AB21" s="1862"/>
      <c r="AC21" s="2474"/>
      <c r="AD21" s="1861"/>
      <c r="AE21" s="1861"/>
      <c r="AF21" s="1861"/>
      <c r="AG21" s="1862"/>
    </row>
    <row r="22" spans="2:33" ht="18" customHeight="1">
      <c r="B22" s="2473"/>
      <c r="C22" s="1861"/>
      <c r="D22" s="1861"/>
      <c r="E22" s="1861"/>
      <c r="F22" s="1861"/>
      <c r="G22" s="1861"/>
      <c r="H22" s="1861"/>
      <c r="I22" s="1862"/>
      <c r="J22" s="2474"/>
      <c r="K22" s="1861"/>
      <c r="L22" s="1861"/>
      <c r="M22" s="1861"/>
      <c r="N22" s="1862"/>
      <c r="U22" s="2473"/>
      <c r="V22" s="1861"/>
      <c r="W22" s="1861"/>
      <c r="X22" s="1861"/>
      <c r="Y22" s="1861"/>
      <c r="Z22" s="1861"/>
      <c r="AA22" s="1861"/>
      <c r="AB22" s="1862"/>
      <c r="AC22" s="2474"/>
      <c r="AD22" s="1861"/>
      <c r="AE22" s="1861"/>
      <c r="AF22" s="1861"/>
      <c r="AG22" s="1862"/>
    </row>
    <row r="23" spans="2:33" ht="18" customHeight="1">
      <c r="B23" s="2473"/>
      <c r="C23" s="1861"/>
      <c r="D23" s="1861"/>
      <c r="E23" s="1861"/>
      <c r="F23" s="1861"/>
      <c r="G23" s="1861"/>
      <c r="H23" s="1861"/>
      <c r="I23" s="1862"/>
      <c r="J23" s="2474"/>
      <c r="K23" s="1861"/>
      <c r="L23" s="1861"/>
      <c r="M23" s="1861"/>
      <c r="N23" s="1862"/>
      <c r="U23" s="2473"/>
      <c r="V23" s="1861"/>
      <c r="W23" s="1861"/>
      <c r="X23" s="1861"/>
      <c r="Y23" s="1861"/>
      <c r="Z23" s="1861"/>
      <c r="AA23" s="1861"/>
      <c r="AB23" s="1862"/>
      <c r="AC23" s="2474"/>
      <c r="AD23" s="1861"/>
      <c r="AE23" s="1861"/>
      <c r="AF23" s="1861"/>
      <c r="AG23" s="1862"/>
    </row>
    <row r="24" spans="2:33" ht="18" customHeight="1">
      <c r="B24" s="2473"/>
      <c r="C24" s="1861"/>
      <c r="D24" s="1861"/>
      <c r="E24" s="1861"/>
      <c r="F24" s="1861"/>
      <c r="G24" s="1861"/>
      <c r="H24" s="1861"/>
      <c r="I24" s="1862"/>
      <c r="J24" s="2474"/>
      <c r="K24" s="1861"/>
      <c r="L24" s="1861"/>
      <c r="M24" s="1861"/>
      <c r="N24" s="1862"/>
      <c r="U24" s="2473"/>
      <c r="V24" s="1861"/>
      <c r="W24" s="1861"/>
      <c r="X24" s="1861"/>
      <c r="Y24" s="1861"/>
      <c r="Z24" s="1861"/>
      <c r="AA24" s="1861"/>
      <c r="AB24" s="1862"/>
      <c r="AC24" s="2474"/>
      <c r="AD24" s="1861"/>
      <c r="AE24" s="1861"/>
      <c r="AF24" s="1861"/>
      <c r="AG24" s="1862"/>
    </row>
    <row r="25" spans="2:33" ht="18" customHeight="1">
      <c r="B25" s="2473"/>
      <c r="C25" s="1861"/>
      <c r="D25" s="1861"/>
      <c r="E25" s="1861"/>
      <c r="F25" s="1861"/>
      <c r="G25" s="1861"/>
      <c r="H25" s="1861"/>
      <c r="I25" s="1862"/>
      <c r="J25" s="2474"/>
      <c r="K25" s="1861"/>
      <c r="L25" s="1861"/>
      <c r="M25" s="1861"/>
      <c r="N25" s="1862"/>
      <c r="U25" s="2473"/>
      <c r="V25" s="1861"/>
      <c r="W25" s="1861"/>
      <c r="X25" s="1861"/>
      <c r="Y25" s="1861"/>
      <c r="Z25" s="1861"/>
      <c r="AA25" s="1861"/>
      <c r="AB25" s="1862"/>
      <c r="AC25" s="2474"/>
      <c r="AD25" s="1861"/>
      <c r="AE25" s="1861"/>
      <c r="AF25" s="1861"/>
      <c r="AG25" s="1862"/>
    </row>
    <row r="26" spans="2:33" ht="18" customHeight="1">
      <c r="B26" s="2473"/>
      <c r="C26" s="1861"/>
      <c r="D26" s="1861"/>
      <c r="E26" s="1861"/>
      <c r="F26" s="1861"/>
      <c r="G26" s="1861"/>
      <c r="H26" s="1861"/>
      <c r="I26" s="1862"/>
      <c r="J26" s="2474"/>
      <c r="K26" s="1861"/>
      <c r="L26" s="1861"/>
      <c r="M26" s="1861"/>
      <c r="N26" s="1862"/>
      <c r="U26" s="2473"/>
      <c r="V26" s="1861"/>
      <c r="W26" s="1861"/>
      <c r="X26" s="1861"/>
      <c r="Y26" s="1861"/>
      <c r="Z26" s="1861"/>
      <c r="AA26" s="1861"/>
      <c r="AB26" s="1862"/>
      <c r="AC26" s="2474"/>
      <c r="AD26" s="1861"/>
      <c r="AE26" s="1861"/>
      <c r="AF26" s="1861"/>
      <c r="AG26" s="1862"/>
    </row>
    <row r="27" spans="2:33" ht="18" customHeight="1">
      <c r="B27" s="2473"/>
      <c r="C27" s="1861"/>
      <c r="D27" s="1861"/>
      <c r="E27" s="1861"/>
      <c r="F27" s="1861"/>
      <c r="G27" s="1861"/>
      <c r="H27" s="1861"/>
      <c r="I27" s="1862"/>
      <c r="J27" s="2474"/>
      <c r="K27" s="1861"/>
      <c r="L27" s="1861"/>
      <c r="M27" s="1861"/>
      <c r="N27" s="1862"/>
      <c r="U27" s="2473"/>
      <c r="V27" s="1861"/>
      <c r="W27" s="1861"/>
      <c r="X27" s="1861"/>
      <c r="Y27" s="1861"/>
      <c r="Z27" s="1861"/>
      <c r="AA27" s="1861"/>
      <c r="AB27" s="1862"/>
      <c r="AC27" s="2474"/>
      <c r="AD27" s="1861"/>
      <c r="AE27" s="1861"/>
      <c r="AF27" s="1861"/>
      <c r="AG27" s="1862"/>
    </row>
    <row r="28" spans="2:33" ht="18" customHeight="1">
      <c r="B28" s="2473"/>
      <c r="C28" s="1861"/>
      <c r="D28" s="1861"/>
      <c r="E28" s="1861"/>
      <c r="F28" s="1861"/>
      <c r="G28" s="1861"/>
      <c r="H28" s="1861"/>
      <c r="I28" s="1862"/>
      <c r="J28" s="2474"/>
      <c r="K28" s="1861"/>
      <c r="L28" s="1861"/>
      <c r="M28" s="1861"/>
      <c r="N28" s="1862"/>
      <c r="U28" s="2473"/>
      <c r="V28" s="1861"/>
      <c r="W28" s="1861"/>
      <c r="X28" s="1861"/>
      <c r="Y28" s="1861"/>
      <c r="Z28" s="1861"/>
      <c r="AA28" s="1861"/>
      <c r="AB28" s="1862"/>
      <c r="AC28" s="2474"/>
      <c r="AD28" s="1861"/>
      <c r="AE28" s="1861"/>
      <c r="AF28" s="1861"/>
      <c r="AG28" s="1862"/>
    </row>
    <row r="29" spans="2:33" ht="18" customHeight="1">
      <c r="B29" s="2473"/>
      <c r="C29" s="1861"/>
      <c r="D29" s="1861"/>
      <c r="E29" s="1861"/>
      <c r="F29" s="1861"/>
      <c r="G29" s="1861"/>
      <c r="H29" s="1861"/>
      <c r="I29" s="1862"/>
      <c r="J29" s="2474"/>
      <c r="K29" s="1861"/>
      <c r="L29" s="1861"/>
      <c r="M29" s="1861"/>
      <c r="N29" s="1862"/>
      <c r="U29" s="2473"/>
      <c r="V29" s="1861"/>
      <c r="W29" s="1861"/>
      <c r="X29" s="1861"/>
      <c r="Y29" s="1861"/>
      <c r="Z29" s="1861"/>
      <c r="AA29" s="1861"/>
      <c r="AB29" s="1862"/>
      <c r="AC29" s="2474"/>
      <c r="AD29" s="1861"/>
      <c r="AE29" s="1861"/>
      <c r="AF29" s="1861"/>
      <c r="AG29" s="1862"/>
    </row>
    <row r="30" spans="2:33" ht="18" customHeight="1">
      <c r="B30" s="2473"/>
      <c r="C30" s="1861"/>
      <c r="D30" s="1861"/>
      <c r="E30" s="1861"/>
      <c r="F30" s="1861"/>
      <c r="G30" s="1861"/>
      <c r="H30" s="1861"/>
      <c r="I30" s="1862"/>
      <c r="J30" s="2474"/>
      <c r="K30" s="1861"/>
      <c r="L30" s="1861"/>
      <c r="M30" s="1861"/>
      <c r="N30" s="1862"/>
      <c r="U30" s="2473"/>
      <c r="V30" s="1861"/>
      <c r="W30" s="1861"/>
      <c r="X30" s="1861"/>
      <c r="Y30" s="1861"/>
      <c r="Z30" s="1861"/>
      <c r="AA30" s="1861"/>
      <c r="AB30" s="1862"/>
      <c r="AC30" s="2474"/>
      <c r="AD30" s="1861"/>
      <c r="AE30" s="1861"/>
      <c r="AF30" s="1861"/>
      <c r="AG30" s="1862"/>
    </row>
    <row r="31" spans="2:33" ht="18" customHeight="1">
      <c r="B31" s="2473"/>
      <c r="C31" s="1861"/>
      <c r="D31" s="1861"/>
      <c r="E31" s="1861"/>
      <c r="F31" s="1861"/>
      <c r="G31" s="1861"/>
      <c r="H31" s="1861"/>
      <c r="I31" s="1862"/>
      <c r="J31" s="2474"/>
      <c r="K31" s="1861"/>
      <c r="L31" s="1861"/>
      <c r="M31" s="1861"/>
      <c r="N31" s="1862"/>
      <c r="U31" s="2473"/>
      <c r="V31" s="1861"/>
      <c r="W31" s="1861"/>
      <c r="X31" s="1861"/>
      <c r="Y31" s="1861"/>
      <c r="Z31" s="1861"/>
      <c r="AA31" s="1861"/>
      <c r="AB31" s="1862"/>
      <c r="AC31" s="2474"/>
      <c r="AD31" s="1861"/>
      <c r="AE31" s="1861"/>
      <c r="AF31" s="1861"/>
      <c r="AG31" s="1862"/>
    </row>
    <row r="32" spans="2:33" ht="18" customHeight="1">
      <c r="B32" s="2473"/>
      <c r="C32" s="1861"/>
      <c r="D32" s="1861"/>
      <c r="E32" s="1861"/>
      <c r="F32" s="1861"/>
      <c r="G32" s="1861"/>
      <c r="H32" s="1861"/>
      <c r="I32" s="1862"/>
      <c r="J32" s="2474"/>
      <c r="K32" s="1861"/>
      <c r="L32" s="1861"/>
      <c r="M32" s="1861"/>
      <c r="N32" s="1862"/>
      <c r="U32" s="2473"/>
      <c r="V32" s="1861"/>
      <c r="W32" s="1861"/>
      <c r="X32" s="1861"/>
      <c r="Y32" s="1861"/>
      <c r="Z32" s="1861"/>
      <c r="AA32" s="1861"/>
      <c r="AB32" s="1862"/>
      <c r="AC32" s="2474"/>
      <c r="AD32" s="1861"/>
      <c r="AE32" s="1861"/>
      <c r="AF32" s="1861"/>
      <c r="AG32" s="1862"/>
    </row>
    <row r="33" spans="2:33" ht="18" customHeight="1">
      <c r="B33" s="2473"/>
      <c r="C33" s="1861"/>
      <c r="D33" s="1861"/>
      <c r="E33" s="1861"/>
      <c r="F33" s="1861"/>
      <c r="G33" s="1861"/>
      <c r="H33" s="1861"/>
      <c r="I33" s="1862"/>
      <c r="J33" s="2474"/>
      <c r="K33" s="1861"/>
      <c r="L33" s="1861"/>
      <c r="M33" s="1861"/>
      <c r="N33" s="1862"/>
      <c r="U33" s="2473"/>
      <c r="V33" s="1861"/>
      <c r="W33" s="1861"/>
      <c r="X33" s="1861"/>
      <c r="Y33" s="1861"/>
      <c r="Z33" s="1861"/>
      <c r="AA33" s="1861"/>
      <c r="AB33" s="1862"/>
      <c r="AC33" s="2474"/>
      <c r="AD33" s="1861"/>
      <c r="AE33" s="1861"/>
      <c r="AF33" s="1861"/>
      <c r="AG33" s="1862"/>
    </row>
    <row r="34" spans="2:33" ht="18" customHeight="1">
      <c r="B34" s="2473"/>
      <c r="C34" s="1861"/>
      <c r="D34" s="1861"/>
      <c r="E34" s="1861"/>
      <c r="F34" s="1861"/>
      <c r="G34" s="1861"/>
      <c r="H34" s="1861"/>
      <c r="I34" s="1862"/>
      <c r="J34" s="2474"/>
      <c r="K34" s="1861"/>
      <c r="L34" s="1861"/>
      <c r="M34" s="1861"/>
      <c r="N34" s="1862"/>
      <c r="U34" s="2473"/>
      <c r="V34" s="1861"/>
      <c r="W34" s="1861"/>
      <c r="X34" s="1861"/>
      <c r="Y34" s="1861"/>
      <c r="Z34" s="1861"/>
      <c r="AA34" s="1861"/>
      <c r="AB34" s="1862"/>
      <c r="AC34" s="2474"/>
      <c r="AD34" s="1861"/>
      <c r="AE34" s="1861"/>
      <c r="AF34" s="1861"/>
      <c r="AG34" s="1862"/>
    </row>
    <row r="35" spans="2:33" ht="18" customHeight="1">
      <c r="B35" s="2473"/>
      <c r="C35" s="1861"/>
      <c r="D35" s="1861"/>
      <c r="E35" s="1861"/>
      <c r="F35" s="1861"/>
      <c r="G35" s="1861"/>
      <c r="H35" s="1861"/>
      <c r="I35" s="1862"/>
      <c r="J35" s="2474"/>
      <c r="K35" s="1861"/>
      <c r="L35" s="1861"/>
      <c r="M35" s="1861"/>
      <c r="N35" s="1862"/>
      <c r="U35" s="2473"/>
      <c r="V35" s="1861"/>
      <c r="W35" s="1861"/>
      <c r="X35" s="1861"/>
      <c r="Y35" s="1861"/>
      <c r="Z35" s="1861"/>
      <c r="AA35" s="1861"/>
      <c r="AB35" s="1862"/>
      <c r="AC35" s="2474"/>
      <c r="AD35" s="1861"/>
      <c r="AE35" s="1861"/>
      <c r="AF35" s="1861"/>
      <c r="AG35" s="1862"/>
    </row>
    <row r="36" spans="2:33" ht="18" customHeight="1">
      <c r="B36" s="2473"/>
      <c r="C36" s="1861"/>
      <c r="D36" s="1861"/>
      <c r="E36" s="1861"/>
      <c r="F36" s="1861"/>
      <c r="G36" s="1861"/>
      <c r="H36" s="1861"/>
      <c r="I36" s="1862"/>
      <c r="J36" s="2474"/>
      <c r="K36" s="1861"/>
      <c r="L36" s="1861"/>
      <c r="M36" s="1861"/>
      <c r="N36" s="1862"/>
      <c r="U36" s="2473"/>
      <c r="V36" s="1861"/>
      <c r="W36" s="1861"/>
      <c r="X36" s="1861"/>
      <c r="Y36" s="1861"/>
      <c r="Z36" s="1861"/>
      <c r="AA36" s="1861"/>
      <c r="AB36" s="1862"/>
      <c r="AC36" s="2474"/>
      <c r="AD36" s="1861"/>
      <c r="AE36" s="1861"/>
      <c r="AF36" s="1861"/>
      <c r="AG36" s="1862"/>
    </row>
    <row r="37" spans="2:33" ht="18" customHeight="1">
      <c r="B37" s="2473"/>
      <c r="C37" s="1861"/>
      <c r="D37" s="1861"/>
      <c r="E37" s="1861"/>
      <c r="F37" s="1861"/>
      <c r="G37" s="1861"/>
      <c r="H37" s="1861"/>
      <c r="I37" s="1862"/>
      <c r="J37" s="2474"/>
      <c r="K37" s="1861"/>
      <c r="L37" s="1861"/>
      <c r="M37" s="1861"/>
      <c r="N37" s="1862"/>
      <c r="U37" s="2473"/>
      <c r="V37" s="1861"/>
      <c r="W37" s="1861"/>
      <c r="X37" s="1861"/>
      <c r="Y37" s="1861"/>
      <c r="Z37" s="1861"/>
      <c r="AA37" s="1861"/>
      <c r="AB37" s="1862"/>
      <c r="AC37" s="2474"/>
      <c r="AD37" s="1861"/>
      <c r="AE37" s="1861"/>
      <c r="AF37" s="1861"/>
      <c r="AG37" s="1862"/>
    </row>
    <row r="38" spans="2:33" ht="18" customHeight="1">
      <c r="B38" s="2473"/>
      <c r="C38" s="1861"/>
      <c r="D38" s="1861"/>
      <c r="E38" s="1861"/>
      <c r="F38" s="1861"/>
      <c r="G38" s="1861"/>
      <c r="H38" s="1861"/>
      <c r="I38" s="1862"/>
      <c r="J38" s="2474"/>
      <c r="K38" s="1861"/>
      <c r="L38" s="1861"/>
      <c r="M38" s="1861"/>
      <c r="N38" s="1862"/>
      <c r="U38" s="2473"/>
      <c r="V38" s="1861"/>
      <c r="W38" s="1861"/>
      <c r="X38" s="1861"/>
      <c r="Y38" s="1861"/>
      <c r="Z38" s="1861"/>
      <c r="AA38" s="1861"/>
      <c r="AB38" s="1862"/>
      <c r="AC38" s="2474"/>
      <c r="AD38" s="1861"/>
      <c r="AE38" s="1861"/>
      <c r="AF38" s="1861"/>
      <c r="AG38" s="1862"/>
    </row>
    <row r="39" spans="2:33" ht="18" customHeight="1">
      <c r="B39" s="2473"/>
      <c r="C39" s="1861"/>
      <c r="D39" s="1861"/>
      <c r="E39" s="1861"/>
      <c r="F39" s="1861"/>
      <c r="G39" s="1861"/>
      <c r="H39" s="1861"/>
      <c r="I39" s="1862"/>
      <c r="J39" s="2474"/>
      <c r="K39" s="1861"/>
      <c r="L39" s="1861"/>
      <c r="M39" s="1861"/>
      <c r="N39" s="1862"/>
      <c r="U39" s="2473"/>
      <c r="V39" s="1861"/>
      <c r="W39" s="1861"/>
      <c r="X39" s="1861"/>
      <c r="Y39" s="1861"/>
      <c r="Z39" s="1861"/>
      <c r="AA39" s="1861"/>
      <c r="AB39" s="1862"/>
      <c r="AC39" s="2474"/>
      <c r="AD39" s="1861"/>
      <c r="AE39" s="1861"/>
      <c r="AF39" s="1861"/>
      <c r="AG39" s="1862"/>
    </row>
    <row r="40" spans="2:33" ht="18" customHeight="1">
      <c r="B40" s="2473"/>
      <c r="C40" s="1861"/>
      <c r="D40" s="1861"/>
      <c r="E40" s="1861"/>
      <c r="F40" s="1861"/>
      <c r="G40" s="1861"/>
      <c r="H40" s="1861"/>
      <c r="I40" s="1862"/>
      <c r="J40" s="2474"/>
      <c r="K40" s="1861"/>
      <c r="L40" s="1861"/>
      <c r="M40" s="1861"/>
      <c r="N40" s="1862"/>
      <c r="U40" s="2473"/>
      <c r="V40" s="1861"/>
      <c r="W40" s="1861"/>
      <c r="X40" s="1861"/>
      <c r="Y40" s="1861"/>
      <c r="Z40" s="1861"/>
      <c r="AA40" s="1861"/>
      <c r="AB40" s="1862"/>
      <c r="AC40" s="2474"/>
      <c r="AD40" s="1861"/>
      <c r="AE40" s="1861"/>
      <c r="AF40" s="1861"/>
      <c r="AG40" s="1862"/>
    </row>
    <row r="41" spans="2:33" ht="18" customHeight="1">
      <c r="B41" s="2473"/>
      <c r="C41" s="1861"/>
      <c r="D41" s="1861"/>
      <c r="E41" s="1861"/>
      <c r="F41" s="1861"/>
      <c r="G41" s="1861"/>
      <c r="H41" s="1861"/>
      <c r="I41" s="1862"/>
      <c r="J41" s="2474"/>
      <c r="K41" s="1861"/>
      <c r="L41" s="1861"/>
      <c r="M41" s="1861"/>
      <c r="N41" s="1862"/>
      <c r="U41" s="2473"/>
      <c r="V41" s="1861"/>
      <c r="W41" s="1861"/>
      <c r="X41" s="1861"/>
      <c r="Y41" s="1861"/>
      <c r="Z41" s="1861"/>
      <c r="AA41" s="1861"/>
      <c r="AB41" s="1862"/>
      <c r="AC41" s="2474"/>
      <c r="AD41" s="1861"/>
      <c r="AE41" s="1861"/>
      <c r="AF41" s="1861"/>
      <c r="AG41" s="1862"/>
    </row>
    <row r="42" spans="2:33" ht="18" customHeight="1">
      <c r="B42" s="2473"/>
      <c r="C42" s="1861"/>
      <c r="D42" s="1861"/>
      <c r="E42" s="1861"/>
      <c r="F42" s="1861"/>
      <c r="G42" s="1861"/>
      <c r="H42" s="1861"/>
      <c r="I42" s="1862"/>
      <c r="J42" s="2474"/>
      <c r="K42" s="1861"/>
      <c r="L42" s="1861"/>
      <c r="M42" s="1861"/>
      <c r="N42" s="1862"/>
      <c r="U42" s="2473"/>
      <c r="V42" s="1861"/>
      <c r="W42" s="1861"/>
      <c r="X42" s="1861"/>
      <c r="Y42" s="1861"/>
      <c r="Z42" s="1861"/>
      <c r="AA42" s="1861"/>
      <c r="AB42" s="1862"/>
      <c r="AC42" s="2474"/>
      <c r="AD42" s="1861"/>
      <c r="AE42" s="1861"/>
      <c r="AF42" s="1861"/>
      <c r="AG42" s="1862"/>
    </row>
  </sheetData>
  <sheetProtection algorithmName="SHA-512" hashValue="b3TFMDgk9z6AYba4q9tKMsZUBdl1W+fSoqU+/OhHU6H75cGUPmEEl4bBb1vLf6NngIItRkUi9N4BuN5j0gMk6w==" saltValue="zn0odh8bMEYfi3D+hOwNpg==" spinCount="100000" sheet="1" objects="1" scenarios="1"/>
  <mergeCells count="157">
    <mergeCell ref="U41:AB41"/>
    <mergeCell ref="AC4:AG4"/>
    <mergeCell ref="J20:N20"/>
    <mergeCell ref="J11:N11"/>
    <mergeCell ref="J25:N25"/>
    <mergeCell ref="U12:AB12"/>
    <mergeCell ref="B10:I10"/>
    <mergeCell ref="B19:I19"/>
    <mergeCell ref="U16:AB16"/>
    <mergeCell ref="B14:I14"/>
    <mergeCell ref="U25:AB25"/>
    <mergeCell ref="B23:I23"/>
    <mergeCell ref="AC5:AG5"/>
    <mergeCell ref="U4:AB4"/>
    <mergeCell ref="U22:AB22"/>
    <mergeCell ref="B25:I25"/>
    <mergeCell ref="AC7:AG7"/>
    <mergeCell ref="AC12:AG12"/>
    <mergeCell ref="U17:AB17"/>
    <mergeCell ref="J18:N18"/>
    <mergeCell ref="U5:AB5"/>
    <mergeCell ref="B22:I22"/>
    <mergeCell ref="J13:N13"/>
    <mergeCell ref="J6:N6"/>
    <mergeCell ref="J40:N40"/>
    <mergeCell ref="B21:I21"/>
    <mergeCell ref="B39:I39"/>
    <mergeCell ref="J15:N15"/>
    <mergeCell ref="J24:N24"/>
    <mergeCell ref="J27:N27"/>
    <mergeCell ref="AC23:AG23"/>
    <mergeCell ref="B17:I17"/>
    <mergeCell ref="J35:N35"/>
    <mergeCell ref="U31:AB31"/>
    <mergeCell ref="U34:AB34"/>
    <mergeCell ref="AC28:AG28"/>
    <mergeCell ref="AC37:AG37"/>
    <mergeCell ref="AC33:AG33"/>
    <mergeCell ref="U32:AB32"/>
    <mergeCell ref="AC39:AG39"/>
    <mergeCell ref="J22:N22"/>
    <mergeCell ref="J39:N39"/>
    <mergeCell ref="J38:N38"/>
    <mergeCell ref="B2:AG2"/>
    <mergeCell ref="B13:I13"/>
    <mergeCell ref="J26:N26"/>
    <mergeCell ref="AC42:AG42"/>
    <mergeCell ref="AC20:AG20"/>
    <mergeCell ref="AC29:AG29"/>
    <mergeCell ref="J7:N7"/>
    <mergeCell ref="AC38:AG38"/>
    <mergeCell ref="J16:N16"/>
    <mergeCell ref="U28:AB28"/>
    <mergeCell ref="AC22:AG22"/>
    <mergeCell ref="AC31:AG31"/>
    <mergeCell ref="AC6:AG6"/>
    <mergeCell ref="U39:AB39"/>
    <mergeCell ref="B33:I33"/>
    <mergeCell ref="AC21:AG21"/>
    <mergeCell ref="U20:AB20"/>
    <mergeCell ref="J42:N42"/>
    <mergeCell ref="U29:AB29"/>
    <mergeCell ref="U14:AB14"/>
    <mergeCell ref="AC27:AG27"/>
    <mergeCell ref="B41:I41"/>
    <mergeCell ref="B35:I35"/>
    <mergeCell ref="AC40:AG40"/>
    <mergeCell ref="U11:AB11"/>
    <mergeCell ref="B8:I8"/>
    <mergeCell ref="U27:AB27"/>
    <mergeCell ref="U36:AB36"/>
    <mergeCell ref="U30:AB30"/>
    <mergeCell ref="AC30:AG30"/>
    <mergeCell ref="J34:N34"/>
    <mergeCell ref="J9:N9"/>
    <mergeCell ref="U26:AB26"/>
    <mergeCell ref="AC17:AG17"/>
    <mergeCell ref="J29:N29"/>
    <mergeCell ref="U23:AB23"/>
    <mergeCell ref="AC14:AG14"/>
    <mergeCell ref="U9:AB9"/>
    <mergeCell ref="J23:N23"/>
    <mergeCell ref="U35:AB35"/>
    <mergeCell ref="B31:I31"/>
    <mergeCell ref="B9:I9"/>
    <mergeCell ref="J4:N4"/>
    <mergeCell ref="AC35:AG35"/>
    <mergeCell ref="B29:I29"/>
    <mergeCell ref="B38:I38"/>
    <mergeCell ref="AC19:AG19"/>
    <mergeCell ref="AC34:AG34"/>
    <mergeCell ref="AC25:AG25"/>
    <mergeCell ref="J32:N32"/>
    <mergeCell ref="U24:AB24"/>
    <mergeCell ref="J31:N31"/>
    <mergeCell ref="B30:I30"/>
    <mergeCell ref="J21:N21"/>
    <mergeCell ref="U8:AB8"/>
    <mergeCell ref="J33:N33"/>
    <mergeCell ref="U10:AB10"/>
    <mergeCell ref="U19:AB19"/>
    <mergeCell ref="B32:I32"/>
    <mergeCell ref="J8:N8"/>
    <mergeCell ref="B26:I26"/>
    <mergeCell ref="AC36:AG36"/>
    <mergeCell ref="B7:I7"/>
    <mergeCell ref="B16:I16"/>
    <mergeCell ref="B20:I20"/>
    <mergeCell ref="B12:I12"/>
    <mergeCell ref="J41:N41"/>
    <mergeCell ref="U18:AB18"/>
    <mergeCell ref="U33:AB33"/>
    <mergeCell ref="AC9:AG9"/>
    <mergeCell ref="AC15:AG15"/>
    <mergeCell ref="B6:I6"/>
    <mergeCell ref="B4:I4"/>
    <mergeCell ref="J5:N5"/>
    <mergeCell ref="AC16:AG16"/>
    <mergeCell ref="U6:AB6"/>
    <mergeCell ref="B5:I5"/>
    <mergeCell ref="J12:N12"/>
    <mergeCell ref="U38:AB38"/>
    <mergeCell ref="B36:I36"/>
    <mergeCell ref="AC8:AG8"/>
    <mergeCell ref="U37:AB37"/>
    <mergeCell ref="U13:AB13"/>
    <mergeCell ref="AC26:AG26"/>
    <mergeCell ref="U7:AB7"/>
    <mergeCell ref="U21:AB21"/>
    <mergeCell ref="B34:I34"/>
    <mergeCell ref="B28:I28"/>
    <mergeCell ref="AC10:AG10"/>
    <mergeCell ref="B37:I37"/>
    <mergeCell ref="U42:AB42"/>
    <mergeCell ref="B40:I40"/>
    <mergeCell ref="B15:I15"/>
    <mergeCell ref="AC32:AG32"/>
    <mergeCell ref="J10:N10"/>
    <mergeCell ref="J19:N19"/>
    <mergeCell ref="AC13:AG13"/>
    <mergeCell ref="B18:I18"/>
    <mergeCell ref="U15:AB15"/>
    <mergeCell ref="J17:N17"/>
    <mergeCell ref="J14:N14"/>
    <mergeCell ref="J28:N28"/>
    <mergeCell ref="B24:I24"/>
    <mergeCell ref="AC11:AG11"/>
    <mergeCell ref="J37:N37"/>
    <mergeCell ref="B27:I27"/>
    <mergeCell ref="AC18:AG18"/>
    <mergeCell ref="J30:N30"/>
    <mergeCell ref="B11:I11"/>
    <mergeCell ref="AC41:AG41"/>
    <mergeCell ref="U40:AB40"/>
    <mergeCell ref="B42:I42"/>
    <mergeCell ref="AC24:AG24"/>
    <mergeCell ref="J36:N36"/>
  </mergeCells>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MaxLoanandGrantAmounts">
    <tabColor theme="1"/>
  </sheetPr>
  <dimension ref="A1:BL75"/>
  <sheetViews>
    <sheetView showGridLines="0" zoomScaleNormal="100" workbookViewId="0">
      <selection activeCell="V5" sqref="V5:AA5"/>
    </sheetView>
  </sheetViews>
  <sheetFormatPr defaultColWidth="4.28515625" defaultRowHeight="18" customHeight="1"/>
  <cols>
    <col min="1" max="1" width="8.7109375" style="476" customWidth="1"/>
    <col min="2" max="39" width="4.28515625" style="476" customWidth="1"/>
    <col min="40" max="40" width="4.5703125" style="476" hidden="1" customWidth="1"/>
    <col min="41" max="41" width="4.28515625" style="476" hidden="1" customWidth="1"/>
    <col min="42" max="42" width="7.5703125" style="476" hidden="1" customWidth="1"/>
    <col min="43" max="43" width="14.5703125" style="476" hidden="1" customWidth="1"/>
    <col min="44" max="44" width="10.42578125" style="476" hidden="1" customWidth="1"/>
    <col min="45" max="56" width="4.28515625" style="476" customWidth="1"/>
    <col min="57" max="57" width="8" style="476" bestFit="1" customWidth="1"/>
    <col min="58" max="58" width="4.28515625" style="476" customWidth="1"/>
    <col min="59" max="16384" width="4.28515625" style="476"/>
  </cols>
  <sheetData>
    <row r="1" spans="1:64" ht="18" customHeight="1">
      <c r="B1" s="2499"/>
      <c r="C1" s="2180"/>
      <c r="D1" s="2180"/>
      <c r="E1" s="2180"/>
      <c r="F1" s="2180"/>
      <c r="G1" s="2180"/>
      <c r="H1" s="2180"/>
      <c r="I1" s="2180"/>
      <c r="J1" s="2180"/>
      <c r="K1" s="2180"/>
      <c r="L1" s="2180"/>
      <c r="M1" s="2180"/>
      <c r="N1" s="2180"/>
      <c r="O1" s="2180"/>
      <c r="P1" s="2180"/>
      <c r="Q1" s="2180"/>
      <c r="R1" s="2180"/>
      <c r="S1" s="2180"/>
      <c r="T1" s="2180"/>
      <c r="U1" s="2180"/>
      <c r="V1" s="2180"/>
      <c r="W1" s="2180"/>
      <c r="X1" s="2180"/>
      <c r="Y1" s="2180"/>
      <c r="Z1" s="2180"/>
      <c r="AA1" s="2180"/>
      <c r="AB1" s="2180"/>
      <c r="AC1" s="2180"/>
      <c r="AD1" s="2180"/>
      <c r="AE1" s="2180"/>
      <c r="AF1" s="2180"/>
      <c r="AG1" s="2180"/>
      <c r="AH1" s="2180"/>
      <c r="AI1" s="2180"/>
      <c r="AJ1" s="2180"/>
      <c r="AK1" s="2180"/>
      <c r="AL1" s="2180"/>
      <c r="AM1" s="2180"/>
    </row>
    <row r="2" spans="1:64" ht="18" customHeight="1">
      <c r="A2" s="434"/>
      <c r="B2" s="2493" t="s">
        <v>1299</v>
      </c>
      <c r="C2" s="1877"/>
      <c r="D2" s="1877"/>
      <c r="E2" s="1877"/>
      <c r="F2" s="1877"/>
      <c r="G2" s="1877"/>
      <c r="H2" s="1877"/>
      <c r="I2" s="1877"/>
      <c r="J2" s="1877"/>
      <c r="K2" s="1877"/>
      <c r="L2" s="1877"/>
      <c r="M2" s="1877"/>
      <c r="N2" s="1877"/>
      <c r="O2" s="1877"/>
      <c r="P2" s="1877"/>
      <c r="Q2" s="1877"/>
      <c r="R2" s="1877"/>
      <c r="S2" s="1877"/>
      <c r="T2" s="1877"/>
      <c r="U2" s="1877"/>
      <c r="V2" s="1877"/>
      <c r="W2" s="1877"/>
      <c r="X2" s="1877"/>
      <c r="Y2" s="1877"/>
      <c r="Z2" s="1877"/>
      <c r="AA2" s="1877"/>
      <c r="AB2" s="1877"/>
      <c r="AC2" s="1877"/>
      <c r="AD2" s="1877"/>
      <c r="AE2" s="1877"/>
      <c r="AF2" s="1877"/>
      <c r="AG2" s="1877"/>
      <c r="AH2" s="1877"/>
      <c r="AI2" s="1877"/>
      <c r="AJ2" s="1877"/>
      <c r="AK2" s="1877"/>
      <c r="AL2" s="1877"/>
      <c r="AM2" s="1877"/>
      <c r="AN2" s="55"/>
    </row>
    <row r="3" spans="1:64" ht="18" customHeight="1">
      <c r="B3" s="180"/>
      <c r="C3" s="180"/>
      <c r="D3" s="180"/>
      <c r="E3" s="180"/>
      <c r="F3" s="180"/>
      <c r="G3" s="180"/>
      <c r="H3" s="180"/>
      <c r="I3" s="180"/>
      <c r="J3" s="180"/>
      <c r="K3" s="180"/>
      <c r="L3" s="180"/>
      <c r="M3" s="180"/>
      <c r="N3" s="180"/>
      <c r="O3" s="180"/>
      <c r="P3" s="180"/>
      <c r="Q3" s="180"/>
      <c r="R3" s="180"/>
      <c r="S3" s="180"/>
      <c r="T3" s="180"/>
      <c r="U3" s="180"/>
      <c r="V3" s="180"/>
      <c r="W3" s="180"/>
      <c r="X3" s="180"/>
      <c r="Y3" s="180"/>
      <c r="Z3" s="180"/>
      <c r="AA3" s="180"/>
      <c r="AB3" s="180"/>
      <c r="AC3" s="180"/>
      <c r="AD3" s="180"/>
      <c r="AE3" s="180"/>
      <c r="AF3" s="180"/>
      <c r="AG3" s="180"/>
      <c r="AH3" s="180"/>
      <c r="AI3" s="180"/>
      <c r="AJ3" s="180"/>
      <c r="AK3" s="180"/>
      <c r="AL3" s="180"/>
      <c r="AM3" s="180"/>
      <c r="AN3" s="55"/>
      <c r="AO3" s="55">
        <f>IF('Project Overview'!$B$47="Yes",1,0)</f>
        <v>0</v>
      </c>
      <c r="AP3" s="55" t="b">
        <f>IF(AO3=1,TRUE,FALSE)</f>
        <v>0</v>
      </c>
      <c r="AQ3" s="779" t="str">
        <f>IF(AP3=TRUE,"Large Family","")</f>
        <v/>
      </c>
      <c r="AR3" s="476">
        <f>IFERROR(IF(AND(AO3=1,'Max Loan and Grant Amounts'!$L$9&lt;0.25,'Max Loan and Grant Amounts'!$G$9&lt;0.5),1,0),0)</f>
        <v>0</v>
      </c>
      <c r="BB3" s="1929"/>
      <c r="BC3" s="2180"/>
      <c r="BD3" s="2180"/>
      <c r="BE3" s="2180"/>
      <c r="BG3" s="1929"/>
      <c r="BH3" s="2180"/>
      <c r="BI3" s="2180"/>
      <c r="BJ3" s="2180"/>
    </row>
    <row r="4" spans="1:64" ht="18" customHeight="1">
      <c r="B4" s="2180" t="s">
        <v>1300</v>
      </c>
      <c r="C4" s="2180"/>
      <c r="D4" s="2180"/>
      <c r="E4" s="2180"/>
      <c r="F4" s="2487">
        <f>ProjectName</f>
        <v>0</v>
      </c>
      <c r="G4" s="2180"/>
      <c r="H4" s="2180"/>
      <c r="I4" s="2180"/>
      <c r="J4" s="2180"/>
      <c r="K4" s="2180"/>
      <c r="L4" s="2180"/>
      <c r="M4" s="2180"/>
      <c r="N4" s="2180"/>
      <c r="O4" s="2180"/>
      <c r="P4" s="2180"/>
      <c r="Q4" s="2180"/>
      <c r="R4" s="2180"/>
      <c r="S4" s="2180"/>
      <c r="T4" s="2180"/>
      <c r="U4" s="2180"/>
      <c r="V4" s="2180"/>
      <c r="W4" s="2180"/>
      <c r="X4" s="2180"/>
      <c r="Y4" s="2180"/>
      <c r="Z4" s="2180"/>
      <c r="AA4" s="2180"/>
      <c r="AB4" s="2180"/>
      <c r="AC4" s="2180"/>
      <c r="AD4" s="2180"/>
      <c r="AE4" s="2180"/>
      <c r="AF4" s="2180"/>
      <c r="AG4" s="2180"/>
      <c r="AH4" s="2180"/>
      <c r="AI4" s="2180"/>
      <c r="AJ4" s="2180"/>
      <c r="AK4" s="2180"/>
      <c r="AL4" s="2180"/>
      <c r="AM4" s="2180"/>
      <c r="AN4" s="55"/>
      <c r="AO4" s="55">
        <f>IF('Project Overview'!$B$53="Yes",1,0)</f>
        <v>0</v>
      </c>
      <c r="AP4" s="55" t="b">
        <f>IF(AO4=1,TRUE,FALSE)</f>
        <v>0</v>
      </c>
      <c r="AQ4" s="779" t="str">
        <f>IF(AP4=TRUE,"Special Needs","")</f>
        <v/>
      </c>
      <c r="BB4" s="2492"/>
      <c r="BC4" s="2180"/>
      <c r="BD4" s="2180"/>
      <c r="BE4" s="2180"/>
      <c r="BG4" s="2492"/>
      <c r="BH4" s="2180"/>
      <c r="BI4" s="2180"/>
      <c r="BJ4" s="2180"/>
    </row>
    <row r="5" spans="1:64" ht="18" customHeight="1">
      <c r="B5" s="2506" t="s">
        <v>1301</v>
      </c>
      <c r="C5" s="2180"/>
      <c r="D5" s="2180"/>
      <c r="E5" s="2180"/>
      <c r="F5" s="2180"/>
      <c r="G5" s="1912" t="str">
        <f>IF(vmProjectDevType="","",vmProjectDevType)</f>
        <v/>
      </c>
      <c r="H5" s="2180"/>
      <c r="I5" s="2180"/>
      <c r="J5" s="2180"/>
      <c r="K5" s="2180"/>
      <c r="L5" s="2180"/>
      <c r="M5" s="2180"/>
      <c r="N5" s="2180"/>
      <c r="O5" s="2180"/>
      <c r="P5" s="2180"/>
      <c r="Q5" s="2180"/>
      <c r="R5" s="2180"/>
      <c r="S5" s="2180"/>
      <c r="T5" s="2491" t="s">
        <v>1302</v>
      </c>
      <c r="U5" s="2180"/>
      <c r="V5" s="2485" t="str">
        <f>IF(County&gt;0,County,"")</f>
        <v/>
      </c>
      <c r="W5" s="2180"/>
      <c r="X5" s="2180"/>
      <c r="Y5" s="2180"/>
      <c r="Z5" s="2180"/>
      <c r="AA5" s="2180"/>
      <c r="AN5" s="55"/>
      <c r="AO5" s="55">
        <f>IF('Project Overview'!$B$50="Yes",1,0)</f>
        <v>0</v>
      </c>
      <c r="AP5" s="55" t="b">
        <f>IF(AO5=1,TRUE,FALSE)</f>
        <v>0</v>
      </c>
      <c r="AQ5" s="779" t="str">
        <f>IF(AP5=TRUE,"Senior","")</f>
        <v/>
      </c>
      <c r="BE5" s="409"/>
    </row>
    <row r="6" spans="1:64" ht="18.75" customHeight="1">
      <c r="B6" s="2509" t="s">
        <v>1303</v>
      </c>
      <c r="C6" s="1877"/>
      <c r="D6" s="1877"/>
      <c r="E6" s="1877"/>
      <c r="F6" s="2426" t="str">
        <f>CONCATENATE(IF(AND(IsIig,IsCIP),"Capital Improvement Project","")," / ",IF(AND(OR(IsMhp,IsSerna),IsFarmworker),"Farmworker Housing","")," / ",IF(AND(IsMhp,IsAtHighRisk),"At High Risk","")," / ",IF(AND(IsMhp,IsLargeFamily),"Large Family","")," / ",IF(AND(IsMhp,IsSenior),"Senior","")," / ",IF(AND(IsMhp,IsSpecialNeeds),"Special Needs","")," / ",IF(AND(IsVhhp,IsSH),"Supportive Housing","")," / ",IF(AND(IsVhhp,IsTH),"Transitional Housing",""))</f>
        <v xml:space="preserve"> /  /  /  /  /  /  / </v>
      </c>
      <c r="G6" s="1877"/>
      <c r="H6" s="1877"/>
      <c r="I6" s="1877"/>
      <c r="J6" s="1877"/>
      <c r="K6" s="1877"/>
      <c r="L6" s="1877"/>
      <c r="M6" s="1877"/>
      <c r="N6" s="1877"/>
      <c r="O6" s="1877"/>
      <c r="P6" s="1877"/>
      <c r="Q6" s="1877"/>
      <c r="R6" s="1877"/>
      <c r="S6" s="1877"/>
      <c r="T6" s="1877"/>
      <c r="U6" s="1877"/>
      <c r="V6" s="1877"/>
      <c r="W6" s="1877"/>
      <c r="X6" s="1877"/>
      <c r="Y6" s="1877"/>
      <c r="Z6" s="1877"/>
      <c r="AA6" s="1877"/>
      <c r="AB6" s="1877"/>
      <c r="AC6" s="1877"/>
      <c r="AD6" s="1877"/>
      <c r="AE6" s="1877"/>
      <c r="AF6" s="1877"/>
      <c r="AG6" s="1877"/>
      <c r="AH6" s="1877"/>
      <c r="AI6" s="1877"/>
      <c r="AJ6" s="1877"/>
      <c r="AK6" s="1877"/>
      <c r="AL6" s="1877"/>
      <c r="AM6" s="1877"/>
      <c r="AN6" s="55"/>
      <c r="AO6" s="55">
        <f>IF('Project Overview'!$B$43="Yes",1,0)</f>
        <v>0</v>
      </c>
      <c r="AP6" s="55" t="b">
        <f>IF(AO6=1,TRUE,FALSE)</f>
        <v>0</v>
      </c>
      <c r="AQ6" s="779" t="str">
        <f>IF(AP6=TRUE,"At High Risk","")</f>
        <v/>
      </c>
      <c r="AW6" s="1701"/>
      <c r="AX6" s="1701"/>
      <c r="AY6" s="1701"/>
      <c r="AZ6" s="1701"/>
      <c r="BA6" s="1701"/>
      <c r="BB6" s="1701"/>
      <c r="BC6" s="1701"/>
      <c r="BD6" s="1701"/>
      <c r="BE6" s="1701"/>
      <c r="BF6" s="1701"/>
      <c r="BG6" s="1701"/>
      <c r="BH6" s="1701"/>
      <c r="BI6" s="1701"/>
      <c r="BJ6" s="1701"/>
      <c r="BK6" s="1701"/>
      <c r="BL6" s="1701"/>
    </row>
    <row r="7" spans="1:64" ht="18" customHeight="1">
      <c r="N7" s="1701"/>
      <c r="O7" s="1701"/>
      <c r="P7" s="1701"/>
      <c r="Q7" s="1701"/>
      <c r="R7" s="1701"/>
      <c r="S7" s="1701"/>
      <c r="T7" s="1701"/>
      <c r="U7" s="1701"/>
      <c r="V7" s="1701"/>
      <c r="W7" s="1701"/>
      <c r="X7" s="1701"/>
      <c r="Y7" s="1701"/>
      <c r="Z7" s="1701"/>
      <c r="AA7" s="1701"/>
      <c r="AB7" s="1701"/>
      <c r="AN7" s="135"/>
      <c r="AW7" s="1701"/>
      <c r="AX7" s="1701"/>
      <c r="AY7" s="1701"/>
      <c r="AZ7" s="1701"/>
      <c r="BA7" s="1701"/>
      <c r="BB7" s="1701"/>
      <c r="BC7" s="1701"/>
      <c r="BD7" s="1701"/>
      <c r="BE7" s="1701"/>
      <c r="BF7" s="223"/>
      <c r="BG7" s="1701"/>
      <c r="BH7" s="1701"/>
      <c r="BI7" s="1701"/>
      <c r="BJ7" s="1701"/>
      <c r="BK7" s="1701"/>
      <c r="BL7" s="1701"/>
    </row>
    <row r="8" spans="1:64" ht="36" customHeight="1">
      <c r="B8" s="1973" t="s">
        <v>1304</v>
      </c>
      <c r="C8" s="1777"/>
      <c r="D8" s="1777"/>
      <c r="E8" s="1778"/>
      <c r="G8" s="1973" t="s">
        <v>1305</v>
      </c>
      <c r="H8" s="1777"/>
      <c r="I8" s="1777"/>
      <c r="J8" s="1778"/>
      <c r="L8" s="1973" t="s">
        <v>1306</v>
      </c>
      <c r="M8" s="1777"/>
      <c r="N8" s="1777"/>
      <c r="O8" s="1778"/>
      <c r="Q8" s="1973" t="s">
        <v>1307</v>
      </c>
      <c r="R8" s="1777"/>
      <c r="S8" s="1777"/>
      <c r="T8" s="1777"/>
      <c r="U8" s="1777"/>
      <c r="V8" s="1778"/>
      <c r="X8" s="1973" t="s">
        <v>1308</v>
      </c>
      <c r="Y8" s="1777"/>
      <c r="Z8" s="1777"/>
      <c r="AA8" s="1778"/>
      <c r="AB8" s="247"/>
      <c r="AC8" s="2064" t="s">
        <v>1309</v>
      </c>
      <c r="AD8" s="1777"/>
      <c r="AE8" s="1777"/>
      <c r="AF8" s="1778"/>
      <c r="AH8" s="2064" t="s">
        <v>1310</v>
      </c>
      <c r="AI8" s="1777"/>
      <c r="AJ8" s="1777"/>
      <c r="AK8" s="1778"/>
      <c r="AN8" s="55"/>
      <c r="AW8" s="1701"/>
      <c r="AX8" s="1918"/>
      <c r="AY8" s="2180"/>
      <c r="AZ8" s="2180"/>
      <c r="BA8" s="2180"/>
      <c r="BB8" s="1701"/>
      <c r="BC8" s="1918"/>
      <c r="BD8" s="2180"/>
      <c r="BE8" s="2180"/>
      <c r="BF8" s="2180"/>
      <c r="BG8" s="1701"/>
      <c r="BH8" s="1918"/>
      <c r="BI8" s="2180"/>
      <c r="BJ8" s="2180"/>
      <c r="BK8" s="2180"/>
      <c r="BL8" s="1701"/>
    </row>
    <row r="9" spans="1:64" ht="18" customHeight="1">
      <c r="A9" s="1701"/>
      <c r="B9" s="1973" t="b">
        <f>IFERROR(IF(AND(IsMhp,IsLargeFamily,'Max Loan and Grant Amounts'!$L$9&gt;=25%,'Max Loan and Grant Amounts'!$G$9&gt;=50%),TRUE,FALSE),FALSE)</f>
        <v>0</v>
      </c>
      <c r="C9" s="1777"/>
      <c r="D9" s="1777"/>
      <c r="E9" s="1778"/>
      <c r="G9" s="2498">
        <f>IFERROR(SUMIF(UnitsTbl[Number of Bedrooms],"&gt;=2",UnitsTbl[Total restricted units])/TotalRestrictedUnits,0)</f>
        <v>0</v>
      </c>
      <c r="H9" s="1777"/>
      <c r="I9" s="1777"/>
      <c r="J9" s="1778"/>
      <c r="L9" s="2498">
        <f>IFERROR(SUMIF(UnitsTbl[Number of Bedrooms],"&gt;=3",UnitsTbl[Total restricted units])/TotalRestrictedUnits,0)</f>
        <v>0</v>
      </c>
      <c r="M9" s="1777"/>
      <c r="N9" s="1777"/>
      <c r="O9" s="1778"/>
      <c r="Q9" s="2505" t="b">
        <f>IF(OR(HRCategory="High Resource",HRCategory="Highest Resource"),TRUE,FALSE)</f>
        <v>0</v>
      </c>
      <c r="R9" s="1777"/>
      <c r="S9" s="1777"/>
      <c r="T9" s="1777"/>
      <c r="U9" s="1777"/>
      <c r="V9" s="1778"/>
      <c r="X9" s="2505" t="b">
        <f>IF(vmRural="Yes",TRUE,FALSE)</f>
        <v>0</v>
      </c>
      <c r="Y9" s="1777"/>
      <c r="Z9" s="1777"/>
      <c r="AA9" s="1778"/>
      <c r="AB9" s="247"/>
      <c r="AC9" s="2505" t="b">
        <f>IF(AND(IsSenior,'Unit Mix'!$Z$7=100%),TRUE,FALSE)</f>
        <v>0</v>
      </c>
      <c r="AD9" s="1777"/>
      <c r="AE9" s="1777"/>
      <c r="AF9" s="1778"/>
      <c r="AH9" s="2505" t="str">
        <f>IF(vmUrban="Yes","Urban",IF(vmRural="Yes","Rural","N/A"))</f>
        <v>N/A</v>
      </c>
      <c r="AI9" s="1777"/>
      <c r="AJ9" s="1777"/>
      <c r="AK9" s="1778"/>
      <c r="AN9" s="55"/>
      <c r="AV9" s="1701"/>
      <c r="AW9" s="1701"/>
      <c r="AX9" s="1918"/>
      <c r="AY9" s="2180"/>
      <c r="AZ9" s="2180"/>
      <c r="BA9" s="2180"/>
      <c r="BB9" s="1701"/>
      <c r="BC9" s="2510"/>
      <c r="BD9" s="2180"/>
      <c r="BE9" s="2180"/>
      <c r="BF9" s="2180"/>
      <c r="BG9" s="1701"/>
      <c r="BH9" s="2510"/>
      <c r="BI9" s="2180"/>
      <c r="BJ9" s="2180"/>
      <c r="BK9" s="2180"/>
      <c r="BL9" s="1701"/>
    </row>
    <row r="10" spans="1:64" ht="18" customHeight="1">
      <c r="B10" s="55"/>
      <c r="C10" s="55"/>
      <c r="D10" s="55"/>
      <c r="E10" s="55"/>
      <c r="F10" s="55"/>
      <c r="G10" s="245"/>
      <c r="H10" s="245"/>
      <c r="I10" s="245"/>
      <c r="J10" s="245"/>
      <c r="K10" s="245"/>
      <c r="L10" s="245"/>
      <c r="M10" s="55"/>
      <c r="N10" s="55"/>
      <c r="O10" s="245"/>
      <c r="P10" s="245"/>
      <c r="Q10" s="245"/>
      <c r="R10" s="245"/>
      <c r="S10" s="245"/>
      <c r="T10" s="55"/>
      <c r="U10" s="55"/>
      <c r="V10" s="55"/>
      <c r="W10" s="55"/>
      <c r="X10" s="55"/>
      <c r="Y10" s="55"/>
      <c r="Z10" s="55"/>
      <c r="AA10" s="55"/>
      <c r="AB10" s="55"/>
      <c r="AC10" s="55"/>
      <c r="AD10" s="55"/>
      <c r="AE10" s="55"/>
      <c r="AF10" s="55"/>
      <c r="AG10" s="55"/>
      <c r="AH10" s="55"/>
      <c r="AI10" s="55"/>
      <c r="AJ10" s="55"/>
      <c r="AK10" s="55"/>
      <c r="AL10" s="55"/>
      <c r="AM10" s="55"/>
      <c r="AN10" s="55"/>
      <c r="AW10" s="1701"/>
      <c r="AX10" s="1701"/>
      <c r="AY10" s="1701"/>
      <c r="AZ10" s="1701"/>
      <c r="BA10" s="1701"/>
      <c r="BB10" s="1701"/>
      <c r="BC10" s="1701"/>
      <c r="BD10" s="1701"/>
      <c r="BE10" s="1701"/>
      <c r="BF10" s="1701"/>
      <c r="BG10" s="1701"/>
      <c r="BH10" s="1701"/>
      <c r="BI10" s="1701"/>
      <c r="BJ10" s="1701"/>
      <c r="BK10" s="1701"/>
      <c r="BL10" s="1701"/>
    </row>
    <row r="11" spans="1:64" s="136" customFormat="1" ht="18" customHeight="1">
      <c r="B11" s="2512" t="s">
        <v>1311</v>
      </c>
      <c r="C11" s="2167"/>
      <c r="D11" s="2167"/>
      <c r="E11" s="2167"/>
      <c r="F11" s="2167"/>
      <c r="G11" s="2167"/>
      <c r="H11" s="2167"/>
      <c r="I11" s="2167"/>
      <c r="J11" s="2167"/>
      <c r="K11" s="2167"/>
      <c r="L11" s="2167"/>
      <c r="M11" s="2167"/>
      <c r="N11" s="2167"/>
      <c r="O11" s="2167"/>
      <c r="P11" s="2167"/>
      <c r="Q11" s="2167"/>
      <c r="R11" s="2167"/>
      <c r="S11" s="2167"/>
      <c r="T11" s="2167"/>
      <c r="U11" s="2167"/>
      <c r="V11" s="2167"/>
      <c r="W11" s="2167"/>
      <c r="X11" s="2167"/>
      <c r="Y11" s="2167"/>
      <c r="Z11" s="2167"/>
      <c r="AA11" s="2167"/>
      <c r="AB11" s="2167"/>
      <c r="AC11" s="2167"/>
      <c r="AD11" s="2167"/>
      <c r="AE11" s="2167"/>
      <c r="AF11" s="2167"/>
      <c r="AG11" s="2167"/>
      <c r="AH11" s="2167"/>
      <c r="AI11" s="2167"/>
      <c r="AJ11" s="2167"/>
      <c r="AK11" s="2167"/>
    </row>
    <row r="12" spans="1:64" s="136" customFormat="1" ht="36" customHeight="1">
      <c r="B12" s="270" t="s">
        <v>1312</v>
      </c>
      <c r="C12" s="2525" t="s">
        <v>1313</v>
      </c>
      <c r="D12" s="2167"/>
      <c r="E12" s="2167"/>
      <c r="F12" s="2167"/>
      <c r="G12" s="2167"/>
      <c r="H12" s="2167"/>
      <c r="I12" s="2167"/>
      <c r="J12" s="2167"/>
      <c r="K12" s="2167"/>
      <c r="L12" s="2167"/>
      <c r="M12" s="2167"/>
      <c r="N12" s="2167"/>
      <c r="O12" s="2167"/>
      <c r="P12" s="2167"/>
      <c r="Q12" s="2167"/>
      <c r="R12" s="2167"/>
      <c r="S12" s="2167"/>
      <c r="T12" s="2167"/>
      <c r="U12" s="2167"/>
      <c r="V12" s="2167"/>
      <c r="W12" s="2167"/>
      <c r="X12" s="2167"/>
      <c r="Y12" s="2167"/>
      <c r="Z12" s="2167"/>
      <c r="AA12" s="2167"/>
      <c r="AB12" s="2167"/>
      <c r="AC12" s="2167"/>
      <c r="AD12" s="2167"/>
      <c r="AE12" s="2167"/>
      <c r="AF12" s="2167"/>
      <c r="AG12" s="2167"/>
      <c r="AH12" s="2167"/>
      <c r="AI12" s="2167"/>
      <c r="AJ12" s="2167"/>
      <c r="AK12" s="2167"/>
    </row>
    <row r="13" spans="1:64" ht="36" customHeight="1">
      <c r="C13" s="270" t="s">
        <v>1314</v>
      </c>
      <c r="D13" s="2122" t="s">
        <v>1315</v>
      </c>
      <c r="E13" s="2180"/>
      <c r="F13" s="2180"/>
      <c r="G13" s="2180"/>
      <c r="H13" s="2180"/>
      <c r="I13" s="2180"/>
      <c r="J13" s="2180"/>
      <c r="K13" s="2180"/>
      <c r="L13" s="2180"/>
      <c r="M13" s="2180"/>
      <c r="N13" s="2180"/>
      <c r="O13" s="2180"/>
      <c r="P13" s="2180"/>
      <c r="Q13" s="2180"/>
      <c r="R13" s="2180"/>
      <c r="S13" s="2180"/>
      <c r="T13" s="2180"/>
      <c r="U13" s="2180"/>
      <c r="V13" s="2180"/>
      <c r="W13" s="2180"/>
      <c r="X13" s="2180"/>
      <c r="Y13" s="2180"/>
      <c r="Z13" s="2180"/>
      <c r="AA13" s="2180"/>
      <c r="AB13" s="2180"/>
      <c r="AC13" s="2180"/>
      <c r="AD13" s="2180"/>
      <c r="AE13" s="2180"/>
      <c r="AF13" s="2180"/>
      <c r="AG13" s="2180"/>
      <c r="AH13" s="2180"/>
      <c r="AI13" s="2180"/>
      <c r="AJ13" s="2180"/>
      <c r="AK13" s="1889"/>
      <c r="AL13" s="1958"/>
      <c r="AM13" s="1862"/>
      <c r="AN13" s="55"/>
      <c r="AX13" s="1701"/>
      <c r="AY13" s="1701"/>
      <c r="AZ13" s="1701"/>
      <c r="BA13" s="1701"/>
      <c r="BB13" s="1701"/>
      <c r="BC13" s="1701"/>
      <c r="BD13" s="1701"/>
      <c r="BE13" s="1701"/>
      <c r="BF13" s="1701"/>
      <c r="BG13" s="1701"/>
      <c r="BH13" s="1701"/>
      <c r="BI13" s="1701"/>
      <c r="BJ13" s="1701"/>
      <c r="BK13" s="1701"/>
      <c r="BL13" s="1701"/>
    </row>
    <row r="14" spans="1:64" s="58" customFormat="1" ht="18" customHeight="1">
      <c r="C14" s="270" t="s">
        <v>1316</v>
      </c>
      <c r="D14" s="1802" t="s">
        <v>1317</v>
      </c>
      <c r="E14" s="1945"/>
      <c r="F14" s="1945"/>
      <c r="G14" s="1945"/>
      <c r="H14" s="1945"/>
      <c r="I14" s="1945"/>
      <c r="J14" s="1945"/>
      <c r="K14" s="1945"/>
      <c r="L14" s="1945"/>
      <c r="M14" s="1945"/>
      <c r="N14" s="1945"/>
      <c r="O14" s="1945"/>
      <c r="P14" s="1945"/>
      <c r="Q14" s="1945"/>
      <c r="R14" s="1945"/>
      <c r="S14" s="1945"/>
      <c r="T14" s="1945"/>
      <c r="U14" s="1945"/>
      <c r="V14" s="1945"/>
      <c r="W14" s="1945"/>
      <c r="X14" s="1945"/>
      <c r="Y14" s="1945"/>
      <c r="Z14" s="1945"/>
      <c r="AA14" s="1945"/>
      <c r="AB14" s="1945"/>
      <c r="AC14" s="1945"/>
      <c r="AD14" s="1945"/>
      <c r="AE14" s="1945"/>
      <c r="AF14" s="1945"/>
      <c r="AG14" s="1945"/>
      <c r="AH14" s="1945"/>
      <c r="AI14" s="1945"/>
      <c r="AJ14" s="1945"/>
      <c r="AK14" s="1945"/>
    </row>
    <row r="15" spans="1:64" s="58" customFormat="1" ht="9" customHeight="1"/>
    <row r="16" spans="1:64" s="136" customFormat="1" ht="36" customHeight="1">
      <c r="B16" s="270" t="s">
        <v>1318</v>
      </c>
      <c r="C16" s="2122" t="s">
        <v>1319</v>
      </c>
      <c r="D16" s="2167"/>
      <c r="E16" s="2167"/>
      <c r="F16" s="2167"/>
      <c r="G16" s="2167"/>
      <c r="H16" s="2167"/>
      <c r="I16" s="2167"/>
      <c r="J16" s="2167"/>
      <c r="K16" s="2167"/>
      <c r="L16" s="2167"/>
      <c r="M16" s="2167"/>
      <c r="N16" s="2167"/>
      <c r="O16" s="2167"/>
      <c r="P16" s="2167"/>
      <c r="Q16" s="2167"/>
      <c r="R16" s="2167"/>
      <c r="S16" s="2167"/>
      <c r="T16" s="2167"/>
      <c r="U16" s="2167"/>
      <c r="V16" s="2167"/>
      <c r="W16" s="2167"/>
      <c r="X16" s="2167"/>
      <c r="Y16" s="2167"/>
      <c r="Z16" s="2167"/>
      <c r="AA16" s="2167"/>
      <c r="AB16" s="2167"/>
      <c r="AC16" s="2167"/>
      <c r="AD16" s="2167"/>
      <c r="AE16" s="2167"/>
      <c r="AF16" s="2167"/>
      <c r="AG16" s="2167"/>
      <c r="AH16" s="2167"/>
      <c r="AI16" s="2167"/>
      <c r="AJ16" s="2167"/>
      <c r="AK16" s="1889"/>
      <c r="AL16" s="1958"/>
      <c r="AM16" s="1862"/>
    </row>
    <row r="17" spans="2:57" s="136" customFormat="1" ht="97.5" customHeight="1">
      <c r="B17" s="270" t="s">
        <v>1320</v>
      </c>
      <c r="C17" s="2122" t="s">
        <v>1321</v>
      </c>
      <c r="D17" s="2167"/>
      <c r="E17" s="2167"/>
      <c r="F17" s="2167"/>
      <c r="G17" s="2167"/>
      <c r="H17" s="2167"/>
      <c r="I17" s="2167"/>
      <c r="J17" s="2167"/>
      <c r="K17" s="2167"/>
      <c r="L17" s="2167"/>
      <c r="M17" s="2167"/>
      <c r="N17" s="2167"/>
      <c r="O17" s="2167"/>
      <c r="P17" s="2167"/>
      <c r="Q17" s="2167"/>
      <c r="R17" s="2167"/>
      <c r="S17" s="2167"/>
      <c r="T17" s="2167"/>
      <c r="U17" s="2167"/>
      <c r="V17" s="2167"/>
      <c r="W17" s="2167"/>
      <c r="X17" s="2167"/>
      <c r="Y17" s="2167"/>
      <c r="Z17" s="2167"/>
      <c r="AA17" s="2167"/>
      <c r="AB17" s="2167"/>
      <c r="AC17" s="2167"/>
      <c r="AD17" s="2167"/>
      <c r="AE17" s="2167"/>
      <c r="AF17" s="2167"/>
      <c r="AG17" s="2167"/>
      <c r="AH17" s="2167"/>
      <c r="AI17" s="2167"/>
      <c r="AJ17" s="2167"/>
      <c r="AK17" s="1889"/>
      <c r="AL17" s="1958"/>
      <c r="AM17" s="1862"/>
    </row>
    <row r="18" spans="2:57" s="136" customFormat="1" ht="93" customHeight="1">
      <c r="B18" s="270" t="s">
        <v>1322</v>
      </c>
      <c r="C18" s="2006" t="s">
        <v>1323</v>
      </c>
      <c r="D18" s="2167"/>
      <c r="E18" s="2167"/>
      <c r="F18" s="2167"/>
      <c r="G18" s="2167"/>
      <c r="H18" s="2167"/>
      <c r="I18" s="2167"/>
      <c r="J18" s="2167"/>
      <c r="K18" s="2167"/>
      <c r="L18" s="2167"/>
      <c r="M18" s="2167"/>
      <c r="N18" s="2167"/>
      <c r="O18" s="2167"/>
      <c r="P18" s="2167"/>
      <c r="Q18" s="2167"/>
      <c r="R18" s="2167"/>
      <c r="S18" s="2167"/>
      <c r="T18" s="2167"/>
      <c r="U18" s="2167"/>
      <c r="V18" s="2167"/>
      <c r="W18" s="2167"/>
      <c r="X18" s="2167"/>
      <c r="Y18" s="2167"/>
      <c r="Z18" s="2167"/>
      <c r="AA18" s="2167"/>
      <c r="AB18" s="2167"/>
      <c r="AC18" s="2167"/>
      <c r="AD18" s="2167"/>
      <c r="AE18" s="2167"/>
      <c r="AF18" s="2167"/>
      <c r="AG18" s="2167"/>
      <c r="AH18" s="2167"/>
      <c r="AI18" s="2167"/>
      <c r="AJ18" s="2167"/>
      <c r="AK18" s="1111"/>
      <c r="AL18" s="1958"/>
      <c r="AM18" s="1862"/>
      <c r="BB18" s="2492"/>
      <c r="BC18" s="2167"/>
      <c r="BD18" s="2167"/>
      <c r="BE18" s="2167"/>
    </row>
    <row r="19" spans="2:57" s="136" customFormat="1" ht="18" customHeight="1">
      <c r="C19" s="2531" t="s">
        <v>1324</v>
      </c>
      <c r="D19" s="2167"/>
      <c r="E19" s="2167"/>
      <c r="F19" s="2167"/>
      <c r="G19" s="2167"/>
      <c r="H19" s="2167"/>
      <c r="I19" s="2167"/>
      <c r="J19" s="2167"/>
      <c r="K19" s="2167"/>
      <c r="L19" s="2167"/>
      <c r="M19" s="2167"/>
      <c r="N19" s="2167"/>
      <c r="O19" s="2167"/>
      <c r="P19" s="2167"/>
      <c r="Q19" s="2167"/>
      <c r="R19" s="2167"/>
      <c r="S19" s="2167"/>
      <c r="T19" s="2167"/>
      <c r="U19" s="2167"/>
      <c r="V19" s="2167"/>
      <c r="W19" s="2167"/>
      <c r="X19" s="2167"/>
      <c r="Y19" s="2167"/>
      <c r="Z19" s="2167"/>
      <c r="AA19" s="2167"/>
      <c r="AB19" s="675"/>
      <c r="AC19" s="675"/>
      <c r="AD19" s="675"/>
      <c r="AE19" s="675"/>
      <c r="AF19" s="675"/>
      <c r="AG19" s="675"/>
      <c r="AH19" s="675"/>
      <c r="AI19" s="675"/>
      <c r="AJ19" s="675"/>
      <c r="AK19" s="675"/>
    </row>
    <row r="20" spans="2:57" s="136" customFormat="1" ht="36" customHeight="1">
      <c r="B20" s="270" t="s">
        <v>1325</v>
      </c>
      <c r="C20" s="2525" t="s">
        <v>1326</v>
      </c>
      <c r="D20" s="2167"/>
      <c r="E20" s="2167"/>
      <c r="F20" s="2167"/>
      <c r="G20" s="2167"/>
      <c r="H20" s="2167"/>
      <c r="I20" s="2167"/>
      <c r="J20" s="2167"/>
      <c r="K20" s="2167"/>
      <c r="L20" s="2167"/>
      <c r="M20" s="2167"/>
      <c r="N20" s="2167"/>
      <c r="O20" s="2167"/>
      <c r="P20" s="2167"/>
      <c r="Q20" s="2167"/>
      <c r="R20" s="2167"/>
      <c r="S20" s="2167"/>
      <c r="T20" s="2167"/>
      <c r="U20" s="2167"/>
      <c r="V20" s="2167"/>
      <c r="W20" s="2167"/>
      <c r="X20" s="2167"/>
      <c r="Y20" s="2167"/>
      <c r="Z20" s="2167"/>
      <c r="AA20" s="2167"/>
      <c r="AB20" s="2167"/>
      <c r="AC20" s="2167"/>
      <c r="AD20" s="2167"/>
      <c r="AE20" s="2167"/>
      <c r="AF20" s="2167"/>
      <c r="AG20" s="2167"/>
      <c r="AH20" s="2167"/>
      <c r="AI20" s="2167"/>
      <c r="AJ20" s="2167"/>
      <c r="AK20" s="2167"/>
      <c r="AL20" s="1958"/>
      <c r="AM20" s="1862"/>
    </row>
    <row r="21" spans="2:57" s="136" customFormat="1" ht="18" customHeight="1">
      <c r="B21" s="2528" t="e">
        <f>IF(SUM($K$24,$N$38,$N$39,$N$42,T32)&gt;50000000,CONCATENATE(,"$",SUM($K$24,$N$38,$N$39,$N$42,T32)," ","Note: Total HCD Loans for this project has reached over the 50 Million threshoold.",""))</f>
        <v>#REF!</v>
      </c>
      <c r="C21" s="2167"/>
      <c r="D21" s="2167"/>
      <c r="E21" s="2167"/>
      <c r="F21" s="2167"/>
      <c r="G21" s="2167"/>
      <c r="H21" s="2167"/>
      <c r="I21" s="2167"/>
      <c r="J21" s="2167"/>
      <c r="K21" s="2167"/>
      <c r="L21" s="2167"/>
      <c r="M21" s="2167"/>
      <c r="N21" s="2167"/>
      <c r="O21" s="2167"/>
      <c r="P21" s="2167"/>
      <c r="Q21" s="2167"/>
      <c r="R21" s="2167"/>
      <c r="S21" s="2167"/>
      <c r="T21" s="781"/>
      <c r="U21" s="2507" t="e">
        <f>IF(SUM(K24,N38,N39,N42)&gt;50000000,"$50mil reached, sum for loans forced at $50mil","")</f>
        <v>#REF!</v>
      </c>
      <c r="V21" s="2167"/>
      <c r="W21" s="2167"/>
      <c r="X21" s="2167"/>
      <c r="Y21" s="2167"/>
      <c r="Z21" s="2167"/>
      <c r="AA21" s="2167"/>
    </row>
    <row r="22" spans="2:57" ht="18" customHeight="1">
      <c r="B22" s="2495" t="s">
        <v>1327</v>
      </c>
      <c r="C22" s="1953"/>
      <c r="D22" s="1953"/>
      <c r="E22" s="1953"/>
      <c r="F22" s="1953"/>
      <c r="G22" s="1953"/>
      <c r="H22" s="1953"/>
      <c r="I22" s="1770"/>
      <c r="J22" s="445"/>
      <c r="K22" s="2484" t="s">
        <v>1328</v>
      </c>
      <c r="L22" s="1777"/>
      <c r="M22" s="1777"/>
      <c r="N22" s="1777"/>
      <c r="O22" s="1777"/>
      <c r="P22" s="1777"/>
      <c r="Q22" s="1777"/>
      <c r="R22" s="1777"/>
      <c r="S22" s="1778"/>
      <c r="T22" s="90"/>
      <c r="U22" s="2495" t="s">
        <v>1329</v>
      </c>
      <c r="V22" s="1953"/>
      <c r="W22" s="1953"/>
      <c r="X22" s="1953"/>
      <c r="Y22" s="1953"/>
      <c r="Z22" s="1953"/>
      <c r="AA22" s="1770"/>
      <c r="AB22" s="171"/>
      <c r="AC22" s="471"/>
      <c r="AD22" s="471"/>
      <c r="AE22" s="471"/>
      <c r="AF22" s="471"/>
      <c r="AG22" s="471"/>
      <c r="AH22" s="471"/>
      <c r="AI22" s="471"/>
      <c r="AJ22" s="471"/>
      <c r="AK22" s="471"/>
      <c r="AL22" s="471"/>
      <c r="AM22" s="471"/>
      <c r="BE22" s="55"/>
    </row>
    <row r="23" spans="2:57" s="58" customFormat="1" ht="18" customHeight="1">
      <c r="B23" s="2479"/>
      <c r="C23" s="1877"/>
      <c r="D23" s="1877"/>
      <c r="E23" s="1877"/>
      <c r="F23" s="1877"/>
      <c r="G23" s="1877"/>
      <c r="H23" s="1877"/>
      <c r="I23" s="1772"/>
      <c r="J23" s="445"/>
      <c r="K23" s="2484" t="s">
        <v>1330</v>
      </c>
      <c r="L23" s="1777"/>
      <c r="M23" s="1777"/>
      <c r="N23" s="1778"/>
      <c r="P23" s="2484" t="s">
        <v>1331</v>
      </c>
      <c r="Q23" s="1777"/>
      <c r="R23" s="1777"/>
      <c r="S23" s="1778"/>
      <c r="T23" s="90"/>
      <c r="U23" s="2479"/>
      <c r="V23" s="1877"/>
      <c r="W23" s="1877"/>
      <c r="X23" s="1877"/>
      <c r="Y23" s="1877"/>
      <c r="Z23" s="1877"/>
      <c r="AA23" s="1772"/>
      <c r="AB23" s="171"/>
      <c r="AC23" s="471"/>
      <c r="AD23" s="471"/>
      <c r="AE23" s="471"/>
      <c r="AF23" s="471"/>
      <c r="AG23" s="471"/>
      <c r="AH23" s="471"/>
      <c r="AI23" s="471"/>
      <c r="AJ23" s="471"/>
      <c r="AK23" s="471"/>
      <c r="AL23" s="471"/>
      <c r="AM23" s="471"/>
    </row>
    <row r="24" spans="2:57" ht="18" customHeight="1">
      <c r="B24" s="2483" t="e">
        <f>SUM($N$35:$Q$42)</f>
        <v>#REF!</v>
      </c>
      <c r="C24" s="1877"/>
      <c r="D24" s="1877"/>
      <c r="E24" s="1877"/>
      <c r="F24" s="1877"/>
      <c r="G24" s="1877"/>
      <c r="H24" s="1877"/>
      <c r="I24" s="1772"/>
      <c r="J24" s="181"/>
      <c r="K24" s="2453">
        <f>SUMIFS('Project Overview'!$R$196,'Project Overview'!$AA$196,"Yes")+SUMIFS('Project Overview'!$R$197,'Project Overview'!$AA$197,"Yes")+SUMIFS('Project Overview'!$R$198,'Project Overview'!$AA$198,"Yes")</f>
        <v>0</v>
      </c>
      <c r="L24" s="1777"/>
      <c r="M24" s="1777"/>
      <c r="N24" s="1778"/>
      <c r="O24" s="182"/>
      <c r="P24" s="2453">
        <f>SUMIFS('Project Overview'!$W$196,'Project Overview'!$AA$196,"Yes")+SUMIFS('Project Overview'!$W$197,'Project Overview'!$AA$197,"Yes")+SUMIFS('Project Overview'!$W$198,'Project Overview'!$AA$198,"Yes")</f>
        <v>0</v>
      </c>
      <c r="Q24" s="1777"/>
      <c r="R24" s="1777"/>
      <c r="S24" s="1778"/>
      <c r="T24" s="473"/>
      <c r="U24" s="2483" t="e">
        <f>MIN(SUM($N$38,$N$39,$N$42),50000000)</f>
        <v>#REF!</v>
      </c>
      <c r="V24" s="1877"/>
      <c r="W24" s="1877"/>
      <c r="X24" s="1877"/>
      <c r="Y24" s="1877"/>
      <c r="Z24" s="1877"/>
      <c r="AA24" s="1772"/>
      <c r="AB24" s="171"/>
      <c r="AC24" s="573"/>
      <c r="AD24" s="171"/>
      <c r="AE24" s="171"/>
      <c r="AF24" s="171"/>
      <c r="AG24" s="171"/>
      <c r="AH24" s="171"/>
      <c r="AI24" s="171"/>
      <c r="AJ24" s="171"/>
      <c r="AK24" s="171"/>
      <c r="AL24" s="171"/>
      <c r="AM24" s="171"/>
      <c r="AY24" s="216"/>
      <c r="AZ24" s="216"/>
      <c r="BA24" s="216"/>
      <c r="BB24" s="216"/>
      <c r="BC24" s="55"/>
      <c r="BD24" s="55"/>
      <c r="BE24" s="55"/>
    </row>
    <row r="25" spans="2:57" ht="18" customHeight="1">
      <c r="B25" s="55"/>
      <c r="C25" s="55"/>
      <c r="D25" s="55"/>
      <c r="E25" s="55"/>
      <c r="F25" s="55"/>
      <c r="G25" s="245"/>
      <c r="H25" s="245"/>
      <c r="I25" s="245"/>
      <c r="J25" s="245"/>
      <c r="K25" s="245"/>
      <c r="L25" s="245"/>
      <c r="M25" s="444"/>
      <c r="N25" s="444"/>
      <c r="O25" s="444"/>
      <c r="P25" s="444"/>
      <c r="Q25" s="444"/>
      <c r="R25" s="444"/>
      <c r="S25" s="444"/>
      <c r="T25" s="444"/>
      <c r="U25" s="444"/>
      <c r="V25" s="444"/>
      <c r="W25" s="444"/>
      <c r="X25" s="55"/>
      <c r="Y25" s="55"/>
      <c r="Z25" s="55"/>
      <c r="AA25" s="55"/>
      <c r="AB25" s="55"/>
      <c r="AC25" s="55"/>
      <c r="AD25" s="55"/>
      <c r="AE25" s="55"/>
      <c r="AF25" s="55"/>
      <c r="AG25" s="55"/>
      <c r="AH25" s="55"/>
      <c r="AI25" s="55"/>
      <c r="AJ25" s="55"/>
      <c r="AK25" s="55"/>
      <c r="AL25" s="55"/>
      <c r="AM25" s="55"/>
      <c r="AN25" s="55"/>
    </row>
    <row r="26" spans="2:57" s="58" customFormat="1" ht="18" customHeight="1">
      <c r="B26" s="2490" t="s">
        <v>1332</v>
      </c>
      <c r="C26" s="1953"/>
      <c r="D26" s="1953"/>
      <c r="E26" s="1953"/>
      <c r="F26" s="1770"/>
      <c r="G26" s="476"/>
      <c r="H26" s="2490" t="s">
        <v>1333</v>
      </c>
      <c r="I26" s="1953"/>
      <c r="J26" s="1953"/>
      <c r="K26" s="1953"/>
      <c r="L26" s="1770"/>
    </row>
    <row r="27" spans="2:57" s="58" customFormat="1" ht="18" customHeight="1">
      <c r="B27" s="2479"/>
      <c r="C27" s="1877"/>
      <c r="D27" s="1877"/>
      <c r="E27" s="1877"/>
      <c r="F27" s="1772"/>
      <c r="H27" s="2479"/>
      <c r="I27" s="1877"/>
      <c r="J27" s="1877"/>
      <c r="K27" s="1877"/>
      <c r="L27" s="1772"/>
    </row>
    <row r="28" spans="2:57" s="58" customFormat="1" ht="18" customHeight="1">
      <c r="B28" s="2483">
        <f>IFERROR(IF(OR(IsIig,IsSerna,IsMhp,IsVhhp),'Development Budget'!$D$3/TotalUnits,0),0)</f>
        <v>0</v>
      </c>
      <c r="C28" s="1877"/>
      <c r="D28" s="1877"/>
      <c r="E28" s="1877"/>
      <c r="F28" s="1772"/>
      <c r="G28" s="216"/>
      <c r="H28" s="2483">
        <f>IFERROR(IF(OR(IsIig,IsSerna,IsMhp,IsVhhp),SUM($B$24,K24,P24)/'Unit Mix'!$AD$8,0),0)</f>
        <v>0</v>
      </c>
      <c r="I28" s="1877"/>
      <c r="J28" s="1877"/>
      <c r="K28" s="1877"/>
      <c r="L28" s="1772"/>
    </row>
    <row r="29" spans="2:57" s="136" customFormat="1" ht="18" hidden="1" customHeight="1">
      <c r="B29" s="998"/>
      <c r="AQ29" s="681"/>
    </row>
    <row r="30" spans="2:57" s="136" customFormat="1" ht="18" hidden="1" customHeight="1">
      <c r="B30" s="2533" t="s">
        <v>1334</v>
      </c>
      <c r="C30" s="1953"/>
      <c r="D30" s="1953"/>
      <c r="E30" s="1953"/>
      <c r="F30" s="1953"/>
      <c r="G30" s="1953"/>
      <c r="H30" s="1953"/>
      <c r="I30" s="1953"/>
      <c r="J30" s="1953"/>
      <c r="K30" s="1953"/>
      <c r="L30" s="1953"/>
      <c r="M30" s="1770"/>
      <c r="N30" s="1886" t="b">
        <f>IF(OtherHCDfunds="Yes",IF(AND('Project Overview'!R196&gt;0,'Project Overview'!AA196="Yes"),TRUE,IF(AND('Project Overview'!R197&gt;0,'Project Overview'!AA197="Yes"),TRUE,IF(AND('Project Overview'!R198&gt;0,'Project Overview'!AA198="Yes"),TRUE,FALSE))))</f>
        <v>0</v>
      </c>
      <c r="O30" s="1777"/>
      <c r="P30" s="1777"/>
      <c r="Q30" s="1778"/>
      <c r="R30" s="560"/>
      <c r="S30" s="999"/>
      <c r="T30" s="999"/>
      <c r="U30" s="999"/>
      <c r="V30" s="999"/>
      <c r="W30" s="999"/>
      <c r="X30" s="999"/>
      <c r="Y30" s="999"/>
      <c r="Z30" s="999"/>
      <c r="AA30" s="999"/>
      <c r="AB30" s="999"/>
      <c r="AC30" s="999"/>
      <c r="AD30" s="999"/>
      <c r="AE30" s="999"/>
      <c r="AF30" s="999"/>
      <c r="AG30" s="999"/>
      <c r="AH30" s="999"/>
      <c r="AI30" s="999"/>
      <c r="AJ30" s="999"/>
      <c r="AK30" s="999"/>
      <c r="AL30" s="999"/>
      <c r="AM30" s="1112"/>
      <c r="AQ30" s="681"/>
    </row>
    <row r="31" spans="2:57" s="136" customFormat="1" ht="18" hidden="1" customHeight="1">
      <c r="B31" s="2527" t="s">
        <v>1335</v>
      </c>
      <c r="C31" s="1877"/>
      <c r="D31" s="1877"/>
      <c r="E31" s="1877"/>
      <c r="F31" s="1877"/>
      <c r="G31" s="1877"/>
      <c r="H31" s="1877"/>
      <c r="I31" s="1877"/>
      <c r="J31" s="1877"/>
      <c r="K31" s="1877"/>
      <c r="L31" s="1877"/>
      <c r="M31" s="1877"/>
      <c r="N31" s="1877"/>
      <c r="O31" s="1877"/>
      <c r="P31" s="1877"/>
      <c r="Q31" s="1877"/>
      <c r="R31" s="1877"/>
      <c r="S31" s="1877"/>
      <c r="T31" s="1877"/>
      <c r="U31" s="1877"/>
      <c r="V31" s="1877"/>
      <c r="W31" s="1877"/>
      <c r="X31" s="1772"/>
      <c r="Y31" s="1873"/>
      <c r="Z31" s="1862"/>
      <c r="AM31" s="1000"/>
      <c r="AQ31" s="681"/>
    </row>
    <row r="32" spans="2:57" s="136" customFormat="1" ht="18" hidden="1" customHeight="1">
      <c r="B32" s="2173" t="str">
        <f>IF(N30,"Total previous or planed HCD LOAN AWARDS",IF(Y31="Yes","Total planed LOAN AWARDS before Super NOFA application due date?",""))</f>
        <v/>
      </c>
      <c r="C32" s="1777"/>
      <c r="D32" s="1777"/>
      <c r="E32" s="1777"/>
      <c r="F32" s="1777"/>
      <c r="G32" s="1777"/>
      <c r="H32" s="1777"/>
      <c r="I32" s="1777"/>
      <c r="J32" s="1777"/>
      <c r="K32" s="1777"/>
      <c r="L32" s="1777"/>
      <c r="M32" s="1777"/>
      <c r="N32" s="1777"/>
      <c r="O32" s="1777"/>
      <c r="P32" s="1777"/>
      <c r="Q32" s="1777"/>
      <c r="R32" s="1777"/>
      <c r="S32" s="1778"/>
      <c r="T32" s="2511"/>
      <c r="U32" s="1861"/>
      <c r="V32" s="1861"/>
      <c r="W32" s="1861"/>
      <c r="X32" s="1862"/>
      <c r="Y32" s="998"/>
      <c r="Z32" s="998"/>
      <c r="AA32" s="998"/>
      <c r="AB32" s="998"/>
      <c r="AC32" s="998"/>
      <c r="AD32" s="998"/>
      <c r="AE32" s="998"/>
      <c r="AF32" s="998"/>
      <c r="AG32" s="998"/>
      <c r="AH32" s="998"/>
      <c r="AI32" s="998"/>
      <c r="AJ32" s="998"/>
      <c r="AK32" s="998"/>
      <c r="AL32" s="998"/>
      <c r="AM32" s="1460"/>
      <c r="AQ32" s="681"/>
    </row>
    <row r="33" spans="1:44" s="58" customFormat="1" ht="18" customHeight="1">
      <c r="AA33" s="1113"/>
      <c r="AB33" s="1113"/>
      <c r="AC33" s="1113"/>
      <c r="AD33" s="1113"/>
      <c r="AE33" s="1113"/>
      <c r="AF33" s="1113"/>
      <c r="AG33" s="1113"/>
      <c r="AH33" s="1113"/>
      <c r="AI33" s="1113"/>
      <c r="AJ33" s="1113"/>
      <c r="AK33" s="1113"/>
      <c r="AL33" s="1113"/>
      <c r="AM33" s="1113"/>
      <c r="AQ33" s="582"/>
    </row>
    <row r="34" spans="1:44" ht="18" hidden="1" customHeight="1">
      <c r="A34" s="287"/>
      <c r="B34" s="2029" t="s">
        <v>1336</v>
      </c>
      <c r="C34" s="1777"/>
      <c r="D34" s="1777"/>
      <c r="E34" s="1777"/>
      <c r="F34" s="1777"/>
      <c r="G34" s="1777"/>
      <c r="H34" s="1777"/>
      <c r="I34" s="1777"/>
      <c r="J34" s="1777"/>
      <c r="K34" s="1777"/>
      <c r="L34" s="1777"/>
      <c r="M34" s="1777"/>
      <c r="N34" s="1777"/>
      <c r="O34" s="1777"/>
      <c r="P34" s="1777"/>
      <c r="Q34" s="1778"/>
      <c r="R34" s="1114"/>
      <c r="S34" s="1114"/>
      <c r="T34" s="1114"/>
      <c r="U34" s="1114"/>
      <c r="V34" s="1114"/>
      <c r="W34" s="1114"/>
      <c r="X34" s="1114"/>
      <c r="Y34" s="1114"/>
      <c r="Z34" s="1114"/>
      <c r="AA34" s="1114"/>
      <c r="AB34" s="1114"/>
      <c r="AC34" s="1114"/>
      <c r="AD34" s="1114"/>
      <c r="AE34" s="1114"/>
      <c r="AF34" s="1114"/>
      <c r="AG34" s="1114"/>
      <c r="AH34" s="1114"/>
      <c r="AI34" s="1114"/>
      <c r="AJ34" s="1114"/>
      <c r="AK34" s="1114"/>
      <c r="AL34" s="1114"/>
      <c r="AM34" s="1115"/>
      <c r="AN34" s="1722"/>
    </row>
    <row r="35" spans="1:44" ht="18" hidden="1" customHeight="1">
      <c r="A35" s="1701"/>
      <c r="B35" s="2523" t="s">
        <v>1337</v>
      </c>
      <c r="C35" s="1777"/>
      <c r="D35" s="1777"/>
      <c r="E35" s="1777"/>
      <c r="F35" s="1777"/>
      <c r="G35" s="1777"/>
      <c r="H35" s="1777"/>
      <c r="I35" s="1777"/>
      <c r="J35" s="1777"/>
      <c r="K35" s="1777"/>
      <c r="L35" s="1777"/>
      <c r="M35" s="1116"/>
      <c r="N35" s="2524">
        <f>IF(IsIig,MIN('Development Budget'!#REF!,'Development Sources'!$I$37,$M$53,10000000),0)</f>
        <v>0</v>
      </c>
      <c r="O35" s="1777"/>
      <c r="P35" s="1777"/>
      <c r="Q35" s="1778"/>
      <c r="R35" s="2486" t="str">
        <f>IF(AND($AH$9="Urban",N35&gt;=1000000),"   Meets minimum grant award",IF(AND($AH$9="Rural",N35&gt;=500000),"   IIG Meets minimum grant award","   IIG does not meet minimum grant award"))</f>
        <v xml:space="preserve">   IIG does not meet minimum grant award</v>
      </c>
      <c r="S35" s="1877"/>
      <c r="T35" s="1877"/>
      <c r="U35" s="1877"/>
      <c r="V35" s="1877"/>
      <c r="W35" s="1877"/>
      <c r="X35" s="1877"/>
      <c r="Y35" s="1877"/>
      <c r="Z35" s="1877"/>
      <c r="AA35" s="1877"/>
      <c r="AB35" s="1877"/>
      <c r="AC35" s="1877"/>
      <c r="AD35" s="1877"/>
      <c r="AE35" s="1877"/>
      <c r="AF35" s="1877"/>
      <c r="AG35" s="1877"/>
      <c r="AH35" s="1877"/>
      <c r="AI35" s="1877"/>
      <c r="AJ35" s="1877"/>
      <c r="AK35" s="1877"/>
      <c r="AL35" s="1877"/>
      <c r="AM35" s="1772"/>
      <c r="AO35" s="55"/>
      <c r="AP35" s="55"/>
      <c r="AQ35" s="55"/>
      <c r="AR35" s="55"/>
    </row>
    <row r="36" spans="1:44" s="136" customFormat="1" ht="9" customHeight="1"/>
    <row r="37" spans="1:44" s="136" customFormat="1" ht="18" customHeight="1">
      <c r="B37" s="2029" t="s">
        <v>1338</v>
      </c>
      <c r="C37" s="1777"/>
      <c r="D37" s="1777"/>
      <c r="E37" s="1777"/>
      <c r="F37" s="1777"/>
      <c r="G37" s="1777"/>
      <c r="H37" s="1777"/>
      <c r="I37" s="1777"/>
      <c r="J37" s="1777"/>
      <c r="K37" s="1777"/>
      <c r="L37" s="1777"/>
      <c r="M37" s="1777"/>
      <c r="N37" s="1777"/>
      <c r="O37" s="1777"/>
      <c r="P37" s="1777"/>
      <c r="Q37" s="1778"/>
      <c r="R37" s="1948" t="e">
        <f>IF($U$24&gt;$AJ$67,"The total HCD funds being requested is more than Permanent Funding Gap","")</f>
        <v>#REF!</v>
      </c>
      <c r="S37" s="2167"/>
      <c r="T37" s="2167"/>
      <c r="U37" s="2167"/>
      <c r="V37" s="2167"/>
      <c r="W37" s="2167"/>
      <c r="X37" s="2167"/>
      <c r="Y37" s="2167"/>
      <c r="Z37" s="2167"/>
      <c r="AA37" s="2167"/>
      <c r="AB37" s="2167"/>
      <c r="AC37" s="2167"/>
      <c r="AD37" s="2167"/>
      <c r="AE37" s="2167"/>
      <c r="AF37" s="2167"/>
      <c r="AG37" s="2167"/>
      <c r="AH37" s="2167"/>
      <c r="AI37" s="2167"/>
      <c r="AJ37" s="2167"/>
      <c r="AK37" s="2167"/>
      <c r="AL37" s="2167"/>
      <c r="AM37" s="2167"/>
    </row>
    <row r="38" spans="1:44" ht="18" hidden="1" customHeight="1">
      <c r="B38" s="2514" t="s">
        <v>1339</v>
      </c>
      <c r="C38" s="1953"/>
      <c r="D38" s="1953"/>
      <c r="E38" s="1953"/>
      <c r="F38" s="1953"/>
      <c r="G38" s="1953"/>
      <c r="H38" s="1953"/>
      <c r="I38" s="1953"/>
      <c r="J38" s="1953"/>
      <c r="K38" s="1953"/>
      <c r="L38" s="1953"/>
      <c r="M38" s="1117"/>
      <c r="N38" s="2477">
        <f>IF(IsSerna,MIN($M$54,$AJ$67,$AJ$73,'Development Budget'!#REF!),0)</f>
        <v>0</v>
      </c>
      <c r="O38" s="1777"/>
      <c r="P38" s="1777"/>
      <c r="Q38" s="1778"/>
      <c r="R38" s="171"/>
      <c r="S38" s="171"/>
      <c r="T38" s="171"/>
      <c r="U38" s="171"/>
      <c r="V38" s="171"/>
      <c r="W38" s="171"/>
      <c r="X38" s="171"/>
      <c r="Y38" s="171"/>
      <c r="Z38" s="171"/>
      <c r="AA38" s="171"/>
      <c r="AB38" s="171"/>
      <c r="AC38" s="171"/>
      <c r="AD38" s="171"/>
      <c r="AE38" s="171"/>
      <c r="AF38" s="171"/>
      <c r="AG38" s="171"/>
      <c r="AH38" s="171"/>
      <c r="AI38" s="171"/>
      <c r="AJ38" s="171"/>
      <c r="AK38" s="171"/>
      <c r="AL38" s="171"/>
      <c r="AM38" s="171"/>
      <c r="AP38" s="55"/>
      <c r="AQ38" s="55"/>
      <c r="AR38" s="55"/>
    </row>
    <row r="39" spans="1:44" ht="18" customHeight="1">
      <c r="B39" s="2522" t="s">
        <v>1340</v>
      </c>
      <c r="C39" s="2180"/>
      <c r="D39" s="2180"/>
      <c r="E39" s="2180"/>
      <c r="F39" s="2180"/>
      <c r="G39" s="2180"/>
      <c r="H39" s="2180"/>
      <c r="I39" s="2180"/>
      <c r="J39" s="2180"/>
      <c r="K39" s="2180"/>
      <c r="L39" s="2180"/>
      <c r="M39" s="848"/>
      <c r="N39" s="2477" t="e">
        <f>IF(IsMhp,MIN($M$55,$AJ$67,$AJ$73,'Development Budget'!#REF!)+IFERROR(IF(OnsiteSpace,100000,0),0))</f>
        <v>#REF!</v>
      </c>
      <c r="O39" s="1777"/>
      <c r="P39" s="1777"/>
      <c r="Q39" s="1778"/>
      <c r="R39" s="2532" t="str">
        <f>IFERROR(IF(OnsiteSpace,"100k Added for on-site supportive services space for Eligible Service Providers §7310.1(c)(2)).",""),"")</f>
        <v/>
      </c>
      <c r="S39" s="2180"/>
      <c r="T39" s="2180"/>
      <c r="U39" s="2180"/>
      <c r="V39" s="2180"/>
      <c r="W39" s="2180"/>
      <c r="X39" s="2180"/>
      <c r="Y39" s="2180"/>
      <c r="Z39" s="2180"/>
      <c r="AA39" s="2180"/>
      <c r="AB39" s="2180"/>
      <c r="AC39" s="2180"/>
      <c r="AD39" s="2180"/>
      <c r="AE39" s="2180"/>
      <c r="AF39" s="2180"/>
      <c r="AG39" s="2180"/>
      <c r="AH39" s="2180"/>
      <c r="AI39" s="2180"/>
      <c r="AJ39" s="2180"/>
      <c r="AK39" s="2180"/>
      <c r="AL39" s="2180"/>
      <c r="AM39" s="2180"/>
      <c r="AP39" s="55"/>
      <c r="AQ39" s="55"/>
      <c r="AR39" s="55"/>
    </row>
    <row r="40" spans="1:44" s="58" customFormat="1" ht="18" hidden="1" customHeight="1">
      <c r="B40" s="2522" t="s">
        <v>1341</v>
      </c>
      <c r="C40" s="1945"/>
      <c r="D40" s="1945"/>
      <c r="E40" s="1945"/>
      <c r="F40" s="1945"/>
      <c r="G40" s="1945"/>
      <c r="H40" s="1945"/>
      <c r="I40" s="1945"/>
      <c r="J40" s="1945"/>
      <c r="K40" s="1945"/>
      <c r="L40" s="1945"/>
      <c r="M40" s="848"/>
      <c r="N40" s="2477">
        <f>IF(IsShmhp,MIN($M$55,$AJ$67,$AJ$73,'Development Budget'!#REF!),0)</f>
        <v>0</v>
      </c>
      <c r="O40" s="1777"/>
      <c r="P40" s="1777"/>
      <c r="Q40" s="1778"/>
    </row>
    <row r="41" spans="1:44" s="58" customFormat="1" ht="18" hidden="1" customHeight="1">
      <c r="A41" s="136"/>
      <c r="B41" s="2522" t="s">
        <v>1342</v>
      </c>
      <c r="C41" s="1945"/>
      <c r="D41" s="1945"/>
      <c r="E41" s="1945"/>
      <c r="F41" s="1945"/>
      <c r="G41" s="1945"/>
      <c r="H41" s="1945"/>
      <c r="I41" s="1945"/>
      <c r="J41" s="1945"/>
      <c r="K41" s="1945"/>
      <c r="L41" s="1945"/>
      <c r="M41" s="848"/>
      <c r="N41" s="2477">
        <f>IF(IsShmhp,MIN($M$55,$AJ$67,$AJ$73,'Development Budget'!#REF!),0)</f>
        <v>0</v>
      </c>
      <c r="O41" s="1777"/>
      <c r="P41" s="1777"/>
      <c r="Q41" s="1778"/>
    </row>
    <row r="42" spans="1:44" ht="18" hidden="1" customHeight="1">
      <c r="B42" s="2516" t="s">
        <v>1343</v>
      </c>
      <c r="C42" s="1877"/>
      <c r="D42" s="1877"/>
      <c r="E42" s="1877"/>
      <c r="F42" s="1877"/>
      <c r="G42" s="1877"/>
      <c r="H42" s="1877"/>
      <c r="I42" s="1877"/>
      <c r="J42" s="1877"/>
      <c r="K42" s="1877"/>
      <c r="L42" s="1877"/>
      <c r="M42" s="1465"/>
      <c r="N42" s="2500">
        <f>IF(IsVhhp,MIN($M$58,$AJ$67,$AJ$73,'Development Budget'!#REF!),0)</f>
        <v>0</v>
      </c>
      <c r="O42" s="1953"/>
      <c r="P42" s="1953"/>
      <c r="Q42" s="1770"/>
      <c r="R42" s="171"/>
      <c r="S42" s="171"/>
      <c r="T42" s="171"/>
      <c r="U42" s="171"/>
      <c r="V42" s="171"/>
      <c r="W42" s="171"/>
      <c r="X42" s="171"/>
      <c r="Y42" s="171"/>
      <c r="Z42" s="171"/>
      <c r="AA42" s="171"/>
      <c r="AB42" s="171"/>
      <c r="AC42" s="171"/>
      <c r="AD42" s="171"/>
      <c r="AE42" s="171"/>
      <c r="AF42" s="171"/>
      <c r="AG42" s="171"/>
      <c r="AH42" s="171"/>
      <c r="AI42" s="171"/>
      <c r="AJ42" s="171"/>
      <c r="AK42" s="171"/>
      <c r="AL42" s="171"/>
      <c r="AM42" s="171"/>
      <c r="AP42" s="55"/>
      <c r="AQ42" s="55"/>
      <c r="AR42" s="55"/>
    </row>
    <row r="43" spans="1:44" ht="18" customHeight="1">
      <c r="B43" s="2520" t="s">
        <v>1344</v>
      </c>
      <c r="C43" s="1777"/>
      <c r="D43" s="1777"/>
      <c r="E43" s="1777"/>
      <c r="F43" s="1777"/>
      <c r="G43" s="1777"/>
      <c r="H43" s="1777"/>
      <c r="I43" s="1777"/>
      <c r="J43" s="1777"/>
      <c r="K43" s="1777"/>
      <c r="L43" s="1777"/>
      <c r="M43" s="1778"/>
      <c r="N43" s="2530" t="e">
        <f>SUM(N38,N39,N40,N41,N42)</f>
        <v>#REF!</v>
      </c>
      <c r="O43" s="1777"/>
      <c r="P43" s="1777"/>
      <c r="Q43" s="1777"/>
      <c r="R43" s="1778"/>
      <c r="AP43" s="55"/>
      <c r="AQ43" s="55"/>
    </row>
    <row r="44" spans="1:44" s="58" customFormat="1" ht="18" customHeight="1"/>
    <row r="45" spans="1:44" s="58" customFormat="1" ht="18" hidden="1" customHeight="1">
      <c r="B45" s="2489" t="s">
        <v>1345</v>
      </c>
      <c r="C45" s="1953"/>
      <c r="D45" s="1953"/>
      <c r="E45" s="1953"/>
      <c r="F45" s="1953"/>
      <c r="G45" s="1953"/>
      <c r="H45" s="1953"/>
      <c r="I45" s="1953"/>
      <c r="J45" s="1953"/>
      <c r="K45" s="1953"/>
      <c r="L45" s="1953"/>
      <c r="M45" s="1770"/>
    </row>
    <row r="46" spans="1:44" s="58" customFormat="1" ht="18" hidden="1" customHeight="1">
      <c r="B46" s="2488" t="s">
        <v>1346</v>
      </c>
      <c r="C46" s="1777"/>
      <c r="D46" s="1777"/>
      <c r="E46" s="1777"/>
      <c r="F46" s="1777"/>
      <c r="G46" s="1777"/>
      <c r="H46" s="1777"/>
      <c r="I46" s="1777"/>
      <c r="J46" s="1777"/>
      <c r="K46" s="1777"/>
      <c r="L46" s="1777"/>
      <c r="M46" s="1777"/>
      <c r="N46" s="1777"/>
      <c r="O46" s="1777"/>
      <c r="P46" s="1777"/>
      <c r="Q46" s="1777"/>
      <c r="R46" s="1777"/>
      <c r="S46" s="1777"/>
      <c r="T46" s="1778"/>
      <c r="U46" s="2504">
        <f>MIN(COSRUnits*225000,20000000)</f>
        <v>0</v>
      </c>
      <c r="V46" s="1777"/>
      <c r="W46" s="1777"/>
      <c r="X46" s="1778"/>
    </row>
    <row r="47" spans="1:44" s="58" customFormat="1" ht="36" hidden="1" customHeight="1">
      <c r="B47" s="2502" t="s">
        <v>1347</v>
      </c>
      <c r="C47" s="1777"/>
      <c r="D47" s="1777"/>
      <c r="E47" s="1777"/>
      <c r="F47" s="1777"/>
      <c r="G47" s="1777"/>
      <c r="H47" s="1777"/>
      <c r="I47" s="1777"/>
      <c r="J47" s="1777"/>
      <c r="K47" s="1777"/>
      <c r="L47" s="1777"/>
      <c r="M47" s="1777"/>
      <c r="N47" s="1777"/>
      <c r="O47" s="1777"/>
      <c r="P47" s="1777"/>
      <c r="Q47" s="1777"/>
      <c r="R47" s="1777"/>
      <c r="S47" s="1777"/>
      <c r="T47" s="1778"/>
      <c r="U47" s="2504">
        <f>IF(SUM('Cash Flow'!L139:BS139)&lt;0,0,SUM('Cash Flow'!L139:BS139))+$AK$47</f>
        <v>0</v>
      </c>
      <c r="V47" s="1777"/>
      <c r="W47" s="1777"/>
      <c r="X47" s="1778"/>
      <c r="Y47" s="2496" t="s">
        <v>1348</v>
      </c>
      <c r="Z47" s="1945"/>
      <c r="AA47" s="1945"/>
      <c r="AB47" s="1945"/>
      <c r="AC47" s="1945"/>
      <c r="AD47" s="1945"/>
      <c r="AE47" s="1945"/>
      <c r="AF47" s="1945"/>
      <c r="AG47" s="1945"/>
      <c r="AH47" s="1945"/>
      <c r="AI47" s="1945"/>
      <c r="AJ47" s="1889"/>
      <c r="AK47" s="2480"/>
      <c r="AL47" s="1861"/>
      <c r="AM47" s="1862"/>
    </row>
    <row r="48" spans="1:44" s="58" customFormat="1" ht="54" hidden="1" customHeight="1">
      <c r="B48" s="2502" t="s">
        <v>1349</v>
      </c>
      <c r="C48" s="1777"/>
      <c r="D48" s="1777"/>
      <c r="E48" s="1777"/>
      <c r="F48" s="1777"/>
      <c r="G48" s="1777"/>
      <c r="H48" s="1777"/>
      <c r="I48" s="1777"/>
      <c r="J48" s="1777"/>
      <c r="K48" s="1777"/>
      <c r="L48" s="1777"/>
      <c r="M48" s="1777"/>
      <c r="N48" s="1777"/>
      <c r="O48" s="1777"/>
      <c r="P48" s="1777"/>
      <c r="Q48" s="1777"/>
      <c r="R48" s="1777"/>
      <c r="S48" s="1777"/>
      <c r="T48" s="1778"/>
      <c r="U48" s="2504">
        <f t="array" ref="U48">IF(MHPCOSR,SUM(IF('Cash Flow'!L84:BS84-'Cash Flow'!L65:BS65&lt;0,0,'Cash Flow'!L84:BS84-'Cash Flow'!L65:BS65)),0)+$AK$48</f>
        <v>0</v>
      </c>
      <c r="V48" s="1777"/>
      <c r="W48" s="1777"/>
      <c r="X48" s="1778"/>
      <c r="Y48" s="2496" t="s">
        <v>1348</v>
      </c>
      <c r="Z48" s="1945"/>
      <c r="AA48" s="1945"/>
      <c r="AB48" s="1945"/>
      <c r="AC48" s="1945"/>
      <c r="AD48" s="1945"/>
      <c r="AE48" s="1945"/>
      <c r="AF48" s="1945"/>
      <c r="AG48" s="1945"/>
      <c r="AH48" s="1945"/>
      <c r="AI48" s="1945"/>
      <c r="AJ48" s="1889"/>
      <c r="AK48" s="2480"/>
      <c r="AL48" s="1861"/>
      <c r="AM48" s="1862"/>
    </row>
    <row r="49" spans="2:53" s="58" customFormat="1" ht="18" hidden="1" customHeight="1">
      <c r="B49" s="2488" t="s">
        <v>1350</v>
      </c>
      <c r="C49" s="1777"/>
      <c r="D49" s="1777"/>
      <c r="E49" s="1777"/>
      <c r="F49" s="1777"/>
      <c r="G49" s="1777"/>
      <c r="H49" s="1777"/>
      <c r="I49" s="1777"/>
      <c r="J49" s="1777"/>
      <c r="K49" s="1777"/>
      <c r="L49" s="1777"/>
      <c r="M49" s="1777"/>
      <c r="N49" s="1777"/>
      <c r="O49" s="1777"/>
      <c r="P49" s="1777"/>
      <c r="Q49" s="1777"/>
      <c r="R49" s="1777"/>
      <c r="S49" s="1777"/>
      <c r="T49" s="1778"/>
      <c r="U49" s="2480"/>
      <c r="V49" s="1861"/>
      <c r="W49" s="1861"/>
      <c r="X49" s="1862"/>
    </row>
    <row r="50" spans="2:53" s="58" customFormat="1" ht="18" hidden="1" customHeight="1">
      <c r="B50" s="2515" t="s">
        <v>1351</v>
      </c>
      <c r="C50" s="1777"/>
      <c r="D50" s="1777"/>
      <c r="E50" s="1777"/>
      <c r="F50" s="1777"/>
      <c r="G50" s="1777"/>
      <c r="H50" s="1777"/>
      <c r="I50" s="1777"/>
      <c r="J50" s="1777"/>
      <c r="K50" s="1777"/>
      <c r="L50" s="1777"/>
      <c r="M50" s="1777"/>
      <c r="N50" s="1777"/>
      <c r="O50" s="1777"/>
      <c r="P50" s="1777"/>
      <c r="Q50" s="1777"/>
      <c r="R50" s="1777"/>
      <c r="S50" s="1777"/>
      <c r="T50" s="1778"/>
      <c r="U50" s="2521">
        <f>MIN(U46,U47,U48,U49)</f>
        <v>0</v>
      </c>
      <c r="V50" s="1777"/>
      <c r="W50" s="1777"/>
      <c r="X50" s="1777"/>
      <c r="Y50" s="1778"/>
      <c r="AQ50" s="691"/>
    </row>
    <row r="51" spans="2:53" s="58" customFormat="1" ht="18" hidden="1" customHeight="1"/>
    <row r="52" spans="2:53" ht="18" hidden="1" customHeight="1">
      <c r="B52" s="2514" t="s">
        <v>1352</v>
      </c>
      <c r="C52" s="1953"/>
      <c r="D52" s="1953"/>
      <c r="E52" s="1953"/>
      <c r="F52" s="1953"/>
      <c r="G52" s="1953"/>
      <c r="H52" s="1953"/>
      <c r="I52" s="1953"/>
      <c r="J52" s="1953"/>
      <c r="K52" s="1953"/>
      <c r="L52" s="1953"/>
      <c r="M52" s="2481">
        <f>'Unit Mix'!$AI$8</f>
        <v>0</v>
      </c>
      <c r="N52" s="1953"/>
      <c r="O52" s="1953"/>
      <c r="P52" s="1770"/>
      <c r="Q52" s="2478" t="s">
        <v>1353</v>
      </c>
      <c r="R52" s="1953"/>
      <c r="S52" s="1953"/>
      <c r="T52" s="1953"/>
      <c r="U52" s="1953"/>
      <c r="V52" s="1953"/>
      <c r="W52" s="1953"/>
      <c r="X52" s="1953"/>
      <c r="Y52" s="1770"/>
      <c r="Z52" s="2497">
        <f>IFERROR(IF(IsIig,SUM(Scoring!$AL$250,Scoring!$AL$251,Scoring!$AL$252,Scoring!$AL$253,Scoring!$AL$254,Scoring!$AL$255)/Scoring!$K$256,0),0)</f>
        <v>0</v>
      </c>
      <c r="AA52" s="1770"/>
      <c r="AB52" s="2497" t="s">
        <v>1354</v>
      </c>
      <c r="AC52" s="1953"/>
      <c r="AD52" s="1953"/>
      <c r="AE52" s="1953"/>
      <c r="AF52" s="1953"/>
      <c r="AG52" s="1953"/>
      <c r="AH52" s="1953"/>
      <c r="AI52" s="1770"/>
      <c r="AJ52" s="2501">
        <f>Scoring!$X$256</f>
        <v>1</v>
      </c>
      <c r="AK52" s="1770"/>
      <c r="AL52" s="2257"/>
      <c r="AM52" s="2180"/>
      <c r="AP52" s="55"/>
      <c r="AQ52" s="55"/>
      <c r="AY52" s="582"/>
      <c r="AZ52" s="582"/>
      <c r="BA52" s="582"/>
    </row>
    <row r="53" spans="2:53" s="58" customFormat="1" ht="18" hidden="1" customHeight="1">
      <c r="B53" s="2526" t="s">
        <v>1355</v>
      </c>
      <c r="C53" s="1877"/>
      <c r="D53" s="1877"/>
      <c r="E53" s="1877"/>
      <c r="F53" s="1877"/>
      <c r="G53" s="1877"/>
      <c r="H53" s="1877"/>
      <c r="I53" s="1877"/>
      <c r="J53" s="1877"/>
      <c r="K53" s="1877"/>
      <c r="L53" s="1877"/>
      <c r="M53" s="2513">
        <f>IFERROR(MIN(10000000,$M$52*$AJ$52),0)</f>
        <v>0</v>
      </c>
      <c r="N53" s="1877"/>
      <c r="O53" s="1877"/>
      <c r="P53" s="1772"/>
      <c r="Q53" s="2479"/>
      <c r="R53" s="1877"/>
      <c r="S53" s="1877"/>
      <c r="T53" s="1877"/>
      <c r="U53" s="1877"/>
      <c r="V53" s="1877"/>
      <c r="W53" s="1877"/>
      <c r="X53" s="1877"/>
      <c r="Y53" s="1772"/>
      <c r="Z53" s="2479"/>
      <c r="AA53" s="1772"/>
      <c r="AB53" s="2479"/>
      <c r="AC53" s="1877"/>
      <c r="AD53" s="1877"/>
      <c r="AE53" s="1877"/>
      <c r="AF53" s="1877"/>
      <c r="AG53" s="1877"/>
      <c r="AH53" s="1877"/>
      <c r="AI53" s="1772"/>
      <c r="AJ53" s="2479"/>
      <c r="AK53" s="1772"/>
      <c r="AL53" s="1920"/>
      <c r="AM53" s="1945"/>
    </row>
    <row r="54" spans="2:53" ht="18" hidden="1" customHeight="1">
      <c r="B54" s="2274" t="s">
        <v>1356</v>
      </c>
      <c r="C54" s="1777"/>
      <c r="D54" s="1777"/>
      <c r="E54" s="1777"/>
      <c r="F54" s="1777"/>
      <c r="G54" s="1777"/>
      <c r="H54" s="1777"/>
      <c r="I54" s="1777"/>
      <c r="J54" s="1777"/>
      <c r="K54" s="1777"/>
      <c r="L54" s="1777"/>
      <c r="M54" s="2477">
        <f>MIN('Unit Mix'!$AJ$8,50000000)-$T$32</f>
        <v>50000000</v>
      </c>
      <c r="N54" s="1777"/>
      <c r="O54" s="1777"/>
      <c r="P54" s="1778"/>
      <c r="Q54" s="207"/>
      <c r="R54" s="207"/>
      <c r="S54" s="207"/>
      <c r="T54" s="207"/>
      <c r="U54" s="207"/>
      <c r="V54" s="207"/>
      <c r="W54" s="207"/>
      <c r="X54" s="207"/>
      <c r="Y54" s="207"/>
      <c r="Z54" s="207"/>
      <c r="AA54" s="207"/>
      <c r="AB54" s="207"/>
      <c r="AC54" s="181"/>
      <c r="AP54" s="55"/>
      <c r="AQ54" s="55"/>
    </row>
    <row r="55" spans="2:53" ht="18" customHeight="1">
      <c r="B55" s="2274" t="s">
        <v>1357</v>
      </c>
      <c r="C55" s="1777"/>
      <c r="D55" s="1777"/>
      <c r="E55" s="1777"/>
      <c r="F55" s="1777"/>
      <c r="G55" s="1777"/>
      <c r="H55" s="1777"/>
      <c r="I55" s="1777"/>
      <c r="J55" s="1777"/>
      <c r="K55" s="1777"/>
      <c r="L55" s="1777"/>
      <c r="M55" s="2477">
        <f>MIN('Unit Mix'!$AN$8,50000000)-$T$32</f>
        <v>50000000</v>
      </c>
      <c r="N55" s="1777"/>
      <c r="O55" s="1777"/>
      <c r="P55" s="1778"/>
      <c r="Q55" s="379"/>
      <c r="R55" s="380"/>
      <c r="S55" s="380"/>
      <c r="T55" s="380"/>
      <c r="U55" s="380"/>
      <c r="V55" s="380"/>
      <c r="W55" s="380"/>
      <c r="X55" s="380"/>
      <c r="Y55" s="380"/>
      <c r="Z55" s="380"/>
      <c r="AA55" s="380"/>
      <c r="AB55" s="380"/>
      <c r="AC55" s="380"/>
      <c r="AD55" s="380"/>
      <c r="AE55" s="380"/>
      <c r="AF55" s="380"/>
      <c r="AG55" s="380"/>
      <c r="AH55" s="380"/>
      <c r="AI55" s="380"/>
      <c r="AJ55" s="380"/>
      <c r="AK55" s="380"/>
      <c r="AL55" s="380"/>
      <c r="AM55" s="380"/>
    </row>
    <row r="56" spans="2:53" s="58" customFormat="1" ht="18" hidden="1" customHeight="1">
      <c r="B56" s="2274" t="s">
        <v>1358</v>
      </c>
      <c r="C56" s="1777"/>
      <c r="D56" s="1777"/>
      <c r="E56" s="1777"/>
      <c r="F56" s="1777"/>
      <c r="G56" s="1777"/>
      <c r="H56" s="1777"/>
      <c r="I56" s="1777"/>
      <c r="J56" s="1777"/>
      <c r="K56" s="1777"/>
      <c r="L56" s="1777"/>
      <c r="M56" s="2477">
        <f>MIN('Unit Mix'!$AL$8,50000000)-$T$32</f>
        <v>50000000</v>
      </c>
      <c r="N56" s="1777"/>
      <c r="O56" s="1777"/>
      <c r="P56" s="1778"/>
    </row>
    <row r="57" spans="2:53" s="58" customFormat="1" ht="18" hidden="1" customHeight="1">
      <c r="B57" s="2274" t="s">
        <v>1359</v>
      </c>
      <c r="C57" s="1777"/>
      <c r="D57" s="1777"/>
      <c r="E57" s="1777"/>
      <c r="F57" s="1777"/>
      <c r="G57" s="1777"/>
      <c r="H57" s="1777"/>
      <c r="I57" s="1777"/>
      <c r="J57" s="1777"/>
      <c r="K57" s="1777"/>
      <c r="L57" s="1777"/>
      <c r="M57" s="2477">
        <f>MIN('Unit Mix'!$AK$8,50000000)-$T$32</f>
        <v>50000000</v>
      </c>
      <c r="N57" s="1777"/>
      <c r="O57" s="1777"/>
      <c r="P57" s="1778"/>
    </row>
    <row r="58" spans="2:53" ht="18" hidden="1" customHeight="1">
      <c r="B58" s="2274" t="s">
        <v>1360</v>
      </c>
      <c r="C58" s="1777"/>
      <c r="D58" s="1777"/>
      <c r="E58" s="1777"/>
      <c r="F58" s="1777"/>
      <c r="G58" s="1777"/>
      <c r="H58" s="1777"/>
      <c r="I58" s="1777"/>
      <c r="J58" s="1777"/>
      <c r="K58" s="1777"/>
      <c r="L58" s="1777"/>
      <c r="M58" s="2477">
        <f>MIN('Unit Mix'!$AM$8,50000000)-$T$32</f>
        <v>50000000</v>
      </c>
      <c r="N58" s="1777"/>
      <c r="O58" s="1777"/>
      <c r="P58" s="1778"/>
      <c r="Q58" s="379"/>
      <c r="R58" s="380"/>
      <c r="S58" s="380"/>
      <c r="T58" s="380"/>
      <c r="U58" s="380"/>
      <c r="V58" s="380"/>
      <c r="W58" s="380"/>
      <c r="X58" s="380"/>
      <c r="Y58" s="380"/>
      <c r="Z58" s="380"/>
      <c r="AA58" s="380"/>
      <c r="AB58" s="380"/>
      <c r="AC58" s="380"/>
      <c r="AD58" s="380"/>
      <c r="AE58" s="380"/>
      <c r="AF58" s="380"/>
      <c r="AG58" s="380"/>
      <c r="AH58" s="380"/>
      <c r="AI58" s="380"/>
      <c r="AJ58" s="380"/>
      <c r="AK58" s="380"/>
      <c r="AL58" s="380"/>
      <c r="AM58" s="380"/>
    </row>
    <row r="59" spans="2:53" s="58" customFormat="1" ht="29.85" customHeight="1"/>
    <row r="60" spans="2:53" ht="18" customHeight="1">
      <c r="B60" s="2029" t="s">
        <v>1361</v>
      </c>
      <c r="C60" s="1777"/>
      <c r="D60" s="1777"/>
      <c r="E60" s="1777"/>
      <c r="F60" s="1777"/>
      <c r="G60" s="1777"/>
      <c r="H60" s="1777"/>
      <c r="I60" s="1777"/>
      <c r="J60" s="1777"/>
      <c r="K60" s="1777"/>
      <c r="L60" s="1777"/>
      <c r="M60" s="1777"/>
      <c r="N60" s="1777"/>
      <c r="O60" s="1777"/>
      <c r="P60" s="1777"/>
      <c r="Q60" s="1777"/>
      <c r="R60" s="1777"/>
      <c r="S60" s="1777"/>
      <c r="T60" s="1777"/>
      <c r="U60" s="1777"/>
      <c r="V60" s="1777"/>
      <c r="W60" s="1777"/>
      <c r="X60" s="1777"/>
      <c r="Y60" s="1777"/>
      <c r="Z60" s="1777"/>
      <c r="AA60" s="1777"/>
      <c r="AB60" s="1777"/>
      <c r="AC60" s="1777"/>
      <c r="AD60" s="1777"/>
      <c r="AE60" s="1777"/>
      <c r="AF60" s="1777"/>
      <c r="AG60" s="1777"/>
      <c r="AH60" s="1777"/>
      <c r="AI60" s="1777"/>
      <c r="AJ60" s="1777"/>
      <c r="AK60" s="1777"/>
      <c r="AL60" s="1777"/>
      <c r="AM60" s="1778"/>
      <c r="AN60" s="288"/>
    </row>
    <row r="61" spans="2:53" s="58" customFormat="1" ht="18" customHeight="1">
      <c r="B61" s="2494" t="s">
        <v>1119</v>
      </c>
      <c r="C61" s="1777"/>
      <c r="D61" s="1777"/>
      <c r="E61" s="1777"/>
      <c r="F61" s="1777"/>
      <c r="G61" s="1777"/>
      <c r="H61" s="1777"/>
      <c r="I61" s="1777"/>
      <c r="J61" s="1777"/>
      <c r="K61" s="1777"/>
      <c r="L61" s="1777"/>
      <c r="M61" s="1777"/>
      <c r="N61" s="1777"/>
      <c r="O61" s="1777"/>
      <c r="P61" s="1777"/>
      <c r="Q61" s="1777"/>
      <c r="R61" s="1777"/>
      <c r="S61" s="1777"/>
      <c r="T61" s="1777"/>
      <c r="U61" s="1777"/>
      <c r="V61" s="1777"/>
      <c r="W61" s="1777"/>
      <c r="X61" s="1777"/>
      <c r="Y61" s="1777"/>
      <c r="Z61" s="1777"/>
      <c r="AA61" s="1777"/>
      <c r="AB61" s="1777"/>
      <c r="AC61" s="1777"/>
      <c r="AD61" s="1777"/>
      <c r="AE61" s="1777"/>
      <c r="AF61" s="1777"/>
      <c r="AG61" s="1777"/>
      <c r="AH61" s="1777"/>
      <c r="AI61" s="1778"/>
      <c r="AJ61" s="2477">
        <f>IF(SUM('Development Budget'!$D$3+'Development Budget'!$E$3)&gt;0,'Development Budget'!$D$3+'Development Budget'!$E$3,0)</f>
        <v>0</v>
      </c>
      <c r="AK61" s="1777"/>
      <c r="AL61" s="1777"/>
      <c r="AM61" s="1778"/>
    </row>
    <row r="62" spans="2:53" s="58" customFormat="1" ht="18" customHeight="1">
      <c r="B62" s="2494" t="s">
        <v>1362</v>
      </c>
      <c r="C62" s="1777"/>
      <c r="D62" s="1777"/>
      <c r="E62" s="1777"/>
      <c r="F62" s="1777"/>
      <c r="G62" s="1777"/>
      <c r="H62" s="1777"/>
      <c r="I62" s="1777"/>
      <c r="J62" s="1777"/>
      <c r="K62" s="1777"/>
      <c r="L62" s="1777"/>
      <c r="M62" s="1777"/>
      <c r="N62" s="1777"/>
      <c r="O62" s="1777"/>
      <c r="P62" s="1777"/>
      <c r="Q62" s="1777"/>
      <c r="R62" s="1777"/>
      <c r="S62" s="1777"/>
      <c r="T62" s="1777"/>
      <c r="U62" s="1777"/>
      <c r="V62" s="1777"/>
      <c r="W62" s="1777"/>
      <c r="X62" s="1777"/>
      <c r="Y62" s="1777"/>
      <c r="Z62" s="1777"/>
      <c r="AA62" s="1777"/>
      <c r="AB62" s="1777"/>
      <c r="AC62" s="1777"/>
      <c r="AD62" s="1777"/>
      <c r="AE62" s="1777"/>
      <c r="AF62" s="1777"/>
      <c r="AG62" s="1777"/>
      <c r="AH62" s="1777"/>
      <c r="AI62" s="1778"/>
      <c r="AJ62" s="2503" t="e">
        <f>#REF!</f>
        <v>#REF!</v>
      </c>
      <c r="AK62" s="1861"/>
      <c r="AL62" s="1861"/>
      <c r="AM62" s="1862"/>
    </row>
    <row r="63" spans="2:53" s="58" customFormat="1" ht="18" customHeight="1">
      <c r="B63" s="2494" t="s">
        <v>1363</v>
      </c>
      <c r="C63" s="1777"/>
      <c r="D63" s="1777"/>
      <c r="E63" s="1777"/>
      <c r="F63" s="1777"/>
      <c r="G63" s="1777"/>
      <c r="H63" s="1777"/>
      <c r="I63" s="1777"/>
      <c r="J63" s="1777"/>
      <c r="K63" s="1777"/>
      <c r="L63" s="1777"/>
      <c r="M63" s="1777"/>
      <c r="N63" s="1777"/>
      <c r="O63" s="1777"/>
      <c r="P63" s="1777"/>
      <c r="Q63" s="1777"/>
      <c r="R63" s="1777"/>
      <c r="S63" s="1777"/>
      <c r="T63" s="1777"/>
      <c r="U63" s="1777"/>
      <c r="V63" s="1777"/>
      <c r="W63" s="1777"/>
      <c r="X63" s="1777"/>
      <c r="Y63" s="1777"/>
      <c r="Z63" s="1777"/>
      <c r="AA63" s="1777"/>
      <c r="AB63" s="1777"/>
      <c r="AC63" s="1777"/>
      <c r="AD63" s="1777"/>
      <c r="AE63" s="1777"/>
      <c r="AF63" s="1777"/>
      <c r="AG63" s="1777"/>
      <c r="AH63" s="1777"/>
      <c r="AI63" s="1778"/>
      <c r="AJ63" s="2503" t="e">
        <f>#REF!</f>
        <v>#REF!</v>
      </c>
      <c r="AK63" s="1861"/>
      <c r="AL63" s="1861"/>
      <c r="AM63" s="1862"/>
    </row>
    <row r="64" spans="2:53" s="58" customFormat="1" ht="18" customHeight="1">
      <c r="B64" s="2517" t="s">
        <v>1364</v>
      </c>
      <c r="C64" s="1777"/>
      <c r="D64" s="1777"/>
      <c r="E64" s="1777"/>
      <c r="F64" s="1777"/>
      <c r="G64" s="1777"/>
      <c r="H64" s="1777"/>
      <c r="I64" s="1777"/>
      <c r="J64" s="1777"/>
      <c r="K64" s="1777"/>
      <c r="L64" s="1777"/>
      <c r="M64" s="1777"/>
      <c r="N64" s="1777"/>
      <c r="O64" s="1777"/>
      <c r="P64" s="1777"/>
      <c r="Q64" s="1777"/>
      <c r="R64" s="1777"/>
      <c r="S64" s="1777"/>
      <c r="T64" s="1777"/>
      <c r="U64" s="1777"/>
      <c r="V64" s="1777"/>
      <c r="W64" s="1777"/>
      <c r="X64" s="1777"/>
      <c r="Y64" s="1777"/>
      <c r="Z64" s="1777"/>
      <c r="AA64" s="1777"/>
      <c r="AB64" s="1777"/>
      <c r="AC64" s="1777"/>
      <c r="AD64" s="1777"/>
      <c r="AE64" s="1777"/>
      <c r="AF64" s="1777"/>
      <c r="AG64" s="1777"/>
      <c r="AH64" s="1777"/>
      <c r="AI64" s="1778"/>
      <c r="AJ64" s="2518" t="e">
        <f>$AJ$61-$AJ$62-$AJ$63</f>
        <v>#REF!</v>
      </c>
      <c r="AK64" s="1777"/>
      <c r="AL64" s="1777"/>
      <c r="AM64" s="1778"/>
    </row>
    <row r="65" spans="2:41" s="58" customFormat="1" ht="18" customHeight="1">
      <c r="B65" s="2494" t="s">
        <v>1365</v>
      </c>
      <c r="C65" s="1777"/>
      <c r="D65" s="1777"/>
      <c r="E65" s="1777"/>
      <c r="F65" s="1777"/>
      <c r="G65" s="1777"/>
      <c r="H65" s="1777"/>
      <c r="I65" s="1777"/>
      <c r="J65" s="1777"/>
      <c r="K65" s="1777"/>
      <c r="L65" s="1777"/>
      <c r="M65" s="1777"/>
      <c r="N65" s="1777"/>
      <c r="O65" s="1777"/>
      <c r="P65" s="1777"/>
      <c r="Q65" s="1777"/>
      <c r="R65" s="1777"/>
      <c r="S65" s="1777"/>
      <c r="T65" s="1777"/>
      <c r="U65" s="1777"/>
      <c r="V65" s="1777"/>
      <c r="W65" s="1777"/>
      <c r="X65" s="1777"/>
      <c r="Y65" s="1777"/>
      <c r="Z65" s="1777"/>
      <c r="AA65" s="1777"/>
      <c r="AB65" s="1777"/>
      <c r="AC65" s="1777"/>
      <c r="AD65" s="1777"/>
      <c r="AE65" s="1777"/>
      <c r="AF65" s="1777"/>
      <c r="AG65" s="1777"/>
      <c r="AH65" s="1777"/>
      <c r="AI65" s="1778"/>
      <c r="AJ65" s="2503" t="e">
        <f>#REF!</f>
        <v>#REF!</v>
      </c>
      <c r="AK65" s="1861"/>
      <c r="AL65" s="1861"/>
      <c r="AM65" s="1862"/>
    </row>
    <row r="66" spans="2:41" s="58" customFormat="1" ht="18" customHeight="1">
      <c r="B66" s="2494" t="s">
        <v>1366</v>
      </c>
      <c r="C66" s="1777"/>
      <c r="D66" s="1777"/>
      <c r="E66" s="1777"/>
      <c r="F66" s="1777"/>
      <c r="G66" s="1777"/>
      <c r="H66" s="1777"/>
      <c r="I66" s="1777"/>
      <c r="J66" s="1777"/>
      <c r="K66" s="1777"/>
      <c r="L66" s="1777"/>
      <c r="M66" s="1777"/>
      <c r="N66" s="1777"/>
      <c r="O66" s="1777"/>
      <c r="P66" s="1777"/>
      <c r="Q66" s="1777"/>
      <c r="R66" s="1777"/>
      <c r="S66" s="1777"/>
      <c r="T66" s="1777"/>
      <c r="U66" s="1777"/>
      <c r="V66" s="1777"/>
      <c r="W66" s="1777"/>
      <c r="X66" s="1777"/>
      <c r="Y66" s="1777"/>
      <c r="Z66" s="1777"/>
      <c r="AA66" s="1777"/>
      <c r="AB66" s="1777"/>
      <c r="AC66" s="1777"/>
      <c r="AD66" s="1777"/>
      <c r="AE66" s="1777"/>
      <c r="AF66" s="1777"/>
      <c r="AG66" s="1777"/>
      <c r="AH66" s="1777"/>
      <c r="AI66" s="1778"/>
      <c r="AJ66" s="2503" t="e">
        <f>#REF!</f>
        <v>#REF!</v>
      </c>
      <c r="AK66" s="1861"/>
      <c r="AL66" s="1861"/>
      <c r="AM66" s="1862"/>
    </row>
    <row r="67" spans="2:41" s="58" customFormat="1" ht="18" customHeight="1">
      <c r="B67" s="2517" t="s">
        <v>1367</v>
      </c>
      <c r="C67" s="1777"/>
      <c r="D67" s="1777"/>
      <c r="E67" s="1777"/>
      <c r="F67" s="1777"/>
      <c r="G67" s="1777"/>
      <c r="H67" s="1777"/>
      <c r="I67" s="1777"/>
      <c r="J67" s="1777"/>
      <c r="K67" s="1777"/>
      <c r="L67" s="1777"/>
      <c r="M67" s="1777"/>
      <c r="N67" s="1777"/>
      <c r="O67" s="1777"/>
      <c r="P67" s="1777"/>
      <c r="Q67" s="1777"/>
      <c r="R67" s="1777"/>
      <c r="S67" s="1777"/>
      <c r="T67" s="1777"/>
      <c r="U67" s="1777"/>
      <c r="V67" s="1777"/>
      <c r="W67" s="1777"/>
      <c r="X67" s="1777"/>
      <c r="Y67" s="1777"/>
      <c r="Z67" s="1777"/>
      <c r="AA67" s="1777"/>
      <c r="AB67" s="1777"/>
      <c r="AC67" s="1777"/>
      <c r="AD67" s="1777"/>
      <c r="AE67" s="1777"/>
      <c r="AF67" s="1777"/>
      <c r="AG67" s="1777"/>
      <c r="AH67" s="1777"/>
      <c r="AI67" s="1778"/>
      <c r="AJ67" s="2518" t="e">
        <f>$AJ$64-$AJ$65-$AJ$66</f>
        <v>#REF!</v>
      </c>
      <c r="AK67" s="1777"/>
      <c r="AL67" s="1777"/>
      <c r="AM67" s="1778"/>
    </row>
    <row r="68" spans="2:41" s="58" customFormat="1" ht="18" customHeight="1"/>
    <row r="69" spans="2:41" s="58" customFormat="1" ht="18" customHeight="1">
      <c r="B69" s="1897" t="s">
        <v>1368</v>
      </c>
      <c r="C69" s="1777"/>
      <c r="D69" s="1777"/>
      <c r="E69" s="1777"/>
      <c r="F69" s="1777"/>
      <c r="G69" s="1777"/>
      <c r="H69" s="1777"/>
      <c r="I69" s="1777"/>
      <c r="J69" s="1777"/>
      <c r="K69" s="1777"/>
      <c r="L69" s="1778"/>
      <c r="M69" s="2508" t="str">
        <f>CONCATENATE(IF(IsMhp,"MHP §7304(c)",""),"  ",IF(IsSerna,"FWHG §205(c)",""),"  ",IF(IsVhhp,"",""))</f>
        <v xml:space="preserve">MHP §7304(c)    </v>
      </c>
      <c r="N69" s="1777"/>
      <c r="O69" s="1777"/>
      <c r="P69" s="1777"/>
      <c r="Q69" s="1777"/>
      <c r="R69" s="1777"/>
      <c r="S69" s="1777"/>
      <c r="T69" s="1777"/>
      <c r="U69" s="1777"/>
      <c r="V69" s="1777"/>
      <c r="W69" s="1777"/>
      <c r="X69" s="1777"/>
      <c r="Y69" s="1777"/>
      <c r="Z69" s="1777"/>
      <c r="AA69" s="1777"/>
      <c r="AB69" s="1777"/>
      <c r="AC69" s="1777"/>
      <c r="AD69" s="1777"/>
      <c r="AE69" s="1777"/>
      <c r="AF69" s="1777"/>
      <c r="AG69" s="1777"/>
      <c r="AH69" s="1777"/>
      <c r="AI69" s="1777"/>
      <c r="AJ69" s="1777"/>
      <c r="AK69" s="1777"/>
      <c r="AL69" s="1777"/>
      <c r="AM69" s="1778"/>
      <c r="AN69" s="136"/>
      <c r="AO69" s="136"/>
    </row>
    <row r="70" spans="2:41" s="58" customFormat="1" ht="18" customHeight="1">
      <c r="B70" s="2494" t="s">
        <v>1369</v>
      </c>
      <c r="C70" s="1777"/>
      <c r="D70" s="1777"/>
      <c r="E70" s="1777"/>
      <c r="F70" s="1777"/>
      <c r="G70" s="1777"/>
      <c r="H70" s="1777"/>
      <c r="I70" s="1777"/>
      <c r="J70" s="1777"/>
      <c r="K70" s="1777"/>
      <c r="L70" s="1777"/>
      <c r="M70" s="1777"/>
      <c r="N70" s="1777"/>
      <c r="O70" s="1777"/>
      <c r="P70" s="1777"/>
      <c r="Q70" s="1777"/>
      <c r="R70" s="1777"/>
      <c r="S70" s="1777"/>
      <c r="T70" s="1777"/>
      <c r="U70" s="1777"/>
      <c r="V70" s="1777"/>
      <c r="W70" s="1777"/>
      <c r="X70" s="1777"/>
      <c r="Y70" s="1777"/>
      <c r="Z70" s="1777"/>
      <c r="AA70" s="1777"/>
      <c r="AB70" s="1777"/>
      <c r="AC70" s="1777"/>
      <c r="AD70" s="1777"/>
      <c r="AE70" s="1777"/>
      <c r="AF70" s="1777"/>
      <c r="AG70" s="1777"/>
      <c r="AH70" s="1777"/>
      <c r="AI70" s="1778"/>
      <c r="AJ70" s="2482">
        <f>SUMIFS(UnitsTbl[Total Units],UnitsTbl[Number of Bedrooms],0,UnitsTbl[Restricted Income Level],"&lt;=60%")*'Project Overview'!$AD$396+SUMIFS(UnitsTbl[Total Units],UnitsTbl[Number of Bedrooms],1,UnitsTbl[Restricted Income Level],"&lt;=60%")*'Project Overview'!$AD$397+SUMIFS(UnitsTbl[Total Units],UnitsTbl[Number of Bedrooms],2,UnitsTbl[Restricted Income Level],"&lt;=60%")*'Project Overview'!$AD$398+SUMIFS(UnitsTbl[Total Units],UnitsTbl[Number of Bedrooms],3,UnitsTbl[Restricted Income Level],"&lt;=60%")*'Project Overview'!$AD$399+SUMIFS(UnitsTbl[Total Units],UnitsTbl[Number of Bedrooms],4,UnitsTbl[Restricted Income Level],"&lt;=60%")*'Project Overview'!$AD$400+SUMIFS(UnitsTbl[Total Units],UnitsTbl[Number of Bedrooms],5,UnitsTbl[Restricted Income Level],"&lt;=60%")*'Project Overview'!$AD$401+SUMIFS(UnitsTbl[Total Units],UnitsTbl[Number of Bedrooms],0,UnitsTbl[Restricted Income Level],"Manager")*'Project Overview'!$AD$396+SUMIFS(UnitsTbl[Total Units],UnitsTbl[Number of Bedrooms],1,UnitsTbl[Restricted Income Level],"Manager")*'Project Overview'!$AD$397+SUMIFS(UnitsTbl[Total Units],UnitsTbl[Number of Bedrooms],2,UnitsTbl[Restricted Income Level],"Manager")*'Project Overview'!$AD$398+SUMIFS(UnitsTbl[Total Units],UnitsTbl[Number of Bedrooms],3,UnitsTbl[Restricted Income Level],"Manager")*'Project Overview'!$AD$399+SUMIFS(UnitsTbl[Total Units],UnitsTbl[Number of Bedrooms],4,UnitsTbl[Restricted Income Level],"Manager")*'Project Overview'!$AD$400+SUMIFS(UnitsTbl[Total Units],UnitsTbl[Number of Bedrooms],5,UnitsTbl[Restricted Income Level],"Manager")*'Project Overview'!$AD$401</f>
        <v>0</v>
      </c>
      <c r="AK70" s="1777"/>
      <c r="AL70" s="1777"/>
      <c r="AM70" s="1778"/>
      <c r="AN70" s="136"/>
      <c r="AO70" s="136"/>
    </row>
    <row r="71" spans="2:41" s="58" customFormat="1" ht="18" customHeight="1">
      <c r="B71" s="2494" t="s">
        <v>1370</v>
      </c>
      <c r="C71" s="1777"/>
      <c r="D71" s="1777"/>
      <c r="E71" s="1777"/>
      <c r="F71" s="1777"/>
      <c r="G71" s="1777"/>
      <c r="H71" s="1777"/>
      <c r="I71" s="1777"/>
      <c r="J71" s="1777"/>
      <c r="K71" s="1777"/>
      <c r="L71" s="1777"/>
      <c r="M71" s="1777"/>
      <c r="N71" s="1777"/>
      <c r="O71" s="1777"/>
      <c r="P71" s="1777"/>
      <c r="Q71" s="1777"/>
      <c r="R71" s="1777"/>
      <c r="S71" s="1777"/>
      <c r="T71" s="1777"/>
      <c r="U71" s="1777"/>
      <c r="V71" s="1777"/>
      <c r="W71" s="1777"/>
      <c r="X71" s="1777"/>
      <c r="Y71" s="1777"/>
      <c r="Z71" s="1777"/>
      <c r="AA71" s="1777"/>
      <c r="AB71" s="1777"/>
      <c r="AC71" s="1777"/>
      <c r="AD71" s="1777"/>
      <c r="AE71" s="1777"/>
      <c r="AF71" s="1777"/>
      <c r="AG71" s="1777"/>
      <c r="AH71" s="1777"/>
      <c r="AI71" s="1778"/>
      <c r="AJ71" s="2482">
        <f>'Project Overview'!$AH$396*'Project Overview'!$AD$396+'Project Overview'!$AH$397*'Project Overview'!$AD$397+'Project Overview'!$AH$398*'Project Overview'!$AD$398+'Project Overview'!$AH$399*'Project Overview'!$AD$399+'Project Overview'!$AH$400*'Project Overview'!$AD$400+'Project Overview'!$AH$401*'Project Overview'!$AD$401</f>
        <v>0</v>
      </c>
      <c r="AK71" s="1777"/>
      <c r="AL71" s="1777"/>
      <c r="AM71" s="1778"/>
      <c r="AN71" s="136"/>
      <c r="AO71" s="136"/>
    </row>
    <row r="72" spans="2:41" s="58" customFormat="1" ht="18" customHeight="1">
      <c r="B72" s="2494" t="s">
        <v>1371</v>
      </c>
      <c r="C72" s="1777"/>
      <c r="D72" s="1777"/>
      <c r="E72" s="1777"/>
      <c r="F72" s="1777"/>
      <c r="G72" s="1777"/>
      <c r="H72" s="1777"/>
      <c r="I72" s="1777"/>
      <c r="J72" s="1777"/>
      <c r="K72" s="1777"/>
      <c r="L72" s="1777"/>
      <c r="M72" s="1777"/>
      <c r="N72" s="1777"/>
      <c r="O72" s="1777"/>
      <c r="P72" s="1777"/>
      <c r="Q72" s="1777"/>
      <c r="R72" s="1777"/>
      <c r="S72" s="1777"/>
      <c r="T72" s="1777"/>
      <c r="U72" s="1777"/>
      <c r="V72" s="1777"/>
      <c r="W72" s="1777"/>
      <c r="X72" s="1777"/>
      <c r="Y72" s="1777"/>
      <c r="Z72" s="1777"/>
      <c r="AA72" s="1777"/>
      <c r="AB72" s="1777"/>
      <c r="AC72" s="1777"/>
      <c r="AD72" s="1777"/>
      <c r="AE72" s="1777"/>
      <c r="AF72" s="1777"/>
      <c r="AG72" s="1777"/>
      <c r="AH72" s="1777"/>
      <c r="AI72" s="1778"/>
      <c r="AJ72" s="2519">
        <f>IFERROR($AJ$70/$AJ$71,0)</f>
        <v>0</v>
      </c>
      <c r="AK72" s="1777"/>
      <c r="AL72" s="1777"/>
      <c r="AM72" s="1778"/>
      <c r="AN72" s="136"/>
      <c r="AO72" s="136"/>
    </row>
    <row r="73" spans="2:41" s="58" customFormat="1" ht="18" customHeight="1">
      <c r="B73" s="2517" t="s">
        <v>1372</v>
      </c>
      <c r="C73" s="1777"/>
      <c r="D73" s="1777"/>
      <c r="E73" s="1777"/>
      <c r="F73" s="1777"/>
      <c r="G73" s="1777"/>
      <c r="H73" s="1777"/>
      <c r="I73" s="1777"/>
      <c r="J73" s="1777"/>
      <c r="K73" s="1777"/>
      <c r="L73" s="1777"/>
      <c r="M73" s="1777"/>
      <c r="N73" s="1777"/>
      <c r="O73" s="1777"/>
      <c r="P73" s="1777"/>
      <c r="Q73" s="1777"/>
      <c r="R73" s="1777"/>
      <c r="S73" s="1777"/>
      <c r="T73" s="1777"/>
      <c r="U73" s="1777"/>
      <c r="V73" s="1777"/>
      <c r="W73" s="1777"/>
      <c r="X73" s="1777"/>
      <c r="Y73" s="1777"/>
      <c r="Z73" s="1777"/>
      <c r="AA73" s="1777"/>
      <c r="AB73" s="1777"/>
      <c r="AC73" s="1777"/>
      <c r="AD73" s="1777"/>
      <c r="AE73" s="1777"/>
      <c r="AF73" s="1777"/>
      <c r="AG73" s="1777"/>
      <c r="AH73" s="1777"/>
      <c r="AI73" s="1778"/>
      <c r="AJ73" s="2477">
        <f>$AJ$72*'Development Budget'!$D$3</f>
        <v>0</v>
      </c>
      <c r="AK73" s="1777"/>
      <c r="AL73" s="1777"/>
      <c r="AM73" s="1778"/>
      <c r="AN73" s="136"/>
      <c r="AO73" s="136"/>
    </row>
    <row r="75" spans="2:41" ht="18" customHeight="1">
      <c r="B75" s="2529" t="s">
        <v>461</v>
      </c>
      <c r="C75" s="2180"/>
      <c r="D75" s="2180"/>
      <c r="E75" s="2180"/>
      <c r="F75" s="2180"/>
      <c r="G75" s="2180"/>
      <c r="H75" s="2180"/>
      <c r="I75" s="2180"/>
      <c r="J75" s="2180"/>
      <c r="K75" s="2180"/>
      <c r="L75" s="2180"/>
      <c r="M75" s="2180"/>
      <c r="N75" s="2180"/>
      <c r="O75" s="2180"/>
      <c r="P75" s="2180"/>
      <c r="Q75" s="2180"/>
      <c r="R75" s="2180"/>
      <c r="S75" s="2180"/>
      <c r="T75" s="2180"/>
      <c r="U75" s="2180"/>
      <c r="V75" s="2180"/>
      <c r="W75" s="2180"/>
      <c r="X75" s="2180"/>
      <c r="Y75" s="2180"/>
      <c r="Z75" s="2180"/>
      <c r="AA75" s="2180"/>
      <c r="AB75" s="2180"/>
      <c r="AC75" s="2180"/>
      <c r="AD75" s="2180"/>
      <c r="AE75" s="2180"/>
      <c r="AF75" s="2180"/>
      <c r="AG75" s="2180"/>
      <c r="AH75" s="2180"/>
      <c r="AI75" s="2180"/>
      <c r="AJ75" s="2180"/>
      <c r="AK75" s="2180"/>
      <c r="AL75" s="2180"/>
      <c r="AM75" s="2180"/>
    </row>
  </sheetData>
  <sheetProtection algorithmName="SHA-512" hashValue="iJ6fXR1Xs83WzFQbEMuij8FyvNGgPaduKI0c+vuGQAFT0dQjshVIJbzGVhtVY5h8mEKz0aJtYGekFatVsqxQcw==" saltValue="zpsjJZaagai7NG9/jmPoAA==" spinCount="100000" sheet="1" objects="1" scenarios="1"/>
  <mergeCells count="149">
    <mergeCell ref="G5:S5"/>
    <mergeCell ref="B21:S21"/>
    <mergeCell ref="AJ65:AM65"/>
    <mergeCell ref="M57:P57"/>
    <mergeCell ref="AX8:BA8"/>
    <mergeCell ref="B75:AM75"/>
    <mergeCell ref="AJ63:AM63"/>
    <mergeCell ref="AL52:AM53"/>
    <mergeCell ref="B64:AI64"/>
    <mergeCell ref="N43:R43"/>
    <mergeCell ref="X9:AA9"/>
    <mergeCell ref="C19:AA19"/>
    <mergeCell ref="M56:P56"/>
    <mergeCell ref="B39:L39"/>
    <mergeCell ref="B63:AI63"/>
    <mergeCell ref="K24:N24"/>
    <mergeCell ref="C20:AK20"/>
    <mergeCell ref="R39:AM39"/>
    <mergeCell ref="B30:M30"/>
    <mergeCell ref="B38:L38"/>
    <mergeCell ref="G8:J8"/>
    <mergeCell ref="B28:F28"/>
    <mergeCell ref="B66:AI66"/>
    <mergeCell ref="F6:AM6"/>
    <mergeCell ref="BC9:BF9"/>
    <mergeCell ref="Q9:V9"/>
    <mergeCell ref="N35:Q35"/>
    <mergeCell ref="B47:T47"/>
    <mergeCell ref="C16:AK16"/>
    <mergeCell ref="U46:X46"/>
    <mergeCell ref="B32:S32"/>
    <mergeCell ref="H26:L27"/>
    <mergeCell ref="M54:P54"/>
    <mergeCell ref="C12:AK12"/>
    <mergeCell ref="B40:L40"/>
    <mergeCell ref="R37:AM37"/>
    <mergeCell ref="Y48:AJ48"/>
    <mergeCell ref="B53:L53"/>
    <mergeCell ref="B49:T49"/>
    <mergeCell ref="N30:Q30"/>
    <mergeCell ref="B31:X31"/>
    <mergeCell ref="Q8:V8"/>
    <mergeCell ref="B43:M43"/>
    <mergeCell ref="AJ62:AM62"/>
    <mergeCell ref="U50:Y50"/>
    <mergeCell ref="B41:L41"/>
    <mergeCell ref="B35:L35"/>
    <mergeCell ref="B37:Q37"/>
    <mergeCell ref="U24:AA24"/>
    <mergeCell ref="AC9:AF9"/>
    <mergeCell ref="N40:Q40"/>
    <mergeCell ref="AB52:AI53"/>
    <mergeCell ref="P24:S24"/>
    <mergeCell ref="AC8:AF8"/>
    <mergeCell ref="AJ73:AM73"/>
    <mergeCell ref="U48:X48"/>
    <mergeCell ref="M53:P53"/>
    <mergeCell ref="B58:L58"/>
    <mergeCell ref="G9:J9"/>
    <mergeCell ref="B52:L52"/>
    <mergeCell ref="B50:T50"/>
    <mergeCell ref="D14:AK14"/>
    <mergeCell ref="AL16:AM16"/>
    <mergeCell ref="B42:L42"/>
    <mergeCell ref="AJ71:AM71"/>
    <mergeCell ref="B72:AI72"/>
    <mergeCell ref="B70:AI70"/>
    <mergeCell ref="B73:AI73"/>
    <mergeCell ref="K22:S22"/>
    <mergeCell ref="D13:AK13"/>
    <mergeCell ref="B67:AI67"/>
    <mergeCell ref="B61:AI61"/>
    <mergeCell ref="N38:Q38"/>
    <mergeCell ref="AJ64:AM64"/>
    <mergeCell ref="AJ67:AM67"/>
    <mergeCell ref="AJ72:AM72"/>
    <mergeCell ref="B65:AI65"/>
    <mergeCell ref="BG4:BJ4"/>
    <mergeCell ref="B1:AM1"/>
    <mergeCell ref="B71:AI71"/>
    <mergeCell ref="N42:Q42"/>
    <mergeCell ref="AJ52:AK53"/>
    <mergeCell ref="B48:T48"/>
    <mergeCell ref="AJ66:AM66"/>
    <mergeCell ref="AL20:AM20"/>
    <mergeCell ref="U47:X47"/>
    <mergeCell ref="N39:Q39"/>
    <mergeCell ref="U22:AA23"/>
    <mergeCell ref="AH9:AK9"/>
    <mergeCell ref="B55:L55"/>
    <mergeCell ref="B5:F5"/>
    <mergeCell ref="U21:AA21"/>
    <mergeCell ref="B34:Q34"/>
    <mergeCell ref="B54:L54"/>
    <mergeCell ref="BC8:BF8"/>
    <mergeCell ref="M69:AM69"/>
    <mergeCell ref="B6:E6"/>
    <mergeCell ref="BH9:BK9"/>
    <mergeCell ref="T32:X32"/>
    <mergeCell ref="B11:AK11"/>
    <mergeCell ref="B56:L56"/>
    <mergeCell ref="BG3:BJ3"/>
    <mergeCell ref="M55:P55"/>
    <mergeCell ref="C18:AJ18"/>
    <mergeCell ref="N41:Q41"/>
    <mergeCell ref="B57:L57"/>
    <mergeCell ref="B2:AM2"/>
    <mergeCell ref="Y31:Z31"/>
    <mergeCell ref="B62:AI62"/>
    <mergeCell ref="B22:I23"/>
    <mergeCell ref="AL18:AM18"/>
    <mergeCell ref="B60:AM60"/>
    <mergeCell ref="BB18:BE18"/>
    <mergeCell ref="AK48:AM48"/>
    <mergeCell ref="AL17:AM17"/>
    <mergeCell ref="Y47:AJ47"/>
    <mergeCell ref="L8:O8"/>
    <mergeCell ref="B24:I24"/>
    <mergeCell ref="AK47:AM47"/>
    <mergeCell ref="C17:AK17"/>
    <mergeCell ref="BH8:BK8"/>
    <mergeCell ref="Z52:AA53"/>
    <mergeCell ref="K23:N23"/>
    <mergeCell ref="B9:E9"/>
    <mergeCell ref="L9:O9"/>
    <mergeCell ref="B4:E4"/>
    <mergeCell ref="M58:P58"/>
    <mergeCell ref="Q52:Y53"/>
    <mergeCell ref="BB3:BE3"/>
    <mergeCell ref="AL13:AM13"/>
    <mergeCell ref="U49:X49"/>
    <mergeCell ref="M52:P52"/>
    <mergeCell ref="AJ61:AM61"/>
    <mergeCell ref="AJ70:AM70"/>
    <mergeCell ref="H28:L28"/>
    <mergeCell ref="B8:E8"/>
    <mergeCell ref="P23:S23"/>
    <mergeCell ref="V5:AA5"/>
    <mergeCell ref="R35:AM35"/>
    <mergeCell ref="F4:AM4"/>
    <mergeCell ref="X8:AA8"/>
    <mergeCell ref="B46:T46"/>
    <mergeCell ref="AH8:AK8"/>
    <mergeCell ref="AX9:BA9"/>
    <mergeCell ref="B45:M45"/>
    <mergeCell ref="B69:L69"/>
    <mergeCell ref="B26:F27"/>
    <mergeCell ref="T5:U5"/>
    <mergeCell ref="BB4:BE4"/>
  </mergeCells>
  <conditionalFormatting sqref="F4">
    <cfRule type="cellIs" dxfId="1502" priority="31" operator="equal">
      <formula>0</formula>
    </cfRule>
  </conditionalFormatting>
  <conditionalFormatting sqref="G9">
    <cfRule type="cellIs" dxfId="1501" priority="24" operator="greaterThanOrEqual">
      <formula>0.5</formula>
    </cfRule>
  </conditionalFormatting>
  <conditionalFormatting sqref="L9">
    <cfRule type="cellIs" dxfId="1500" priority="23" operator="greaterThanOrEqual">
      <formula>0.25</formula>
    </cfRule>
  </conditionalFormatting>
  <conditionalFormatting sqref="AL13">
    <cfRule type="cellIs" dxfId="1499" priority="22" operator="equal">
      <formula>"No"</formula>
    </cfRule>
  </conditionalFormatting>
  <conditionalFormatting sqref="AL16:AL17">
    <cfRule type="cellIs" dxfId="1498" priority="19" operator="equal">
      <formula>"No"</formula>
    </cfRule>
  </conditionalFormatting>
  <conditionalFormatting sqref="AL18">
    <cfRule type="cellIs" dxfId="1497" priority="18" operator="equal">
      <formula>"No"</formula>
    </cfRule>
  </conditionalFormatting>
  <conditionalFormatting sqref="R35:AM35">
    <cfRule type="expression" dxfId="1496" priority="17">
      <formula>$N$35=0</formula>
    </cfRule>
  </conditionalFormatting>
  <conditionalFormatting sqref="B21:S21">
    <cfRule type="cellIs" dxfId="1495" priority="16" operator="equal">
      <formula>FALSE</formula>
    </cfRule>
  </conditionalFormatting>
  <conditionalFormatting sqref="BB4">
    <cfRule type="cellIs" dxfId="1494" priority="15" operator="greaterThanOrEqual">
      <formula>0.5</formula>
    </cfRule>
  </conditionalFormatting>
  <conditionalFormatting sqref="BG4">
    <cfRule type="cellIs" dxfId="1493" priority="14" operator="greaterThanOrEqual">
      <formula>0.25</formula>
    </cfRule>
  </conditionalFormatting>
  <conditionalFormatting sqref="BH9">
    <cfRule type="cellIs" dxfId="1492" priority="10" operator="greaterThanOrEqual">
      <formula>0.25</formula>
    </cfRule>
  </conditionalFormatting>
  <conditionalFormatting sqref="BC9">
    <cfRule type="cellIs" dxfId="1491" priority="9" operator="greaterThanOrEqual">
      <formula>0.5</formula>
    </cfRule>
  </conditionalFormatting>
  <conditionalFormatting sqref="AL20">
    <cfRule type="cellIs" dxfId="1490" priority="2" operator="equal">
      <formula>"No"</formula>
    </cfRule>
  </conditionalFormatting>
  <conditionalFormatting sqref="T32:X32">
    <cfRule type="expression" dxfId="1489" priority="1">
      <formula>"or($T$32="""",$T$32=""No"")"</formula>
    </cfRule>
  </conditionalFormatting>
  <dataValidations disablePrompts="1" count="2">
    <dataValidation type="list" allowBlank="1" showInputMessage="1" showErrorMessage="1" sqref="Y31 AL13:AM13 AL16:AM18 AL20:AM20" xr:uid="{00000000-0002-0000-0B00-000000000000}">
      <formula1>"Yes,No"</formula1>
    </dataValidation>
    <dataValidation type="whole" operator="greaterThanOrEqual" allowBlank="1" showInputMessage="1" showErrorMessage="1" sqref="T32" xr:uid="{00000000-0002-0000-0B00-000001000000}">
      <formula1>0</formula1>
    </dataValidation>
  </dataValidations>
  <hyperlinks>
    <hyperlink ref="C19" r:id="rId1" xr:uid="{00000000-0004-0000-0B00-000000000000}"/>
  </hyperlinks>
  <pageMargins left="0.7" right="0.7" top="0.75" bottom="0.75" header="0.3" footer="0.3"/>
  <pageSetup orientation="portrait"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5235F2-8BF8-4711-8732-1F4460EFFACE}">
  <sheetPr codeName="Sheet10"/>
  <dimension ref="A1:M72"/>
  <sheetViews>
    <sheetView showGridLines="0" topLeftCell="G1" zoomScaleNormal="100" workbookViewId="0">
      <selection activeCell="G1" sqref="G1"/>
    </sheetView>
  </sheetViews>
  <sheetFormatPr defaultColWidth="8.7109375" defaultRowHeight="12.75"/>
  <cols>
    <col min="1" max="1" width="64.28515625" style="852" customWidth="1"/>
    <col min="2" max="2" width="33.5703125" style="852" customWidth="1"/>
    <col min="3" max="3" width="2.7109375" style="852" hidden="1" customWidth="1"/>
    <col min="4" max="4" width="30" style="852" customWidth="1"/>
    <col min="5" max="5" width="20" style="852" customWidth="1"/>
    <col min="6" max="6" width="10" style="852" customWidth="1"/>
    <col min="7" max="7" width="24" style="852" customWidth="1"/>
    <col min="8" max="8" width="30" style="852" hidden="1" customWidth="1"/>
    <col min="9" max="13" width="8.7109375" style="852" hidden="1" customWidth="1"/>
    <col min="14" max="16384" width="8.7109375" style="852"/>
  </cols>
  <sheetData>
    <row r="1" spans="1:13" ht="52.5" customHeight="1">
      <c r="A1" s="2565" t="s">
        <v>1373</v>
      </c>
      <c r="B1" s="2538"/>
      <c r="C1" s="2538"/>
      <c r="D1" s="2538"/>
      <c r="E1" s="2539"/>
      <c r="H1" s="2563" t="s">
        <v>463</v>
      </c>
      <c r="I1" s="2563"/>
      <c r="J1" s="2563"/>
      <c r="K1" s="2563"/>
      <c r="L1" s="2563"/>
      <c r="M1" s="2563"/>
    </row>
    <row r="2" spans="1:13" ht="14.25" customHeight="1">
      <c r="A2" s="2566"/>
      <c r="B2" s="2567"/>
      <c r="C2" s="2567"/>
      <c r="D2" s="2567"/>
      <c r="E2" s="2568"/>
      <c r="H2" s="2564" t="s">
        <v>1374</v>
      </c>
      <c r="I2" s="2564"/>
      <c r="J2" s="2564"/>
      <c r="K2" s="2564"/>
      <c r="L2" s="2564"/>
      <c r="M2" s="2564"/>
    </row>
    <row r="3" spans="1:13" ht="7.5" customHeight="1">
      <c r="A3" s="853"/>
      <c r="E3" s="1678"/>
      <c r="H3" s="2564"/>
      <c r="I3" s="2564"/>
      <c r="J3" s="2564"/>
      <c r="K3" s="2564"/>
      <c r="L3" s="2564"/>
      <c r="M3" s="2564"/>
    </row>
    <row r="4" spans="1:13" ht="15.75" customHeight="1">
      <c r="A4" s="2569"/>
      <c r="B4" s="2567"/>
      <c r="C4" s="2567"/>
      <c r="D4" s="2567"/>
      <c r="E4" s="2568"/>
      <c r="H4" s="2564"/>
      <c r="I4" s="2564"/>
      <c r="J4" s="2564"/>
      <c r="K4" s="2564"/>
      <c r="L4" s="2564"/>
      <c r="M4" s="2564"/>
    </row>
    <row r="5" spans="1:13" ht="39" customHeight="1">
      <c r="A5" s="871" t="s">
        <v>1375</v>
      </c>
      <c r="B5" s="1570">
        <f>IFERROR('Development Budget'!D3,0)</f>
        <v>0</v>
      </c>
      <c r="C5" s="1590"/>
      <c r="D5" s="2557" t="s">
        <v>1376</v>
      </c>
      <c r="E5" s="2558"/>
      <c r="H5" s="2564" t="s">
        <v>1377</v>
      </c>
      <c r="I5" s="2564"/>
      <c r="J5" s="2564"/>
      <c r="K5" s="2564"/>
      <c r="L5" s="2564"/>
      <c r="M5" s="2564"/>
    </row>
    <row r="6" spans="1:13" ht="39" customHeight="1">
      <c r="A6" s="871" t="s">
        <v>1121</v>
      </c>
      <c r="B6" s="1676">
        <f>IFERROR('Development Sources'!H65, 0)</f>
        <v>0</v>
      </c>
      <c r="C6" s="1677"/>
      <c r="D6" s="2559" t="s">
        <v>1378</v>
      </c>
      <c r="E6" s="2560"/>
      <c r="H6" s="2564" t="s">
        <v>1379</v>
      </c>
      <c r="I6" s="2564"/>
      <c r="J6" s="2564"/>
      <c r="K6" s="2564"/>
      <c r="L6" s="2564"/>
      <c r="M6" s="2564"/>
    </row>
    <row r="7" spans="1:13" ht="39" customHeight="1">
      <c r="A7" s="871" t="s">
        <v>1122</v>
      </c>
      <c r="B7" s="2561">
        <f>IFERROR('Development Sources'!E66, 0)</f>
        <v>0</v>
      </c>
      <c r="C7" s="2562"/>
      <c r="D7" s="2559" t="s">
        <v>1380</v>
      </c>
      <c r="E7" s="2560"/>
      <c r="H7" s="1610"/>
      <c r="I7" s="1610"/>
      <c r="J7" s="1610"/>
      <c r="K7" s="1610"/>
      <c r="L7" s="1610"/>
      <c r="M7" s="1610"/>
    </row>
    <row r="8" spans="1:13" ht="12.75" hidden="1" customHeight="1">
      <c r="A8" s="853"/>
      <c r="E8" s="1678"/>
      <c r="H8" s="1610"/>
      <c r="I8" s="1610"/>
      <c r="J8" s="1610"/>
      <c r="K8" s="1610"/>
      <c r="L8" s="1610"/>
      <c r="M8" s="1610"/>
    </row>
    <row r="9" spans="1:13" ht="35.85" hidden="1" customHeight="1">
      <c r="A9" s="2534" t="s">
        <v>1381</v>
      </c>
      <c r="B9" s="2535"/>
      <c r="C9" s="2535"/>
      <c r="D9" s="2535"/>
      <c r="E9" s="2536"/>
      <c r="H9" s="1610"/>
      <c r="I9" s="1610"/>
      <c r="J9" s="1610"/>
      <c r="K9" s="1610"/>
      <c r="L9" s="1610"/>
      <c r="M9" s="1610"/>
    </row>
    <row r="10" spans="1:13" ht="24" hidden="1" customHeight="1">
      <c r="A10" s="870" t="s">
        <v>1382</v>
      </c>
      <c r="B10" s="870" t="s">
        <v>1383</v>
      </c>
      <c r="C10" s="870" t="s">
        <v>1384</v>
      </c>
      <c r="D10" s="870" t="s">
        <v>1385</v>
      </c>
      <c r="E10" s="870" t="s">
        <v>1386</v>
      </c>
      <c r="H10" s="1610"/>
      <c r="I10" s="1610"/>
      <c r="J10" s="1610"/>
      <c r="K10" s="1610"/>
      <c r="L10" s="1610"/>
      <c r="M10" s="1610"/>
    </row>
    <row r="11" spans="1:13" ht="53.85" hidden="1" customHeight="1">
      <c r="A11" s="856" t="s">
        <v>1387</v>
      </c>
      <c r="B11" s="857">
        <v>0</v>
      </c>
      <c r="C11" s="856" t="s">
        <v>1388</v>
      </c>
      <c r="D11" s="856" t="s">
        <v>1389</v>
      </c>
      <c r="E11" s="864"/>
      <c r="H11" s="1610"/>
      <c r="I11" s="1610"/>
      <c r="J11" s="1610"/>
      <c r="K11" s="1610"/>
      <c r="L11" s="1610"/>
      <c r="M11" s="1610"/>
    </row>
    <row r="12" spans="1:13" ht="53.85" hidden="1" customHeight="1">
      <c r="A12" s="856" t="s">
        <v>1390</v>
      </c>
      <c r="B12" s="857">
        <v>0</v>
      </c>
      <c r="C12" s="856" t="s">
        <v>1391</v>
      </c>
      <c r="D12" s="856" t="s">
        <v>1392</v>
      </c>
      <c r="E12" s="864"/>
      <c r="H12" s="1610"/>
      <c r="I12" s="1610"/>
      <c r="J12" s="1610"/>
      <c r="K12" s="1610"/>
      <c r="L12" s="1610"/>
      <c r="M12" s="1610"/>
    </row>
    <row r="13" spans="1:13" ht="53.85" hidden="1" customHeight="1">
      <c r="A13" s="856" t="s">
        <v>1393</v>
      </c>
      <c r="B13" s="857">
        <v>0</v>
      </c>
      <c r="C13" s="856" t="s">
        <v>1394</v>
      </c>
      <c r="D13" s="856" t="s">
        <v>1395</v>
      </c>
      <c r="E13" s="864"/>
      <c r="H13" s="1610"/>
      <c r="I13" s="1610"/>
      <c r="J13" s="1610"/>
      <c r="K13" s="1610"/>
      <c r="L13" s="1610"/>
      <c r="M13" s="1610"/>
    </row>
    <row r="14" spans="1:13" ht="53.85" hidden="1" customHeight="1">
      <c r="A14" s="856" t="s">
        <v>1396</v>
      </c>
      <c r="B14" s="857">
        <v>0</v>
      </c>
      <c r="C14" s="856" t="s">
        <v>1397</v>
      </c>
      <c r="D14" s="856" t="s">
        <v>1398</v>
      </c>
      <c r="E14" s="864"/>
      <c r="H14" s="1610"/>
      <c r="I14" s="1610"/>
      <c r="J14" s="1610"/>
      <c r="K14" s="1610"/>
      <c r="L14" s="1610"/>
      <c r="M14" s="1610"/>
    </row>
    <row r="15" spans="1:13">
      <c r="H15" s="1610"/>
      <c r="I15" s="1610"/>
      <c r="J15" s="1610"/>
      <c r="K15" s="1610"/>
      <c r="L15" s="1610"/>
      <c r="M15" s="1610"/>
    </row>
    <row r="16" spans="1:13" ht="15" customHeight="1">
      <c r="A16" s="2537" t="s">
        <v>1399</v>
      </c>
      <c r="B16" s="2538"/>
      <c r="C16" s="2538"/>
      <c r="D16" s="2538"/>
      <c r="E16" s="2539"/>
      <c r="H16" s="1610"/>
      <c r="I16" s="1610"/>
      <c r="J16" s="1610"/>
      <c r="K16" s="1610"/>
      <c r="L16" s="1610"/>
      <c r="M16" s="1610"/>
    </row>
    <row r="17" spans="1:13" ht="61.5" customHeight="1">
      <c r="A17" s="872" t="s">
        <v>1400</v>
      </c>
      <c r="B17" s="2543">
        <f>B5-B6</f>
        <v>0</v>
      </c>
      <c r="C17" s="2544"/>
      <c r="D17" s="1589" t="s">
        <v>1401</v>
      </c>
      <c r="E17" s="946" t="str">
        <f>IF(
AND(B24=0,B23=""),
"",
IF(
AND(
B24&gt;=B22,
B24&lt;=B21,
B23&lt;60%
),
"Meets Minimum Requirements",
"Ineligible"
))</f>
        <v/>
      </c>
      <c r="H17" s="1610"/>
      <c r="I17" s="1610"/>
      <c r="J17" s="1610"/>
      <c r="K17" s="1610"/>
      <c r="L17" s="1610"/>
      <c r="M17" s="1610"/>
    </row>
    <row r="18" spans="1:13">
      <c r="A18" s="853"/>
      <c r="E18" s="1678"/>
    </row>
    <row r="19" spans="1:13" ht="39" hidden="1" customHeight="1">
      <c r="A19" s="1596" t="s">
        <v>1402</v>
      </c>
      <c r="B19" s="1597">
        <f>B17</f>
        <v>0</v>
      </c>
      <c r="C19" s="873"/>
      <c r="D19" s="873"/>
    </row>
    <row r="20" spans="1:13" ht="39" customHeight="1">
      <c r="A20" s="1601" t="s">
        <v>1403</v>
      </c>
      <c r="B20" s="1602">
        <f>B7</f>
        <v>0</v>
      </c>
      <c r="C20" s="1603"/>
      <c r="D20" s="1603" t="s">
        <v>1404</v>
      </c>
      <c r="E20" s="1613" t="str" cm="1">
        <f t="array" ref="E20">_xlfn.IFNA(_xlfn.IFS($B$20=0,"Eligible Gap Request",B20&gt;0, "Funding Gap Unresolved",B20&lt;0, "Overfunded"),"")</f>
        <v>Eligible Gap Request</v>
      </c>
    </row>
    <row r="21" spans="1:13" ht="39" customHeight="1">
      <c r="A21" s="1598" t="s">
        <v>1405</v>
      </c>
      <c r="B21" s="1599">
        <v>15000000</v>
      </c>
      <c r="C21" s="1600"/>
      <c r="D21" s="1600" t="s">
        <v>1406</v>
      </c>
      <c r="E21" s="1600" t="s">
        <v>1407</v>
      </c>
    </row>
    <row r="22" spans="1:13" ht="39" customHeight="1">
      <c r="A22" s="920" t="s">
        <v>1408</v>
      </c>
      <c r="B22" s="1592">
        <v>3000000</v>
      </c>
      <c r="C22" s="874"/>
      <c r="D22" s="874" t="s">
        <v>1406</v>
      </c>
      <c r="E22" s="875" t="s">
        <v>1409</v>
      </c>
    </row>
    <row r="23" spans="1:13" ht="42" customHeight="1" thickBot="1">
      <c r="A23" s="921" t="s">
        <v>1410</v>
      </c>
      <c r="B23" s="1593" t="str">
        <f>IFERROR(SUM('Project Overview'!R190:V197, 'Project Overview'!W190:Z197,B17)/B5,"")</f>
        <v/>
      </c>
      <c r="C23" s="1594" t="s">
        <v>1411</v>
      </c>
      <c r="D23" s="874" t="s">
        <v>1406</v>
      </c>
      <c r="E23" s="1595" t="str">
        <f>IFERROR(IF(OR(B23="",NOT(ISNUMBER(B23))),"",IF(B23&gt;0.6,"Exceeds Limit","Acceptable")),"")</f>
        <v/>
      </c>
    </row>
    <row r="24" spans="1:13" ht="48.75" customHeight="1" thickTop="1" thickBot="1">
      <c r="A24" s="876" t="s">
        <v>1412</v>
      </c>
      <c r="B24" s="2540">
        <f>B19</f>
        <v>0</v>
      </c>
      <c r="C24" s="2541"/>
      <c r="D24" s="2542"/>
      <c r="E24" s="1604" t="str" cm="1">
        <f t="array" ref="E24">IF($B$24=0,"",
_xlfn.IFNA(_xlfn.IFS($B$24&lt;$B$22,"Below NOFA Minimum",$B$24&gt;$B$21,"Above NOFA Maximum"),""))</f>
        <v/>
      </c>
      <c r="F24" s="945"/>
    </row>
    <row r="25" spans="1:13" ht="13.5" thickTop="1"/>
    <row r="26" spans="1:13" ht="35.85" hidden="1" customHeight="1">
      <c r="A26" s="2534" t="s">
        <v>1413</v>
      </c>
      <c r="B26" s="2535"/>
      <c r="C26" s="2535"/>
      <c r="D26" s="2535"/>
      <c r="E26" s="2536"/>
      <c r="F26" s="1586"/>
    </row>
    <row r="27" spans="1:13" ht="24" hidden="1" customHeight="1">
      <c r="A27" s="919" t="s">
        <v>1382</v>
      </c>
      <c r="B27" s="919" t="s">
        <v>1414</v>
      </c>
      <c r="C27" s="919" t="s">
        <v>1415</v>
      </c>
      <c r="D27" s="919" t="s">
        <v>1416</v>
      </c>
      <c r="E27" s="919" t="s">
        <v>1386</v>
      </c>
    </row>
    <row r="28" spans="1:13" ht="39" hidden="1" customHeight="1">
      <c r="A28" s="921" t="s">
        <v>1417</v>
      </c>
      <c r="B28" s="954" t="str">
        <f>IFERROR(SUM('Project Overview'!R196:V203, 'Project Overview'!W196:Z203)/B5,"")</f>
        <v/>
      </c>
      <c r="C28" s="925" t="s">
        <v>1411</v>
      </c>
      <c r="D28" s="927" t="str">
        <f>IFERROR(IF(OR(B28="",NOT(ISNUMBER(B28))),"",IF(B28&gt;0.6,"Exceeds Limit","Acceptable")),"")</f>
        <v/>
      </c>
      <c r="E28" s="864"/>
    </row>
    <row r="29" spans="1:13" ht="39" hidden="1" customHeight="1">
      <c r="A29" s="921" t="s">
        <v>1410</v>
      </c>
      <c r="B29" s="1591" t="str">
        <f>IFERROR(SUM('Project Overview'!R196:V203, 'Project Overview'!W196:Z203,B24)/B5,"")</f>
        <v/>
      </c>
      <c r="C29" s="925" t="s">
        <v>1411</v>
      </c>
      <c r="D29" s="927" t="str">
        <f>IFERROR(IF(OR(B29="",NOT(ISNUMBER(B29))),"",IF(B29&gt;0.6,"Exceeds Limit","Acceptable")),"")</f>
        <v/>
      </c>
      <c r="E29" s="864"/>
    </row>
    <row r="30" spans="1:13" ht="39" hidden="1" customHeight="1">
      <c r="A30" s="921" t="s">
        <v>1418</v>
      </c>
      <c r="B30" s="955">
        <f>IFERROR(F30-(SUM('Project Overview'!R196:V203,'Project Overview'!W196:Z203)),"")</f>
        <v>0</v>
      </c>
      <c r="C30" s="925"/>
      <c r="D30" s="927" t="str">
        <f>IF(B30=0,"",IF(B24&gt;B30,"Exceeds Limit","Acceptable"))</f>
        <v/>
      </c>
      <c r="E30" s="864"/>
      <c r="F30" s="1493">
        <f>B5*59.999999%</f>
        <v>0</v>
      </c>
    </row>
    <row r="31" spans="1:13" ht="39" hidden="1" customHeight="1">
      <c r="A31" s="921" t="s">
        <v>1419</v>
      </c>
      <c r="B31" s="926" t="str">
        <f>IF(B39="","",
  IF(B39&lt;C38, "Over 10%", "10% or under")
)</f>
        <v/>
      </c>
      <c r="C31" s="925" t="s">
        <v>1411</v>
      </c>
      <c r="D31" s="927" t="str">
        <f>IF(B31="","",IF(B31&gt;0.1,"Exceeds Limit","Acceptable"))</f>
        <v/>
      </c>
      <c r="E31" s="864"/>
    </row>
    <row r="32" spans="1:13" ht="39" hidden="1" customHeight="1">
      <c r="A32" s="921" t="s">
        <v>1420</v>
      </c>
      <c r="B32" s="928"/>
      <c r="C32" s="925" t="s">
        <v>1411</v>
      </c>
      <c r="D32" s="927" t="str">
        <f>IF(B32="","",IF(B32="Different","Must Remain The Same","Acceptable"))</f>
        <v/>
      </c>
      <c r="E32" s="864"/>
    </row>
    <row r="33" spans="1:5" ht="12.75" hidden="1" customHeight="1">
      <c r="A33" s="917"/>
      <c r="B33" s="918"/>
      <c r="C33" s="917"/>
      <c r="D33" s="917"/>
      <c r="E33" s="917"/>
    </row>
    <row r="34" spans="1:5" ht="35.85" hidden="1" customHeight="1">
      <c r="A34" s="2534" t="s">
        <v>1421</v>
      </c>
      <c r="B34" s="2535"/>
      <c r="C34" s="2535"/>
      <c r="D34" s="2535"/>
      <c r="E34" s="2536"/>
    </row>
    <row r="35" spans="1:5" ht="24" hidden="1" customHeight="1">
      <c r="A35" s="870" t="s">
        <v>1382</v>
      </c>
      <c r="B35" s="870" t="s">
        <v>1414</v>
      </c>
      <c r="C35" s="870" t="s">
        <v>1422</v>
      </c>
      <c r="D35" s="870" t="s">
        <v>1416</v>
      </c>
      <c r="E35" s="870" t="s">
        <v>1386</v>
      </c>
    </row>
    <row r="36" spans="1:5" ht="39" hidden="1" customHeight="1">
      <c r="A36" s="856" t="s">
        <v>1423</v>
      </c>
      <c r="B36" s="930"/>
      <c r="C36" s="931">
        <f>B36*1.1</f>
        <v>0</v>
      </c>
      <c r="D36" s="927" t="str">
        <f>IF(C36=0,"",IF(C36&gt;0.1,"Exceeds Limit", "Acceptable"))</f>
        <v/>
      </c>
      <c r="E36" s="864"/>
    </row>
    <row r="37" spans="1:5" ht="39" hidden="1" customHeight="1">
      <c r="A37" s="856" t="s">
        <v>1424</v>
      </c>
      <c r="B37" s="930"/>
      <c r="C37" s="931">
        <f>B37*1.1</f>
        <v>0</v>
      </c>
      <c r="D37" s="927" t="str">
        <f>IF(C37=0,"",IF(C37&gt;0.1,"Exceeds Limit", "Acceptable"))</f>
        <v/>
      </c>
      <c r="E37" s="864"/>
    </row>
    <row r="38" spans="1:5" ht="39" hidden="1" customHeight="1">
      <c r="A38" s="856" t="s">
        <v>1425</v>
      </c>
      <c r="B38" s="923"/>
      <c r="C38" s="929">
        <f>B38*0.9</f>
        <v>0</v>
      </c>
      <c r="D38" s="927"/>
      <c r="E38" s="864"/>
    </row>
    <row r="39" spans="1:5" ht="39" hidden="1" customHeight="1">
      <c r="A39" s="856" t="s">
        <v>1426</v>
      </c>
      <c r="B39" s="922"/>
      <c r="C39" s="932"/>
      <c r="D39" s="927" t="str">
        <f>IF(B39="","",IF(B39&lt;C38, "Over 10% Decrease Limit", "Acceptable"))</f>
        <v/>
      </c>
      <c r="E39" s="864"/>
    </row>
    <row r="40" spans="1:5" ht="39" hidden="1" customHeight="1">
      <c r="A40" s="856" t="s">
        <v>1427</v>
      </c>
      <c r="B40" s="924">
        <f>(C36-B36)+(B37)*0.04*10*(B38)-(C37)*0.04*10*(C38)</f>
        <v>0</v>
      </c>
      <c r="C40" s="925"/>
      <c r="D40" s="927" t="str">
        <f>IF(B40=0,"",IF(B40=B24, "Matches Recommended Award", "Inconsistent With Above"))</f>
        <v/>
      </c>
      <c r="E40" s="864"/>
    </row>
    <row r="41" spans="1:5" ht="53.85" hidden="1" customHeight="1">
      <c r="A41" s="917"/>
      <c r="B41" s="918"/>
      <c r="C41" s="917"/>
      <c r="D41" s="917"/>
      <c r="E41" s="917"/>
    </row>
    <row r="42" spans="1:5" hidden="1">
      <c r="A42" s="2551" t="s">
        <v>1428</v>
      </c>
      <c r="B42" s="2552"/>
      <c r="C42" s="2552"/>
      <c r="D42" s="2552"/>
      <c r="E42" s="2553"/>
    </row>
    <row r="43" spans="1:5" hidden="1">
      <c r="A43" s="854" t="s">
        <v>1429</v>
      </c>
      <c r="B43" s="858"/>
      <c r="C43" s="865" t="s">
        <v>1430</v>
      </c>
      <c r="D43" s="878" t="s">
        <v>1431</v>
      </c>
      <c r="E43" s="877"/>
    </row>
    <row r="44" spans="1:5" hidden="1">
      <c r="A44" s="853"/>
      <c r="E44" s="1678"/>
    </row>
    <row r="45" spans="1:5" hidden="1">
      <c r="A45" s="2554" t="s">
        <v>1432</v>
      </c>
      <c r="B45" s="2555"/>
      <c r="C45" s="2555"/>
      <c r="D45" s="2555"/>
      <c r="E45" s="2556"/>
    </row>
    <row r="46" spans="1:5" hidden="1">
      <c r="A46" s="853" t="s">
        <v>1433</v>
      </c>
      <c r="B46" s="859">
        <v>0</v>
      </c>
      <c r="D46" s="878" t="s">
        <v>1434</v>
      </c>
      <c r="E46" s="858"/>
    </row>
    <row r="47" spans="1:5" hidden="1">
      <c r="A47" s="853" t="s">
        <v>1435</v>
      </c>
      <c r="B47" s="879">
        <v>0</v>
      </c>
      <c r="E47" s="1678"/>
    </row>
    <row r="48" spans="1:5" hidden="1">
      <c r="A48" s="853" t="s">
        <v>1436</v>
      </c>
      <c r="B48" s="867">
        <f>'Project Overview'!T208</f>
        <v>0</v>
      </c>
      <c r="C48" s="884" t="s">
        <v>1437</v>
      </c>
      <c r="E48" s="1678"/>
    </row>
    <row r="49" spans="1:5" hidden="1">
      <c r="A49" s="853" t="s">
        <v>1438</v>
      </c>
      <c r="B49" s="891">
        <f>'Project Overview'!T209</f>
        <v>0</v>
      </c>
      <c r="C49" s="893" t="str">
        <f>IF(OR(E46="",E46=0,B5=""),"", (B5-E46)/E46)</f>
        <v/>
      </c>
      <c r="D49" s="881" t="str">
        <f>IF(C49="","",IF(C49&gt;10%,"Over 10%",""))</f>
        <v/>
      </c>
      <c r="E49" s="882" t="s">
        <v>1439</v>
      </c>
    </row>
    <row r="50" spans="1:5" hidden="1">
      <c r="A50" s="853" t="s">
        <v>1440</v>
      </c>
      <c r="B50" s="860">
        <v>0</v>
      </c>
      <c r="C50" s="892" t="str">
        <f>IFERROR((B50-B52)/B52,"")</f>
        <v/>
      </c>
      <c r="D50" s="881" t="str">
        <f>IF(C50="","",IF(C50&gt;10%,"Over 10%",""))</f>
        <v/>
      </c>
      <c r="E50" s="1678"/>
    </row>
    <row r="51" spans="1:5" hidden="1">
      <c r="A51" s="853" t="s">
        <v>1441</v>
      </c>
      <c r="B51" s="860">
        <v>0</v>
      </c>
      <c r="C51" s="883" t="str">
        <f>IFERROR((B51-B53)/B53,"")</f>
        <v/>
      </c>
      <c r="D51" s="882" t="str">
        <f>IF(C51="","",IF(C51&gt;10%,"Over 10%",""))</f>
        <v/>
      </c>
      <c r="E51" s="1678"/>
    </row>
    <row r="52" spans="1:5" hidden="1">
      <c r="A52" s="853" t="s">
        <v>1442</v>
      </c>
      <c r="B52" s="866">
        <f>'Project Overview'!AF208</f>
        <v>0</v>
      </c>
      <c r="C52" s="852" t="s">
        <v>1443</v>
      </c>
      <c r="E52" s="1678"/>
    </row>
    <row r="53" spans="1:5" hidden="1">
      <c r="A53" s="853" t="s">
        <v>1444</v>
      </c>
      <c r="B53" s="866">
        <f>'Project Overview'!AF209</f>
        <v>0</v>
      </c>
      <c r="C53" s="852" t="s">
        <v>1443</v>
      </c>
      <c r="E53" s="1678"/>
    </row>
    <row r="54" spans="1:5" hidden="1">
      <c r="A54" s="853" t="s">
        <v>1445</v>
      </c>
      <c r="B54" s="867">
        <f>IF($B$46=0,0,$B$46*$B$50) + IF($B$47=0,0,$B$47*$B$51)</f>
        <v>0</v>
      </c>
      <c r="E54" s="1678"/>
    </row>
    <row r="55" spans="1:5" hidden="1">
      <c r="A55" s="853" t="s">
        <v>1446</v>
      </c>
      <c r="B55" s="867">
        <f>IF($B$48=0,0,$B$48*$B$52) + IF($B$49=0,0,$B$49*$B$53)</f>
        <v>0</v>
      </c>
      <c r="C55" s="867">
        <f>'Project Overview'!T208+'Project Overview'!T209</f>
        <v>0</v>
      </c>
      <c r="D55" s="852" t="s">
        <v>1447</v>
      </c>
      <c r="E55" s="1678"/>
    </row>
    <row r="56" spans="1:5" hidden="1">
      <c r="A56" s="853" t="s">
        <v>1448</v>
      </c>
      <c r="B56" s="861">
        <f>MAX(0,$B$54-$B$55)</f>
        <v>0</v>
      </c>
      <c r="E56" s="1678"/>
    </row>
    <row r="57" spans="1:5" hidden="1">
      <c r="A57" s="853"/>
      <c r="E57" s="1678"/>
    </row>
    <row r="58" spans="1:5" hidden="1">
      <c r="A58" s="2554" t="s">
        <v>1449</v>
      </c>
      <c r="B58" s="2555"/>
      <c r="C58" s="2555"/>
      <c r="D58" s="2555"/>
      <c r="E58" s="2556"/>
    </row>
    <row r="59" spans="1:5" hidden="1">
      <c r="A59" s="853" t="s">
        <v>1450</v>
      </c>
      <c r="B59" s="859">
        <v>0</v>
      </c>
      <c r="E59" s="1678"/>
    </row>
    <row r="60" spans="1:5" hidden="1">
      <c r="A60" s="853" t="s">
        <v>1451</v>
      </c>
      <c r="B60" s="863">
        <v>0</v>
      </c>
      <c r="E60" s="1678"/>
    </row>
    <row r="61" spans="1:5" hidden="1">
      <c r="A61" s="853" t="s">
        <v>1452</v>
      </c>
      <c r="B61" s="868">
        <f>'Project Overview'!T208+'Project Overview'!T209</f>
        <v>0</v>
      </c>
      <c r="C61" s="852" t="s">
        <v>1443</v>
      </c>
      <c r="E61" s="1678"/>
    </row>
    <row r="62" spans="1:5" hidden="1">
      <c r="A62" s="853" t="s">
        <v>1453</v>
      </c>
      <c r="B62" s="867">
        <f>B60-B61</f>
        <v>0</v>
      </c>
      <c r="E62" s="1678"/>
    </row>
    <row r="63" spans="1:5" hidden="1">
      <c r="A63" s="853" t="s">
        <v>1454</v>
      </c>
      <c r="B63" s="859">
        <v>0</v>
      </c>
      <c r="E63" s="1678"/>
    </row>
    <row r="64" spans="1:5" hidden="1">
      <c r="A64" s="853" t="s">
        <v>1455</v>
      </c>
      <c r="B64" s="861">
        <f>B59+B62+B63</f>
        <v>0</v>
      </c>
      <c r="E64" s="1678"/>
    </row>
    <row r="65" spans="1:5" hidden="1">
      <c r="A65" s="853"/>
      <c r="E65" s="1678"/>
    </row>
    <row r="66" spans="1:5" hidden="1">
      <c r="A66" s="2545" t="s">
        <v>1456</v>
      </c>
      <c r="B66" s="2546"/>
      <c r="C66" s="2546"/>
      <c r="D66" s="2546"/>
      <c r="E66" s="2547"/>
    </row>
    <row r="67" spans="1:5" hidden="1">
      <c r="A67" s="854" t="s">
        <v>1457</v>
      </c>
      <c r="B67" s="869">
        <f>$B$56</f>
        <v>0</v>
      </c>
      <c r="E67" s="1678"/>
    </row>
    <row r="68" spans="1:5" hidden="1">
      <c r="A68" s="854" t="s">
        <v>1458</v>
      </c>
      <c r="B68" s="869">
        <f>B64</f>
        <v>0</v>
      </c>
      <c r="E68" s="1678"/>
    </row>
    <row r="69" spans="1:5" hidden="1">
      <c r="A69" s="1118" t="s">
        <v>1459</v>
      </c>
      <c r="B69" s="862">
        <f>IF(Priority_Selected="Tier 1 – Pricing reduction (credit equity drop)",$B$67,$B$68)</f>
        <v>0</v>
      </c>
      <c r="C69" s="1674"/>
      <c r="D69" s="1674"/>
      <c r="E69" s="1675"/>
    </row>
    <row r="70" spans="1:5" hidden="1"/>
    <row r="71" spans="1:5" hidden="1">
      <c r="A71" s="855" t="s">
        <v>1460</v>
      </c>
    </row>
    <row r="72" spans="1:5" ht="113.85" hidden="1" customHeight="1">
      <c r="A72" s="2548"/>
      <c r="B72" s="2549"/>
      <c r="C72" s="2549"/>
      <c r="D72" s="2549"/>
      <c r="E72" s="2550"/>
    </row>
  </sheetData>
  <sheetProtection algorithmName="SHA-512" hashValue="YaS4W+iE0mA6GKk73t/fcivUNOLmKHZhV8w2BrcCYeeHLAOE0M3ifeQND7ZsWWsBI1sGRJm4Krpbp6i2mZyuXw==" saltValue="e+Oxh2Aa8oNBiQwTZkbLqw==" spinCount="100000" sheet="1" objects="1" scenarios="1"/>
  <protectedRanges>
    <protectedRange sqref="B63" name="Range6"/>
    <protectedRange sqref="B50:B51" name="Range4"/>
    <protectedRange sqref="E11:E14 E36:E41 E28:E33" name="Range2"/>
    <protectedRange sqref="B11:B14 B36:B41" name="Range1"/>
    <protectedRange sqref="B46:B47" name="Range3"/>
    <protectedRange sqref="B59:B60" name="Range5"/>
    <protectedRange sqref="A72:E72" name="Range7"/>
  </protectedRanges>
  <mergeCells count="22">
    <mergeCell ref="D5:E5"/>
    <mergeCell ref="D6:E6"/>
    <mergeCell ref="B7:C7"/>
    <mergeCell ref="D7:E7"/>
    <mergeCell ref="H1:M1"/>
    <mergeCell ref="H5:M5"/>
    <mergeCell ref="A1:E1"/>
    <mergeCell ref="A2:E2"/>
    <mergeCell ref="A4:E4"/>
    <mergeCell ref="H2:M4"/>
    <mergeCell ref="H6:M6"/>
    <mergeCell ref="A72:E72"/>
    <mergeCell ref="A26:E26"/>
    <mergeCell ref="A34:E34"/>
    <mergeCell ref="A42:E42"/>
    <mergeCell ref="A45:E45"/>
    <mergeCell ref="A58:E58"/>
    <mergeCell ref="A9:E9"/>
    <mergeCell ref="A16:E16"/>
    <mergeCell ref="B24:D24"/>
    <mergeCell ref="B17:C17"/>
    <mergeCell ref="A66:E66"/>
  </mergeCells>
  <conditionalFormatting sqref="E24">
    <cfRule type="containsText" dxfId="1488" priority="29" operator="containsText" text="Above NOFA Maximum">
      <formula>NOT(ISERROR(SEARCH("Above NOFA Maximum",E24)))</formula>
    </cfRule>
    <cfRule type="containsText" dxfId="1487" priority="30" operator="containsText" text="Below NOFA Minimum">
      <formula>NOT(ISERROR(SEARCH("Below NOFA Minimum",E24)))</formula>
    </cfRule>
  </conditionalFormatting>
  <conditionalFormatting sqref="E20">
    <cfRule type="containsText" dxfId="1486" priority="2" operator="containsText" text="Eligible Gap Request">
      <formula>NOT(ISERROR(SEARCH("Eligible Gap Request",E20)))</formula>
    </cfRule>
    <cfRule type="containsText" dxfId="1485" priority="28" operator="containsText" text="Funding Gap Unresolved">
      <formula>NOT(ISERROR(SEARCH("Funding Gap Unresolved",E20)))</formula>
    </cfRule>
    <cfRule type="containsText" dxfId="1484" priority="1" operator="containsText" text="Overfunded">
      <formula>NOT(ISERROR(SEARCH("Overfunded",E20)))</formula>
    </cfRule>
  </conditionalFormatting>
  <conditionalFormatting sqref="D49:D51">
    <cfRule type="containsText" dxfId="1483" priority="26" operator="containsText" text="Over 15%">
      <formula>NOT(ISERROR(SEARCH("Over 15%",D49)))</formula>
    </cfRule>
    <cfRule type="containsText" dxfId="1482" priority="27" operator="containsText" text="Under 10%">
      <formula>NOT(ISERROR(SEARCH("Under 10%",D49)))</formula>
    </cfRule>
  </conditionalFormatting>
  <conditionalFormatting sqref="B24">
    <cfRule type="expression" dxfId="1481" priority="7">
      <formula>AND(B24&gt;0,B24&lt;3000000)</formula>
    </cfRule>
    <cfRule type="cellIs" dxfId="1480" priority="25" operator="greaterThan">
      <formula>15000000</formula>
    </cfRule>
  </conditionalFormatting>
  <conditionalFormatting sqref="D32">
    <cfRule type="containsText" dxfId="1479" priority="17" operator="containsText" text="Acceptable">
      <formula>NOT(ISERROR(SEARCH("Acceptable",D32)))</formula>
    </cfRule>
    <cfRule type="containsText" dxfId="1478" priority="18" operator="containsText" text="Must remain the same">
      <formula>NOT(ISERROR(SEARCH("Must remain the same",D32)))</formula>
    </cfRule>
  </conditionalFormatting>
  <conditionalFormatting sqref="D28:D31">
    <cfRule type="containsText" dxfId="1477" priority="19" operator="containsText" text="Acceptable">
      <formula>NOT(ISERROR(SEARCH("Acceptable",D28)))</formula>
    </cfRule>
    <cfRule type="containsText" dxfId="1476" priority="20" operator="containsText" text="Exceeds Limit">
      <formula>NOT(ISERROR(SEARCH("Exceeds Limit",D28)))</formula>
    </cfRule>
  </conditionalFormatting>
  <conditionalFormatting sqref="D39">
    <cfRule type="containsText" dxfId="1475" priority="14" operator="containsText" text="Acceptable">
      <formula>NOT(ISERROR(SEARCH("Acceptable",D39)))</formula>
    </cfRule>
    <cfRule type="containsText" dxfId="1474" priority="15" operator="containsText" text="Over 10% Decrease Limit">
      <formula>NOT(ISERROR(SEARCH("Over 10% Decrease Limit",D39)))</formula>
    </cfRule>
  </conditionalFormatting>
  <conditionalFormatting sqref="D40">
    <cfRule type="containsText" dxfId="1473" priority="12" operator="containsText" text="Matches Recommended Award">
      <formula>NOT(ISERROR(SEARCH("Matches Recommended Award",D40)))</formula>
    </cfRule>
    <cfRule type="containsText" dxfId="1472" priority="13" operator="containsText" text="Inconsistent With Above">
      <formula>NOT(ISERROR(SEARCH("Inconsistent With Above",D40)))</formula>
    </cfRule>
  </conditionalFormatting>
  <conditionalFormatting sqref="D36:D37">
    <cfRule type="containsText" dxfId="1471" priority="10" operator="containsText" text="Acceptable">
      <formula>NOT(ISERROR(SEARCH("Acceptable",D36)))</formula>
    </cfRule>
    <cfRule type="containsText" dxfId="1470" priority="11" operator="containsText" text="Exceeds Limit">
      <formula>NOT(ISERROR(SEARCH("Exceeds Limit",D36)))</formula>
    </cfRule>
  </conditionalFormatting>
  <conditionalFormatting sqref="E17">
    <cfRule type="containsText" dxfId="1469" priority="8" operator="containsText" text="Meets Minimum Requirements">
      <formula>NOT(ISERROR(SEARCH("Meets Minimum Requirements",E17)))</formula>
    </cfRule>
    <cfRule type="containsText" dxfId="1468" priority="9" operator="containsText" text="Ineligible">
      <formula>NOT(ISERROR(SEARCH("Ineligible",E17)))</formula>
    </cfRule>
  </conditionalFormatting>
  <conditionalFormatting sqref="E23">
    <cfRule type="containsText" dxfId="1467" priority="3" operator="containsText" text="Acceptable">
      <formula>NOT(ISERROR(SEARCH("Acceptable",E23)))</formula>
    </cfRule>
    <cfRule type="containsText" dxfId="1466" priority="4" operator="containsText" text="Exceeds Limit">
      <formula>NOT(ISERROR(SEARCH("Exceeds Limit",E23)))</formula>
    </cfRule>
  </conditionalFormatting>
  <dataValidations count="1">
    <dataValidation type="list" allowBlank="1" showInputMessage="1" showErrorMessage="1" sqref="B32" xr:uid="{5FF34375-6EB9-485F-AD6B-8A6D1425A99B}">
      <formula1>"Same, Different"</formula1>
    </dataValidation>
  </dataValidations>
  <pageMargins left="0.75" right="0.75" top="1" bottom="1" header="0.5" footer="0.5"/>
  <pageSetup scale="8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944149" r:id="rId4" name="Button 21">
              <controlPr defaultSize="0" print="0" autoFill="0" autoPict="0" macro="[0]!ShowGapInstructionSection">
                <anchor moveWithCells="1" sizeWithCells="1">
                  <from>
                    <xdr:col>6</xdr:col>
                    <xdr:colOff>104775</xdr:colOff>
                    <xdr:row>0</xdr:row>
                    <xdr:rowOff>95250</xdr:rowOff>
                  </from>
                  <to>
                    <xdr:col>6</xdr:col>
                    <xdr:colOff>1543050</xdr:colOff>
                    <xdr:row>0</xdr:row>
                    <xdr:rowOff>647700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Units"/>
  <dimension ref="A1:EL668"/>
  <sheetViews>
    <sheetView showGridLines="0" zoomScaleNormal="100" workbookViewId="0">
      <pane xSplit="11" ySplit="9" topLeftCell="AD10" activePane="bottomRight" state="frozen"/>
      <selection pane="topRight"/>
      <selection pane="bottomLeft"/>
      <selection pane="bottomRight" activeCell="BG1" sqref="BG1:DH1048576"/>
    </sheetView>
  </sheetViews>
  <sheetFormatPr defaultColWidth="9.28515625" defaultRowHeight="18" customHeight="1"/>
  <cols>
    <col min="1" max="1" width="3.7109375" style="311" customWidth="1"/>
    <col min="2" max="4" width="8.7109375" style="310" customWidth="1"/>
    <col min="5" max="9" width="8.7109375" style="310" hidden="1" customWidth="1"/>
    <col min="10" max="10" width="6.7109375" style="310" hidden="1" customWidth="1"/>
    <col min="11" max="11" width="6" style="310" hidden="1" customWidth="1"/>
    <col min="12" max="12" width="7.5703125" style="310" hidden="1" customWidth="1"/>
    <col min="13" max="16" width="6" style="310" hidden="1" customWidth="1"/>
    <col min="17" max="17" width="8.28515625" style="310" hidden="1" customWidth="1"/>
    <col min="18" max="18" width="4.5703125" style="310" hidden="1" customWidth="1"/>
    <col min="19" max="20" width="7.5703125" style="310" hidden="1" customWidth="1"/>
    <col min="21" max="23" width="6" style="310" hidden="1" customWidth="1"/>
    <col min="24" max="24" width="4.5703125" style="310" hidden="1" customWidth="1"/>
    <col min="25" max="27" width="7.5703125" style="310" hidden="1" customWidth="1"/>
    <col min="28" max="29" width="8.7109375" style="310" hidden="1" customWidth="1"/>
    <col min="30" max="30" width="8.7109375" style="310" customWidth="1"/>
    <col min="31" max="31" width="6" style="310" hidden="1" customWidth="1"/>
    <col min="32" max="33" width="5.7109375" style="310" hidden="1" customWidth="1"/>
    <col min="34" max="34" width="14.42578125" style="310" hidden="1" customWidth="1"/>
    <col min="35" max="40" width="16.5703125" style="310" hidden="1" customWidth="1"/>
    <col min="41" max="41" width="11.5703125" style="310" customWidth="1"/>
    <col min="42" max="42" width="11.28515625" style="310" customWidth="1"/>
    <col min="43" max="48" width="11.7109375" style="310" customWidth="1"/>
    <col min="49" max="49" width="10.7109375" style="310" customWidth="1"/>
    <col min="50" max="50" width="14.28515625" style="310" customWidth="1"/>
    <col min="51" max="51" width="8.7109375" style="310" customWidth="1"/>
    <col min="52" max="52" width="11.42578125" style="310" customWidth="1"/>
    <col min="53" max="53" width="13.42578125" style="310" customWidth="1"/>
    <col min="54" max="54" width="10.5703125" style="310" customWidth="1"/>
    <col min="55" max="55" width="14.5703125" style="310" customWidth="1"/>
    <col min="56" max="56" width="11" style="310" customWidth="1"/>
    <col min="57" max="57" width="11.42578125" style="310" customWidth="1"/>
    <col min="58" max="58" width="14.5703125" style="310" customWidth="1"/>
    <col min="59" max="59" width="7" style="310" hidden="1" customWidth="1"/>
    <col min="60" max="61" width="9.28515625" style="310" hidden="1" customWidth="1"/>
    <col min="62" max="64" width="5.7109375" style="310" hidden="1" customWidth="1"/>
    <col min="65" max="65" width="9.28515625" style="310" hidden="1" customWidth="1"/>
    <col min="66" max="66" width="10.7109375" style="310" hidden="1" customWidth="1"/>
    <col min="67" max="67" width="5.42578125" style="310" hidden="1" customWidth="1"/>
    <col min="68" max="68" width="21.42578125" style="310" hidden="1" customWidth="1"/>
    <col min="69" max="69" width="9.28515625" style="369" hidden="1" customWidth="1"/>
    <col min="70" max="73" width="10.7109375" style="369" hidden="1" customWidth="1"/>
    <col min="74" max="74" width="12.7109375" style="369" hidden="1" customWidth="1"/>
    <col min="75" max="75" width="3.7109375" style="78" hidden="1" customWidth="1"/>
    <col min="76" max="76" width="24.42578125" style="81" hidden="1" customWidth="1"/>
    <col min="77" max="84" width="13.7109375" style="78" hidden="1" customWidth="1"/>
    <col min="85" max="85" width="9.28515625" style="78" hidden="1" customWidth="1"/>
    <col min="86" max="86" width="11.5703125" style="78" hidden="1" customWidth="1"/>
    <col min="87" max="87" width="24.42578125" style="78" hidden="1" customWidth="1"/>
    <col min="88" max="94" width="11.5703125" style="78" hidden="1" customWidth="1"/>
    <col min="95" max="95" width="5.7109375" style="310" hidden="1" customWidth="1"/>
    <col min="96" max="96" width="10.28515625" style="310" hidden="1" customWidth="1"/>
    <col min="97" max="97" width="12.5703125" style="310" hidden="1" customWidth="1"/>
    <col min="98" max="98" width="12.7109375" style="310" hidden="1" customWidth="1"/>
    <col min="99" max="99" width="11.28515625" style="310" hidden="1" customWidth="1"/>
    <col min="100" max="100" width="2.7109375" style="310" hidden="1" customWidth="1"/>
    <col min="101" max="101" width="15.28515625" style="310" hidden="1" customWidth="1"/>
    <col min="102" max="102" width="21.5703125" style="310" hidden="1" customWidth="1"/>
    <col min="103" max="103" width="9" style="310" hidden="1" customWidth="1"/>
    <col min="104" max="104" width="9.7109375" style="310" hidden="1" customWidth="1"/>
    <col min="105" max="105" width="18" style="310" hidden="1" customWidth="1"/>
    <col min="106" max="106" width="9.28515625" style="310" hidden="1" customWidth="1"/>
    <col min="107" max="107" width="10.28515625" style="310" hidden="1" customWidth="1"/>
    <col min="108" max="108" width="11.5703125" style="310" hidden="1" customWidth="1"/>
    <col min="109" max="109" width="9.28515625" style="310" hidden="1" customWidth="1"/>
    <col min="110" max="112" width="0" style="310" hidden="1" customWidth="1"/>
    <col min="113" max="16384" width="9.28515625" style="310"/>
  </cols>
  <sheetData>
    <row r="1" spans="1:108" s="78" customFormat="1" ht="15" customHeight="1">
      <c r="A1" s="349" t="str">
        <f>IF(IsMhp,"MHP","")</f>
        <v>MHP</v>
      </c>
      <c r="B1" s="2664" t="s">
        <v>1461</v>
      </c>
      <c r="C1" s="2581"/>
      <c r="D1" s="2581"/>
      <c r="E1" s="1119"/>
      <c r="F1" s="636"/>
      <c r="G1" s="636"/>
      <c r="H1" s="636"/>
      <c r="I1" s="636"/>
      <c r="J1" s="587"/>
      <c r="K1" s="636"/>
      <c r="L1" s="636"/>
      <c r="M1" s="587"/>
      <c r="N1" s="636"/>
      <c r="O1" s="636"/>
      <c r="P1" s="636"/>
      <c r="Q1" s="587"/>
      <c r="R1" s="636"/>
      <c r="S1" s="636"/>
      <c r="T1" s="636"/>
      <c r="U1" s="587"/>
      <c r="V1" s="636"/>
      <c r="W1" s="636"/>
      <c r="X1" s="636"/>
      <c r="Y1" s="587"/>
      <c r="Z1" s="636"/>
      <c r="AA1" s="636"/>
      <c r="AB1" s="636"/>
      <c r="AC1" s="587"/>
      <c r="AD1" s="636"/>
      <c r="AE1" s="636"/>
      <c r="AF1" s="636"/>
      <c r="AG1" s="587"/>
      <c r="AH1" s="636"/>
      <c r="AI1" s="636"/>
      <c r="AJ1" s="636"/>
      <c r="AK1" s="587"/>
      <c r="AL1" s="636"/>
      <c r="AM1" s="636"/>
      <c r="AN1" s="636"/>
      <c r="AO1" s="587"/>
      <c r="AP1" s="636"/>
      <c r="AQ1" s="636"/>
      <c r="AR1" s="587"/>
      <c r="AS1" s="636"/>
      <c r="AT1" s="636"/>
      <c r="AU1" s="587"/>
      <c r="AV1" s="636"/>
      <c r="AW1" s="636"/>
      <c r="AX1" s="832"/>
      <c r="AY1" s="636"/>
      <c r="AZ1" s="636"/>
      <c r="BA1" s="587"/>
      <c r="BB1" s="636"/>
      <c r="BC1" s="636"/>
      <c r="BD1" s="587"/>
      <c r="BE1" s="636"/>
      <c r="BF1" s="636"/>
      <c r="BG1" s="1615"/>
      <c r="BX1" s="936" t="s">
        <v>1462</v>
      </c>
      <c r="BY1" s="2654" t="s">
        <v>1463</v>
      </c>
      <c r="BZ1" s="1777"/>
      <c r="CA1" s="1777"/>
      <c r="CB1" s="1777"/>
      <c r="CC1" s="1778"/>
      <c r="CD1" s="2652" t="s">
        <v>1464</v>
      </c>
      <c r="CE1" s="1778"/>
      <c r="CF1" s="1120" t="e">
        <f>MATCH(County,IncomeLimitsTbl[County],0)</f>
        <v>#N/A</v>
      </c>
      <c r="CH1" s="2581"/>
      <c r="CI1" s="2581"/>
      <c r="CJ1" s="2581"/>
      <c r="CK1" s="2581"/>
      <c r="CL1" s="2581"/>
      <c r="CM1" s="2581"/>
      <c r="CN1" s="2581"/>
      <c r="CO1" s="2581"/>
      <c r="CP1" s="2581"/>
      <c r="CR1" s="637" t="s">
        <v>1465</v>
      </c>
      <c r="CS1" s="638" t="s">
        <v>1466</v>
      </c>
      <c r="CT1" s="516" t="s">
        <v>1467</v>
      </c>
      <c r="CU1" s="517"/>
      <c r="CV1" s="517"/>
      <c r="CW1" s="517"/>
      <c r="CX1" s="517"/>
      <c r="CY1" s="517"/>
      <c r="CZ1" s="517"/>
      <c r="DA1" s="517"/>
      <c r="DB1" s="517"/>
      <c r="DC1" s="517"/>
      <c r="DD1" s="518"/>
    </row>
    <row r="2" spans="1:108" s="78" customFormat="1" ht="28.5" customHeight="1" thickBot="1">
      <c r="A2" s="349" t="str">
        <f>IF(IsSerna,"FWHG","")</f>
        <v/>
      </c>
      <c r="B2" s="2581"/>
      <c r="C2" s="2581"/>
      <c r="D2" s="2581"/>
      <c r="E2" s="828"/>
      <c r="G2" s="349"/>
      <c r="H2" s="349"/>
      <c r="K2" s="306"/>
      <c r="L2" s="306"/>
      <c r="M2" s="306"/>
      <c r="N2" s="1685"/>
      <c r="O2" s="470"/>
      <c r="P2" s="470"/>
      <c r="Q2" s="470"/>
      <c r="R2" s="57"/>
      <c r="S2" s="470"/>
      <c r="T2" s="470"/>
      <c r="U2" s="470"/>
      <c r="V2" s="470"/>
      <c r="W2" s="470"/>
      <c r="X2" s="470"/>
      <c r="Y2" s="470"/>
      <c r="Z2" s="470"/>
      <c r="AA2" s="306"/>
      <c r="AB2" s="480"/>
      <c r="AD2" s="247"/>
      <c r="AE2" s="247"/>
      <c r="AF2" s="247"/>
      <c r="AG2" s="247"/>
      <c r="AH2" s="247"/>
      <c r="AI2" s="664"/>
      <c r="AJ2" s="664"/>
      <c r="AK2" s="664"/>
      <c r="AL2" s="664"/>
      <c r="AM2" s="664"/>
      <c r="AN2" s="664"/>
      <c r="AO2" s="664"/>
      <c r="AP2" s="664"/>
      <c r="AQ2" s="664"/>
      <c r="AR2" s="664"/>
      <c r="AS2" s="664"/>
      <c r="AT2" s="664"/>
      <c r="AU2" s="664"/>
      <c r="AV2" s="664"/>
      <c r="AW2" s="664"/>
      <c r="AX2" s="664"/>
      <c r="AY2" s="664"/>
      <c r="AZ2" s="664"/>
      <c r="BA2" s="664"/>
      <c r="BB2" s="664"/>
      <c r="BC2" s="664"/>
      <c r="BD2" s="664"/>
      <c r="BE2" s="664"/>
      <c r="BF2" s="664"/>
      <c r="BG2" s="1615"/>
      <c r="BX2" s="2637" t="s">
        <v>1468</v>
      </c>
      <c r="BY2" s="2581"/>
      <c r="BZ2" s="2581"/>
      <c r="CA2" s="2581"/>
      <c r="CB2" s="2581"/>
      <c r="CC2" s="2581"/>
      <c r="CD2" s="2581"/>
      <c r="CE2" s="2581"/>
      <c r="CF2" s="2581"/>
      <c r="CR2" s="1121">
        <v>0</v>
      </c>
      <c r="CS2" s="1122">
        <v>0.9</v>
      </c>
      <c r="CT2" s="519"/>
      <c r="CU2" s="519"/>
      <c r="CV2" s="519"/>
      <c r="CW2" s="519"/>
      <c r="CX2" s="519"/>
      <c r="CY2" s="519"/>
      <c r="CZ2" s="519"/>
      <c r="DA2" s="519"/>
      <c r="DB2" s="519"/>
      <c r="DC2" s="519"/>
      <c r="DD2" s="520"/>
    </row>
    <row r="3" spans="1:108" s="78" customFormat="1" ht="16.350000000000001" customHeight="1" thickBot="1">
      <c r="A3" s="349" t="str">
        <f>IF(IsVhhp,"VHHP","")</f>
        <v/>
      </c>
      <c r="B3" s="1877"/>
      <c r="C3" s="1877"/>
      <c r="D3" s="1877"/>
      <c r="E3" s="828"/>
      <c r="G3" s="349"/>
      <c r="H3" s="349"/>
      <c r="L3" s="2614" t="s">
        <v>1469</v>
      </c>
      <c r="M3" s="2581"/>
      <c r="N3" s="2581"/>
      <c r="O3" s="2581"/>
      <c r="P3" s="2581"/>
      <c r="Q3" s="2581"/>
      <c r="R3" s="2581"/>
      <c r="S3" s="2662"/>
      <c r="T3" s="2581"/>
      <c r="U3" s="2581"/>
      <c r="V3" s="2581"/>
      <c r="W3" s="2581"/>
      <c r="X3" s="2581"/>
      <c r="Y3" s="692">
        <f>IF(IsMhp,SUM(UnitsTbl[Total restricted units])-SUM(SUMIFS(UnitsTbl[Total restricted units],UnitsTbl[Restricted Income Level],65%),SUMIFS(UnitsTbl[Total restricted units],UnitsTbl[Restricted Income Level],70%),SUMIFS(UnitsTbl[Total restricted units],UnitsTbl[Restricted Income Level],75%),SUMIFS(UnitsTbl[Total restricted units],UnitsTbl[Restricted Income Level],80%),SUMIFS(UnitsTbl[Total restricted units],UnitsTbl[Restricted Income Level],85%),SUMIFS(UnitsTbl[Total restricted units],UnitsTbl[Restricted Income Level],90%),SUMIFS(UnitsTbl[Total restricted units],UnitsTbl[Restricted Income Level],95%),SUMIFS(UnitsTbl[Total restricted units],UnitsTbl[Restricted Income Level],"Market")),0)</f>
        <v>0</v>
      </c>
      <c r="Z3" s="692">
        <f>IF(AND(IsMhp,IsVhhp),AA3,SUM(ManagerUnits,UnitsTbl[VHHP
Assisted]))</f>
        <v>0</v>
      </c>
      <c r="AA3" s="692">
        <f>IF(OR(IsSerna,IsMhp),SUM(IF(B4&gt;"",ManagerUnits,0),UnitsTbl[Total restricted units])-SUM(SUMIFS(UnitsTbl[Other Restricted],UnitsTbl[Restricted Income Level],65%),SUMIFS(UnitsTbl[Other Restricted],UnitsTbl[Restricted Income Level],70%),SUMIFS(UnitsTbl[Other Restricted],UnitsTbl[Restricted Income Level],75%),SUMIFS(UnitsTbl[Other Restricted],UnitsTbl[Restricted Income Level],80%),SUMIFS(UnitsTbl[Other Restricted],UnitsTbl[Restricted Income Level],85%),SUMIFS(UnitsTbl[Other Restricted],UnitsTbl[Restricted Income Level],90%),SUMIFS(UnitsTbl[Other Restricted],UnitsTbl[Restricted Income Level],95%),SUMIFS(UnitsTbl[Other Restricted],UnitsTbl[Restricted Income Level],"Market")))</f>
        <v>0</v>
      </c>
      <c r="AB3" s="2623"/>
      <c r="AC3" s="548"/>
      <c r="AD3" s="564"/>
      <c r="AE3" s="610"/>
      <c r="AF3" s="610"/>
      <c r="AG3" s="656"/>
      <c r="AH3" s="656"/>
      <c r="AI3" s="1123"/>
      <c r="AJ3" s="2644" t="s">
        <v>1470</v>
      </c>
      <c r="AK3" s="2441"/>
      <c r="AL3" s="2441"/>
      <c r="AM3" s="2441"/>
      <c r="AN3" s="2442"/>
      <c r="AO3" s="2627" t="s">
        <v>1471</v>
      </c>
      <c r="AP3" s="2628"/>
      <c r="AQ3" s="2628"/>
      <c r="AR3" s="2628"/>
      <c r="AS3" s="2628"/>
      <c r="AT3" s="2628"/>
      <c r="AU3" s="2629"/>
      <c r="AV3" s="2626"/>
      <c r="AW3" s="2641" t="s">
        <v>1472</v>
      </c>
      <c r="AX3" s="2455"/>
      <c r="AY3" s="2455"/>
      <c r="AZ3" s="2455"/>
      <c r="BA3" s="2455"/>
      <c r="BB3" s="2455"/>
      <c r="BC3" s="2449"/>
      <c r="BD3" s="2625" t="s">
        <v>855</v>
      </c>
      <c r="BE3" s="2455"/>
      <c r="BF3" s="2449"/>
      <c r="BG3" s="939"/>
      <c r="BP3" s="2634" t="s">
        <v>1473</v>
      </c>
      <c r="BQ3" s="2441"/>
      <c r="BR3" s="2441"/>
      <c r="BS3" s="2441"/>
      <c r="BT3" s="2441"/>
      <c r="BU3" s="2441"/>
      <c r="BV3" s="2442"/>
      <c r="BX3" s="1466" t="s">
        <v>1474</v>
      </c>
      <c r="BY3" s="1124" t="s">
        <v>1475</v>
      </c>
      <c r="BZ3" s="1124" t="s">
        <v>1476</v>
      </c>
      <c r="CA3" s="1124" t="s">
        <v>1477</v>
      </c>
      <c r="CB3" s="1124" t="s">
        <v>1478</v>
      </c>
      <c r="CC3" s="1124" t="s">
        <v>1479</v>
      </c>
      <c r="CD3" s="1124" t="s">
        <v>1480</v>
      </c>
      <c r="CE3" s="1124" t="s">
        <v>1481</v>
      </c>
      <c r="CF3" s="529" t="s">
        <v>1482</v>
      </c>
      <c r="CH3" s="2653" t="s">
        <v>1483</v>
      </c>
      <c r="CI3" s="2441"/>
      <c r="CJ3" s="2441"/>
      <c r="CK3" s="2441"/>
      <c r="CL3" s="2441"/>
      <c r="CM3" s="2441"/>
      <c r="CN3" s="2441"/>
      <c r="CO3" s="2441"/>
      <c r="CP3" s="2442"/>
      <c r="CR3" s="1121">
        <v>1</v>
      </c>
      <c r="CS3" s="1122">
        <v>1</v>
      </c>
      <c r="CW3" s="969" t="s">
        <v>1095</v>
      </c>
      <c r="CX3" s="1125">
        <v>0.04</v>
      </c>
      <c r="CZ3" s="969" t="s">
        <v>1484</v>
      </c>
      <c r="DA3" s="1126">
        <f>SUM($DD$7+$DD$8)</f>
        <v>0</v>
      </c>
      <c r="DB3" s="545"/>
      <c r="DC3" s="1615"/>
      <c r="DD3" s="546"/>
    </row>
    <row r="4" spans="1:108" s="78" customFormat="1" ht="18" customHeight="1" thickBot="1">
      <c r="A4" s="349" t="str">
        <f>IF(IsTod,"TOD","")</f>
        <v/>
      </c>
      <c r="B4" s="2657"/>
      <c r="C4" s="2658"/>
      <c r="D4" s="2659"/>
      <c r="G4" s="349"/>
      <c r="H4" s="349"/>
      <c r="I4" s="829"/>
      <c r="K4" s="672"/>
      <c r="L4" s="2581"/>
      <c r="M4" s="2581"/>
      <c r="N4" s="2581"/>
      <c r="O4" s="2581"/>
      <c r="P4" s="2581"/>
      <c r="Q4" s="2581"/>
      <c r="R4" s="2581"/>
      <c r="S4" s="2581"/>
      <c r="T4" s="2581"/>
      <c r="U4" s="2581"/>
      <c r="V4" s="2581"/>
      <c r="W4" s="2581"/>
      <c r="X4" s="2581"/>
      <c r="Y4" s="608"/>
      <c r="Z4" s="548"/>
      <c r="AA4" s="480"/>
      <c r="AB4" s="2581"/>
      <c r="AC4" s="609"/>
      <c r="AD4" s="1632"/>
      <c r="AE4" s="610"/>
      <c r="AF4" s="610"/>
      <c r="AG4" s="656"/>
      <c r="AH4" s="822"/>
      <c r="AI4" s="1123"/>
      <c r="AJ4" s="2581"/>
      <c r="AK4" s="2581"/>
      <c r="AL4" s="2581"/>
      <c r="AM4" s="2581"/>
      <c r="AN4" s="2444"/>
      <c r="AO4" s="2630"/>
      <c r="AP4" s="2631"/>
      <c r="AQ4" s="2631"/>
      <c r="AR4" s="2631"/>
      <c r="AS4" s="2631"/>
      <c r="AT4" s="2631"/>
      <c r="AU4" s="2632"/>
      <c r="AV4" s="2572"/>
      <c r="AW4" s="2622" t="s">
        <v>1485</v>
      </c>
      <c r="AX4" s="1777"/>
      <c r="AY4" s="1777"/>
      <c r="AZ4" s="1777"/>
      <c r="BA4" s="1777"/>
      <c r="BB4" s="1777"/>
      <c r="BC4" s="1777"/>
      <c r="BD4" s="1777"/>
      <c r="BE4" s="1777"/>
      <c r="BF4" s="1778"/>
      <c r="BG4" s="785"/>
      <c r="BP4" s="1127"/>
      <c r="BQ4" s="1128"/>
      <c r="BR4" s="1128"/>
      <c r="BS4" s="1128"/>
      <c r="BT4" s="1128"/>
      <c r="BU4" s="1128"/>
      <c r="BV4" s="549"/>
      <c r="BX4" s="1129" t="s">
        <v>2</v>
      </c>
      <c r="BY4" s="810">
        <v>55950</v>
      </c>
      <c r="BZ4" s="1130">
        <v>63950</v>
      </c>
      <c r="CA4" s="1130">
        <v>71950</v>
      </c>
      <c r="CB4" s="1130">
        <v>79900</v>
      </c>
      <c r="CC4" s="1130">
        <v>86300</v>
      </c>
      <c r="CD4" s="1130">
        <v>92700</v>
      </c>
      <c r="CE4" s="1130">
        <v>99100</v>
      </c>
      <c r="CF4" s="1131">
        <v>105500</v>
      </c>
      <c r="CH4" s="2596" t="s">
        <v>1486</v>
      </c>
      <c r="CI4" s="2581"/>
      <c r="CJ4" s="2581"/>
      <c r="CK4" s="2581"/>
      <c r="CL4" s="2581"/>
      <c r="CM4" s="2581"/>
      <c r="CN4" s="2581"/>
      <c r="CO4" s="2581"/>
      <c r="CP4" s="2444"/>
      <c r="CR4" s="1121">
        <v>2</v>
      </c>
      <c r="CS4" s="1122">
        <v>1.25</v>
      </c>
      <c r="CW4" s="969" t="s">
        <v>790</v>
      </c>
      <c r="CX4" s="969">
        <v>15</v>
      </c>
      <c r="CZ4" s="969" t="s">
        <v>1487</v>
      </c>
      <c r="DA4" s="1125">
        <v>0.05</v>
      </c>
      <c r="DB4" s="545"/>
      <c r="DC4" s="1615"/>
      <c r="DD4" s="546"/>
    </row>
    <row r="5" spans="1:108" s="78" customFormat="1" ht="25.5" customHeight="1" thickBot="1">
      <c r="A5" s="349" t="str">
        <f>IF(IsShmhp,"SHMHP","")</f>
        <v/>
      </c>
      <c r="B5" s="2656" t="s">
        <v>1488</v>
      </c>
      <c r="C5" s="2455"/>
      <c r="D5" s="2455"/>
      <c r="E5" s="2455"/>
      <c r="F5" s="2455"/>
      <c r="G5" s="2455"/>
      <c r="H5" s="2455"/>
      <c r="I5" s="2455"/>
      <c r="J5" s="2455"/>
      <c r="K5" s="2455"/>
      <c r="L5" s="2455"/>
      <c r="M5" s="2455"/>
      <c r="N5" s="2455"/>
      <c r="O5" s="2455"/>
      <c r="P5" s="2455"/>
      <c r="Q5" s="2455"/>
      <c r="R5" s="2455"/>
      <c r="S5" s="2455"/>
      <c r="T5" s="2455"/>
      <c r="U5" s="2455"/>
      <c r="V5" s="2455"/>
      <c r="W5" s="2455"/>
      <c r="X5" s="2455"/>
      <c r="Y5" s="2455"/>
      <c r="Z5" s="2455"/>
      <c r="AA5" s="2455"/>
      <c r="AB5" s="2455"/>
      <c r="AC5" s="2455"/>
      <c r="AD5" s="2449"/>
      <c r="AF5" s="306"/>
      <c r="AG5" s="306"/>
      <c r="AH5" s="821" t="s">
        <v>1489</v>
      </c>
      <c r="AI5" s="823"/>
      <c r="AJ5" s="1796"/>
      <c r="AK5" s="1796"/>
      <c r="AL5" s="1796"/>
      <c r="AM5" s="1796"/>
      <c r="AN5" s="2645"/>
      <c r="AO5" s="2660" t="s">
        <v>1490</v>
      </c>
      <c r="AP5" s="1777"/>
      <c r="AQ5" s="1777"/>
      <c r="AR5" s="1777"/>
      <c r="AS5" s="1777"/>
      <c r="AT5" s="1777"/>
      <c r="AU5" s="1777"/>
      <c r="AV5" s="1778"/>
      <c r="AW5" s="1132"/>
      <c r="AX5" s="1133"/>
      <c r="AY5" s="1133"/>
      <c r="AZ5" s="1133"/>
      <c r="BA5" s="1134"/>
      <c r="BB5" s="2646"/>
      <c r="BC5" s="1777"/>
      <c r="BD5" s="1777"/>
      <c r="BE5" s="1777"/>
      <c r="BF5" s="2589"/>
      <c r="BG5" s="223"/>
      <c r="BP5" s="2610" t="s">
        <v>1491</v>
      </c>
      <c r="BQ5" s="1778"/>
      <c r="BR5" s="2621">
        <f>IF(OR(IsMhp,IsTod,IsShmhp),250000+IF(Scoring!$AL$82=3,25000))</f>
        <v>250000</v>
      </c>
      <c r="BS5" s="1772"/>
      <c r="BT5" s="2588" t="str">
        <f>IF(OR(IsMhp,IsTod,IsShmhp),IF(Scoring!$AL$82=3,"25K BOOST Added","No BOOST added"))</f>
        <v>No BOOST added</v>
      </c>
      <c r="BU5" s="1777"/>
      <c r="BV5" s="2589"/>
      <c r="BX5" s="1129" t="s">
        <v>8</v>
      </c>
      <c r="BY5" s="811">
        <v>40400</v>
      </c>
      <c r="BZ5" s="1744">
        <v>46150</v>
      </c>
      <c r="CA5" s="1744">
        <v>51900</v>
      </c>
      <c r="CB5" s="1744">
        <v>57700</v>
      </c>
      <c r="CC5" s="1744">
        <v>62300</v>
      </c>
      <c r="CD5" s="1744">
        <v>66950</v>
      </c>
      <c r="CE5" s="1744">
        <v>71550</v>
      </c>
      <c r="CF5" s="1135">
        <v>76150</v>
      </c>
      <c r="CH5" s="2586" t="s">
        <v>1492</v>
      </c>
      <c r="CI5" s="2595" t="s">
        <v>1493</v>
      </c>
      <c r="CJ5" s="2581"/>
      <c r="CK5" s="2581"/>
      <c r="CL5" s="2581"/>
      <c r="CM5" s="2581"/>
      <c r="CN5" s="2581"/>
      <c r="CO5" s="2581"/>
      <c r="CP5" s="2444"/>
      <c r="CR5" s="1121">
        <v>3</v>
      </c>
      <c r="CS5" s="1122">
        <v>1.5</v>
      </c>
      <c r="CT5" s="2651" t="s">
        <v>1494</v>
      </c>
      <c r="CW5" s="969" t="s">
        <v>1495</v>
      </c>
      <c r="CX5" s="1136">
        <f>DA3*(100%-DA4)/DA5</f>
        <v>0</v>
      </c>
      <c r="CZ5" s="969" t="s">
        <v>1496</v>
      </c>
      <c r="DA5" s="969">
        <v>1.1499999999999999</v>
      </c>
      <c r="DD5" s="1681"/>
    </row>
    <row r="6" spans="1:108" s="78" customFormat="1" ht="32.25" customHeight="1">
      <c r="A6" s="655"/>
      <c r="B6" s="2655" t="s">
        <v>856</v>
      </c>
      <c r="C6" s="1953"/>
      <c r="D6" s="1770"/>
      <c r="E6" s="2665" t="s">
        <v>233</v>
      </c>
      <c r="F6" s="1777"/>
      <c r="G6" s="1777"/>
      <c r="H6" s="1777"/>
      <c r="I6" s="1777"/>
      <c r="J6" s="1777"/>
      <c r="K6" s="1778"/>
      <c r="L6" s="2670" t="s">
        <v>1497</v>
      </c>
      <c r="M6" s="1777"/>
      <c r="N6" s="1777"/>
      <c r="O6" s="1777"/>
      <c r="P6" s="1777"/>
      <c r="Q6" s="1777"/>
      <c r="R6" s="1778"/>
      <c r="S6" s="2668" t="s">
        <v>1498</v>
      </c>
      <c r="T6" s="1777"/>
      <c r="U6" s="1777"/>
      <c r="V6" s="1777"/>
      <c r="W6" s="1777"/>
      <c r="X6" s="1778"/>
      <c r="Y6" s="2636" t="s">
        <v>1499</v>
      </c>
      <c r="Z6" s="1777"/>
      <c r="AA6" s="1778"/>
      <c r="AB6" s="2601" t="s">
        <v>1500</v>
      </c>
      <c r="AC6" s="1778"/>
      <c r="AD6" s="1137"/>
      <c r="AE6" s="2640" t="s">
        <v>1501</v>
      </c>
      <c r="AF6" s="2455"/>
      <c r="AG6" s="2449"/>
      <c r="AH6" s="821" t="s">
        <v>1502</v>
      </c>
      <c r="AI6" s="2616" t="s">
        <v>1503</v>
      </c>
      <c r="AJ6" s="2647" t="s">
        <v>1504</v>
      </c>
      <c r="AK6" s="2647" t="s">
        <v>1505</v>
      </c>
      <c r="AL6" s="2647" t="s">
        <v>1506</v>
      </c>
      <c r="AM6" s="2647" t="s">
        <v>1507</v>
      </c>
      <c r="AN6" s="2571" t="s">
        <v>1508</v>
      </c>
      <c r="AO6" s="1138">
        <v>1</v>
      </c>
      <c r="AP6" s="1139">
        <v>2</v>
      </c>
      <c r="AQ6" s="1140">
        <v>3</v>
      </c>
      <c r="AR6" s="1139">
        <v>4</v>
      </c>
      <c r="AS6" s="1141">
        <v>5</v>
      </c>
      <c r="AT6" s="1141">
        <v>6</v>
      </c>
      <c r="AU6" s="1139">
        <v>7</v>
      </c>
      <c r="AV6" s="1142">
        <v>8</v>
      </c>
      <c r="AW6" s="2587" t="s">
        <v>1509</v>
      </c>
      <c r="AX6" s="1953"/>
      <c r="AY6" s="1953"/>
      <c r="AZ6" s="1143"/>
      <c r="BA6" s="1144" t="s">
        <v>1510</v>
      </c>
      <c r="BB6" s="2587" t="s">
        <v>1511</v>
      </c>
      <c r="BC6" s="1953"/>
      <c r="BD6" s="1953"/>
      <c r="BE6" s="1143"/>
      <c r="BF6" s="1145" t="s">
        <v>1510</v>
      </c>
      <c r="BG6" s="602"/>
      <c r="BP6" s="2642" t="s">
        <v>1512</v>
      </c>
      <c r="BQ6" s="1778"/>
      <c r="BR6" s="1635" t="s">
        <v>1496</v>
      </c>
      <c r="BS6" s="1146">
        <v>0.06</v>
      </c>
      <c r="BT6" s="1635">
        <v>360</v>
      </c>
      <c r="BU6" s="1635">
        <v>1.1000000000000001</v>
      </c>
      <c r="BV6" s="406">
        <v>0.05</v>
      </c>
      <c r="BX6" s="1129" t="s">
        <v>13</v>
      </c>
      <c r="BY6" s="812">
        <v>38500</v>
      </c>
      <c r="BZ6" s="813">
        <v>44000</v>
      </c>
      <c r="CA6" s="813">
        <v>49500</v>
      </c>
      <c r="CB6" s="813">
        <v>54950</v>
      </c>
      <c r="CC6" s="813">
        <v>59350</v>
      </c>
      <c r="CD6" s="813">
        <v>63750</v>
      </c>
      <c r="CE6" s="813">
        <v>68150</v>
      </c>
      <c r="CF6" s="1147">
        <v>72550</v>
      </c>
      <c r="CH6" s="2443"/>
      <c r="CI6" s="78">
        <v>1</v>
      </c>
      <c r="CJ6" s="78">
        <v>2</v>
      </c>
      <c r="CK6" s="78">
        <v>3</v>
      </c>
      <c r="CL6" s="78">
        <v>4</v>
      </c>
      <c r="CM6" s="78">
        <v>5</v>
      </c>
      <c r="CN6" s="78">
        <v>6</v>
      </c>
      <c r="CO6" s="78">
        <v>7</v>
      </c>
      <c r="CP6" s="1681">
        <v>8</v>
      </c>
      <c r="CR6" s="1121">
        <v>4</v>
      </c>
      <c r="CS6" s="1148">
        <v>1.75</v>
      </c>
      <c r="CT6" s="1920"/>
      <c r="CW6" s="1149" t="s">
        <v>1513</v>
      </c>
      <c r="CX6" s="1150">
        <f>-PV(CX3/12,CX4*12,CX5/12)</f>
        <v>0</v>
      </c>
      <c r="DD6" s="1681"/>
    </row>
    <row r="7" spans="1:108" s="78" customFormat="1" ht="18" customHeight="1">
      <c r="A7" s="223"/>
      <c r="B7" s="2584"/>
      <c r="C7" s="1877"/>
      <c r="D7" s="1772"/>
      <c r="E7" s="1151">
        <f>IFERROR(E8/$D$8,0)</f>
        <v>0</v>
      </c>
      <c r="F7" s="1151">
        <f>IFERROR(F8/$D$8,0)</f>
        <v>0</v>
      </c>
      <c r="G7" s="1151">
        <f>IFERROR(G8/$D$8,0)</f>
        <v>0</v>
      </c>
      <c r="H7" s="1151">
        <f>IFERROR(H8/$D$8,0)</f>
        <v>0</v>
      </c>
      <c r="I7" s="1151">
        <f>IFERROR(I8/$D$8,0)</f>
        <v>0</v>
      </c>
      <c r="J7" s="1152" t="s">
        <v>1514</v>
      </c>
      <c r="K7" s="1151">
        <f>IFERROR(K8/$D$8,0)</f>
        <v>0</v>
      </c>
      <c r="L7" s="1153">
        <f>IF($AD$8&gt;0,L8/$AD$8,0)</f>
        <v>0</v>
      </c>
      <c r="M7" s="2667"/>
      <c r="N7" s="1777"/>
      <c r="O7" s="1778"/>
      <c r="P7" s="2599" t="s">
        <v>1515</v>
      </c>
      <c r="Q7" s="1778"/>
      <c r="R7" s="1154">
        <f>SUMIF(UnitsTbl[SH or TH?],"SH",UnitsTbl[Total Units])</f>
        <v>0</v>
      </c>
      <c r="S7" s="1155">
        <f>IF($AD$8&gt;0,S8/$AD$8,0)</f>
        <v>0</v>
      </c>
      <c r="T7" s="1155">
        <f>IF($AD$8&gt;0,T8/$AD$8,0)</f>
        <v>0</v>
      </c>
      <c r="U7" s="2669"/>
      <c r="V7" s="1777"/>
      <c r="W7" s="1778"/>
      <c r="X7" s="1156">
        <f>SUMIF(UnitsTbl[SH or TH?2],"SH",UnitsTbl[VHHP
Assisted])</f>
        <v>0</v>
      </c>
      <c r="Y7" s="1688">
        <f>IF($D$8&gt;0,Y8/$D$8,0)</f>
        <v>0</v>
      </c>
      <c r="Z7" s="1688">
        <f>IF(AND(IsSenior,($D$8&gt;0)),SUM($Z$8+ManagerUnits)/$D$8,IF($D$8&gt;0,Z8/$D$8,0))</f>
        <v>0</v>
      </c>
      <c r="AA7" s="1688">
        <f>IFERROR(IF($AA$3&gt;0,AA8/AA3,0),0)</f>
        <v>0</v>
      </c>
      <c r="AB7" s="1688">
        <f>IF(D8&gt;0,AB8/$D$8,0)</f>
        <v>0</v>
      </c>
      <c r="AC7" s="1688">
        <f>IF(D8&gt;0,AC8/$D$8,0)</f>
        <v>0</v>
      </c>
      <c r="AD7" s="1157">
        <f>IF($D$8&gt;0,AD8/$D$8,0)</f>
        <v>0</v>
      </c>
      <c r="AE7" s="1158"/>
      <c r="AF7" s="1156">
        <f>COUNTIF(UnitsTbl[7307
(d)(1)],"Yes")</f>
        <v>0</v>
      </c>
      <c r="AG7" s="1159">
        <f>COUNTIF(UnitsTbl[7307
(d)(2)],"Yes")</f>
        <v>0</v>
      </c>
      <c r="AH7" s="682">
        <f>SUM(UnitsTbl[Medi-Cal Funded Supportive Services Units (ALW, HCBA, PACE)])</f>
        <v>0</v>
      </c>
      <c r="AI7" s="2617"/>
      <c r="AJ7" s="2465"/>
      <c r="AK7" s="2465"/>
      <c r="AL7" s="2465"/>
      <c r="AM7" s="2465"/>
      <c r="AN7" s="2572"/>
      <c r="AO7" s="1160" t="str">
        <f>IF(County="","",VLOOKUP(County,IncomeLimitsTbl[],2,FALSE))</f>
        <v/>
      </c>
      <c r="AP7" s="1161" t="str">
        <f>IF(County="","",VLOOKUP(County,IncomeLimitsTbl[],3,FALSE))</f>
        <v/>
      </c>
      <c r="AQ7" s="1161" t="str">
        <f>IF(County="","",VLOOKUP(County,IncomeLimitsTbl[],4,FALSE))</f>
        <v/>
      </c>
      <c r="AR7" s="1161" t="str">
        <f>IF(County="","",VLOOKUP(County,IncomeLimitsTbl[],5,FALSE))</f>
        <v/>
      </c>
      <c r="AS7" s="1161" t="str">
        <f>IF(County="","",VLOOKUP(County,IncomeLimitsTbl[],6,FALSE))</f>
        <v/>
      </c>
      <c r="AT7" s="1161" t="str">
        <f>IF(County="","",VLOOKUP(County,IncomeLimitsTbl[],7,FALSE))</f>
        <v/>
      </c>
      <c r="AU7" s="1161" t="str">
        <f>IF(County="","",VLOOKUP(County,IncomeLimitsTbl[],8,FALSE))</f>
        <v/>
      </c>
      <c r="AV7" s="1162" t="str">
        <f>IF(County="","",VLOOKUP(County,IncomeLimitsTbl[],9,FALSE))</f>
        <v/>
      </c>
      <c r="AW7" s="2618"/>
      <c r="AX7" s="1861"/>
      <c r="AY7" s="1861"/>
      <c r="AZ7" s="1862"/>
      <c r="BA7" s="1163"/>
      <c r="BB7" s="2618"/>
      <c r="BC7" s="1861"/>
      <c r="BD7" s="1861"/>
      <c r="BE7" s="1862"/>
      <c r="BF7" s="1164"/>
      <c r="BG7" s="603"/>
      <c r="BL7" s="2600" t="str">
        <f>BL8&amp;" / "&amp;AD8&amp;" = "&amp;TEXT(BM8,"0%")</f>
        <v>0 / 0 = 0%</v>
      </c>
      <c r="BM7" s="2581"/>
      <c r="BP7" s="2638" t="s">
        <v>1516</v>
      </c>
      <c r="BQ7" s="1953"/>
      <c r="BR7" s="1953"/>
      <c r="BS7" s="1953"/>
      <c r="BT7" s="1953"/>
      <c r="BU7" s="1770"/>
      <c r="BV7" s="2615" t="s">
        <v>1517</v>
      </c>
      <c r="BX7" s="1129" t="s">
        <v>17</v>
      </c>
      <c r="BY7" s="811">
        <v>32900</v>
      </c>
      <c r="BZ7" s="1744">
        <v>37600</v>
      </c>
      <c r="CA7" s="1744">
        <v>42300</v>
      </c>
      <c r="CB7" s="1744">
        <v>46950</v>
      </c>
      <c r="CC7" s="1744">
        <v>50750</v>
      </c>
      <c r="CD7" s="1744">
        <v>54500</v>
      </c>
      <c r="CE7" s="1744">
        <v>58250</v>
      </c>
      <c r="CF7" s="1135">
        <v>62000</v>
      </c>
      <c r="CH7" s="449">
        <v>1.2</v>
      </c>
      <c r="CI7" s="307" t="e">
        <f>$CI$19*CH7/$CH$19</f>
        <v>#VALUE!</v>
      </c>
      <c r="CJ7" s="307" t="e">
        <f t="shared" ref="CJ7:CJ18" si="0">$CJ$19*CH7/$CH$19</f>
        <v>#VALUE!</v>
      </c>
      <c r="CK7" s="307" t="e">
        <f t="shared" ref="CK7:CK18" si="1">$CK$19*CH7/$CH$19</f>
        <v>#VALUE!</v>
      </c>
      <c r="CL7" s="307" t="e">
        <f t="shared" ref="CL7:CL18" si="2">$CL$19*CH7/$CH$19</f>
        <v>#VALUE!</v>
      </c>
      <c r="CM7" s="307" t="e">
        <f t="shared" ref="CM7:CM18" si="3">$CM$19*CH7/$CH$19</f>
        <v>#VALUE!</v>
      </c>
      <c r="CN7" s="307" t="e">
        <f t="shared" ref="CN7:CN18" si="4">$CN$19*CH7/$CH$19</f>
        <v>#VALUE!</v>
      </c>
      <c r="CO7" s="307" t="e">
        <f t="shared" ref="CO7:CO18" si="5">$CO$19*CH7/$CH$19</f>
        <v>#VALUE!</v>
      </c>
      <c r="CP7" s="362" t="e">
        <f t="shared" ref="CP7:CP18" si="6">$CP$19*CH7/$CH$19</f>
        <v>#VALUE!</v>
      </c>
      <c r="CR7" s="521"/>
      <c r="CS7" s="977"/>
      <c r="CT7" s="2479"/>
      <c r="DD7" s="362">
        <f>'Operating Budget'!E39</f>
        <v>0</v>
      </c>
    </row>
    <row r="8" spans="1:108" s="78" customFormat="1" ht="15" customHeight="1">
      <c r="B8" s="1158">
        <f t="array" ref="B8">IF(OR(IsIig,IsMhp,IsVhhp,IsSerna),SUM(UnitsTbl[Number of Bedrooms]*UnitsTbl[Total Units]),0)</f>
        <v>0</v>
      </c>
      <c r="C8" s="1165"/>
      <c r="D8" s="1156">
        <f>IF(OR(IsIig,IsMhp,IsVhhp,IsSerna),SUM(UnitsTbl[Total Units]),0)</f>
        <v>0</v>
      </c>
      <c r="E8" s="1154">
        <f>SUMIFS(UnitsTbl[HCD Program], UnitsTbl[Restricted Income Level], "&lt;&gt;Manager")</f>
        <v>0</v>
      </c>
      <c r="F8" s="1154">
        <f>SUMIFS(UnitsTbl[HCD Program2], UnitsTbl[Restricted Income Level], "&lt;&gt;Manager")</f>
        <v>0</v>
      </c>
      <c r="G8" s="1166">
        <f>SUMIFS(UnitsTbl[HCD Program3], UnitsTbl[Restricted Income Level], "&lt;&gt;Manager")</f>
        <v>0</v>
      </c>
      <c r="H8" s="1166">
        <f>SUMIFS(UnitsTbl[HCD Program4], UnitsTbl[Restricted Income Level], "&lt;&gt;Manager")</f>
        <v>0</v>
      </c>
      <c r="I8" s="1166">
        <f>SUMIFS(UnitsTbl[HCD Program 5], UnitsTbl[Restricted Income Level], "&lt;&gt;Manager")</f>
        <v>0</v>
      </c>
      <c r="J8" s="1167">
        <f>SUMIFS(UnitsTbl[HCD Program 5],UnitsTbl[Restricted Income Level],"&lt;=30%",UnitsTbl[MHP COSR Units?],"Yes")</f>
        <v>0</v>
      </c>
      <c r="K8" s="1156">
        <f>IF(IsVhhp,SUM(UnitsTbl[VHHP
Assisted]))-IF(IsVhhp,SUMIFS(UnitsTbl[VHHP
Assisted],UnitsTbl[Restricted Income Level],"Manager"),0)</f>
        <v>0</v>
      </c>
      <c r="L8" s="1156">
        <f>SUMIFS(UnitsTbl[HCD Program 5],UnitsTbl[Restricted Income Level],"&lt;&gt;"&amp;"Manager",UnitsTbl[Special Needs?],"Yes")</f>
        <v>0</v>
      </c>
      <c r="M8" s="1156">
        <f>SUM(UnitsTbl[Chronic Homelessness])-SUMIFS(UnitsTbl[Chronic Homelessness],UnitsTbl[Restricted Income Level],"Manager")</f>
        <v>0</v>
      </c>
      <c r="N8" s="1156">
        <f>SUM(UnitsTbl[Disability Homelessness])-SUMIFS(UnitsTbl[Disability Homelessness],UnitsTbl[Restricted Income Level],"Manager")</f>
        <v>0</v>
      </c>
      <c r="O8" s="1156">
        <f>SUM(UnitsTbl[Other Homelessness])-SUMIFS(UnitsTbl[Other Homelessness],UnitsTbl[Restricted Income Level],"Manager")</f>
        <v>0</v>
      </c>
      <c r="P8" s="1156">
        <f>SUM(UnitsTbl[[Homeless youth ]])-SUMIFS(UnitsTbl[[Homeless youth ]],UnitsTbl[Restricted Income Level],"Manager")</f>
        <v>0</v>
      </c>
      <c r="Q8" s="1156">
        <f>SUM(UnitsTbl[Individuals exiting institutional settings])-SUMIFS(UnitsTbl[Individuals exiting institutional settings],UnitsTbl[Restricted Income Level],"Manager")</f>
        <v>0</v>
      </c>
      <c r="R8" s="1156">
        <f>SUMIF(UnitsTbl[SH or TH?],"TH",UnitsTbl[Total Units])</f>
        <v>0</v>
      </c>
      <c r="S8" s="1156">
        <f>SUM(UnitsTbl[Veteran
Housing])-SUMIFS(UnitsTbl[Veteran
Housing],UnitsTbl[Restricted Income Level],"Manager")</f>
        <v>0</v>
      </c>
      <c r="T8" s="1156">
        <f>SUMIFS(UnitsTbl[VHHP
Assisted],UnitsTbl[Restricted Income Level],"&lt;&gt;"&amp;"Manager",UnitsTbl[Special Needs2?],"Yes")</f>
        <v>0</v>
      </c>
      <c r="U8" s="1156">
        <f>SUM(UnitsTbl[Chronic Homelessness2])-SUMIFS(UnitsTbl[Chronic Homelessness2],UnitsTbl[Restricted Income Level],"Manager")</f>
        <v>0</v>
      </c>
      <c r="V8" s="1156">
        <f>SUM(UnitsTbl[Disability Homelessness2])-SUMIFS(UnitsTbl[Disability Homelessness2],UnitsTbl[Restricted Income Level],"Manager")</f>
        <v>0</v>
      </c>
      <c r="W8" s="1156">
        <f>SUM(UnitsTbl[Other Homelessness2])-SUMIFS(UnitsTbl[Other Homelessness2],UnitsTbl[Restricted Income Level],"Manager")</f>
        <v>0</v>
      </c>
      <c r="X8" s="1156">
        <f>SUMIF(UnitsTbl[SH or TH?2],"TH",UnitsTbl[VHHP
Assisted])</f>
        <v>0</v>
      </c>
      <c r="Y8" s="1156">
        <f>SUM(UnitsTbl[At Risk of Homelessness])-SUMIFS(UnitsTbl[At Risk of Homelessness],UnitsTbl[Restricted Income Level],"Manager")</f>
        <v>0</v>
      </c>
      <c r="Z8" s="1156">
        <f>SUM(UnitsTbl[Senior Housing])-SUMIFS(UnitsTbl[Senior Housing],UnitsTbl[Restricted Income Level],"Manager")</f>
        <v>0</v>
      </c>
      <c r="AA8" s="1156">
        <f>SUM(UnitsTbl[Agricultural Households])-SUMIFS(UnitsTbl[Agricultural Households],UnitsTbl[Restricted Income Level],"Manager")</f>
        <v>0</v>
      </c>
      <c r="AB8" s="1156">
        <f>SUM(UnitsTbl[Other Restricted])-SUMIFS(UnitsTbl[Other Restricted],UnitsTbl[Restricted Income Level],"Manager")</f>
        <v>0</v>
      </c>
      <c r="AC8" s="1156">
        <f>SUM(UnitsTbl[Other Special Needs])-SUMIFS(UnitsTbl[Other Special Needs],UnitsTbl[Restricted Income Level],"Manager")</f>
        <v>0</v>
      </c>
      <c r="AD8" s="1168">
        <f>SUM(UnitsTbl[Total restricted units])</f>
        <v>0</v>
      </c>
      <c r="AE8" s="2602">
        <f>SUMIF(UnitsTbl[Ordinance Required?],"Yes",UnitsTbl[VHHP Total Base Loan Amount])+SUMIF(UnitsTbl[Ordinance Required?],"Yes",UnitsTbl[MHP Total Base Loan Amount2])+SUMIF(UnitsTbl[Ordinance Required?],"Yes",UnitsTbl[FWHG Total Base Loan Amount])-SUMIF(UnitsTbl[7307
(d)(1)],"Yes",UnitsTbl[VHHP Total Base Loan Amount])-SUMIF(UnitsTbl[7307
(d)(1)],"Yes",UnitsTbl[MHP Total Base Loan Amount2])-SUMIF(UnitsTbl[7307
(d)(1)],"Yes",UnitsTbl[FWHG Total Base Loan Amount])-SUMIF(UnitsTbl[7307
(d)(2)],"Yes",UnitsTbl[VHHP Total Base Loan Amount])-SUMIF(UnitsTbl[7307
(d)(2)],"Yes",UnitsTbl[MHP Total Base Loan Amount2])-SUMIF(UnitsTbl[7307
(d)(2)],"Yes",UnitsTbl[FWHG Total Base Loan Amount])</f>
        <v>0</v>
      </c>
      <c r="AF8" s="1777"/>
      <c r="AG8" s="2589"/>
      <c r="AH8" s="1684"/>
      <c r="AI8" s="1169"/>
      <c r="AJ8" s="1170"/>
      <c r="AK8" s="1170"/>
      <c r="AL8" s="1170"/>
      <c r="AM8" s="1170"/>
      <c r="AN8" s="1171"/>
      <c r="AO8" s="1172"/>
      <c r="AP8" s="1170">
        <f>SUM(UnitsTbl[Max Gross Rent])</f>
        <v>0</v>
      </c>
      <c r="AQ8" s="2650">
        <f>SUM(UnitsTbl[Less Utility Allowance Schedule 1],UnitsTbl[Less Utility Allowance Schedule 2])</f>
        <v>0</v>
      </c>
      <c r="AR8" s="1778"/>
      <c r="AS8" s="1170">
        <f>SUM(UnitsTbl[Maximum Net Rent])</f>
        <v>0</v>
      </c>
      <c r="AT8" s="1170">
        <f>SUM(UnitsTbl[[Proposed Net Rent ]])</f>
        <v>0</v>
      </c>
      <c r="AU8" s="1170">
        <f>SUM(UnitsTbl[Monthly Income at Proposed Rents])</f>
        <v>0</v>
      </c>
      <c r="AV8" s="1171">
        <f>SUM(UnitsTbl[Monthly Income at Maximum Rents])</f>
        <v>0</v>
      </c>
      <c r="AW8" s="880" t="s">
        <v>1518</v>
      </c>
      <c r="AX8" s="2593">
        <f>BA8*12</f>
        <v>0</v>
      </c>
      <c r="AY8" s="2594"/>
      <c r="AZ8" s="1173">
        <f>SUM(UnitsTbl[Units being subsidized])</f>
        <v>0</v>
      </c>
      <c r="BA8" s="663">
        <f>SUM(UnitsTbl[Total Monthly Extra Income])</f>
        <v>0</v>
      </c>
      <c r="BB8" s="880" t="s">
        <v>1518</v>
      </c>
      <c r="BC8" s="2593">
        <f>BF8*12</f>
        <v>0</v>
      </c>
      <c r="BD8" s="2594"/>
      <c r="BE8" s="1173">
        <f>SUM(UnitsTbl[Units being subsidized2])</f>
        <v>0</v>
      </c>
      <c r="BF8" s="1171">
        <f>SUM(UnitsTbl[Total Monthly Extra Income2])</f>
        <v>0</v>
      </c>
      <c r="BG8" s="601"/>
      <c r="BI8" s="223"/>
      <c r="BL8" s="1683">
        <f>SUM(BL10:BL38)</f>
        <v>0</v>
      </c>
      <c r="BM8" s="833">
        <f>SUM(BM10:BM50)</f>
        <v>0</v>
      </c>
      <c r="BN8" s="833">
        <f>SUM(BN10:BN50)</f>
        <v>0</v>
      </c>
      <c r="BO8" s="315"/>
      <c r="BP8" s="2584"/>
      <c r="BQ8" s="1877"/>
      <c r="BR8" s="1877"/>
      <c r="BS8" s="1877"/>
      <c r="BT8" s="1877"/>
      <c r="BU8" s="1772"/>
      <c r="BV8" s="2572"/>
      <c r="BX8" s="1129" t="s">
        <v>21</v>
      </c>
      <c r="BY8" s="812">
        <v>35550</v>
      </c>
      <c r="BZ8" s="813">
        <v>40600</v>
      </c>
      <c r="CA8" s="813">
        <v>45700</v>
      </c>
      <c r="CB8" s="813">
        <v>50750</v>
      </c>
      <c r="CC8" s="813">
        <v>54850</v>
      </c>
      <c r="CD8" s="813">
        <v>58900</v>
      </c>
      <c r="CE8" s="813">
        <v>62950</v>
      </c>
      <c r="CF8" s="1147">
        <v>67000</v>
      </c>
      <c r="CH8" s="449">
        <v>1.1000000000000001</v>
      </c>
      <c r="CI8" s="307" t="e">
        <f t="shared" ref="CI8:CI18" si="7">$CI$19*CH8/$CH$19</f>
        <v>#VALUE!</v>
      </c>
      <c r="CJ8" s="307" t="e">
        <f t="shared" si="0"/>
        <v>#VALUE!</v>
      </c>
      <c r="CK8" s="307" t="e">
        <f t="shared" si="1"/>
        <v>#VALUE!</v>
      </c>
      <c r="CL8" s="307" t="e">
        <f t="shared" si="2"/>
        <v>#VALUE!</v>
      </c>
      <c r="CM8" s="307" t="e">
        <f t="shared" si="3"/>
        <v>#VALUE!</v>
      </c>
      <c r="CN8" s="307" t="e">
        <f t="shared" si="4"/>
        <v>#VALUE!</v>
      </c>
      <c r="CO8" s="307" t="e">
        <f t="shared" si="5"/>
        <v>#VALUE!</v>
      </c>
      <c r="CP8" s="362" t="e">
        <f t="shared" si="6"/>
        <v>#VALUE!</v>
      </c>
      <c r="CR8" s="1174"/>
      <c r="CS8" s="1467">
        <f>IFERROR(SUMPRODUCT(CU10:CU50,$CS$10:$CS$50)/SUM(CS10:CS50),0)</f>
        <v>0</v>
      </c>
      <c r="CT8" s="1175">
        <f t="array" ref="CT8">IFERROR(SUMPRODUCT(C10:C50,CT10:CT50,IF(CR10:CR50=FALSE,1,0))/SUMIFS(CT10:CT50,CR10:CR50,FALSE),0)</f>
        <v>0</v>
      </c>
      <c r="CU8" s="1686" t="b">
        <f>CT8&lt;40%</f>
        <v>1</v>
      </c>
      <c r="DD8" s="362">
        <f>IFERROR(SUM(DD10:DD50)*12,0)</f>
        <v>0</v>
      </c>
    </row>
    <row r="9" spans="1:108" s="479" customFormat="1" ht="96" customHeight="1">
      <c r="A9" s="223"/>
      <c r="B9" s="1176" t="s">
        <v>1519</v>
      </c>
      <c r="C9" s="1177" t="s">
        <v>1520</v>
      </c>
      <c r="D9" s="1177" t="s">
        <v>276</v>
      </c>
      <c r="E9" s="1178" t="s">
        <v>1521</v>
      </c>
      <c r="F9" s="1179" t="s">
        <v>1522</v>
      </c>
      <c r="G9" s="851" t="s">
        <v>1523</v>
      </c>
      <c r="H9" s="851" t="s">
        <v>1524</v>
      </c>
      <c r="I9" s="1180" t="s">
        <v>1525</v>
      </c>
      <c r="J9" s="1181" t="s">
        <v>1526</v>
      </c>
      <c r="K9" s="1182" t="s">
        <v>1527</v>
      </c>
      <c r="L9" s="1183" t="s">
        <v>1528</v>
      </c>
      <c r="M9" s="1183" t="s">
        <v>1529</v>
      </c>
      <c r="N9" s="1183" t="s">
        <v>1530</v>
      </c>
      <c r="O9" s="1183" t="s">
        <v>1531</v>
      </c>
      <c r="P9" s="1183" t="s">
        <v>1532</v>
      </c>
      <c r="Q9" s="1183" t="s">
        <v>1533</v>
      </c>
      <c r="R9" s="1183" t="s">
        <v>1534</v>
      </c>
      <c r="S9" s="1184" t="s">
        <v>1535</v>
      </c>
      <c r="T9" s="1184" t="s">
        <v>1536</v>
      </c>
      <c r="U9" s="1185" t="s">
        <v>1537</v>
      </c>
      <c r="V9" s="1184" t="s">
        <v>1538</v>
      </c>
      <c r="W9" s="1184" t="s">
        <v>1539</v>
      </c>
      <c r="X9" s="1184" t="s">
        <v>1540</v>
      </c>
      <c r="Y9" s="1186" t="s">
        <v>1541</v>
      </c>
      <c r="Z9" s="1186" t="s">
        <v>1542</v>
      </c>
      <c r="AA9" s="1186" t="s">
        <v>1543</v>
      </c>
      <c r="AB9" s="1187" t="s">
        <v>1500</v>
      </c>
      <c r="AC9" s="1187" t="s">
        <v>1544</v>
      </c>
      <c r="AD9" s="1188" t="s">
        <v>1545</v>
      </c>
      <c r="AE9" s="1189" t="s">
        <v>1546</v>
      </c>
      <c r="AF9" s="1190" t="s">
        <v>1547</v>
      </c>
      <c r="AG9" s="1191" t="s">
        <v>1548</v>
      </c>
      <c r="AH9" s="669" t="s">
        <v>1549</v>
      </c>
      <c r="AI9" s="1192" t="s">
        <v>1550</v>
      </c>
      <c r="AJ9" s="1193" t="s">
        <v>1551</v>
      </c>
      <c r="AK9" s="1193" t="s">
        <v>1552</v>
      </c>
      <c r="AL9" s="1193" t="s">
        <v>1553</v>
      </c>
      <c r="AM9" s="1193" t="s">
        <v>1554</v>
      </c>
      <c r="AN9" s="1194" t="s">
        <v>1555</v>
      </c>
      <c r="AO9" s="1195" t="s">
        <v>1556</v>
      </c>
      <c r="AP9" s="1196" t="s">
        <v>1557</v>
      </c>
      <c r="AQ9" s="1196" t="s">
        <v>1558</v>
      </c>
      <c r="AR9" s="1196" t="s">
        <v>1559</v>
      </c>
      <c r="AS9" s="1196" t="s">
        <v>1560</v>
      </c>
      <c r="AT9" s="1196" t="s">
        <v>1561</v>
      </c>
      <c r="AU9" s="1196" t="s">
        <v>1562</v>
      </c>
      <c r="AV9" s="1197" t="s">
        <v>1563</v>
      </c>
      <c r="AW9" s="1198" t="s">
        <v>1564</v>
      </c>
      <c r="AX9" s="1199" t="s">
        <v>1565</v>
      </c>
      <c r="AY9" s="1199" t="s">
        <v>1566</v>
      </c>
      <c r="AZ9" s="1199" t="s">
        <v>1567</v>
      </c>
      <c r="BA9" s="1200" t="s">
        <v>1568</v>
      </c>
      <c r="BB9" s="1198" t="s">
        <v>1569</v>
      </c>
      <c r="BC9" s="1199" t="s">
        <v>1570</v>
      </c>
      <c r="BD9" s="1199" t="s">
        <v>1571</v>
      </c>
      <c r="BE9" s="1199" t="s">
        <v>1572</v>
      </c>
      <c r="BF9" s="1201" t="s">
        <v>1573</v>
      </c>
      <c r="BG9" s="1202" t="s">
        <v>1574</v>
      </c>
      <c r="BH9" s="1203" t="s">
        <v>1575</v>
      </c>
      <c r="BI9" s="1204" t="s">
        <v>1576</v>
      </c>
      <c r="BJ9" s="1205" t="s">
        <v>1577</v>
      </c>
      <c r="BK9" s="1205" t="s">
        <v>1578</v>
      </c>
      <c r="BL9" s="1205" t="s">
        <v>1579</v>
      </c>
      <c r="BM9" s="78" t="str">
        <f>CONCATENATE("Helper UA"," ",$AW$7)</f>
        <v xml:space="preserve">Helper UA </v>
      </c>
      <c r="BN9" s="78" t="str">
        <f>CONCATENATE("Helper UA"," ",$BB$7)</f>
        <v xml:space="preserve">Helper UA </v>
      </c>
      <c r="BO9" s="78"/>
      <c r="BP9" s="1206" t="s">
        <v>1474</v>
      </c>
      <c r="BQ9" s="1207" t="s">
        <v>1580</v>
      </c>
      <c r="BR9" s="1207" t="s">
        <v>1581</v>
      </c>
      <c r="BS9" s="1207" t="s">
        <v>1582</v>
      </c>
      <c r="BT9" s="1207" t="s">
        <v>1583</v>
      </c>
      <c r="BU9" s="1207" t="s">
        <v>1584</v>
      </c>
      <c r="BV9" s="1208" t="s">
        <v>1585</v>
      </c>
      <c r="BW9" s="308"/>
      <c r="BX9" s="1129" t="s">
        <v>25</v>
      </c>
      <c r="BY9" s="811">
        <v>33600</v>
      </c>
      <c r="BZ9" s="1744">
        <v>38400</v>
      </c>
      <c r="CA9" s="1744">
        <v>43200</v>
      </c>
      <c r="CB9" s="1744">
        <v>48000</v>
      </c>
      <c r="CC9" s="1744">
        <v>51850</v>
      </c>
      <c r="CD9" s="1744">
        <v>55700</v>
      </c>
      <c r="CE9" s="1744">
        <v>59500</v>
      </c>
      <c r="CF9" s="1135">
        <v>63400</v>
      </c>
      <c r="CG9" s="308"/>
      <c r="CH9" s="449">
        <v>1</v>
      </c>
      <c r="CI9" s="307" t="e">
        <f t="shared" si="7"/>
        <v>#VALUE!</v>
      </c>
      <c r="CJ9" s="307" t="e">
        <f t="shared" si="0"/>
        <v>#VALUE!</v>
      </c>
      <c r="CK9" s="307" t="e">
        <f t="shared" si="1"/>
        <v>#VALUE!</v>
      </c>
      <c r="CL9" s="307" t="e">
        <f t="shared" si="2"/>
        <v>#VALUE!</v>
      </c>
      <c r="CM9" s="307" t="e">
        <f t="shared" si="3"/>
        <v>#VALUE!</v>
      </c>
      <c r="CN9" s="307" t="e">
        <f t="shared" si="4"/>
        <v>#VALUE!</v>
      </c>
      <c r="CO9" s="307" t="e">
        <f t="shared" si="5"/>
        <v>#VALUE!</v>
      </c>
      <c r="CP9" s="362" t="e">
        <f t="shared" si="6"/>
        <v>#VALUE!</v>
      </c>
      <c r="CR9" s="1192" t="s">
        <v>1586</v>
      </c>
      <c r="CS9" s="1193" t="s">
        <v>1587</v>
      </c>
      <c r="CT9" s="1193" t="s">
        <v>1588</v>
      </c>
      <c r="CU9" s="1193" t="s">
        <v>1580</v>
      </c>
      <c r="CW9" s="1149" t="s">
        <v>1589</v>
      </c>
      <c r="CX9" s="1149" t="s">
        <v>1590</v>
      </c>
      <c r="CY9" s="1149" t="s">
        <v>1591</v>
      </c>
      <c r="CZ9" s="1149" t="s">
        <v>1592</v>
      </c>
      <c r="DA9" s="1149" t="s">
        <v>1593</v>
      </c>
      <c r="DB9" s="1149" t="s">
        <v>1594</v>
      </c>
      <c r="DC9" s="1149" t="s">
        <v>1595</v>
      </c>
      <c r="DD9" s="1209" t="s">
        <v>1596</v>
      </c>
    </row>
    <row r="10" spans="1:108" s="78" customFormat="1" ht="18" customHeight="1">
      <c r="A10" s="693"/>
      <c r="B10" s="1210"/>
      <c r="C10" s="1211"/>
      <c r="D10" s="1637"/>
      <c r="E10" s="1212"/>
      <c r="F10" s="1637"/>
      <c r="G10" s="1213"/>
      <c r="H10" s="1213"/>
      <c r="I10" s="1213"/>
      <c r="J10" s="1637"/>
      <c r="K10" s="1637"/>
      <c r="L10" s="1214"/>
      <c r="M10" s="1637"/>
      <c r="N10" s="1637"/>
      <c r="O10" s="1637"/>
      <c r="P10" s="1637"/>
      <c r="Q10" s="1637"/>
      <c r="R10" s="1637"/>
      <c r="S10" s="1637"/>
      <c r="T10" s="1637"/>
      <c r="U10" s="1637"/>
      <c r="V10" s="1637"/>
      <c r="W10" s="1637"/>
      <c r="X10" s="1637"/>
      <c r="Y10" s="1637"/>
      <c r="Z10" s="1637"/>
      <c r="AA10" s="1637"/>
      <c r="AB10" s="1637"/>
      <c r="AC10" s="1637"/>
      <c r="AD10" s="1215"/>
      <c r="AE10" s="1210"/>
      <c r="AF10" s="1637"/>
      <c r="AG10" s="1216"/>
      <c r="AH10" s="667"/>
      <c r="AI10" s="1217"/>
      <c r="AJ10" s="1218"/>
      <c r="AK10" s="1218"/>
      <c r="AL10" s="1218"/>
      <c r="AM10" s="1219"/>
      <c r="AN10" s="1220"/>
      <c r="AO10" s="1221"/>
      <c r="AP10"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10" s="1223"/>
      <c r="AR10" s="1224"/>
      <c r="AS10" s="1225" t="str">
        <f>IFERROR(IF(UnitsTbl[[#This Row],[Max Gross Rent]]=0,"",UnitsTbl[[#This Row],[Max Gross Rent]]-UnitsTbl[[#This Row],[Less Utility Allowance Schedule 1]]-UnitsTbl[[#This Row],[Less Utility Allowance Schedule 2]]),"")</f>
        <v/>
      </c>
      <c r="AT10" s="1226"/>
      <c r="AU10" s="1225"/>
      <c r="AV10" s="1227" t="str">
        <f>IF(UnitsTbl[[#This Row],[Proposed Net Rent ]]&gt;0,0,IFERROR(UnitsTbl[[#This Row],[Total Units]]*UnitsTbl[[#This Row],[Maximum Net Rent]],""))</f>
        <v/>
      </c>
      <c r="AW10" s="1228"/>
      <c r="AX10"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10" s="1637"/>
      <c r="AZ10" s="1637"/>
      <c r="BA10" s="1229" t="str">
        <f>IFERROR(IF(UnitsTbl[[#This Row],[Total Units]]="","",UnitsTbl[[#This Row],[Subsidy Payment Over  Gross Rent]]*UnitsTbl[[#This Row],[Total Units]])*NOT($BA$7=""),"")</f>
        <v/>
      </c>
      <c r="BB10" s="1228"/>
      <c r="BC10"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10" s="1230"/>
      <c r="BE10" s="1637"/>
      <c r="BF10" s="1227" t="str">
        <f>IFERROR(IF(UnitsTbl[[#This Row],[Total Units]]="","",UnitsTbl[[#This Row],[Subsidy Payment Over Gross Rent2]]*UnitsTbl[[#This Row],[Total Units]])*NOT($BF$7=""),"")</f>
        <v/>
      </c>
      <c r="BG10" s="1231">
        <f>IF(OR(UnitsTbl[[#This Row],[Special Needs?]]="Yes",UnitsTbl[[#This Row],[Special Needs2?]]="Yes"), 1,0)</f>
        <v>0</v>
      </c>
      <c r="BH10"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10"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10" s="969">
        <f>MIN(SUM(UnitsTbl[[#This Row],[Disability Homelessness]],UnitsTbl[[#This Row],[Chronic Homelessness]],UnitsTbl[[#This Row],[Other Homelessness]]),UnitsTbl[[#This Row],[Total restricted units]])</f>
        <v>0</v>
      </c>
      <c r="BK10" s="969">
        <f>(UnitsTbl[[#This Row],[Restricted Income Level]]&lt;=30%)*UnitsTbl[[#This Row],[Total restricted units]]</f>
        <v>0</v>
      </c>
      <c r="BL10" s="969">
        <f t="shared" ref="BL10:BL50" si="8">MAX(BJ10,BK10)</f>
        <v>0</v>
      </c>
      <c r="BM10" s="307">
        <f>UnitsTbl[[#This Row],[Units being subsidized]]*SUM(UnitsTbl[[#This Row],[Less Utility Allowance Schedule 1]],UnitsTbl[[#This Row],[Less Utility Allowance Schedule 2]])</f>
        <v>0</v>
      </c>
      <c r="BN10" s="307">
        <f>UnitsTbl[[#This Row],[Units being subsidized2]]*SUM(UnitsTbl[[#This Row],[Less Utility Allowance Schedule 1]],UnitsTbl[[#This Row],[Less Utility Allowance Schedule 2]])</f>
        <v>0</v>
      </c>
      <c r="BO10" s="307"/>
      <c r="BP10" s="1232" t="str">
        <f>CONCATENATE(County," ",HCDLoanLimitTbl[[#This Row],[AMI]])</f>
        <v xml:space="preserve"> 0.8</v>
      </c>
      <c r="BQ10" s="1721">
        <v>0.8</v>
      </c>
      <c r="BR10" s="1643">
        <f>$BR$14</f>
        <v>0</v>
      </c>
      <c r="BS10" s="1643">
        <f>$BS$14</f>
        <v>0</v>
      </c>
      <c r="BT10" s="1643">
        <f>$BT$14</f>
        <v>0</v>
      </c>
      <c r="BU10" s="1643">
        <f>$BU$14</f>
        <v>0</v>
      </c>
      <c r="BV10" s="1643">
        <f>$BV$14</f>
        <v>0</v>
      </c>
      <c r="BX10" s="1129" t="s">
        <v>30</v>
      </c>
      <c r="BY10" s="812">
        <v>55950</v>
      </c>
      <c r="BZ10" s="813">
        <v>63950</v>
      </c>
      <c r="CA10" s="813">
        <v>71950</v>
      </c>
      <c r="CB10" s="813">
        <v>79900</v>
      </c>
      <c r="CC10" s="813">
        <v>86300</v>
      </c>
      <c r="CD10" s="813">
        <v>92700</v>
      </c>
      <c r="CE10" s="813">
        <v>99100</v>
      </c>
      <c r="CF10" s="1147">
        <v>105500</v>
      </c>
      <c r="CH10" s="449">
        <v>0.95</v>
      </c>
      <c r="CI10" s="307" t="e">
        <f>$CI$19*CH10/$CH$19</f>
        <v>#VALUE!</v>
      </c>
      <c r="CJ10" s="307" t="e">
        <f t="shared" si="0"/>
        <v>#VALUE!</v>
      </c>
      <c r="CK10" s="307" t="e">
        <f t="shared" si="1"/>
        <v>#VALUE!</v>
      </c>
      <c r="CL10" s="307" t="e">
        <f t="shared" si="2"/>
        <v>#VALUE!</v>
      </c>
      <c r="CM10" s="307" t="e">
        <f t="shared" si="3"/>
        <v>#VALUE!</v>
      </c>
      <c r="CN10" s="307" t="e">
        <f t="shared" si="4"/>
        <v>#VALUE!</v>
      </c>
      <c r="CO10" s="307" t="e">
        <f t="shared" si="5"/>
        <v>#VALUE!</v>
      </c>
      <c r="CP10" s="362" t="e">
        <f t="shared" si="6"/>
        <v>#VALUE!</v>
      </c>
      <c r="CR10" s="386" t="b">
        <f>OR(AND(OR($BA$7="USDA",$BA$7="Other Federal"),UnitsTbl[[#This Row],[Gross Monthly Contract Rent]]&gt;0),AND(OR($BF$7="USDA",$BF$7="Other Federal"),UnitsTbl[[#This Row],[Net Monthly Contract Rent2]]&gt;0))</f>
        <v>0</v>
      </c>
      <c r="CS10" s="223">
        <f>IF(UnitsTbl[[#This Row],[Restricted Income Level]]="Manager",0,UnitsTbl[[#This Row],[Total Units]]*INDEX(SizeFactors,MATCH(MIN(UnitsTbl[[#This Row],[Number of Bedrooms]],4),Sizes,0)))</f>
        <v>0</v>
      </c>
      <c r="CT10" s="550">
        <f>IF(UnitsTbl[[#This Row],[Restricted Income Level]]="Manager",0,UnitsTbl[[#This Row],[Total Units]]-SUM(UnitsTbl[[#This Row],[Units being subsidized]]*($BA$7&lt;&gt;"Not Federal"),UnitsTbl[[#This Row],[Units being subsidized2]]*($BF$7&lt;&gt;"Not Federal")))</f>
        <v>0</v>
      </c>
      <c r="CU10" s="309">
        <f>IFERROR(IF(AND($CU$8,CR10=FALSE),40%,IF(UnitsTbl[[#This Row],[Restricted Income Level]]&lt;30%,30%,UnitsTbl[[#This Row],[Restricted Income Level]])),0)</f>
        <v>0.4</v>
      </c>
      <c r="CW10" s="555">
        <f t="shared" ref="CW10:CW50" si="9">IF(AND(IsSpecialNeeds,OR($L$7&gt;=25%,$T$7&gt;=25%),SUM($L$7,$T$7)&gt;=25%),30%,40%)</f>
        <v>0.4</v>
      </c>
      <c r="CX10" s="553">
        <f>IF(UnitsTbl[[#This Row],[Rent Limit Calculation Formula]]="TCAC",VLOOKUP(County&amp;CW10,TCACrentTbl[],UnitsTbl[[#This Row],[Number of Bedrooms]]+2,FALSE)-SUM(UnitsTbl[[#This Row],[Less Utility Allowance Schedule 2]],UnitsTbl[[#This Row],[Less Utility Allowance Schedule 1]]),IF(UnitsTbl[[#This Row],[Rent Limit Calculation Formula]]="Other",VLOOKUP(County&amp;CW10,OtherRentLimitTbl[],UnitsTbl[[#This Row],[Number of Bedrooms]]+3,FALSE)-SUM(UnitsTbl[[#This Row],[Less Utility Allowance Schedule 2]],UnitsTbl[[#This Row],[Less Utility Allowance Schedule 1]]),0))</f>
        <v>0</v>
      </c>
      <c r="CY10" s="363">
        <f>MAX(UnitsTbl[[#This Row],[Gross Monthly Contract Rent]],UnitsTbl[[#This Row],[Net Monthly Contract Rent2]])</f>
        <v>0</v>
      </c>
      <c r="CZ10" s="553">
        <f>IF(UnitsTbl[[#This Row],[Number of Bedrooms]]="",0,VLOOKUP(County&amp;"0.6",TCACrentTbl[],UnitsTbl[[#This Row],[Number of Bedrooms]]+2,FALSE))-SUM(UnitsTbl[[#This Row],[Less Utility Allowance Schedule 2]],UnitsTbl[[#This Row],[Less Utility Allowance Schedule 1]])</f>
        <v>0</v>
      </c>
      <c r="DA10" s="78" t="b">
        <f>OR(AND($BA$7="USDA",UnitsTbl[[#This Row],[Gross Monthly Contract Rent]]&gt;0),AND($BF$7="USDA",UnitsTbl[[#This Row],[Net Monthly Contract Rent2]]&gt;0))</f>
        <v>0</v>
      </c>
      <c r="DB10" s="363">
        <f t="shared" ref="DB10:DB50" si="10">IF(DA10,MAX(CY10,CZ10),CY10)</f>
        <v>0</v>
      </c>
      <c r="DC10" s="363">
        <f t="shared" ref="DC10:DC50" si="11">MAX(0,DB10-CX10)</f>
        <v>0</v>
      </c>
      <c r="DD10" s="364">
        <f>UnitsTbl[[#This Row],[Total Units]]*DC10</f>
        <v>0</v>
      </c>
    </row>
    <row r="11" spans="1:108" s="78" customFormat="1" ht="18" customHeight="1">
      <c r="A11" s="693"/>
      <c r="B11" s="1210"/>
      <c r="C11" s="1211"/>
      <c r="D11" s="1637"/>
      <c r="E11" s="1212"/>
      <c r="F11" s="1637"/>
      <c r="G11" s="1637"/>
      <c r="H11" s="1637"/>
      <c r="I11" s="1213"/>
      <c r="J11" s="1213"/>
      <c r="K11" s="1637"/>
      <c r="L11" s="1214"/>
      <c r="M11" s="1637"/>
      <c r="N11" s="1637"/>
      <c r="O11" s="1637"/>
      <c r="P11" s="1637"/>
      <c r="Q11" s="1637"/>
      <c r="R11" s="1637"/>
      <c r="S11" s="1637"/>
      <c r="T11" s="1637"/>
      <c r="U11" s="1637"/>
      <c r="V11" s="1637"/>
      <c r="W11" s="1637"/>
      <c r="X11" s="1637"/>
      <c r="Y11" s="1637"/>
      <c r="Z11" s="1637"/>
      <c r="AA11" s="1637"/>
      <c r="AB11" s="1637"/>
      <c r="AC11" s="1637"/>
      <c r="AD11" s="1215"/>
      <c r="AE11" s="1210"/>
      <c r="AF11" s="1637"/>
      <c r="AG11" s="1216"/>
      <c r="AH11" s="667"/>
      <c r="AI11"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11" s="1218" t="b">
        <f>IFERROR(IF(AND(IsSerna,OR(UnitsTbl[[#This Row],[VHHP
Assisted]]&gt;0,UnitsTbl[[#This Row],[HCD Program 5]]&gt;0)),0,IF(AND(IsSerna,$B$4="FWHG",UnitsTbl[[#This Row],[Restricted Income Level]]="Manager"),VLOOKUP(CONCATENATE(County," ",0.6),HCDLoanLimitTbl2[],BH11,FALSE)*UnitsTbl[[#This Row],[Total Units]],IF(UnitsTbl[[#This Row],[Restricted Income Level]]&gt;80%,0,IF(IsSerna,VLOOKUP(CONCATENATE(County," ",UnitsTbl[[#This Row],[Restricted Income Level]]),HCDLoanLimitTbl2[],UnitsTbl[[#This Row],[VLOOKUP Base]],FALSE)*UnitsTbl[[#This Row],[HCD Program2]])))),0)</f>
        <v>0</v>
      </c>
      <c r="AK11" s="1218" t="b">
        <f>IFERROR(IF(AND(IsTod,OR(UnitsTbl[[#This Row],[HCD Program 5]]&gt;0,UnitsTbl[[#This Row],[HCD Program2]]&gt;0,UnitsTbl[[#This Row],[HCD Program4]]&gt;0,UnitsTbl[[#This Row],[VHHP
Assisted]]&gt;0)),0,(IF(AND(IsTod,$B$4="TOD",UnitsTbl[[#This Row],[Restricted Income Level]]="Manager"),VLOOKUP(CONCATENATE(County," ",0.6),HCDLoanLimitTbl[],BH11,FALSE)*UnitsTbl[[#This Row],[Total Units]],IF(UnitsTbl[[#This Row],[Restricted Income Level]]&gt;60%,0,IF(IsTod,VLOOKUP(CONCATENATE(County," ",UnitsTbl[[#This Row],[Restricted Income Level]]),HCDLoanLimitTbl[],UnitsTbl[[#This Row],[VLOOKUP Base]],FALSE)*UnitsTbl[[#This Row],[HCD Program3]]))))),0)</f>
        <v>0</v>
      </c>
      <c r="AL11" s="1218" t="b">
        <f>IFERROR(IF(AND(IsShmhp,OR(UnitsTbl[[#This Row],[HCD Program 5]]&gt;0,UnitsTbl[[#This Row],[HCD Program2]]&gt;0,UnitsTbl[[#This Row],[HCD Program3]]&gt;0,UnitsTbl[[#This Row],[VHHP
Assisted]]&gt;0)),0,(IF(AND(IsShmhp,$B$4="SHMHP",UnitsTbl[[#This Row],[Restricted Income Level]]="Manager"),VLOOKUP(CONCATENATE(County," ",0.6),HCDLoanLimitTbl[],BH11,FALSE)*UnitsTbl[[#This Row],[Total Units]],IF(UnitsTbl[[#This Row],[Restricted Income Level]]&gt;60%,0,IF(IsShmhp,VLOOKUP(CONCATENATE(County," ",UnitsTbl[[#This Row],[Restricted Income Level]]),HCDLoanLimitTbl[],UnitsTbl[[#This Row],[VLOOKUP Base]],FALSE)*UnitsTbl[[#This Row],[HCD Program4]]))))),0)</f>
        <v>0</v>
      </c>
      <c r="AM11" s="1219" t="b">
        <f>IFERROR(IF(AND(IsVhhp,OR(UnitsTbl[[#This Row],[HCD Program 5]]&gt;0,UnitsTbl[[#This Row],[HCD Program2]]&gt;0,UnitsTbl[[#This Row],[HCD Program3]]&gt;0,UnitsTbl[[#This Row],[HCD Program4]]&gt;0)),0,(IF(AND(IsVhhp,$B$4="VHHP",UnitsTbl[[#This Row],[Restricted Income Level]]="Manager"),VLOOKUP(CONCATENATE(County," ",0.6),HCDLoanLimitTbl2[],BH11,FALSE)*UnitsTbl[[#This Row],[Total Units]],IF(UnitsTbl[[#This Row],[Restricted Income Level]]&gt;60%,0,IF(IsVhhp,VLOOKUP(CONCATENATE(County," ",UnitsTbl[[#This Row],[Restricted Income Level]]),HCDLoanLimitTbl2[],UnitsTbl[[#This Row],[VLOOKUP Base]],FALSE)*UnitsTbl[[#This Row],[VHHP
Assisted]]))))),0)</f>
        <v>0</v>
      </c>
      <c r="AN11"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",0.6),HCDLoanLimitTbl[],BH11,FALSE)*UnitsTbl[[#This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11" s="1221"/>
      <c r="AP11"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11" s="1223"/>
      <c r="AR11" s="1224"/>
      <c r="AS11" s="1225" t="str">
        <f>IFERROR(IF(UnitsTbl[[#This Row],[Max Gross Rent]]=0,"",UnitsTbl[[#This Row],[Max Gross Rent]]-UnitsTbl[[#This Row],[Less Utility Allowance Schedule 1]]-UnitsTbl[[#This Row],[Less Utility Allowance Schedule 2]]),"")</f>
        <v/>
      </c>
      <c r="AT11" s="1226"/>
      <c r="AU11" s="1225">
        <f>IF(UnitsTbl[[#This Row],[Proposed Net Rent ]]="",0,UnitsTbl[[#This Row],[Total Units]]*UnitsTbl[[#This Row],[Proposed Net Rent ]])</f>
        <v>0</v>
      </c>
      <c r="AV11" s="1227" t="str">
        <f>IF(UnitsTbl[[#This Row],[Proposed Net Rent ]]&gt;0,0,IFERROR(UnitsTbl[[#This Row],[Total Units]]*UnitsTbl[[#This Row],[Maximum Net Rent]],""))</f>
        <v/>
      </c>
      <c r="AW11" s="1228"/>
      <c r="AX11"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11" s="1637"/>
      <c r="AZ11" s="1637"/>
      <c r="BA11" s="1229" t="str">
        <f>IFERROR(IF(UnitsTbl[[#This Row],[Total Units]]="","",UnitsTbl[[#This Row],[Subsidy Payment Over  Gross Rent]]*UnitsTbl[[#This Row],[Total Units]])*NOT($BA$7=""),"")</f>
        <v/>
      </c>
      <c r="BB11" s="1228"/>
      <c r="BC11"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11" s="1230"/>
      <c r="BE11" s="1637"/>
      <c r="BF11" s="1227" t="str">
        <f>IFERROR(IF(UnitsTbl[[#This Row],[Total Units]]="","",UnitsTbl[[#This Row],[Subsidy Payment Over Gross Rent2]]*UnitsTbl[[#This Row],[Total Units]])*NOT($BF$7=""),"")</f>
        <v/>
      </c>
      <c r="BG11" s="1231">
        <f>IF(OR(UnitsTbl[[#This Row],[Special Needs?]]="Yes",UnitsTbl[[#This Row],[Special Needs2?]]="Yes"), 1,0)</f>
        <v>0</v>
      </c>
      <c r="BH11"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11"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11" s="969">
        <f>MIN(SUM(UnitsTbl[[#This Row],[Disability Homelessness]],UnitsTbl[[#This Row],[Chronic Homelessness]],UnitsTbl[[#This Row],[Other Homelessness]]),UnitsTbl[[#This Row],[Total restricted units]])</f>
        <v>0</v>
      </c>
      <c r="BK11" s="969">
        <f>(UnitsTbl[[#This Row],[Restricted Income Level]]&lt;=30%)*UnitsTbl[[#This Row],[Total restricted units]]</f>
        <v>0</v>
      </c>
      <c r="BL11" s="969">
        <f t="shared" si="8"/>
        <v>0</v>
      </c>
      <c r="BM11" s="307">
        <f>UnitsTbl[[#This Row],[Units being subsidized]]*SUM(UnitsTbl[[#This Row],[Less Utility Allowance Schedule 1]],UnitsTbl[[#This Row],[Less Utility Allowance Schedule 2]])</f>
        <v>0</v>
      </c>
      <c r="BN11" s="307">
        <f>UnitsTbl[[#This Row],[Units being subsidized2]]*SUM(UnitsTbl[[#This Row],[Less Utility Allowance Schedule 1]],UnitsTbl[[#This Row],[Less Utility Allowance Schedule 2]])</f>
        <v>0</v>
      </c>
      <c r="BO11" s="307"/>
      <c r="BP11" s="1232" t="str">
        <f>CONCATENATE(County," ",HCDLoanLimitTbl[[#This Row],[AMI]])</f>
        <v xml:space="preserve"> 0.75</v>
      </c>
      <c r="BQ11" s="1721">
        <v>0.75</v>
      </c>
      <c r="BR11" s="1643">
        <f>$BR$14</f>
        <v>0</v>
      </c>
      <c r="BS11" s="1643">
        <f>$BS$14</f>
        <v>0</v>
      </c>
      <c r="BT11" s="1643">
        <f>$BT$14</f>
        <v>0</v>
      </c>
      <c r="BU11" s="1643">
        <f>$BU$14</f>
        <v>0</v>
      </c>
      <c r="BV11" s="1643">
        <f>$BV$14</f>
        <v>0</v>
      </c>
      <c r="BX11" s="1129" t="s">
        <v>35</v>
      </c>
      <c r="BY11" s="811">
        <v>32900</v>
      </c>
      <c r="BZ11" s="1744">
        <v>37600</v>
      </c>
      <c r="CA11" s="1744">
        <v>42300</v>
      </c>
      <c r="CB11" s="1744">
        <v>46950</v>
      </c>
      <c r="CC11" s="1744">
        <v>50750</v>
      </c>
      <c r="CD11" s="1744">
        <v>54500</v>
      </c>
      <c r="CE11" s="1744">
        <v>58250</v>
      </c>
      <c r="CF11" s="1135">
        <v>62000</v>
      </c>
      <c r="CH11" s="449">
        <v>0.9</v>
      </c>
      <c r="CI11" s="307" t="e">
        <f>$CI$19*CH11/$CH$19</f>
        <v>#VALUE!</v>
      </c>
      <c r="CJ11" s="307" t="e">
        <f t="shared" si="0"/>
        <v>#VALUE!</v>
      </c>
      <c r="CK11" s="307" t="e">
        <f t="shared" si="1"/>
        <v>#VALUE!</v>
      </c>
      <c r="CL11" s="307" t="e">
        <f t="shared" si="2"/>
        <v>#VALUE!</v>
      </c>
      <c r="CM11" s="307" t="e">
        <f t="shared" si="3"/>
        <v>#VALUE!</v>
      </c>
      <c r="CN11" s="307" t="e">
        <f t="shared" si="4"/>
        <v>#VALUE!</v>
      </c>
      <c r="CO11" s="307" t="e">
        <f t="shared" si="5"/>
        <v>#VALUE!</v>
      </c>
      <c r="CP11" s="362" t="e">
        <f t="shared" si="6"/>
        <v>#VALUE!</v>
      </c>
      <c r="CR11" s="386" t="b">
        <f>OR(AND(OR($BA$7="USDA",$BA$7="Other Federal"),UnitsTbl[[#This Row],[Gross Monthly Contract Rent]]&gt;0),AND(OR($BF$7="USDA",$BF$7="Other Federal"),UnitsTbl[[#This Row],[Net Monthly Contract Rent2]]&gt;0))</f>
        <v>0</v>
      </c>
      <c r="CS11" s="223">
        <f>IF(UnitsTbl[[#This Row],[Restricted Income Level]]="Manager",0,UnitsTbl[[#This Row],[Total Units]]*INDEX(SizeFactors,MATCH(MIN(UnitsTbl[[#This Row],[Number of Bedrooms]],4),Sizes,0)))</f>
        <v>0</v>
      </c>
      <c r="CT11" s="550">
        <f>IF(UnitsTbl[[#This Row],[Restricted Income Level]]="Manager",0,UnitsTbl[[#This Row],[Total Units]]-SUM(UnitsTbl[[#This Row],[Units being subsidized]]*($BA$7&lt;&gt;"Not Federal"),UnitsTbl[[#This Row],[Units being subsidized2]]*($BF$7&lt;&gt;"Not Federal")))</f>
        <v>0</v>
      </c>
      <c r="CU11" s="309">
        <f>IFERROR(IF(AND($CU$8,CR11=FALSE),40%,IF(UnitsTbl[[#This Row],[Restricted Income Level]]&lt;30%,30%,UnitsTbl[[#This Row],[Restricted Income Level]])),0)</f>
        <v>0.4</v>
      </c>
      <c r="CW11" s="555">
        <f t="shared" si="9"/>
        <v>0.4</v>
      </c>
      <c r="CX11" s="553">
        <f>IF(UnitsTbl[[#This Row],[Rent Limit Calculation Formula]]="TCAC",VLOOKUP(County&amp;CW11,TCACrentTbl[],UnitsTbl[[#This Row],[Number of Bedrooms]]+2,FALSE)-SUM(UnitsTbl[[#This Row],[Less Utility Allowance Schedule 2]],UnitsTbl[[#This Row],[Less Utility Allowance Schedule 1]]),IF(UnitsTbl[[#This Row],[Rent Limit Calculation Formula]]="Other",VLOOKUP(County&amp;CW11,OtherRentLimitTbl[],UnitsTbl[[#This Row],[Number of Bedrooms]]+3,FALSE)-SUM(UnitsTbl[[#This Row],[Less Utility Allowance Schedule 2]],UnitsTbl[[#This Row],[Less Utility Allowance Schedule 1]]),0))</f>
        <v>0</v>
      </c>
      <c r="CY11" s="363">
        <f>MAX(UnitsTbl[[#This Row],[Gross Monthly Contract Rent]],UnitsTbl[[#This Row],[Net Monthly Contract Rent2]])</f>
        <v>0</v>
      </c>
      <c r="CZ11" s="553">
        <f>IF(UnitsTbl[[#This Row],[Number of Bedrooms]]="",0,VLOOKUP(County&amp;"0.6",TCACrentTbl[],UnitsTbl[[#This Row],[Number of Bedrooms]]+2,FALSE))-SUM(UnitsTbl[[#This Row],[Less Utility Allowance Schedule 2]],UnitsTbl[[#This Row],[Less Utility Allowance Schedule 1]])</f>
        <v>0</v>
      </c>
      <c r="DA11" s="78" t="b">
        <f>OR(AND($BA$7="USDA",UnitsTbl[[#This Row],[Gross Monthly Contract Rent]]&gt;0),AND($BF$7="USDA",UnitsTbl[[#This Row],[Net Monthly Contract Rent2]]&gt;0))</f>
        <v>0</v>
      </c>
      <c r="DB11" s="363">
        <f t="shared" si="10"/>
        <v>0</v>
      </c>
      <c r="DC11" s="363">
        <f t="shared" si="11"/>
        <v>0</v>
      </c>
      <c r="DD11" s="364">
        <f>UnitsTbl[[#This Row],[Total Units]]*DC11</f>
        <v>0</v>
      </c>
    </row>
    <row r="12" spans="1:108" s="78" customFormat="1" ht="18" customHeight="1">
      <c r="A12" s="693"/>
      <c r="B12" s="1210"/>
      <c r="C12" s="1211"/>
      <c r="D12" s="1637"/>
      <c r="E12" s="1212"/>
      <c r="F12" s="1637"/>
      <c r="G12" s="1637"/>
      <c r="H12" s="1637"/>
      <c r="I12" s="1213"/>
      <c r="J12" s="1213"/>
      <c r="K12" s="1637"/>
      <c r="L12" s="1214"/>
      <c r="M12" s="1637"/>
      <c r="N12" s="1637"/>
      <c r="O12" s="1637"/>
      <c r="P12" s="1637"/>
      <c r="Q12" s="1637"/>
      <c r="R12" s="1637"/>
      <c r="S12" s="1637"/>
      <c r="T12" s="1637"/>
      <c r="U12" s="1637"/>
      <c r="V12" s="1637"/>
      <c r="W12" s="1637"/>
      <c r="X12" s="1637"/>
      <c r="Y12" s="1637"/>
      <c r="Z12" s="1637"/>
      <c r="AA12" s="1637"/>
      <c r="AB12" s="1637"/>
      <c r="AC12" s="1637"/>
      <c r="AD12" s="1215"/>
      <c r="AE12" s="1210"/>
      <c r="AF12" s="1637"/>
      <c r="AG12" s="1216"/>
      <c r="AH12" s="667"/>
      <c r="AI12"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12" s="1218" t="b">
        <f>IFERROR(IF(AND(IsSerna,OR(UnitsTbl[[#This Row],[VHHP
Assisted]]&gt;0,UnitsTbl[[#This Row],[HCD Program 5]]&gt;0)),0,IF(AND(IsSerna,$B$4="FWHG",UnitsTbl[[#This Row],[Restricted Income Level]]="Manager"),VLOOKUP(CONCATENATE(County," ",0.6),HCDLoanLimitTbl2[],BH12,FALSE)*UnitsTbl[[#This Row],[Total Units]],IF(UnitsTbl[[#This Row],[Restricted Income Level]]&gt;80%,0,IF(IsSerna,VLOOKUP(CONCATENATE(County," ",UnitsTbl[[#This Row],[Restricted Income Level]]),HCDLoanLimitTbl2[],UnitsTbl[[#This Row],[VLOOKUP Base]],FALSE)*UnitsTbl[[#This Row],[HCD Program2]])))),0)</f>
        <v>0</v>
      </c>
      <c r="AK12" s="1218" t="b">
        <f>IFERROR(IF(AND(IsTod,OR(UnitsTbl[[#This Row],[HCD Program 5]]&gt;0,UnitsTbl[[#This Row],[HCD Program2]]&gt;0,UnitsTbl[[#This Row],[HCD Program4]]&gt;0,UnitsTbl[[#This Row],[VHHP
Assisted]]&gt;0)),0,(IF(AND(IsTod,$B$4="TOD",UnitsTbl[[#This Row],[Restricted Income Level]]="Manager"),VLOOKUP(CONCATENATE(County," ",0.6),HCDLoanLimitTbl[],BH12,FALSE)*UnitsTbl[[#This Row],[Total Units]],IF(UnitsTbl[[#This Row],[Restricted Income Level]]&gt;60%,0,IF(IsTod,VLOOKUP(CONCATENATE(County," ",UnitsTbl[[#This Row],[Restricted Income Level]]),HCDLoanLimitTbl[],UnitsTbl[[#This Row],[VLOOKUP Base]],FALSE)*UnitsTbl[[#This Row],[HCD Program3]]))))),0)</f>
        <v>0</v>
      </c>
      <c r="AL12" s="1218" t="b">
        <f>IFERROR(IF(AND(IsShmhp,OR(UnitsTbl[[#This Row],[HCD Program 5]]&gt;0,UnitsTbl[[#This Row],[HCD Program2]]&gt;0,UnitsTbl[[#This Row],[HCD Program3]]&gt;0,UnitsTbl[[#This Row],[VHHP
Assisted]]&gt;0)),0,(IF(AND(IsShmhp,$B$4="SHMHP",UnitsTbl[[#This Row],[Restricted Income Level]]="Manager"),VLOOKUP(CONCATENATE(County," ",0.6),HCDLoanLimitTbl[],BH12,FALSE)*UnitsTbl[[#This Row],[Total Units]],IF(UnitsTbl[[#This Row],[Restricted Income Level]]&gt;60%,0,IF(IsShmhp,VLOOKUP(CONCATENATE(County," ",UnitsTbl[[#This Row],[Restricted Income Level]]),HCDLoanLimitTbl[],UnitsTbl[[#This Row],[VLOOKUP Base]],FALSE)*UnitsTbl[[#This Row],[HCD Program4]]))))),0)</f>
        <v>0</v>
      </c>
      <c r="AM12" s="1219" t="b">
        <f>IFERROR(IF(AND(IsVhhp,OR(UnitsTbl[[#This Row],[HCD Program 5]]&gt;0,UnitsTbl[[#This Row],[HCD Program2]]&gt;0,UnitsTbl[[#This Row],[HCD Program3]]&gt;0,UnitsTbl[[#This Row],[HCD Program4]]&gt;0)),0,(IF(AND(IsVhhp,$B$4="VHHP",UnitsTbl[[#This Row],[Restricted Income Level]]="Manager"),VLOOKUP(CONCATENATE(County," ",0.6),HCDLoanLimitTbl2[],BH12,FALSE)*UnitsTbl[[#This Row],[Total Units]],IF(UnitsTbl[[#This Row],[Restricted Income Level]]&gt;60%,0,IF(IsVhhp,VLOOKUP(CONCATENATE(County," ",UnitsTbl[[#This Row],[Restricted Income Level]]),HCDLoanLimitTbl2[],UnitsTbl[[#This Row],[VLOOKUP Base]],FALSE)*UnitsTbl[[#This Row],[VHHP
Assisted]]))))),0)</f>
        <v>0</v>
      </c>
      <c r="AN12"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",0.6),HCDLoanLimitTbl[],BH12,FALSE)*UnitsTbl[[#This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12" s="1221"/>
      <c r="AP12"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12" s="1223"/>
      <c r="AR12" s="1224"/>
      <c r="AS12" s="1225" t="str">
        <f>IFERROR(IF(UnitsTbl[[#This Row],[Max Gross Rent]]=0,"",UnitsTbl[[#This Row],[Max Gross Rent]]-UnitsTbl[[#This Row],[Less Utility Allowance Schedule 1]]-UnitsTbl[[#This Row],[Less Utility Allowance Schedule 2]]),"")</f>
        <v/>
      </c>
      <c r="AT12" s="1226"/>
      <c r="AU12" s="1225">
        <f>IF(UnitsTbl[[#This Row],[Proposed Net Rent ]]="",0,UnitsTbl[[#This Row],[Total Units]]*UnitsTbl[[#This Row],[Proposed Net Rent ]])</f>
        <v>0</v>
      </c>
      <c r="AV12" s="1227" t="str">
        <f>IF(UnitsTbl[[#This Row],[Proposed Net Rent ]]&gt;0,0,IFERROR(UnitsTbl[[#This Row],[Total Units]]*UnitsTbl[[#This Row],[Maximum Net Rent]],""))</f>
        <v/>
      </c>
      <c r="AW12" s="1228"/>
      <c r="AX12"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12" s="1637"/>
      <c r="AZ12" s="1637"/>
      <c r="BA12" s="1229" t="str">
        <f>IFERROR(IF(UnitsTbl[[#This Row],[Total Units]]="","",UnitsTbl[[#This Row],[Subsidy Payment Over  Gross Rent]]*UnitsTbl[[#This Row],[Total Units]])*NOT($BA$7=""),"")</f>
        <v/>
      </c>
      <c r="BB12" s="1228"/>
      <c r="BC12"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12" s="1230"/>
      <c r="BE12" s="1637"/>
      <c r="BF12" s="1227" t="str">
        <f>IFERROR(IF(UnitsTbl[[#This Row],[Total Units]]="","",UnitsTbl[[#This Row],[Subsidy Payment Over Gross Rent2]]*UnitsTbl[[#This Row],[Total Units]])*NOT($BF$7=""),"")</f>
        <v/>
      </c>
      <c r="BG12" s="1231">
        <f>IF(OR(UnitsTbl[[#This Row],[Special Needs?]]="Yes",UnitsTbl[[#This Row],[Special Needs2?]]="Yes"), 1,0)</f>
        <v>0</v>
      </c>
      <c r="BH12"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12"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12" s="969">
        <f>MIN(SUM(UnitsTbl[[#This Row],[Disability Homelessness]],UnitsTbl[[#This Row],[Chronic Homelessness]],UnitsTbl[[#This Row],[Other Homelessness]]),UnitsTbl[[#This Row],[Total restricted units]])</f>
        <v>0</v>
      </c>
      <c r="BK12" s="969">
        <f>(UnitsTbl[[#This Row],[Restricted Income Level]]&lt;=30%)*UnitsTbl[[#This Row],[Total restricted units]]</f>
        <v>0</v>
      </c>
      <c r="BL12" s="969">
        <f t="shared" si="8"/>
        <v>0</v>
      </c>
      <c r="BM12" s="307">
        <f>UnitsTbl[[#This Row],[Units being subsidized]]*SUM(UnitsTbl[[#This Row],[Less Utility Allowance Schedule 1]],UnitsTbl[[#This Row],[Less Utility Allowance Schedule 2]])</f>
        <v>0</v>
      </c>
      <c r="BN12" s="307">
        <f>UnitsTbl[[#This Row],[Units being subsidized2]]*SUM(UnitsTbl[[#This Row],[Less Utility Allowance Schedule 1]],UnitsTbl[[#This Row],[Less Utility Allowance Schedule 2]])</f>
        <v>0</v>
      </c>
      <c r="BO12" s="307"/>
      <c r="BP12" s="1232" t="str">
        <f>CONCATENATE(County," ",HCDLoanLimitTbl[[#This Row],[AMI]])</f>
        <v xml:space="preserve"> 0.7</v>
      </c>
      <c r="BQ12" s="1721">
        <v>0.7</v>
      </c>
      <c r="BR12" s="1643">
        <f>$BR$14</f>
        <v>0</v>
      </c>
      <c r="BS12" s="1643">
        <f>$BS$14</f>
        <v>0</v>
      </c>
      <c r="BT12" s="1643">
        <f>$BT$14</f>
        <v>0</v>
      </c>
      <c r="BU12" s="1643">
        <f>$BU$14</f>
        <v>0</v>
      </c>
      <c r="BV12" s="1643">
        <f>$BV$14</f>
        <v>0</v>
      </c>
      <c r="BX12" s="1129" t="s">
        <v>40</v>
      </c>
      <c r="BY12" s="812">
        <v>45050</v>
      </c>
      <c r="BZ12" s="813">
        <v>51450</v>
      </c>
      <c r="CA12" s="813">
        <v>57900</v>
      </c>
      <c r="CB12" s="813">
        <v>64300</v>
      </c>
      <c r="CC12" s="813">
        <v>69450</v>
      </c>
      <c r="CD12" s="813">
        <v>74600</v>
      </c>
      <c r="CE12" s="813">
        <v>79750</v>
      </c>
      <c r="CF12" s="1147">
        <v>84900</v>
      </c>
      <c r="CH12" s="449">
        <v>0.85</v>
      </c>
      <c r="CI12" s="307" t="e">
        <f t="shared" si="7"/>
        <v>#VALUE!</v>
      </c>
      <c r="CJ12" s="307" t="e">
        <f t="shared" si="0"/>
        <v>#VALUE!</v>
      </c>
      <c r="CK12" s="307" t="e">
        <f t="shared" si="1"/>
        <v>#VALUE!</v>
      </c>
      <c r="CL12" s="307" t="e">
        <f t="shared" si="2"/>
        <v>#VALUE!</v>
      </c>
      <c r="CM12" s="307" t="e">
        <f t="shared" si="3"/>
        <v>#VALUE!</v>
      </c>
      <c r="CN12" s="307" t="e">
        <f t="shared" si="4"/>
        <v>#VALUE!</v>
      </c>
      <c r="CO12" s="307" t="e">
        <f t="shared" si="5"/>
        <v>#VALUE!</v>
      </c>
      <c r="CP12" s="362" t="e">
        <f t="shared" si="6"/>
        <v>#VALUE!</v>
      </c>
      <c r="CR12" s="386" t="b">
        <f>OR(AND(OR($BA$7="USDA",$BA$7="Other Federal"),UnitsTbl[[#This Row],[Gross Monthly Contract Rent]]&gt;0),AND(OR($BF$7="USDA",$BF$7="Other Federal"),UnitsTbl[[#This Row],[Net Monthly Contract Rent2]]&gt;0))</f>
        <v>0</v>
      </c>
      <c r="CS12" s="223">
        <f>IF(UnitsTbl[[#This Row],[Restricted Income Level]]="Manager",0,UnitsTbl[[#This Row],[Total Units]]*INDEX(SizeFactors,MATCH(MIN(UnitsTbl[[#This Row],[Number of Bedrooms]],4),Sizes,0)))</f>
        <v>0</v>
      </c>
      <c r="CT12" s="550">
        <f>IF(UnitsTbl[[#This Row],[Restricted Income Level]]="Manager",0,UnitsTbl[[#This Row],[Total Units]]-SUM(UnitsTbl[[#This Row],[Units being subsidized]]*($BA$7&lt;&gt;"Not Federal"),UnitsTbl[[#This Row],[Units being subsidized2]]*($BF$7&lt;&gt;"Not Federal")))</f>
        <v>0</v>
      </c>
      <c r="CU12" s="309">
        <f>IFERROR(IF(AND($CU$8,CR12=FALSE),40%,IF(UnitsTbl[[#This Row],[Restricted Income Level]]&lt;30%,30%,UnitsTbl[[#This Row],[Restricted Income Level]])),0)</f>
        <v>0.4</v>
      </c>
      <c r="CW12" s="555">
        <f t="shared" si="9"/>
        <v>0.4</v>
      </c>
      <c r="CX12" s="553">
        <f>IF(UnitsTbl[[#This Row],[Rent Limit Calculation Formula]]="TCAC",VLOOKUP(County&amp;CW12,TCACrentTbl[],UnitsTbl[[#This Row],[Number of Bedrooms]]+2,FALSE)-SUM(UnitsTbl[[#This Row],[Less Utility Allowance Schedule 2]],UnitsTbl[[#This Row],[Less Utility Allowance Schedule 1]]),IF(UnitsTbl[[#This Row],[Rent Limit Calculation Formula]]="Other",VLOOKUP(County&amp;CW12,OtherRentLimitTbl[],UnitsTbl[[#This Row],[Number of Bedrooms]]+3,FALSE)-SUM(UnitsTbl[[#This Row],[Less Utility Allowance Schedule 2]],UnitsTbl[[#This Row],[Less Utility Allowance Schedule 1]]),0))</f>
        <v>0</v>
      </c>
      <c r="CY12" s="363">
        <f>MAX(UnitsTbl[[#This Row],[Gross Monthly Contract Rent]],UnitsTbl[[#This Row],[Net Monthly Contract Rent2]])</f>
        <v>0</v>
      </c>
      <c r="CZ12" s="553">
        <f>IF(UnitsTbl[[#This Row],[Number of Bedrooms]]="",0,VLOOKUP(County&amp;"0.6",TCACrentTbl[],UnitsTbl[[#This Row],[Number of Bedrooms]]+2,FALSE))-SUM(UnitsTbl[[#This Row],[Less Utility Allowance Schedule 2]],UnitsTbl[[#This Row],[Less Utility Allowance Schedule 1]])</f>
        <v>0</v>
      </c>
      <c r="DA12" s="78" t="b">
        <f>OR(AND($BA$7="USDA",UnitsTbl[[#This Row],[Gross Monthly Contract Rent]]&gt;0),AND($BF$7="USDA",UnitsTbl[[#This Row],[Net Monthly Contract Rent2]]&gt;0))</f>
        <v>0</v>
      </c>
      <c r="DB12" s="363">
        <f>IF(DA12,MAX(CY12,CZ12),CY12)</f>
        <v>0</v>
      </c>
      <c r="DC12" s="363">
        <f>MAX(0,DB12-CX12)</f>
        <v>0</v>
      </c>
      <c r="DD12" s="364">
        <f>UnitsTbl[[#This Row],[Total Units]]*DC12</f>
        <v>0</v>
      </c>
    </row>
    <row r="13" spans="1:108" s="78" customFormat="1" ht="18" customHeight="1">
      <c r="A13" s="693"/>
      <c r="B13" s="1210"/>
      <c r="C13" s="1211"/>
      <c r="D13" s="1637"/>
      <c r="E13" s="1212"/>
      <c r="F13" s="1637"/>
      <c r="G13" s="1637"/>
      <c r="H13" s="1637"/>
      <c r="I13" s="1213"/>
      <c r="J13" s="1213"/>
      <c r="K13" s="1637"/>
      <c r="L13" s="1214"/>
      <c r="M13" s="1637"/>
      <c r="N13" s="1637"/>
      <c r="O13" s="1637"/>
      <c r="P13" s="1637"/>
      <c r="Q13" s="1637"/>
      <c r="R13" s="1637"/>
      <c r="S13" s="1637"/>
      <c r="T13" s="1637"/>
      <c r="U13" s="1637"/>
      <c r="V13" s="1637"/>
      <c r="W13" s="1637"/>
      <c r="X13" s="1637"/>
      <c r="Y13" s="1637"/>
      <c r="Z13" s="1637"/>
      <c r="AA13" s="1637"/>
      <c r="AB13" s="1637"/>
      <c r="AC13" s="1637"/>
      <c r="AD13" s="1215"/>
      <c r="AE13" s="1210"/>
      <c r="AF13" s="1637"/>
      <c r="AG13" s="1216"/>
      <c r="AH13" s="667"/>
      <c r="AI13"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13" s="1218" t="b">
        <f>IFERROR(IF(AND(IsSerna,OR(UnitsTbl[[#This Row],[VHHP
Assisted]]&gt;0,UnitsTbl[[#This Row],[HCD Program 5]]&gt;0)),0,IF(AND(IsSerna,$B$4="FWHG",UnitsTbl[[#This Row],[Restricted Income Level]]="Manager"),VLOOKUP(CONCATENATE(County," ",0.6),HCDLoanLimitTbl2[],BH13,FALSE)*UnitsTbl[[#This Row],[Total Units]],IF(UnitsTbl[[#This Row],[Restricted Income Level]]&gt;80%,0,IF(IsSerna,VLOOKUP(CONCATENATE(County," ",UnitsTbl[[#This Row],[Restricted Income Level]]),HCDLoanLimitTbl2[],UnitsTbl[[#This Row],[VLOOKUP Base]],FALSE)*UnitsTbl[[#This Row],[HCD Program2]])))),0)</f>
        <v>0</v>
      </c>
      <c r="AK13" s="1218" t="b">
        <f>IFERROR(IF(AND(IsTod,OR(UnitsTbl[[#This Row],[HCD Program 5]]&gt;0,UnitsTbl[[#This Row],[HCD Program2]]&gt;0,UnitsTbl[[#This Row],[HCD Program4]]&gt;0,UnitsTbl[[#This Row],[VHHP
Assisted]]&gt;0)),0,(IF(AND(IsTod,$B$4="TOD",UnitsTbl[[#This Row],[Restricted Income Level]]="Manager"),VLOOKUP(CONCATENATE(County," ",0.6),HCDLoanLimitTbl[],BH13,FALSE)*UnitsTbl[[#This Row],[Total Units]],IF(UnitsTbl[[#This Row],[Restricted Income Level]]&gt;60%,0,IF(IsTod,VLOOKUP(CONCATENATE(County," ",UnitsTbl[[#This Row],[Restricted Income Level]]),HCDLoanLimitTbl[],UnitsTbl[[#This Row],[VLOOKUP Base]],FALSE)*UnitsTbl[[#This Row],[HCD Program3]]))))),0)</f>
        <v>0</v>
      </c>
      <c r="AL13" s="1218" t="b">
        <f>IFERROR(IF(AND(IsShmhp,OR(UnitsTbl[[#This Row],[HCD Program 5]]&gt;0,UnitsTbl[[#This Row],[HCD Program2]]&gt;0,UnitsTbl[[#This Row],[HCD Program3]]&gt;0,UnitsTbl[[#This Row],[VHHP
Assisted]]&gt;0)),0,(IF(AND(IsShmhp,$B$4="SHMHP",UnitsTbl[[#This Row],[Restricted Income Level]]="Manager"),VLOOKUP(CONCATENATE(County," ",0.6),HCDLoanLimitTbl[],BH13,FALSE)*UnitsTbl[[#This Row],[Total Units]],IF(UnitsTbl[[#This Row],[Restricted Income Level]]&gt;60%,0,IF(IsShmhp,VLOOKUP(CONCATENATE(County," ",UnitsTbl[[#This Row],[Restricted Income Level]]),HCDLoanLimitTbl[],UnitsTbl[[#This Row],[VLOOKUP Base]],FALSE)*UnitsTbl[[#This Row],[HCD Program4]]))))),0)</f>
        <v>0</v>
      </c>
      <c r="AM13" s="1219" t="b">
        <f>IFERROR(IF(AND(IsVhhp,OR(UnitsTbl[[#This Row],[HCD Program 5]]&gt;0,UnitsTbl[[#This Row],[HCD Program2]]&gt;0,UnitsTbl[[#This Row],[HCD Program3]]&gt;0,UnitsTbl[[#This Row],[HCD Program4]]&gt;0)),0,(IF(AND(IsVhhp,$B$4="VHHP",UnitsTbl[[#This Row],[Restricted Income Level]]="Manager"),VLOOKUP(CONCATENATE(County," ",0.6),HCDLoanLimitTbl2[],BH13,FALSE)*UnitsTbl[[#This Row],[Total Units]],IF(UnitsTbl[[#This Row],[Restricted Income Level]]&gt;60%,0,IF(IsVhhp,VLOOKUP(CONCATENATE(County," ",UnitsTbl[[#This Row],[Restricted Income Level]]),HCDLoanLimitTbl2[],UnitsTbl[[#This Row],[VLOOKUP Base]],FALSE)*UnitsTbl[[#This Row],[VHHP
Assisted]]))))),0)</f>
        <v>0</v>
      </c>
      <c r="AN13"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",0.6),HCDLoanLimitTbl[],BH13,FALSE)*UnitsTbl[[#This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13" s="1221"/>
      <c r="AP13"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13" s="1223"/>
      <c r="AR13" s="1224"/>
      <c r="AS13" s="1225" t="str">
        <f>IFERROR(IF(UnitsTbl[[#This Row],[Max Gross Rent]]=0,"",UnitsTbl[[#This Row],[Max Gross Rent]]-UnitsTbl[[#This Row],[Less Utility Allowance Schedule 1]]-UnitsTbl[[#This Row],[Less Utility Allowance Schedule 2]]),"")</f>
        <v/>
      </c>
      <c r="AT13" s="1226"/>
      <c r="AU13" s="1225">
        <f>IF(UnitsTbl[[#This Row],[Proposed Net Rent ]]="",0,UnitsTbl[[#This Row],[Total Units]]*UnitsTbl[[#This Row],[Proposed Net Rent ]])</f>
        <v>0</v>
      </c>
      <c r="AV13" s="1227" t="str">
        <f>IF(UnitsTbl[[#This Row],[Proposed Net Rent ]]&gt;0,0,IFERROR(UnitsTbl[[#This Row],[Total Units]]*UnitsTbl[[#This Row],[Maximum Net Rent]],""))</f>
        <v/>
      </c>
      <c r="AW13" s="1228"/>
      <c r="AX13"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13" s="1637"/>
      <c r="AZ13" s="1637"/>
      <c r="BA13" s="1229" t="str">
        <f>IFERROR(IF(UnitsTbl[[#This Row],[Total Units]]="","",UnitsTbl[[#This Row],[Subsidy Payment Over  Gross Rent]]*UnitsTbl[[#This Row],[Total Units]])*NOT($BA$7=""),"")</f>
        <v/>
      </c>
      <c r="BB13" s="1228"/>
      <c r="BC13"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13" s="1230"/>
      <c r="BE13" s="1637"/>
      <c r="BF13" s="1227" t="str">
        <f>IFERROR(IF(UnitsTbl[[#This Row],[Total Units]]="","",UnitsTbl[[#This Row],[Subsidy Payment Over Gross Rent2]]*UnitsTbl[[#This Row],[Total Units]])*NOT($BF$7=""),"")</f>
        <v/>
      </c>
      <c r="BG13" s="1231">
        <f>IF(OR(UnitsTbl[[#This Row],[Special Needs?]]="Yes",UnitsTbl[[#This Row],[Special Needs2?]]="Yes"), 1,0)</f>
        <v>0</v>
      </c>
      <c r="BH13"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13"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13" s="969">
        <f>MIN(SUM(UnitsTbl[[#This Row],[Disability Homelessness]],UnitsTbl[[#This Row],[Chronic Homelessness]],UnitsTbl[[#This Row],[Other Homelessness]]),UnitsTbl[[#This Row],[Total restricted units]])</f>
        <v>0</v>
      </c>
      <c r="BK13" s="969">
        <f>(UnitsTbl[[#This Row],[Restricted Income Level]]&lt;=30%)*UnitsTbl[[#This Row],[Total restricted units]]</f>
        <v>0</v>
      </c>
      <c r="BL13" s="969">
        <f t="shared" si="8"/>
        <v>0</v>
      </c>
      <c r="BM13" s="307">
        <f>UnitsTbl[[#This Row],[Units being subsidized]]*SUM(UnitsTbl[[#This Row],[Less Utility Allowance Schedule 1]],UnitsTbl[[#This Row],[Less Utility Allowance Schedule 2]])</f>
        <v>0</v>
      </c>
      <c r="BN13" s="307">
        <f>UnitsTbl[[#This Row],[Units being subsidized2]]*SUM(UnitsTbl[[#This Row],[Less Utility Allowance Schedule 1]],UnitsTbl[[#This Row],[Less Utility Allowance Schedule 2]])</f>
        <v>0</v>
      </c>
      <c r="BO13" s="307"/>
      <c r="BP13" s="1232" t="str">
        <f>CONCATENATE(County," ",HCDLoanLimitTbl[[#This Row],[AMI]])</f>
        <v xml:space="preserve"> 0.65</v>
      </c>
      <c r="BQ13" s="1721">
        <v>0.65</v>
      </c>
      <c r="BR13" s="1643">
        <f>$BR$14</f>
        <v>0</v>
      </c>
      <c r="BS13" s="1643">
        <f>$BS$14</f>
        <v>0</v>
      </c>
      <c r="BT13" s="1643">
        <f>$BT$14</f>
        <v>0</v>
      </c>
      <c r="BU13" s="1643">
        <f>$BU$14</f>
        <v>0</v>
      </c>
      <c r="BV13" s="1643">
        <f>$BV$14</f>
        <v>0</v>
      </c>
      <c r="BX13" s="1129" t="s">
        <v>41</v>
      </c>
      <c r="BY13" s="811">
        <v>32900</v>
      </c>
      <c r="BZ13" s="1744">
        <v>37600</v>
      </c>
      <c r="CA13" s="1744">
        <v>42300</v>
      </c>
      <c r="CB13" s="1744">
        <v>46950</v>
      </c>
      <c r="CC13" s="1744">
        <v>50750</v>
      </c>
      <c r="CD13" s="1744">
        <v>54500</v>
      </c>
      <c r="CE13" s="1744">
        <v>58250</v>
      </c>
      <c r="CF13" s="1135">
        <v>62000</v>
      </c>
      <c r="CH13" s="449">
        <v>0.8</v>
      </c>
      <c r="CI13" s="307" t="e">
        <f t="shared" si="7"/>
        <v>#VALUE!</v>
      </c>
      <c r="CJ13" s="307" t="e">
        <f t="shared" si="0"/>
        <v>#VALUE!</v>
      </c>
      <c r="CK13" s="307" t="e">
        <f t="shared" si="1"/>
        <v>#VALUE!</v>
      </c>
      <c r="CL13" s="307" t="e">
        <f t="shared" si="2"/>
        <v>#VALUE!</v>
      </c>
      <c r="CM13" s="307" t="e">
        <f t="shared" si="3"/>
        <v>#VALUE!</v>
      </c>
      <c r="CN13" s="307" t="e">
        <f t="shared" si="4"/>
        <v>#VALUE!</v>
      </c>
      <c r="CO13" s="307" t="e">
        <f t="shared" si="5"/>
        <v>#VALUE!</v>
      </c>
      <c r="CP13" s="362" t="e">
        <f t="shared" si="6"/>
        <v>#VALUE!</v>
      </c>
      <c r="CR13" s="386" t="b">
        <f>OR(AND(OR($BA$7="USDA",$BA$7="Other Federal"),UnitsTbl[[#This Row],[Gross Monthly Contract Rent]]&gt;0),AND(OR($BF$7="USDA",$BF$7="Other Federal"),UnitsTbl[[#This Row],[Net Monthly Contract Rent2]]&gt;0))</f>
        <v>0</v>
      </c>
      <c r="CS13" s="223">
        <f>IF(UnitsTbl[[#This Row],[Restricted Income Level]]="Manager",0,UnitsTbl[[#This Row],[Total Units]]*INDEX(SizeFactors,MATCH(MIN(UnitsTbl[[#This Row],[Number of Bedrooms]],4),Sizes,0)))</f>
        <v>0</v>
      </c>
      <c r="CT13" s="550">
        <f>IF(UnitsTbl[[#This Row],[Restricted Income Level]]="Manager",0,UnitsTbl[[#This Row],[Total Units]]-SUM(UnitsTbl[[#This Row],[Units being subsidized]]*($BA$7&lt;&gt;"Not Federal"),UnitsTbl[[#This Row],[Units being subsidized2]]*($BF$7&lt;&gt;"Not Federal")))</f>
        <v>0</v>
      </c>
      <c r="CU13" s="309">
        <f>IFERROR(IF(AND($CU$8,CR13=FALSE),40%,IF(UnitsTbl[[#This Row],[Restricted Income Level]]&lt;30%,30%,UnitsTbl[[#This Row],[Restricted Income Level]])),0)</f>
        <v>0.4</v>
      </c>
      <c r="CW13" s="555">
        <f t="shared" si="9"/>
        <v>0.4</v>
      </c>
      <c r="CX13" s="553">
        <f>IF(UnitsTbl[[#This Row],[Rent Limit Calculation Formula]]="TCAC",VLOOKUP(County&amp;CW13,TCACrentTbl[],UnitsTbl[[#This Row],[Number of Bedrooms]]+2,FALSE)-SUM(UnitsTbl[[#This Row],[Less Utility Allowance Schedule 2]],UnitsTbl[[#This Row],[Less Utility Allowance Schedule 1]]),IF(UnitsTbl[[#This Row],[Rent Limit Calculation Formula]]="Other",VLOOKUP(County&amp;CW13,OtherRentLimitTbl[],UnitsTbl[[#This Row],[Number of Bedrooms]]+3,FALSE)-SUM(UnitsTbl[[#This Row],[Less Utility Allowance Schedule 2]],UnitsTbl[[#This Row],[Less Utility Allowance Schedule 1]]),0))</f>
        <v>0</v>
      </c>
      <c r="CY13" s="363">
        <f>MAX(UnitsTbl[[#This Row],[Gross Monthly Contract Rent]],UnitsTbl[[#This Row],[Net Monthly Contract Rent2]])</f>
        <v>0</v>
      </c>
      <c r="CZ13" s="553">
        <f>IF(UnitsTbl[[#This Row],[Number of Bedrooms]]="",0,VLOOKUP(County&amp;"0.6",TCACrentTbl[],UnitsTbl[[#This Row],[Number of Bedrooms]]+2,FALSE))-SUM(UnitsTbl[[#This Row],[Less Utility Allowance Schedule 2]],UnitsTbl[[#This Row],[Less Utility Allowance Schedule 1]])</f>
        <v>0</v>
      </c>
      <c r="DA13" s="78" t="b">
        <f>OR(AND($BA$7="USDA",UnitsTbl[[#This Row],[Gross Monthly Contract Rent]]&gt;0),AND($BF$7="USDA",UnitsTbl[[#This Row],[Net Monthly Contract Rent2]]&gt;0))</f>
        <v>0</v>
      </c>
      <c r="DB13" s="363">
        <f t="shared" si="10"/>
        <v>0</v>
      </c>
      <c r="DC13" s="363">
        <f t="shared" si="11"/>
        <v>0</v>
      </c>
      <c r="DD13" s="364">
        <f>UnitsTbl[[#This Row],[Total Units]]*DC13</f>
        <v>0</v>
      </c>
    </row>
    <row r="14" spans="1:108" s="78" customFormat="1" ht="18" customHeight="1">
      <c r="A14" s="693"/>
      <c r="B14" s="1210"/>
      <c r="C14" s="1211"/>
      <c r="D14" s="1637"/>
      <c r="E14" s="1212"/>
      <c r="F14" s="1637"/>
      <c r="G14" s="1637"/>
      <c r="H14" s="1637"/>
      <c r="I14" s="1213"/>
      <c r="J14" s="1213"/>
      <c r="K14" s="1637"/>
      <c r="L14" s="1214"/>
      <c r="M14" s="1637"/>
      <c r="N14" s="1637"/>
      <c r="O14" s="1637"/>
      <c r="P14" s="1637"/>
      <c r="Q14" s="1637"/>
      <c r="R14" s="1637"/>
      <c r="S14" s="1637"/>
      <c r="T14" s="1637"/>
      <c r="U14" s="1637"/>
      <c r="V14" s="1637"/>
      <c r="W14" s="1637"/>
      <c r="X14" s="1637"/>
      <c r="Y14" s="1637"/>
      <c r="Z14" s="1637"/>
      <c r="AA14" s="1637"/>
      <c r="AB14" s="1637"/>
      <c r="AC14" s="1637"/>
      <c r="AD14" s="1215"/>
      <c r="AE14" s="1210"/>
      <c r="AF14" s="1637"/>
      <c r="AG14" s="1216"/>
      <c r="AH14" s="667"/>
      <c r="AI14"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14" s="1218" t="b">
        <f>IFERROR(IF(AND(IsSerna,OR(UnitsTbl[[#This Row],[VHHP
Assisted]]&gt;0,UnitsTbl[[#This Row],[HCD Program 5]]&gt;0)),0,IF(AND(IsSerna,$B$4="FWHG",UnitsTbl[[#This Row],[Restricted Income Level]]="Manager"),VLOOKUP(CONCATENATE(County," ",0.6),HCDLoanLimitTbl2[],BH14,FALSE)*UnitsTbl[[#This Row],[Total Units]],IF(UnitsTbl[[#This Row],[Restricted Income Level]]&gt;80%,0,IF(IsSerna,VLOOKUP(CONCATENATE(County," ",UnitsTbl[[#This Row],[Restricted Income Level]]),HCDLoanLimitTbl2[],UnitsTbl[[#This Row],[VLOOKUP Base]],FALSE)*UnitsTbl[[#This Row],[HCD Program2]])))),0)</f>
        <v>0</v>
      </c>
      <c r="AK14" s="1218" t="b">
        <f>IFERROR(IF(AND(IsTod,OR(UnitsTbl[[#This Row],[HCD Program 5]]&gt;0,UnitsTbl[[#This Row],[HCD Program2]]&gt;0,UnitsTbl[[#This Row],[HCD Program4]]&gt;0,UnitsTbl[[#This Row],[VHHP
Assisted]]&gt;0)),0,(IF(AND(IsTod,$B$4="TOD",UnitsTbl[[#This Row],[Restricted Income Level]]="Manager"),VLOOKUP(CONCATENATE(County," ",0.6),HCDLoanLimitTbl[],BH14,FALSE)*UnitsTbl[[#This Row],[Total Units]],IF(UnitsTbl[[#This Row],[Restricted Income Level]]&gt;60%,0,IF(IsTod,VLOOKUP(CONCATENATE(County," ",UnitsTbl[[#This Row],[Restricted Income Level]]),HCDLoanLimitTbl[],UnitsTbl[[#This Row],[VLOOKUP Base]],FALSE)*UnitsTbl[[#This Row],[HCD Program3]]))))),0)</f>
        <v>0</v>
      </c>
      <c r="AL14" s="1218" t="b">
        <f>IFERROR(IF(AND(IsShmhp,OR(UnitsTbl[[#This Row],[HCD Program 5]]&gt;0,UnitsTbl[[#This Row],[HCD Program2]]&gt;0,UnitsTbl[[#This Row],[HCD Program3]]&gt;0,UnitsTbl[[#This Row],[VHHP
Assisted]]&gt;0)),0,(IF(AND(IsShmhp,$B$4="SHMHP",UnitsTbl[[#This Row],[Restricted Income Level]]="Manager"),VLOOKUP(CONCATENATE(County," ",0.6),HCDLoanLimitTbl[],BH14,FALSE)*UnitsTbl[[#This Row],[Total Units]],IF(UnitsTbl[[#This Row],[Restricted Income Level]]&gt;60%,0,IF(IsShmhp,VLOOKUP(CONCATENATE(County," ",UnitsTbl[[#This Row],[Restricted Income Level]]),HCDLoanLimitTbl[],UnitsTbl[[#This Row],[VLOOKUP Base]],FALSE)*UnitsTbl[[#This Row],[HCD Program4]]))))),0)</f>
        <v>0</v>
      </c>
      <c r="AM14" s="1219" t="b">
        <f>IFERROR(IF(AND(IsVhhp,OR(UnitsTbl[[#This Row],[HCD Program 5]]&gt;0,UnitsTbl[[#This Row],[HCD Program2]]&gt;0,UnitsTbl[[#This Row],[HCD Program3]]&gt;0,UnitsTbl[[#This Row],[HCD Program4]]&gt;0)),0,(IF(AND(IsVhhp,$B$4="VHHP",UnitsTbl[[#This Row],[Restricted Income Level]]="Manager"),VLOOKUP(CONCATENATE(County," ",0.6),HCDLoanLimitTbl2[],BH14,FALSE)*UnitsTbl[[#This Row],[Total Units]],IF(UnitsTbl[[#This Row],[Restricted Income Level]]&gt;60%,0,IF(IsVhhp,VLOOKUP(CONCATENATE(County," ",UnitsTbl[[#This Row],[Restricted Income Level]]),HCDLoanLimitTbl2[],UnitsTbl[[#This Row],[VLOOKUP Base]],FALSE)*UnitsTbl[[#This Row],[VHHP
Assisted]]))))),0)</f>
        <v>0</v>
      </c>
      <c r="AN14"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",0.6),HCDLoanLimitTbl[],BH14,FALSE)*UnitsTbl[[#This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14" s="1221"/>
      <c r="AP14"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14" s="1223"/>
      <c r="AR14" s="1224"/>
      <c r="AS14" s="1225" t="str">
        <f>IFERROR(IF(UnitsTbl[[#This Row],[Max Gross Rent]]=0,"",UnitsTbl[[#This Row],[Max Gross Rent]]-UnitsTbl[[#This Row],[Less Utility Allowance Schedule 1]]-UnitsTbl[[#This Row],[Less Utility Allowance Schedule 2]]),"")</f>
        <v/>
      </c>
      <c r="AT14" s="1226"/>
      <c r="AU14" s="1225">
        <f>IF(UnitsTbl[[#This Row],[Proposed Net Rent ]]="",0,UnitsTbl[[#This Row],[Total Units]]*UnitsTbl[[#This Row],[Proposed Net Rent ]])</f>
        <v>0</v>
      </c>
      <c r="AV14" s="1227" t="str">
        <f>IF(UnitsTbl[[#This Row],[Proposed Net Rent ]]&gt;0,0,IFERROR(UnitsTbl[[#This Row],[Total Units]]*UnitsTbl[[#This Row],[Maximum Net Rent]],""))</f>
        <v/>
      </c>
      <c r="AW14" s="1228"/>
      <c r="AX14"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14" s="1637"/>
      <c r="AZ14" s="1637"/>
      <c r="BA14" s="1229" t="str">
        <f>IFERROR(IF(UnitsTbl[[#This Row],[Total Units]]="","",UnitsTbl[[#This Row],[Subsidy Payment Over  Gross Rent]]*UnitsTbl[[#This Row],[Total Units]])*NOT($BA$7=""),"")</f>
        <v/>
      </c>
      <c r="BB14" s="1228"/>
      <c r="BC14"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14" s="1230"/>
      <c r="BE14" s="1637"/>
      <c r="BF14" s="1227" t="str">
        <f>IFERROR(IF(UnitsTbl[[#This Row],[Total Units]]="","",UnitsTbl[[#This Row],[Subsidy Payment Over Gross Rent2]]*UnitsTbl[[#This Row],[Total Units]])*NOT($BF$7=""),"")</f>
        <v/>
      </c>
      <c r="BG14" s="1231">
        <f>IF(OR(UnitsTbl[[#This Row],[Special Needs?]]="Yes",UnitsTbl[[#This Row],[Special Needs2?]]="Yes"), 1,0)</f>
        <v>0</v>
      </c>
      <c r="BH14"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14"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14" s="969">
        <f>MIN(SUM(UnitsTbl[[#This Row],[Disability Homelessness]],UnitsTbl[[#This Row],[Chronic Homelessness]],UnitsTbl[[#This Row],[Other Homelessness]]),UnitsTbl[[#This Row],[Total restricted units]])</f>
        <v>0</v>
      </c>
      <c r="BK14" s="969">
        <f>(UnitsTbl[[#This Row],[Restricted Income Level]]&lt;=30%)*UnitsTbl[[#This Row],[Total restricted units]]</f>
        <v>0</v>
      </c>
      <c r="BL14" s="969">
        <f t="shared" si="8"/>
        <v>0</v>
      </c>
      <c r="BM14" s="307">
        <f>UnitsTbl[[#This Row],[Units being subsidized]]*SUM(UnitsTbl[[#This Row],[Less Utility Allowance Schedule 1]],UnitsTbl[[#This Row],[Less Utility Allowance Schedule 2]])</f>
        <v>0</v>
      </c>
      <c r="BN14" s="307">
        <f>UnitsTbl[[#This Row],[Units being subsidized2]]*SUM(UnitsTbl[[#This Row],[Less Utility Allowance Schedule 1]],UnitsTbl[[#This Row],[Less Utility Allowance Schedule 2]])</f>
        <v>0</v>
      </c>
      <c r="BO14" s="307"/>
      <c r="BP14" s="1232" t="str">
        <f>CONCATENATE(County," ",HCDLoanLimitTbl[[#This Row],[AMI]])</f>
        <v xml:space="preserve"> 0.6</v>
      </c>
      <c r="BQ14" s="1721">
        <v>0.6</v>
      </c>
      <c r="BR14" s="1643">
        <f>IFERROR(+$BR$5+PV($BS$6/12,$BT$6,-(($CJ$51-$CJ$51)*(1-$BV$6))/$BU$6),0)</f>
        <v>0</v>
      </c>
      <c r="BS14" s="1643">
        <f>IFERROR(+$BR$5+PV($BS$6/12,$BT$6,-(($CK$51-$CK$51)*(1-$BV$6))/$BU$6),0)</f>
        <v>0</v>
      </c>
      <c r="BT14" s="1643">
        <f>IFERROR(+$BR$5+PV($BS$6/12,$BT$6,-(($CL$51-$CL$51)*(1-$BV$6))/$BU$6),0)</f>
        <v>0</v>
      </c>
      <c r="BU14" s="1643">
        <f>IFERROR(+$BR$5+PV($BS$6/12,$BT$6,-(($CM$51-$CM$51)*(1-$BV$6))/$BU$6),0)</f>
        <v>0</v>
      </c>
      <c r="BV14" s="1233">
        <f>IFERROR(+$BR$5+PV($BS$6/12,$BT$6,-(($CN$51-$CN$51)*(1-$BV$6))/$BU$6),0)</f>
        <v>0</v>
      </c>
      <c r="BX14" s="1129" t="s">
        <v>51</v>
      </c>
      <c r="BY14" s="812">
        <v>32900</v>
      </c>
      <c r="BZ14" s="813">
        <v>37600</v>
      </c>
      <c r="CA14" s="813">
        <v>42300</v>
      </c>
      <c r="CB14" s="813">
        <v>46950</v>
      </c>
      <c r="CC14" s="813">
        <v>50750</v>
      </c>
      <c r="CD14" s="813">
        <v>54500</v>
      </c>
      <c r="CE14" s="813">
        <v>58250</v>
      </c>
      <c r="CF14" s="1147">
        <v>62000</v>
      </c>
      <c r="CH14" s="449">
        <v>0.75</v>
      </c>
      <c r="CI14" s="307" t="e">
        <f t="shared" si="7"/>
        <v>#VALUE!</v>
      </c>
      <c r="CJ14" s="307" t="e">
        <f t="shared" si="0"/>
        <v>#VALUE!</v>
      </c>
      <c r="CK14" s="307" t="e">
        <f t="shared" si="1"/>
        <v>#VALUE!</v>
      </c>
      <c r="CL14" s="307" t="e">
        <f t="shared" si="2"/>
        <v>#VALUE!</v>
      </c>
      <c r="CM14" s="307" t="e">
        <f t="shared" si="3"/>
        <v>#VALUE!</v>
      </c>
      <c r="CN14" s="307" t="e">
        <f t="shared" si="4"/>
        <v>#VALUE!</v>
      </c>
      <c r="CO14" s="307" t="e">
        <f t="shared" si="5"/>
        <v>#VALUE!</v>
      </c>
      <c r="CP14" s="362" t="e">
        <f t="shared" si="6"/>
        <v>#VALUE!</v>
      </c>
      <c r="CR14" s="386" t="b">
        <f>OR(AND(OR($BA$7="USDA",$BA$7="Other Federal"),UnitsTbl[[#This Row],[Gross Monthly Contract Rent]]&gt;0),AND(OR($BF$7="USDA",$BF$7="Other Federal"),UnitsTbl[[#This Row],[Net Monthly Contract Rent2]]&gt;0))</f>
        <v>0</v>
      </c>
      <c r="CS14" s="223">
        <f>IF(UnitsTbl[[#This Row],[Restricted Income Level]]="Manager",0,UnitsTbl[[#This Row],[Total Units]]*INDEX(SizeFactors,MATCH(MIN(UnitsTbl[[#This Row],[Number of Bedrooms]],4),Sizes,0)))</f>
        <v>0</v>
      </c>
      <c r="CT14" s="550">
        <f>IF(UnitsTbl[[#This Row],[Restricted Income Level]]="Manager",0,UnitsTbl[[#This Row],[Total Units]]-SUM(UnitsTbl[[#This Row],[Units being subsidized]]*($BA$7&lt;&gt;"Not Federal"),UnitsTbl[[#This Row],[Units being subsidized2]]*($BF$7&lt;&gt;"Not Federal")))</f>
        <v>0</v>
      </c>
      <c r="CU14" s="309">
        <f>IFERROR(IF(AND($CU$8,CR14=FALSE),40%,IF(UnitsTbl[[#This Row],[Restricted Income Level]]&lt;30%,30%,UnitsTbl[[#This Row],[Restricted Income Level]])),0)</f>
        <v>0.4</v>
      </c>
      <c r="CW14" s="555">
        <f t="shared" si="9"/>
        <v>0.4</v>
      </c>
      <c r="CX14" s="553">
        <f>IF(UnitsTbl[[#This Row],[Rent Limit Calculation Formula]]="TCAC",VLOOKUP(County&amp;CW14,TCACrentTbl[],UnitsTbl[[#This Row],[Number of Bedrooms]]+2,FALSE)-SUM(UnitsTbl[[#This Row],[Less Utility Allowance Schedule 2]],UnitsTbl[[#This Row],[Less Utility Allowance Schedule 1]]),IF(UnitsTbl[[#This Row],[Rent Limit Calculation Formula]]="Other",VLOOKUP(County&amp;CW14,OtherRentLimitTbl[],UnitsTbl[[#This Row],[Number of Bedrooms]]+3,FALSE)-SUM(UnitsTbl[[#This Row],[Less Utility Allowance Schedule 2]],UnitsTbl[[#This Row],[Less Utility Allowance Schedule 1]]),0))</f>
        <v>0</v>
      </c>
      <c r="CY14" s="363">
        <f>MAX(UnitsTbl[[#This Row],[Gross Monthly Contract Rent]],UnitsTbl[[#This Row],[Net Monthly Contract Rent2]])</f>
        <v>0</v>
      </c>
      <c r="CZ14" s="553">
        <f>IF(UnitsTbl[[#This Row],[Number of Bedrooms]]="",0,VLOOKUP(County&amp;"0.6",TCACrentTbl[],UnitsTbl[[#This Row],[Number of Bedrooms]]+2,FALSE))-SUM(UnitsTbl[[#This Row],[Less Utility Allowance Schedule 2]],UnitsTbl[[#This Row],[Less Utility Allowance Schedule 1]])</f>
        <v>0</v>
      </c>
      <c r="DA14" s="78" t="b">
        <f>OR(AND($BA$7="USDA",UnitsTbl[[#This Row],[Gross Monthly Contract Rent]]&gt;0),AND($BF$7="USDA",UnitsTbl[[#This Row],[Net Monthly Contract Rent2]]&gt;0))</f>
        <v>0</v>
      </c>
      <c r="DB14" s="363">
        <f t="shared" si="10"/>
        <v>0</v>
      </c>
      <c r="DC14" s="363">
        <f t="shared" si="11"/>
        <v>0</v>
      </c>
      <c r="DD14" s="364">
        <f>UnitsTbl[[#This Row],[Total Units]]*DC14</f>
        <v>0</v>
      </c>
    </row>
    <row r="15" spans="1:108" s="78" customFormat="1" ht="18" customHeight="1">
      <c r="A15" s="693"/>
      <c r="B15" s="1210"/>
      <c r="C15" s="1211"/>
      <c r="D15" s="1637"/>
      <c r="E15" s="1212"/>
      <c r="F15" s="1637"/>
      <c r="G15" s="1637"/>
      <c r="H15" s="1637"/>
      <c r="I15" s="1213"/>
      <c r="J15" s="1213"/>
      <c r="K15" s="1637"/>
      <c r="L15" s="1214"/>
      <c r="M15" s="1637"/>
      <c r="N15" s="1637"/>
      <c r="O15" s="1637"/>
      <c r="P15" s="1637"/>
      <c r="Q15" s="1637"/>
      <c r="R15" s="1637"/>
      <c r="S15" s="1637"/>
      <c r="T15" s="1637"/>
      <c r="U15" s="1637"/>
      <c r="V15" s="1637"/>
      <c r="W15" s="1637"/>
      <c r="X15" s="1637"/>
      <c r="Y15" s="1637"/>
      <c r="Z15" s="1637"/>
      <c r="AA15" s="1637"/>
      <c r="AB15" s="1637"/>
      <c r="AC15" s="1637"/>
      <c r="AD15" s="1215"/>
      <c r="AE15" s="1210"/>
      <c r="AF15" s="1637"/>
      <c r="AG15" s="1216"/>
      <c r="AH15" s="667"/>
      <c r="AI15"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15" s="1218" t="b">
        <f>IFERROR(IF(AND(IsSerna,OR(UnitsTbl[[#This Row],[VHHP
Assisted]]&gt;0,UnitsTbl[[#This Row],[HCD Program 5]]&gt;0)),0,IF(AND(IsSerna,$B$4="FWHG",UnitsTbl[[#This Row],[Restricted Income Level]]="Manager"),VLOOKUP(CONCATENATE(County," ",0.6),HCDLoanLimitTbl2[],BH15,FALSE)*UnitsTbl[[#This Row],[Total Units]],IF(UnitsTbl[[#This Row],[Restricted Income Level]]&gt;80%,0,IF(IsSerna,VLOOKUP(CONCATENATE(County," ",UnitsTbl[[#This Row],[Restricted Income Level]]),HCDLoanLimitTbl2[],UnitsTbl[[#This Row],[VLOOKUP Base]],FALSE)*UnitsTbl[[#This Row],[HCD Program2]])))),0)</f>
        <v>0</v>
      </c>
      <c r="AK15" s="1218" t="b">
        <f>IFERROR(IF(AND(IsTod,OR(UnitsTbl[[#This Row],[HCD Program 5]]&gt;0,UnitsTbl[[#This Row],[HCD Program2]]&gt;0,UnitsTbl[[#This Row],[HCD Program4]]&gt;0,UnitsTbl[[#This Row],[VHHP
Assisted]]&gt;0)),0,(IF(AND(IsTod,$B$4="TOD",UnitsTbl[[#This Row],[Restricted Income Level]]="Manager"),VLOOKUP(CONCATENATE(County," ",0.6),HCDLoanLimitTbl[],BH15,FALSE)*UnitsTbl[[#This Row],[Total Units]],IF(UnitsTbl[[#This Row],[Restricted Income Level]]&gt;60%,0,IF(IsTod,VLOOKUP(CONCATENATE(County," ",UnitsTbl[[#This Row],[Restricted Income Level]]),HCDLoanLimitTbl[],UnitsTbl[[#This Row],[VLOOKUP Base]],FALSE)*UnitsTbl[[#This Row],[HCD Program3]]))))),0)</f>
        <v>0</v>
      </c>
      <c r="AL15" s="1218" t="b">
        <f>IFERROR(IF(AND(IsShmhp,OR(UnitsTbl[[#This Row],[HCD Program 5]]&gt;0,UnitsTbl[[#This Row],[HCD Program2]]&gt;0,UnitsTbl[[#This Row],[HCD Program3]]&gt;0,UnitsTbl[[#This Row],[VHHP
Assisted]]&gt;0)),0,(IF(AND(IsShmhp,$B$4="SHMHP",UnitsTbl[[#This Row],[Restricted Income Level]]="Manager"),VLOOKUP(CONCATENATE(County," ",0.6),HCDLoanLimitTbl[],BH15,FALSE)*UnitsTbl[[#This Row],[Total Units]],IF(UnitsTbl[[#This Row],[Restricted Income Level]]&gt;60%,0,IF(IsShmhp,VLOOKUP(CONCATENATE(County," ",UnitsTbl[[#This Row],[Restricted Income Level]]),HCDLoanLimitTbl[],UnitsTbl[[#This Row],[VLOOKUP Base]],FALSE)*UnitsTbl[[#This Row],[HCD Program4]]))))),0)</f>
        <v>0</v>
      </c>
      <c r="AM15" s="1219" t="b">
        <f>IFERROR(IF(AND(IsVhhp,OR(UnitsTbl[[#This Row],[HCD Program 5]]&gt;0,UnitsTbl[[#This Row],[HCD Program2]]&gt;0,UnitsTbl[[#This Row],[HCD Program3]]&gt;0,UnitsTbl[[#This Row],[HCD Program4]]&gt;0)),0,(IF(AND(IsVhhp,$B$4="VHHP",UnitsTbl[[#This Row],[Restricted Income Level]]="Manager"),VLOOKUP(CONCATENATE(County," ",0.6),HCDLoanLimitTbl2[],BH15,FALSE)*UnitsTbl[[#This Row],[Total Units]],IF(UnitsTbl[[#This Row],[Restricted Income Level]]&gt;60%,0,IF(IsVhhp,VLOOKUP(CONCATENATE(County," ",UnitsTbl[[#This Row],[Restricted Income Level]]),HCDLoanLimitTbl2[],UnitsTbl[[#This Row],[VLOOKUP Base]],FALSE)*UnitsTbl[[#This Row],[VHHP
Assisted]]))))),0)</f>
        <v>0</v>
      </c>
      <c r="AN15"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",0.6),HCDLoanLimitTbl[],BH15,FALSE)*UnitsTbl[[#This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15" s="1221"/>
      <c r="AP15"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15" s="1223"/>
      <c r="AR15" s="1224"/>
      <c r="AS15" s="1225" t="str">
        <f>IFERROR(IF(UnitsTbl[[#This Row],[Max Gross Rent]]=0,"",UnitsTbl[[#This Row],[Max Gross Rent]]-UnitsTbl[[#This Row],[Less Utility Allowance Schedule 1]]-UnitsTbl[[#This Row],[Less Utility Allowance Schedule 2]]),"")</f>
        <v/>
      </c>
      <c r="AT15" s="1226"/>
      <c r="AU15" s="1225">
        <f>IF(UnitsTbl[[#This Row],[Proposed Net Rent ]]="",0,UnitsTbl[[#This Row],[Total Units]]*UnitsTbl[[#This Row],[Proposed Net Rent ]])</f>
        <v>0</v>
      </c>
      <c r="AV15" s="1227" t="str">
        <f>IF(UnitsTbl[[#This Row],[Proposed Net Rent ]]&gt;0,0,IFERROR(UnitsTbl[[#This Row],[Total Units]]*UnitsTbl[[#This Row],[Maximum Net Rent]],""))</f>
        <v/>
      </c>
      <c r="AW15" s="1228"/>
      <c r="AX15"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15" s="1637"/>
      <c r="AZ15" s="1637"/>
      <c r="BA15" s="1229" t="str">
        <f>IFERROR(IF(UnitsTbl[[#This Row],[Total Units]]="","",UnitsTbl[[#This Row],[Subsidy Payment Over  Gross Rent]]*UnitsTbl[[#This Row],[Total Units]])*NOT($BA$7=""),"")</f>
        <v/>
      </c>
      <c r="BB15" s="1228"/>
      <c r="BC15"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15" s="1230"/>
      <c r="BE15" s="1637"/>
      <c r="BF15" s="1227" t="str">
        <f>IFERROR(IF(UnitsTbl[[#This Row],[Total Units]]="","",UnitsTbl[[#This Row],[Subsidy Payment Over Gross Rent2]]*UnitsTbl[[#This Row],[Total Units]])*NOT($BF$7=""),"")</f>
        <v/>
      </c>
      <c r="BG15" s="1231">
        <f>IF(OR(UnitsTbl[[#This Row],[Special Needs?]]="Yes",UnitsTbl[[#This Row],[Special Needs2?]]="Yes"), 1,0)</f>
        <v>0</v>
      </c>
      <c r="BH15"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15"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15" s="969">
        <f>MIN(SUM(UnitsTbl[[#This Row],[Disability Homelessness]],UnitsTbl[[#This Row],[Chronic Homelessness]],UnitsTbl[[#This Row],[Other Homelessness]]),UnitsTbl[[#This Row],[Total restricted units]])</f>
        <v>0</v>
      </c>
      <c r="BK15" s="969">
        <f>(UnitsTbl[[#This Row],[Restricted Income Level]]&lt;=30%)*UnitsTbl[[#This Row],[Total restricted units]]</f>
        <v>0</v>
      </c>
      <c r="BL15" s="969">
        <f t="shared" si="8"/>
        <v>0</v>
      </c>
      <c r="BM15" s="307">
        <f>UnitsTbl[[#This Row],[Units being subsidized]]*SUM(UnitsTbl[[#This Row],[Less Utility Allowance Schedule 1]],UnitsTbl[[#This Row],[Less Utility Allowance Schedule 2]])</f>
        <v>0</v>
      </c>
      <c r="BN15" s="307">
        <f>UnitsTbl[[#This Row],[Units being subsidized2]]*SUM(UnitsTbl[[#This Row],[Less Utility Allowance Schedule 1]],UnitsTbl[[#This Row],[Less Utility Allowance Schedule 2]])</f>
        <v>0</v>
      </c>
      <c r="BO15" s="307"/>
      <c r="BP15" s="1232" t="str">
        <f>CONCATENATE(County," ",HCDLoanLimitTbl[[#This Row],[AMI]])</f>
        <v xml:space="preserve"> 0.55</v>
      </c>
      <c r="BQ15" s="1721">
        <v>0.55000000000000004</v>
      </c>
      <c r="BR15" s="1643" t="e">
        <f t="shared" ref="BR15:BR23" si="12">+$BR$5+PV($BS$6/12,$BT$6,-((CJ$51-CJ52)*(1-$BV$6))/$BU$6)</f>
        <v>#VALUE!</v>
      </c>
      <c r="BS15" s="1643" t="e">
        <f t="shared" ref="BS15:BS23" si="13">+$BR$5+PV($BS$6/12,$BT$6,-((CK$51-CK52)*(1-$BV$6))/$BU$6)</f>
        <v>#VALUE!</v>
      </c>
      <c r="BT15" s="1643" t="e">
        <f t="shared" ref="BT15:BT23" si="14">+$BR$5+PV($BS$6/12,$BT$6,-((CL$51-CL52)*(1-$BV$6))/$BU$6)</f>
        <v>#VALUE!</v>
      </c>
      <c r="BU15" s="1643" t="e">
        <f t="shared" ref="BU15:BU23" si="15">+$BR$5+PV($BS$6/12,$BT$6,-((CM$51-CM52)*(1-$BV$6))/$BU$6)</f>
        <v>#VALUE!</v>
      </c>
      <c r="BV15" s="1233" t="e">
        <f t="shared" ref="BV15:BV23" si="16">+$BR$5+PV($BS$6/12,$BT$6,-((CN$51-CN52)*(1-$BV$6))/$BU$6)</f>
        <v>#VALUE!</v>
      </c>
      <c r="BX15" s="1129" t="s">
        <v>57</v>
      </c>
      <c r="BY15" s="811">
        <v>32900</v>
      </c>
      <c r="BZ15" s="1744">
        <v>37600</v>
      </c>
      <c r="CA15" s="1744">
        <v>42300</v>
      </c>
      <c r="CB15" s="1744">
        <v>46950</v>
      </c>
      <c r="CC15" s="1744">
        <v>50750</v>
      </c>
      <c r="CD15" s="1744">
        <v>54500</v>
      </c>
      <c r="CE15" s="1744">
        <v>58250</v>
      </c>
      <c r="CF15" s="1135">
        <v>62000</v>
      </c>
      <c r="CH15" s="449">
        <v>0.7</v>
      </c>
      <c r="CI15" s="307" t="e">
        <f t="shared" si="7"/>
        <v>#VALUE!</v>
      </c>
      <c r="CJ15" s="307" t="e">
        <f t="shared" si="0"/>
        <v>#VALUE!</v>
      </c>
      <c r="CK15" s="307" t="e">
        <f t="shared" si="1"/>
        <v>#VALUE!</v>
      </c>
      <c r="CL15" s="307" t="e">
        <f t="shared" si="2"/>
        <v>#VALUE!</v>
      </c>
      <c r="CM15" s="307" t="e">
        <f t="shared" si="3"/>
        <v>#VALUE!</v>
      </c>
      <c r="CN15" s="307" t="e">
        <f t="shared" si="4"/>
        <v>#VALUE!</v>
      </c>
      <c r="CO15" s="307" t="e">
        <f t="shared" si="5"/>
        <v>#VALUE!</v>
      </c>
      <c r="CP15" s="362" t="e">
        <f t="shared" si="6"/>
        <v>#VALUE!</v>
      </c>
      <c r="CR15" s="386" t="b">
        <f>OR(AND(OR($BA$7="USDA",$BA$7="Other Federal"),UnitsTbl[[#This Row],[Gross Monthly Contract Rent]]&gt;0),AND(OR($BF$7="USDA",$BF$7="Other Federal"),UnitsTbl[[#This Row],[Net Monthly Contract Rent2]]&gt;0))</f>
        <v>0</v>
      </c>
      <c r="CS15" s="223">
        <f>IF(UnitsTbl[[#This Row],[Restricted Income Level]]="Manager",0,UnitsTbl[[#This Row],[Total Units]]*INDEX(SizeFactors,MATCH(MIN(UnitsTbl[[#This Row],[Number of Bedrooms]],4),Sizes,0)))</f>
        <v>0</v>
      </c>
      <c r="CT15" s="550">
        <f>IF(UnitsTbl[[#This Row],[Restricted Income Level]]="Manager",0,UnitsTbl[[#This Row],[Total Units]]-SUM(UnitsTbl[[#This Row],[Units being subsidized]]*($BA$7&lt;&gt;"Not Federal"),UnitsTbl[[#This Row],[Units being subsidized2]]*($BF$7&lt;&gt;"Not Federal")))</f>
        <v>0</v>
      </c>
      <c r="CU15" s="309">
        <f>IFERROR(IF(AND($CU$8,CR15=FALSE),40%,IF(UnitsTbl[[#This Row],[Restricted Income Level]]&lt;30%,30%,UnitsTbl[[#This Row],[Restricted Income Level]])),0)</f>
        <v>0.4</v>
      </c>
      <c r="CW15" s="555">
        <f t="shared" si="9"/>
        <v>0.4</v>
      </c>
      <c r="CX15" s="553">
        <f>IF(UnitsTbl[[#This Row],[Rent Limit Calculation Formula]]="TCAC",VLOOKUP(County&amp;CW15,TCACrentTbl[],UnitsTbl[[#This Row],[Number of Bedrooms]]+2,FALSE)-SUM(UnitsTbl[[#This Row],[Less Utility Allowance Schedule 2]],UnitsTbl[[#This Row],[Less Utility Allowance Schedule 1]]),IF(UnitsTbl[[#This Row],[Rent Limit Calculation Formula]]="Other",VLOOKUP(County&amp;CW15,OtherRentLimitTbl[],UnitsTbl[[#This Row],[Number of Bedrooms]]+3,FALSE)-SUM(UnitsTbl[[#This Row],[Less Utility Allowance Schedule 2]],UnitsTbl[[#This Row],[Less Utility Allowance Schedule 1]]),0))</f>
        <v>0</v>
      </c>
      <c r="CY15" s="363">
        <f>MAX(UnitsTbl[[#This Row],[Gross Monthly Contract Rent]],UnitsTbl[[#This Row],[Net Monthly Contract Rent2]])</f>
        <v>0</v>
      </c>
      <c r="CZ15" s="553">
        <f>IF(UnitsTbl[[#This Row],[Number of Bedrooms]]="",0,VLOOKUP(County&amp;"0.6",TCACrentTbl[],UnitsTbl[[#This Row],[Number of Bedrooms]]+2,FALSE))-SUM(UnitsTbl[[#This Row],[Less Utility Allowance Schedule 2]],UnitsTbl[[#This Row],[Less Utility Allowance Schedule 1]])</f>
        <v>0</v>
      </c>
      <c r="DA15" s="78" t="b">
        <f>OR(AND($BA$7="USDA",UnitsTbl[[#This Row],[Gross Monthly Contract Rent]]&gt;0),AND($BF$7="USDA",UnitsTbl[[#This Row],[Net Monthly Contract Rent2]]&gt;0))</f>
        <v>0</v>
      </c>
      <c r="DB15" s="363">
        <f t="shared" si="10"/>
        <v>0</v>
      </c>
      <c r="DC15" s="363">
        <f t="shared" si="11"/>
        <v>0</v>
      </c>
      <c r="DD15" s="364">
        <f>UnitsTbl[[#This Row],[Total Units]]*DC15</f>
        <v>0</v>
      </c>
    </row>
    <row r="16" spans="1:108" s="78" customFormat="1" ht="18" customHeight="1">
      <c r="A16" s="693"/>
      <c r="B16" s="1210"/>
      <c r="C16" s="1211"/>
      <c r="D16" s="1637"/>
      <c r="E16" s="1212"/>
      <c r="F16" s="1637"/>
      <c r="G16" s="1637"/>
      <c r="H16" s="1637"/>
      <c r="I16" s="1213"/>
      <c r="J16" s="1213"/>
      <c r="K16" s="1637"/>
      <c r="L16" s="1214"/>
      <c r="M16" s="1637"/>
      <c r="N16" s="1637"/>
      <c r="O16" s="1637"/>
      <c r="P16" s="1637"/>
      <c r="Q16" s="1637"/>
      <c r="R16" s="1637"/>
      <c r="S16" s="1637"/>
      <c r="T16" s="1637"/>
      <c r="U16" s="1637"/>
      <c r="V16" s="1637"/>
      <c r="W16" s="1637"/>
      <c r="X16" s="1637"/>
      <c r="Y16" s="1637"/>
      <c r="Z16" s="1637"/>
      <c r="AA16" s="1637"/>
      <c r="AB16" s="1637"/>
      <c r="AC16" s="1637"/>
      <c r="AD16" s="1215"/>
      <c r="AE16" s="1210"/>
      <c r="AF16" s="1637"/>
      <c r="AG16" s="1216"/>
      <c r="AH16" s="667"/>
      <c r="AI16"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16" s="1218" t="b">
        <f>IFERROR(IF(AND(IsSerna,OR(UnitsTbl[[#This Row],[VHHP
Assisted]]&gt;0,UnitsTbl[[#This Row],[HCD Program 5]]&gt;0)),0,IF(AND(IsSerna,$B$4="FWHG",UnitsTbl[[#This Row],[Restricted Income Level]]="Manager"),VLOOKUP(CONCATENATE(County," ",0.6),HCDLoanLimitTbl2[],BH16,FALSE)*UnitsTbl[[#This Row],[Total Units]],IF(UnitsTbl[[#This Row],[Restricted Income Level]]&gt;80%,0,IF(IsSerna,VLOOKUP(CONCATENATE(County," ",UnitsTbl[[#This Row],[Restricted Income Level]]),HCDLoanLimitTbl2[],UnitsTbl[[#This Row],[VLOOKUP Base]],FALSE)*UnitsTbl[[#This Row],[HCD Program2]])))),0)</f>
        <v>0</v>
      </c>
      <c r="AK16" s="1218" t="b">
        <f>IFERROR(IF(AND(IsTod,OR(UnitsTbl[[#This Row],[HCD Program 5]]&gt;0,UnitsTbl[[#This Row],[HCD Program2]]&gt;0,UnitsTbl[[#This Row],[HCD Program4]]&gt;0,UnitsTbl[[#This Row],[VHHP
Assisted]]&gt;0)),0,(IF(AND(IsTod,$B$4="TOD",UnitsTbl[[#This Row],[Restricted Income Level]]="Manager"),VLOOKUP(CONCATENATE(County," ",0.6),HCDLoanLimitTbl[],BH16,FALSE)*UnitsTbl[[#This Row],[Total Units]],IF(UnitsTbl[[#This Row],[Restricted Income Level]]&gt;60%,0,IF(IsTod,VLOOKUP(CONCATENATE(County," ",UnitsTbl[[#This Row],[Restricted Income Level]]),HCDLoanLimitTbl[],UnitsTbl[[#This Row],[VLOOKUP Base]],FALSE)*UnitsTbl[[#This Row],[HCD Program3]]))))),0)</f>
        <v>0</v>
      </c>
      <c r="AL16" s="1218" t="b">
        <f>IFERROR(IF(AND(IsShmhp,OR(UnitsTbl[[#This Row],[HCD Program 5]]&gt;0,UnitsTbl[[#This Row],[HCD Program2]]&gt;0,UnitsTbl[[#This Row],[HCD Program3]]&gt;0,UnitsTbl[[#This Row],[VHHP
Assisted]]&gt;0)),0,(IF(AND(IsShmhp,$B$4="SHMHP",UnitsTbl[[#This Row],[Restricted Income Level]]="Manager"),VLOOKUP(CONCATENATE(County," ",0.6),HCDLoanLimitTbl[],BH16,FALSE)*UnitsTbl[[#This Row],[Total Units]],IF(UnitsTbl[[#This Row],[Restricted Income Level]]&gt;60%,0,IF(IsShmhp,VLOOKUP(CONCATENATE(County," ",UnitsTbl[[#This Row],[Restricted Income Level]]),HCDLoanLimitTbl[],UnitsTbl[[#This Row],[VLOOKUP Base]],FALSE)*UnitsTbl[[#This Row],[HCD Program4]]))))),0)</f>
        <v>0</v>
      </c>
      <c r="AM16" s="1219" t="b">
        <f>IFERROR(IF(AND(IsVhhp,OR(UnitsTbl[[#This Row],[HCD Program 5]]&gt;0,UnitsTbl[[#This Row],[HCD Program2]]&gt;0,UnitsTbl[[#This Row],[HCD Program3]]&gt;0,UnitsTbl[[#This Row],[HCD Program4]]&gt;0)),0,(IF(AND(IsVhhp,$B$4="VHHP",UnitsTbl[[#This Row],[Restricted Income Level]]="Manager"),VLOOKUP(CONCATENATE(County," ",0.6),HCDLoanLimitTbl2[],BH16,FALSE)*UnitsTbl[[#This Row],[Total Units]],IF(UnitsTbl[[#This Row],[Restricted Income Level]]&gt;60%,0,IF(IsVhhp,VLOOKUP(CONCATENATE(County," ",UnitsTbl[[#This Row],[Restricted Income Level]]),HCDLoanLimitTbl2[],UnitsTbl[[#This Row],[VLOOKUP Base]],FALSE)*UnitsTbl[[#This Row],[VHHP
Assisted]]))))),0)</f>
        <v>0</v>
      </c>
      <c r="AN16"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",0.6),HCDLoanLimitTbl[],BH16,FALSE)*UnitsTbl[[#This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16" s="1221"/>
      <c r="AP16"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16" s="1223"/>
      <c r="AR16" s="1224"/>
      <c r="AS16" s="1225" t="str">
        <f>IFERROR(IF(UnitsTbl[[#This Row],[Max Gross Rent]]=0,"",UnitsTbl[[#This Row],[Max Gross Rent]]-UnitsTbl[[#This Row],[Less Utility Allowance Schedule 1]]-UnitsTbl[[#This Row],[Less Utility Allowance Schedule 2]]),"")</f>
        <v/>
      </c>
      <c r="AT16" s="1226"/>
      <c r="AU16" s="1225">
        <f>IF(UnitsTbl[[#This Row],[Proposed Net Rent ]]="",0,UnitsTbl[[#This Row],[Total Units]]*UnitsTbl[[#This Row],[Proposed Net Rent ]])</f>
        <v>0</v>
      </c>
      <c r="AV16" s="1227" t="str">
        <f>IF(UnitsTbl[[#This Row],[Proposed Net Rent ]]&gt;0,0,IFERROR(UnitsTbl[[#This Row],[Total Units]]*UnitsTbl[[#This Row],[Maximum Net Rent]],""))</f>
        <v/>
      </c>
      <c r="AW16" s="1228"/>
      <c r="AX16"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16" s="1637"/>
      <c r="AZ16" s="1637"/>
      <c r="BA16" s="1229" t="str">
        <f>IFERROR(IF(UnitsTbl[[#This Row],[Total Units]]="","",UnitsTbl[[#This Row],[Subsidy Payment Over  Gross Rent]]*UnitsTbl[[#This Row],[Total Units]])*NOT($BA$7=""),"")</f>
        <v/>
      </c>
      <c r="BB16" s="1228"/>
      <c r="BC16"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16" s="1230"/>
      <c r="BE16" s="1637"/>
      <c r="BF16" s="1227" t="str">
        <f>IFERROR(IF(UnitsTbl[[#This Row],[Total Units]]="","",UnitsTbl[[#This Row],[Subsidy Payment Over Gross Rent2]]*UnitsTbl[[#This Row],[Total Units]])*NOT($BF$7=""),"")</f>
        <v/>
      </c>
      <c r="BG16" s="1231">
        <f>IF(OR(UnitsTbl[[#This Row],[Special Needs?]]="Yes",UnitsTbl[[#This Row],[Special Needs2?]]="Yes"), 1,0)</f>
        <v>0</v>
      </c>
      <c r="BH16"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16"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16" s="969">
        <f>MIN(SUM(UnitsTbl[[#This Row],[Disability Homelessness]],UnitsTbl[[#This Row],[Chronic Homelessness]],UnitsTbl[[#This Row],[Other Homelessness]]),UnitsTbl[[#This Row],[Total restricted units]])</f>
        <v>0</v>
      </c>
      <c r="BK16" s="969">
        <f>(UnitsTbl[[#This Row],[Restricted Income Level]]&lt;=30%)*UnitsTbl[[#This Row],[Total restricted units]]</f>
        <v>0</v>
      </c>
      <c r="BL16" s="969">
        <f t="shared" si="8"/>
        <v>0</v>
      </c>
      <c r="BM16" s="307">
        <f>UnitsTbl[[#This Row],[Units being subsidized]]*SUM(UnitsTbl[[#This Row],[Less Utility Allowance Schedule 1]],UnitsTbl[[#This Row],[Less Utility Allowance Schedule 2]])</f>
        <v>0</v>
      </c>
      <c r="BN16" s="307">
        <f>UnitsTbl[[#This Row],[Units being subsidized2]]*SUM(UnitsTbl[[#This Row],[Less Utility Allowance Schedule 1]],UnitsTbl[[#This Row],[Less Utility Allowance Schedule 2]])</f>
        <v>0</v>
      </c>
      <c r="BO16" s="307"/>
      <c r="BP16" s="1232" t="str">
        <f>CONCATENATE(County," ",HCDLoanLimitTbl[[#This Row],[AMI]])</f>
        <v xml:space="preserve"> 0.5</v>
      </c>
      <c r="BQ16" s="1721">
        <v>0.5</v>
      </c>
      <c r="BR16" s="1643" t="e">
        <f t="shared" si="12"/>
        <v>#VALUE!</v>
      </c>
      <c r="BS16" s="1643" t="e">
        <f t="shared" si="13"/>
        <v>#VALUE!</v>
      </c>
      <c r="BT16" s="1643" t="e">
        <f t="shared" si="14"/>
        <v>#VALUE!</v>
      </c>
      <c r="BU16" s="1643" t="e">
        <f t="shared" si="15"/>
        <v>#VALUE!</v>
      </c>
      <c r="BV16" s="1233" t="e">
        <f t="shared" si="16"/>
        <v>#VALUE!</v>
      </c>
      <c r="BX16" s="1129" t="s">
        <v>63</v>
      </c>
      <c r="BY16" s="812">
        <v>32900</v>
      </c>
      <c r="BZ16" s="813">
        <v>37600</v>
      </c>
      <c r="CA16" s="813">
        <v>42300</v>
      </c>
      <c r="CB16" s="813">
        <v>46950</v>
      </c>
      <c r="CC16" s="813">
        <v>50750</v>
      </c>
      <c r="CD16" s="813">
        <v>54500</v>
      </c>
      <c r="CE16" s="813">
        <v>58250</v>
      </c>
      <c r="CF16" s="1147">
        <v>62000</v>
      </c>
      <c r="CH16" s="449">
        <v>0.65</v>
      </c>
      <c r="CI16" s="307" t="e">
        <f t="shared" si="7"/>
        <v>#VALUE!</v>
      </c>
      <c r="CJ16" s="307" t="e">
        <f>$CJ$19*CH16/$CH$19</f>
        <v>#VALUE!</v>
      </c>
      <c r="CK16" s="307" t="e">
        <f t="shared" si="1"/>
        <v>#VALUE!</v>
      </c>
      <c r="CL16" s="307" t="e">
        <f t="shared" si="2"/>
        <v>#VALUE!</v>
      </c>
      <c r="CM16" s="307" t="e">
        <f t="shared" si="3"/>
        <v>#VALUE!</v>
      </c>
      <c r="CN16" s="307" t="e">
        <f t="shared" si="4"/>
        <v>#VALUE!</v>
      </c>
      <c r="CO16" s="307" t="e">
        <f t="shared" si="5"/>
        <v>#VALUE!</v>
      </c>
      <c r="CP16" s="362" t="e">
        <f t="shared" si="6"/>
        <v>#VALUE!</v>
      </c>
      <c r="CR16" s="386" t="b">
        <f>OR(AND(OR($BA$7="USDA",$BA$7="Other Federal"),UnitsTbl[[#This Row],[Gross Monthly Contract Rent]]&gt;0),AND(OR($BF$7="USDA",$BF$7="Other Federal"),UnitsTbl[[#This Row],[Net Monthly Contract Rent2]]&gt;0))</f>
        <v>0</v>
      </c>
      <c r="CS16" s="223">
        <f>IF(UnitsTbl[[#This Row],[Restricted Income Level]]="Manager",0,UnitsTbl[[#This Row],[Total Units]]*INDEX(SizeFactors,MATCH(MIN(UnitsTbl[[#This Row],[Number of Bedrooms]],4),Sizes,0)))</f>
        <v>0</v>
      </c>
      <c r="CT16" s="550">
        <f>IF(UnitsTbl[[#This Row],[Restricted Income Level]]="Manager",0,UnitsTbl[[#This Row],[Total Units]]-SUM(UnitsTbl[[#This Row],[Units being subsidized]]*($BA$7&lt;&gt;"Not Federal"),UnitsTbl[[#This Row],[Units being subsidized2]]*($BF$7&lt;&gt;"Not Federal")))</f>
        <v>0</v>
      </c>
      <c r="CU16" s="309">
        <f>IFERROR(IF(AND($CU$8,CR16=FALSE),40%,IF(UnitsTbl[[#This Row],[Restricted Income Level]]&lt;30%,30%,UnitsTbl[[#This Row],[Restricted Income Level]])),0)</f>
        <v>0.4</v>
      </c>
      <c r="CW16" s="555">
        <f t="shared" si="9"/>
        <v>0.4</v>
      </c>
      <c r="CX16" s="553">
        <f>IF(UnitsTbl[[#This Row],[Rent Limit Calculation Formula]]="TCAC",VLOOKUP(County&amp;CW16,TCACrentTbl[],UnitsTbl[[#This Row],[Number of Bedrooms]]+2,FALSE)-SUM(UnitsTbl[[#This Row],[Less Utility Allowance Schedule 2]],UnitsTbl[[#This Row],[Less Utility Allowance Schedule 1]]),IF(UnitsTbl[[#This Row],[Rent Limit Calculation Formula]]="Other",VLOOKUP(County&amp;CW16,OtherRentLimitTbl[],UnitsTbl[[#This Row],[Number of Bedrooms]]+3,FALSE)-SUM(UnitsTbl[[#This Row],[Less Utility Allowance Schedule 2]],UnitsTbl[[#This Row],[Less Utility Allowance Schedule 1]]),0))</f>
        <v>0</v>
      </c>
      <c r="CY16" s="363">
        <f>MAX(UnitsTbl[[#This Row],[Gross Monthly Contract Rent]],UnitsTbl[[#This Row],[Net Monthly Contract Rent2]])</f>
        <v>0</v>
      </c>
      <c r="CZ16" s="553">
        <f>IF(UnitsTbl[[#This Row],[Number of Bedrooms]]="",0,VLOOKUP(County&amp;"0.6",TCACrentTbl[],UnitsTbl[[#This Row],[Number of Bedrooms]]+2,FALSE))-SUM(UnitsTbl[[#This Row],[Less Utility Allowance Schedule 2]],UnitsTbl[[#This Row],[Less Utility Allowance Schedule 1]])</f>
        <v>0</v>
      </c>
      <c r="DA16" s="78" t="b">
        <f>OR(AND($BA$7="USDA",UnitsTbl[[#This Row],[Gross Monthly Contract Rent]]&gt;0),AND($BF$7="USDA",UnitsTbl[[#This Row],[Net Monthly Contract Rent2]]&gt;0))</f>
        <v>0</v>
      </c>
      <c r="DB16" s="363">
        <f t="shared" si="10"/>
        <v>0</v>
      </c>
      <c r="DC16" s="363">
        <f t="shared" si="11"/>
        <v>0</v>
      </c>
      <c r="DD16" s="364">
        <f>UnitsTbl[[#This Row],[Total Units]]*DC16</f>
        <v>0</v>
      </c>
    </row>
    <row r="17" spans="1:108" ht="18" customHeight="1">
      <c r="A17" s="693"/>
      <c r="B17" s="1210"/>
      <c r="C17" s="1211"/>
      <c r="D17" s="1637"/>
      <c r="E17" s="1212"/>
      <c r="F17" s="1637"/>
      <c r="G17" s="1637"/>
      <c r="H17" s="1637"/>
      <c r="I17" s="1213"/>
      <c r="J17" s="1213"/>
      <c r="K17" s="1637"/>
      <c r="L17" s="1214"/>
      <c r="M17" s="1637"/>
      <c r="N17" s="1637"/>
      <c r="O17" s="1637"/>
      <c r="P17" s="1637"/>
      <c r="Q17" s="1637"/>
      <c r="R17" s="1637"/>
      <c r="S17" s="1637"/>
      <c r="T17" s="1637"/>
      <c r="U17" s="1637"/>
      <c r="V17" s="1637"/>
      <c r="W17" s="1637"/>
      <c r="X17" s="1637"/>
      <c r="Y17" s="1637"/>
      <c r="Z17" s="1637"/>
      <c r="AA17" s="1637"/>
      <c r="AB17" s="1637"/>
      <c r="AC17" s="1637"/>
      <c r="AD17" s="1215"/>
      <c r="AE17" s="1210"/>
      <c r="AF17" s="1637"/>
      <c r="AG17" s="1216"/>
      <c r="AH17" s="667"/>
      <c r="AI17"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17" s="1218" t="b">
        <f>IFERROR(IF(AND(IsSerna,OR(UnitsTbl[[#This Row],[VHHP
Assisted]]&gt;0,UnitsTbl[[#This Row],[HCD Program 5]]&gt;0)),0,IF(AND(IsSerna,$B$4="FWHG",UnitsTbl[[#This Row],[Restricted Income Level]]="Manager"),VLOOKUP(CONCATENATE(County," ",0.6),HCDLoanLimitTbl2[],BH17,FALSE)*UnitsTbl[[#This Row],[Total Units]],IF(UnitsTbl[[#This Row],[Restricted Income Level]]&gt;80%,0,IF(IsSerna,VLOOKUP(CONCATENATE(County," ",UnitsTbl[[#This Row],[Restricted Income Level]]),HCDLoanLimitTbl2[],UnitsTbl[[#This Row],[VLOOKUP Base]],FALSE)*UnitsTbl[[#This Row],[HCD Program2]])))),0)</f>
        <v>0</v>
      </c>
      <c r="AK17" s="1218" t="b">
        <f>IFERROR(IF(AND(IsTod,OR(UnitsTbl[[#This Row],[HCD Program 5]]&gt;0,UnitsTbl[[#This Row],[HCD Program2]]&gt;0,UnitsTbl[[#This Row],[HCD Program4]]&gt;0,UnitsTbl[[#This Row],[VHHP
Assisted]]&gt;0)),0,(IF(AND(IsTod,$B$4="TOD",UnitsTbl[[#This Row],[Restricted Income Level]]="Manager"),VLOOKUP(CONCATENATE(County," ",0.6),HCDLoanLimitTbl[],BH17,FALSE)*UnitsTbl[[#This Row],[Total Units]],IF(UnitsTbl[[#This Row],[Restricted Income Level]]&gt;60%,0,IF(IsTod,VLOOKUP(CONCATENATE(County," ",UnitsTbl[[#This Row],[Restricted Income Level]]),HCDLoanLimitTbl[],UnitsTbl[[#This Row],[VLOOKUP Base]],FALSE)*UnitsTbl[[#This Row],[HCD Program3]]))))),0)</f>
        <v>0</v>
      </c>
      <c r="AL17" s="1218" t="b">
        <f>IFERROR(IF(AND(IsShmhp,OR(UnitsTbl[[#This Row],[HCD Program 5]]&gt;0,UnitsTbl[[#This Row],[HCD Program2]]&gt;0,UnitsTbl[[#This Row],[HCD Program3]]&gt;0,UnitsTbl[[#This Row],[VHHP
Assisted]]&gt;0)),0,(IF(AND(IsShmhp,$B$4="SHMHP",UnitsTbl[[#This Row],[Restricted Income Level]]="Manager"),VLOOKUP(CONCATENATE(County," ",0.6),HCDLoanLimitTbl[],BH17,FALSE)*UnitsTbl[[#This Row],[Total Units]],IF(UnitsTbl[[#This Row],[Restricted Income Level]]&gt;60%,0,IF(IsShmhp,VLOOKUP(CONCATENATE(County," ",UnitsTbl[[#This Row],[Restricted Income Level]]),HCDLoanLimitTbl[],UnitsTbl[[#This Row],[VLOOKUP Base]],FALSE)*UnitsTbl[[#This Row],[HCD Program4]]))))),0)</f>
        <v>0</v>
      </c>
      <c r="AM17" s="1219" t="b">
        <f>IFERROR(IF(AND(IsVhhp,OR(UnitsTbl[[#This Row],[HCD Program 5]]&gt;0,UnitsTbl[[#This Row],[HCD Program2]]&gt;0,UnitsTbl[[#This Row],[HCD Program3]]&gt;0,UnitsTbl[[#This Row],[HCD Program4]]&gt;0)),0,(IF(AND(IsVhhp,$B$4="VHHP",UnitsTbl[[#This Row],[Restricted Income Level]]="Manager"),VLOOKUP(CONCATENATE(County," ",0.6),HCDLoanLimitTbl2[],BH17,FALSE)*UnitsTbl[[#This Row],[Total Units]],IF(UnitsTbl[[#This Row],[Restricted Income Level]]&gt;60%,0,IF(IsVhhp,VLOOKUP(CONCATENATE(County," ",UnitsTbl[[#This Row],[Restricted Income Level]]),HCDLoanLimitTbl2[],UnitsTbl[[#This Row],[VLOOKUP Base]],FALSE)*UnitsTbl[[#This Row],[VHHP
Assisted]]))))),0)</f>
        <v>0</v>
      </c>
      <c r="AN17"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",0.6),HCDLoanLimitTbl[],BH17,FALSE)*UnitsTbl[[#This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17" s="1221"/>
      <c r="AP17"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17" s="1223"/>
      <c r="AR17" s="1224"/>
      <c r="AS17" s="1225" t="str">
        <f>IFERROR(IF(UnitsTbl[[#This Row],[Max Gross Rent]]=0,"",UnitsTbl[[#This Row],[Max Gross Rent]]-UnitsTbl[[#This Row],[Less Utility Allowance Schedule 1]]-UnitsTbl[[#This Row],[Less Utility Allowance Schedule 2]]),"")</f>
        <v/>
      </c>
      <c r="AT17" s="1226"/>
      <c r="AU17" s="1225">
        <f>IF(UnitsTbl[[#This Row],[Proposed Net Rent ]]="",0,UnitsTbl[[#This Row],[Total Units]]*UnitsTbl[[#This Row],[Proposed Net Rent ]])</f>
        <v>0</v>
      </c>
      <c r="AV17" s="1227" t="str">
        <f>IF(UnitsTbl[[#This Row],[Proposed Net Rent ]]&gt;0,0,IFERROR(UnitsTbl[[#This Row],[Total Units]]*UnitsTbl[[#This Row],[Maximum Net Rent]],""))</f>
        <v/>
      </c>
      <c r="AW17" s="1228"/>
      <c r="AX17"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17" s="1637"/>
      <c r="AZ17" s="1637"/>
      <c r="BA17" s="1229" t="str">
        <f>IFERROR(IF(UnitsTbl[[#This Row],[Total Units]]="","",UnitsTbl[[#This Row],[Subsidy Payment Over  Gross Rent]]*UnitsTbl[[#This Row],[Total Units]])*NOT($BA$7=""),"")</f>
        <v/>
      </c>
      <c r="BB17" s="1228"/>
      <c r="BC17"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17" s="1230"/>
      <c r="BE17" s="1637"/>
      <c r="BF17" s="1227" t="str">
        <f>IFERROR(IF(UnitsTbl[[#This Row],[Total Units]]="","",UnitsTbl[[#This Row],[Subsidy Payment Over Gross Rent2]]*UnitsTbl[[#This Row],[Total Units]])*NOT($BF$7=""),"")</f>
        <v/>
      </c>
      <c r="BG17" s="1231">
        <f>IF(OR(UnitsTbl[[#This Row],[Special Needs?]]="Yes",UnitsTbl[[#This Row],[Special Needs2?]]="Yes"), 1,0)</f>
        <v>0</v>
      </c>
      <c r="BH17"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17"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17" s="969">
        <f>MIN(SUM(UnitsTbl[[#This Row],[Disability Homelessness]],UnitsTbl[[#This Row],[Chronic Homelessness]],UnitsTbl[[#This Row],[Other Homelessness]]),UnitsTbl[[#This Row],[Total restricted units]])</f>
        <v>0</v>
      </c>
      <c r="BK17" s="969">
        <f>(UnitsTbl[[#This Row],[Restricted Income Level]]&lt;=30%)*UnitsTbl[[#This Row],[Total restricted units]]</f>
        <v>0</v>
      </c>
      <c r="BL17" s="969">
        <f t="shared" si="8"/>
        <v>0</v>
      </c>
      <c r="BM17" s="307">
        <f>UnitsTbl[[#This Row],[Units being subsidized]]*SUM(UnitsTbl[[#This Row],[Less Utility Allowance Schedule 1]],UnitsTbl[[#This Row],[Less Utility Allowance Schedule 2]])</f>
        <v>0</v>
      </c>
      <c r="BN17" s="307">
        <f>UnitsTbl[[#This Row],[Units being subsidized2]]*SUM(UnitsTbl[[#This Row],[Less Utility Allowance Schedule 1]],UnitsTbl[[#This Row],[Less Utility Allowance Schedule 2]])</f>
        <v>0</v>
      </c>
      <c r="BO17" s="307"/>
      <c r="BP17" s="1232" t="str">
        <f>CONCATENATE(County," ",HCDLoanLimitTbl[[#This Row],[AMI]])</f>
        <v xml:space="preserve"> 0.45</v>
      </c>
      <c r="BQ17" s="1721">
        <v>0.45</v>
      </c>
      <c r="BR17" s="1643" t="e">
        <f t="shared" si="12"/>
        <v>#VALUE!</v>
      </c>
      <c r="BS17" s="1643" t="e">
        <f t="shared" si="13"/>
        <v>#VALUE!</v>
      </c>
      <c r="BT17" s="1643" t="e">
        <f t="shared" si="14"/>
        <v>#VALUE!</v>
      </c>
      <c r="BU17" s="1643" t="e">
        <f t="shared" si="15"/>
        <v>#VALUE!</v>
      </c>
      <c r="BV17" s="1233" t="e">
        <f t="shared" si="16"/>
        <v>#VALUE!</v>
      </c>
      <c r="BX17" s="1129" t="s">
        <v>69</v>
      </c>
      <c r="BY17" s="811">
        <v>33600</v>
      </c>
      <c r="BZ17" s="1744">
        <v>38400</v>
      </c>
      <c r="CA17" s="1744">
        <v>43200</v>
      </c>
      <c r="CB17" s="1744">
        <v>48000</v>
      </c>
      <c r="CC17" s="1744">
        <v>51850</v>
      </c>
      <c r="CD17" s="1744">
        <v>55700</v>
      </c>
      <c r="CE17" s="1744">
        <v>59500</v>
      </c>
      <c r="CF17" s="1135">
        <v>63400</v>
      </c>
      <c r="CH17" s="449">
        <v>0.6</v>
      </c>
      <c r="CI17" s="307" t="e">
        <f t="shared" si="7"/>
        <v>#VALUE!</v>
      </c>
      <c r="CJ17" s="307" t="e">
        <f t="shared" si="0"/>
        <v>#VALUE!</v>
      </c>
      <c r="CK17" s="307" t="e">
        <f t="shared" si="1"/>
        <v>#VALUE!</v>
      </c>
      <c r="CL17" s="307" t="e">
        <f t="shared" si="2"/>
        <v>#VALUE!</v>
      </c>
      <c r="CM17" s="307" t="e">
        <f t="shared" si="3"/>
        <v>#VALUE!</v>
      </c>
      <c r="CN17" s="307" t="e">
        <f t="shared" si="4"/>
        <v>#VALUE!</v>
      </c>
      <c r="CO17" s="307" t="e">
        <f t="shared" si="5"/>
        <v>#VALUE!</v>
      </c>
      <c r="CP17" s="362" t="e">
        <f t="shared" si="6"/>
        <v>#VALUE!</v>
      </c>
      <c r="CQ17" s="1682"/>
      <c r="CR17" s="386" t="b">
        <f>OR(AND(OR($BA$7="USDA",$BA$7="Other Federal"),UnitsTbl[[#This Row],[Gross Monthly Contract Rent]]&gt;0),AND(OR($BF$7="USDA",$BF$7="Other Federal"),UnitsTbl[[#This Row],[Net Monthly Contract Rent2]]&gt;0))</f>
        <v>0</v>
      </c>
      <c r="CS17" s="223">
        <f>IF(UnitsTbl[[#This Row],[Restricted Income Level]]="Manager",0,UnitsTbl[[#This Row],[Total Units]]*INDEX(SizeFactors,MATCH(MIN(UnitsTbl[[#This Row],[Number of Bedrooms]],4),Sizes,0)))</f>
        <v>0</v>
      </c>
      <c r="CT17" s="550">
        <f>IF(UnitsTbl[[#This Row],[Restricted Income Level]]="Manager",0,UnitsTbl[[#This Row],[Total Units]]-SUM(UnitsTbl[[#This Row],[Units being subsidized]]*($BA$7&lt;&gt;"Not Federal"),UnitsTbl[[#This Row],[Units being subsidized2]]*($BF$7&lt;&gt;"Not Federal")))</f>
        <v>0</v>
      </c>
      <c r="CU17" s="309">
        <f>IFERROR(IF(AND($CU$8,CR17=FALSE),40%,IF(UnitsTbl[[#This Row],[Restricted Income Level]]&lt;30%,30%,UnitsTbl[[#This Row],[Restricted Income Level]])),0)</f>
        <v>0.4</v>
      </c>
      <c r="CV17" s="1682"/>
      <c r="CW17" s="555">
        <f t="shared" si="9"/>
        <v>0.4</v>
      </c>
      <c r="CX17" s="553">
        <f>IF(UnitsTbl[[#This Row],[Rent Limit Calculation Formula]]="TCAC",VLOOKUP(County&amp;CW17,TCACrentTbl[],UnitsTbl[[#This Row],[Number of Bedrooms]]+2,FALSE)-SUM(UnitsTbl[[#This Row],[Less Utility Allowance Schedule 2]],UnitsTbl[[#This Row],[Less Utility Allowance Schedule 1]]),IF(UnitsTbl[[#This Row],[Rent Limit Calculation Formula]]="Other",VLOOKUP(County&amp;CW17,OtherRentLimitTbl[],UnitsTbl[[#This Row],[Number of Bedrooms]]+3,FALSE)-SUM(UnitsTbl[[#This Row],[Less Utility Allowance Schedule 2]],UnitsTbl[[#This Row],[Less Utility Allowance Schedule 1]]),0))</f>
        <v>0</v>
      </c>
      <c r="CY17" s="363">
        <f>MAX(UnitsTbl[[#This Row],[Gross Monthly Contract Rent]],UnitsTbl[[#This Row],[Net Monthly Contract Rent2]])</f>
        <v>0</v>
      </c>
      <c r="CZ17" s="553">
        <f>IF(UnitsTbl[[#This Row],[Number of Bedrooms]]="",0,VLOOKUP(County&amp;"0.6",TCACrentTbl[],UnitsTbl[[#This Row],[Number of Bedrooms]]+2,FALSE))-SUM(UnitsTbl[[#This Row],[Less Utility Allowance Schedule 2]],UnitsTbl[[#This Row],[Less Utility Allowance Schedule 1]])</f>
        <v>0</v>
      </c>
      <c r="DA17" s="78" t="b">
        <f>OR(AND($BA$7="USDA",UnitsTbl[[#This Row],[Gross Monthly Contract Rent]]&gt;0),AND($BF$7="USDA",UnitsTbl[[#This Row],[Net Monthly Contract Rent2]]&gt;0))</f>
        <v>0</v>
      </c>
      <c r="DB17" s="363">
        <f t="shared" si="10"/>
        <v>0</v>
      </c>
      <c r="DC17" s="363">
        <f t="shared" si="11"/>
        <v>0</v>
      </c>
      <c r="DD17" s="364">
        <f>UnitsTbl[[#This Row],[Total Units]]*DC17</f>
        <v>0</v>
      </c>
    </row>
    <row r="18" spans="1:108" ht="18" customHeight="1">
      <c r="A18" s="693"/>
      <c r="B18" s="1210"/>
      <c r="C18" s="1211"/>
      <c r="D18" s="1637"/>
      <c r="E18" s="1212"/>
      <c r="F18" s="1637"/>
      <c r="G18" s="1637"/>
      <c r="H18" s="1637"/>
      <c r="I18" s="1213"/>
      <c r="J18" s="1213"/>
      <c r="K18" s="1637"/>
      <c r="L18" s="1214"/>
      <c r="M18" s="1637"/>
      <c r="N18" s="1637"/>
      <c r="O18" s="1637"/>
      <c r="P18" s="1637"/>
      <c r="Q18" s="1637"/>
      <c r="R18" s="1637"/>
      <c r="S18" s="1637"/>
      <c r="T18" s="1637"/>
      <c r="U18" s="1637"/>
      <c r="V18" s="1637"/>
      <c r="W18" s="1637"/>
      <c r="X18" s="1637"/>
      <c r="Y18" s="1637"/>
      <c r="Z18" s="1637"/>
      <c r="AA18" s="1637"/>
      <c r="AB18" s="1637"/>
      <c r="AC18" s="1637"/>
      <c r="AD18" s="1215"/>
      <c r="AE18" s="1210"/>
      <c r="AF18" s="1637"/>
      <c r="AG18" s="1216"/>
      <c r="AH18" s="667"/>
      <c r="AI18"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18" s="1218" t="b">
        <f>IFERROR(IF(AND(IsSerna,OR(UnitsTbl[[#This Row],[VHHP
Assisted]]&gt;0,UnitsTbl[[#This Row],[HCD Program 5]]&gt;0)),0,IF(AND(IsSerna,$B$4="FWHG",UnitsTbl[[#This Row],[Restricted Income Level]]="Manager"),VLOOKUP(CONCATENATE(County," ",0.6),HCDLoanLimitTbl2[],BH18,FALSE)*UnitsTbl[[#This Row],[Total Units]],IF(UnitsTbl[[#This Row],[Restricted Income Level]]&gt;80%,0,IF(IsSerna,VLOOKUP(CONCATENATE(County," ",UnitsTbl[[#This Row],[Restricted Income Level]]),HCDLoanLimitTbl2[],UnitsTbl[[#This Row],[VLOOKUP Base]],FALSE)*UnitsTbl[[#This Row],[HCD Program2]])))),0)</f>
        <v>0</v>
      </c>
      <c r="AK18" s="1218" t="b">
        <f>IFERROR(IF(AND(IsTod,OR(UnitsTbl[[#This Row],[HCD Program 5]]&gt;0,UnitsTbl[[#This Row],[HCD Program2]]&gt;0,UnitsTbl[[#This Row],[HCD Program4]]&gt;0,UnitsTbl[[#This Row],[VHHP
Assisted]]&gt;0)),0,(IF(AND(IsTod,$B$4="TOD",UnitsTbl[[#This Row],[Restricted Income Level]]="Manager"),VLOOKUP(CONCATENATE(County," ",0.6),HCDLoanLimitTbl[],BH18,FALSE)*UnitsTbl[[#This Row],[Total Units]],IF(UnitsTbl[[#This Row],[Restricted Income Level]]&gt;60%,0,IF(IsTod,VLOOKUP(CONCATENATE(County," ",UnitsTbl[[#This Row],[Restricted Income Level]]),HCDLoanLimitTbl[],UnitsTbl[[#This Row],[VLOOKUP Base]],FALSE)*UnitsTbl[[#This Row],[HCD Program3]]))))),0)</f>
        <v>0</v>
      </c>
      <c r="AL18" s="1218" t="b">
        <f>IFERROR(IF(AND(IsShmhp,OR(UnitsTbl[[#This Row],[HCD Program 5]]&gt;0,UnitsTbl[[#This Row],[HCD Program2]]&gt;0,UnitsTbl[[#This Row],[HCD Program3]]&gt;0,UnitsTbl[[#This Row],[VHHP
Assisted]]&gt;0)),0,(IF(AND(IsShmhp,$B$4="SHMHP",UnitsTbl[[#This Row],[Restricted Income Level]]="Manager"),VLOOKUP(CONCATENATE(County," ",0.6),HCDLoanLimitTbl[],BH18,FALSE)*UnitsTbl[[#This Row],[Total Units]],IF(UnitsTbl[[#This Row],[Restricted Income Level]]&gt;60%,0,IF(IsShmhp,VLOOKUP(CONCATENATE(County," ",UnitsTbl[[#This Row],[Restricted Income Level]]),HCDLoanLimitTbl[],UnitsTbl[[#This Row],[VLOOKUP Base]],FALSE)*UnitsTbl[[#This Row],[HCD Program4]]))))),0)</f>
        <v>0</v>
      </c>
      <c r="AM18" s="1219" t="b">
        <f>IFERROR(IF(AND(IsVhhp,OR(UnitsTbl[[#This Row],[HCD Program 5]]&gt;0,UnitsTbl[[#This Row],[HCD Program2]]&gt;0,UnitsTbl[[#This Row],[HCD Program3]]&gt;0,UnitsTbl[[#This Row],[HCD Program4]]&gt;0)),0,(IF(AND(IsVhhp,$B$4="VHHP",UnitsTbl[[#This Row],[Restricted Income Level]]="Manager"),VLOOKUP(CONCATENATE(County," ",0.6),HCDLoanLimitTbl2[],BH18,FALSE)*UnitsTbl[[#This Row],[Total Units]],IF(UnitsTbl[[#This Row],[Restricted Income Level]]&gt;60%,0,IF(IsVhhp,VLOOKUP(CONCATENATE(County," ",UnitsTbl[[#This Row],[Restricted Income Level]]),HCDLoanLimitTbl2[],UnitsTbl[[#This Row],[VLOOKUP Base]],FALSE)*UnitsTbl[[#This Row],[VHHP
Assisted]]))))),0)</f>
        <v>0</v>
      </c>
      <c r="AN18"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",0.6),HCDLoanLimitTbl[],BH18,FALSE)*UnitsTbl[[#This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18" s="1221"/>
      <c r="AP18"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18" s="1223"/>
      <c r="AR18" s="1224"/>
      <c r="AS18" s="1225" t="str">
        <f>IFERROR(IF(UnitsTbl[[#This Row],[Max Gross Rent]]=0,"",UnitsTbl[[#This Row],[Max Gross Rent]]-UnitsTbl[[#This Row],[Less Utility Allowance Schedule 1]]-UnitsTbl[[#This Row],[Less Utility Allowance Schedule 2]]),"")</f>
        <v/>
      </c>
      <c r="AT18" s="1226"/>
      <c r="AU18" s="1225">
        <f>IF(UnitsTbl[[#This Row],[Proposed Net Rent ]]="",0,UnitsTbl[[#This Row],[Total Units]]*UnitsTbl[[#This Row],[Proposed Net Rent ]])</f>
        <v>0</v>
      </c>
      <c r="AV18" s="1227" t="str">
        <f>IF(UnitsTbl[[#This Row],[Proposed Net Rent ]]&gt;0,0,IFERROR(UnitsTbl[[#This Row],[Total Units]]*UnitsTbl[[#This Row],[Maximum Net Rent]],""))</f>
        <v/>
      </c>
      <c r="AW18" s="1228"/>
      <c r="AX18"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18" s="1637"/>
      <c r="AZ18" s="1637"/>
      <c r="BA18" s="1229" t="str">
        <f>IFERROR(IF(UnitsTbl[[#This Row],[Total Units]]="","",UnitsTbl[[#This Row],[Subsidy Payment Over  Gross Rent]]*UnitsTbl[[#This Row],[Total Units]])*NOT($BA$7=""),"")</f>
        <v/>
      </c>
      <c r="BB18" s="1228"/>
      <c r="BC18"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18" s="1230"/>
      <c r="BE18" s="1637"/>
      <c r="BF18" s="1227" t="str">
        <f>IFERROR(IF(UnitsTbl[[#This Row],[Total Units]]="","",UnitsTbl[[#This Row],[Subsidy Payment Over Gross Rent2]]*UnitsTbl[[#This Row],[Total Units]])*NOT($BF$7=""),"")</f>
        <v/>
      </c>
      <c r="BG18" s="1231">
        <f>IF(OR(UnitsTbl[[#This Row],[Special Needs?]]="Yes",UnitsTbl[[#This Row],[Special Needs2?]]="Yes"), 1,0)</f>
        <v>0</v>
      </c>
      <c r="BH18"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18"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18" s="969">
        <f>MIN(SUM(UnitsTbl[[#This Row],[Disability Homelessness]],UnitsTbl[[#This Row],[Chronic Homelessness]],UnitsTbl[[#This Row],[Other Homelessness]]),UnitsTbl[[#This Row],[Total restricted units]])</f>
        <v>0</v>
      </c>
      <c r="BK18" s="969">
        <f>(UnitsTbl[[#This Row],[Restricted Income Level]]&lt;=30%)*UnitsTbl[[#This Row],[Total restricted units]]</f>
        <v>0</v>
      </c>
      <c r="BL18" s="969">
        <f t="shared" si="8"/>
        <v>0</v>
      </c>
      <c r="BM18" s="307">
        <f>UnitsTbl[[#This Row],[Units being subsidized]]*SUM(UnitsTbl[[#This Row],[Less Utility Allowance Schedule 1]],UnitsTbl[[#This Row],[Less Utility Allowance Schedule 2]])</f>
        <v>0</v>
      </c>
      <c r="BN18" s="307">
        <f>UnitsTbl[[#This Row],[Units being subsidized2]]*SUM(UnitsTbl[[#This Row],[Less Utility Allowance Schedule 1]],UnitsTbl[[#This Row],[Less Utility Allowance Schedule 2]])</f>
        <v>0</v>
      </c>
      <c r="BO18" s="307"/>
      <c r="BP18" s="1232" t="str">
        <f>CONCATENATE(County," ",HCDLoanLimitTbl[[#This Row],[AMI]])</f>
        <v xml:space="preserve"> 0.4</v>
      </c>
      <c r="BQ18" s="1721">
        <v>0.4</v>
      </c>
      <c r="BR18" s="1643" t="e">
        <f t="shared" si="12"/>
        <v>#VALUE!</v>
      </c>
      <c r="BS18" s="1643" t="e">
        <f t="shared" si="13"/>
        <v>#VALUE!</v>
      </c>
      <c r="BT18" s="1643" t="e">
        <f t="shared" si="14"/>
        <v>#VALUE!</v>
      </c>
      <c r="BU18" s="1643" t="e">
        <f t="shared" si="15"/>
        <v>#VALUE!</v>
      </c>
      <c r="BV18" s="1233" t="e">
        <f t="shared" si="16"/>
        <v>#VALUE!</v>
      </c>
      <c r="BX18" s="1129" t="s">
        <v>46</v>
      </c>
      <c r="BY18" s="812">
        <v>32900</v>
      </c>
      <c r="BZ18" s="813">
        <v>37600</v>
      </c>
      <c r="CA18" s="813">
        <v>42300</v>
      </c>
      <c r="CB18" s="813">
        <v>46950</v>
      </c>
      <c r="CC18" s="813">
        <v>50750</v>
      </c>
      <c r="CD18" s="813">
        <v>54500</v>
      </c>
      <c r="CE18" s="813">
        <v>58250</v>
      </c>
      <c r="CF18" s="1147">
        <v>62000</v>
      </c>
      <c r="CH18" s="449">
        <v>0.55000000000000004</v>
      </c>
      <c r="CI18" s="307" t="e">
        <f t="shared" si="7"/>
        <v>#VALUE!</v>
      </c>
      <c r="CJ18" s="307" t="e">
        <f t="shared" si="0"/>
        <v>#VALUE!</v>
      </c>
      <c r="CK18" s="307" t="e">
        <f t="shared" si="1"/>
        <v>#VALUE!</v>
      </c>
      <c r="CL18" s="307" t="e">
        <f t="shared" si="2"/>
        <v>#VALUE!</v>
      </c>
      <c r="CM18" s="307" t="e">
        <f t="shared" si="3"/>
        <v>#VALUE!</v>
      </c>
      <c r="CN18" s="307" t="e">
        <f t="shared" si="4"/>
        <v>#VALUE!</v>
      </c>
      <c r="CO18" s="307" t="e">
        <f t="shared" si="5"/>
        <v>#VALUE!</v>
      </c>
      <c r="CP18" s="362" t="e">
        <f t="shared" si="6"/>
        <v>#VALUE!</v>
      </c>
      <c r="CQ18" s="1682"/>
      <c r="CR18" s="386" t="b">
        <f>OR(AND(OR($BA$7="USDA",$BA$7="Other Federal"),UnitsTbl[[#This Row],[Gross Monthly Contract Rent]]&gt;0),AND(OR($BF$7="USDA",$BF$7="Other Federal"),UnitsTbl[[#This Row],[Net Monthly Contract Rent2]]&gt;0))</f>
        <v>0</v>
      </c>
      <c r="CS18" s="223">
        <f>IF(UnitsTbl[[#This Row],[Restricted Income Level]]="Manager",0,UnitsTbl[[#This Row],[Total Units]]*INDEX(SizeFactors,MATCH(MIN(UnitsTbl[[#This Row],[Number of Bedrooms]],4),Sizes,0)))</f>
        <v>0</v>
      </c>
      <c r="CT18" s="550">
        <f>IF(UnitsTbl[[#This Row],[Restricted Income Level]]="Manager",0,UnitsTbl[[#This Row],[Total Units]]-SUM(UnitsTbl[[#This Row],[Units being subsidized]]*($BA$7&lt;&gt;"Not Federal"),UnitsTbl[[#This Row],[Units being subsidized2]]*($BF$7&lt;&gt;"Not Federal")))</f>
        <v>0</v>
      </c>
      <c r="CU18" s="309">
        <f>IFERROR(IF(AND($CU$8,CR18=FALSE),40%,IF(UnitsTbl[[#This Row],[Restricted Income Level]]&lt;30%,30%,UnitsTbl[[#This Row],[Restricted Income Level]])),0)</f>
        <v>0.4</v>
      </c>
      <c r="CV18" s="1682"/>
      <c r="CW18" s="555">
        <f t="shared" si="9"/>
        <v>0.4</v>
      </c>
      <c r="CX18" s="553">
        <f>IF(UnitsTbl[[#This Row],[Rent Limit Calculation Formula]]="TCAC",VLOOKUP(County&amp;CW18,TCACrentTbl[],UnitsTbl[[#This Row],[Number of Bedrooms]]+2,FALSE)-SUM(UnitsTbl[[#This Row],[Less Utility Allowance Schedule 2]],UnitsTbl[[#This Row],[Less Utility Allowance Schedule 1]]),IF(UnitsTbl[[#This Row],[Rent Limit Calculation Formula]]="Other",VLOOKUP(County&amp;CW18,OtherRentLimitTbl[],UnitsTbl[[#This Row],[Number of Bedrooms]]+3,FALSE)-SUM(UnitsTbl[[#This Row],[Less Utility Allowance Schedule 2]],UnitsTbl[[#This Row],[Less Utility Allowance Schedule 1]]),0))</f>
        <v>0</v>
      </c>
      <c r="CY18" s="363">
        <f>MAX(UnitsTbl[[#This Row],[Gross Monthly Contract Rent]],UnitsTbl[[#This Row],[Net Monthly Contract Rent2]])</f>
        <v>0</v>
      </c>
      <c r="CZ18" s="553">
        <f>IF(UnitsTbl[[#This Row],[Number of Bedrooms]]="",0,VLOOKUP(County&amp;"0.6",TCACrentTbl[],UnitsTbl[[#This Row],[Number of Bedrooms]]+2,FALSE))-SUM(UnitsTbl[[#This Row],[Less Utility Allowance Schedule 2]],UnitsTbl[[#This Row],[Less Utility Allowance Schedule 1]])</f>
        <v>0</v>
      </c>
      <c r="DA18" s="78" t="b">
        <f>OR(AND($BA$7="USDA",UnitsTbl[[#This Row],[Gross Monthly Contract Rent]]&gt;0),AND($BF$7="USDA",UnitsTbl[[#This Row],[Net Monthly Contract Rent2]]&gt;0))</f>
        <v>0</v>
      </c>
      <c r="DB18" s="363">
        <f t="shared" si="10"/>
        <v>0</v>
      </c>
      <c r="DC18" s="363">
        <f t="shared" si="11"/>
        <v>0</v>
      </c>
      <c r="DD18" s="364">
        <f>UnitsTbl[[#This Row],[Total Units]]*DC18</f>
        <v>0</v>
      </c>
    </row>
    <row r="19" spans="1:108" ht="18" customHeight="1">
      <c r="A19" s="693"/>
      <c r="B19" s="1210"/>
      <c r="C19" s="1211"/>
      <c r="D19" s="1637"/>
      <c r="E19" s="1212"/>
      <c r="F19" s="1637"/>
      <c r="G19" s="1637"/>
      <c r="H19" s="1637"/>
      <c r="I19" s="1213"/>
      <c r="J19" s="1213"/>
      <c r="K19" s="1637"/>
      <c r="L19" s="1214"/>
      <c r="M19" s="1637"/>
      <c r="N19" s="1637"/>
      <c r="O19" s="1637"/>
      <c r="P19" s="1637"/>
      <c r="Q19" s="1637"/>
      <c r="R19" s="1637"/>
      <c r="S19" s="1637"/>
      <c r="T19" s="1637"/>
      <c r="U19" s="1637"/>
      <c r="V19" s="1637"/>
      <c r="W19" s="1637"/>
      <c r="X19" s="1637"/>
      <c r="Y19" s="1637"/>
      <c r="Z19" s="1637"/>
      <c r="AA19" s="1637"/>
      <c r="AB19" s="1637"/>
      <c r="AC19" s="1637"/>
      <c r="AD19" s="1215"/>
      <c r="AE19" s="1210"/>
      <c r="AF19" s="1637"/>
      <c r="AG19" s="1216"/>
      <c r="AH19" s="667"/>
      <c r="AI19"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19" s="1218" t="b">
        <f>IFERROR(IF(AND(IsSerna,OR(UnitsTbl[[#This Row],[VHHP
Assisted]]&gt;0,UnitsTbl[[#This Row],[HCD Program 5]]&gt;0)),0,IF(AND(IsSerna,$B$4="FWHG",UnitsTbl[[#This Row],[Restricted Income Level]]="Manager"),VLOOKUP(CONCATENATE(County," ",0.6),HCDLoanLimitTbl2[],BH19,FALSE)*UnitsTbl[[#This Row],[Total Units]],IF(UnitsTbl[[#This Row],[Restricted Income Level]]&gt;80%,0,IF(IsSerna,VLOOKUP(CONCATENATE(County," ",UnitsTbl[[#This Row],[Restricted Income Level]]),HCDLoanLimitTbl2[],UnitsTbl[[#This Row],[VLOOKUP Base]],FALSE)*UnitsTbl[[#This Row],[HCD Program2]])))),0)</f>
        <v>0</v>
      </c>
      <c r="AK19" s="1218" t="b">
        <f>IFERROR(IF(AND(IsTod,OR(UnitsTbl[[#This Row],[HCD Program 5]]&gt;0,UnitsTbl[[#This Row],[HCD Program2]]&gt;0,UnitsTbl[[#This Row],[HCD Program4]]&gt;0,UnitsTbl[[#This Row],[VHHP
Assisted]]&gt;0)),0,(IF(AND(IsTod,$B$4="TOD",UnitsTbl[[#This Row],[Restricted Income Level]]="Manager"),VLOOKUP(CONCATENATE(County," ",0.6),HCDLoanLimitTbl[],BH19,FALSE)*UnitsTbl[[#This Row],[Total Units]],IF(UnitsTbl[[#This Row],[Restricted Income Level]]&gt;60%,0,IF(IsTod,VLOOKUP(CONCATENATE(County," ",UnitsTbl[[#This Row],[Restricted Income Level]]),HCDLoanLimitTbl[],UnitsTbl[[#This Row],[VLOOKUP Base]],FALSE)*UnitsTbl[[#This Row],[HCD Program3]]))))),0)</f>
        <v>0</v>
      </c>
      <c r="AL19" s="1218" t="b">
        <f>IFERROR(IF(AND(IsShmhp,OR(UnitsTbl[[#This Row],[HCD Program 5]]&gt;0,UnitsTbl[[#This Row],[HCD Program2]]&gt;0,UnitsTbl[[#This Row],[HCD Program3]]&gt;0,UnitsTbl[[#This Row],[VHHP
Assisted]]&gt;0)),0,(IF(AND(IsShmhp,$B$4="SHMHP",UnitsTbl[[#This Row],[Restricted Income Level]]="Manager"),VLOOKUP(CONCATENATE(County," ",0.6),HCDLoanLimitTbl[],BH19,FALSE)*UnitsTbl[[#This Row],[Total Units]],IF(UnitsTbl[[#This Row],[Restricted Income Level]]&gt;60%,0,IF(IsShmhp,VLOOKUP(CONCATENATE(County," ",UnitsTbl[[#This Row],[Restricted Income Level]]),HCDLoanLimitTbl[],UnitsTbl[[#This Row],[VLOOKUP Base]],FALSE)*UnitsTbl[[#This Row],[HCD Program4]]))))),0)</f>
        <v>0</v>
      </c>
      <c r="AM19" s="1219" t="b">
        <f>IFERROR(IF(AND(IsVhhp,OR(UnitsTbl[[#This Row],[HCD Program 5]]&gt;0,UnitsTbl[[#This Row],[HCD Program2]]&gt;0,UnitsTbl[[#This Row],[HCD Program3]]&gt;0,UnitsTbl[[#This Row],[HCD Program4]]&gt;0)),0,(IF(AND(IsVhhp,$B$4="VHHP",UnitsTbl[[#This Row],[Restricted Income Level]]="Manager"),VLOOKUP(CONCATENATE(County," ",0.6),HCDLoanLimitTbl2[],BH19,FALSE)*UnitsTbl[[#This Row],[Total Units]],IF(UnitsTbl[[#This Row],[Restricted Income Level]]&gt;60%,0,IF(IsVhhp,VLOOKUP(CONCATENATE(County," ",UnitsTbl[[#This Row],[Restricted Income Level]]),HCDLoanLimitTbl2[],UnitsTbl[[#This Row],[VLOOKUP Base]],FALSE)*UnitsTbl[[#This Row],[VHHP
Assisted]]))))),0)</f>
        <v>0</v>
      </c>
      <c r="AN19"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",0.6),HCDLoanLimitTbl[],BH19,FALSE)*UnitsTbl[[#This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19" s="1221"/>
      <c r="AP19"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19" s="1223"/>
      <c r="AR19" s="1224"/>
      <c r="AS19" s="1225" t="str">
        <f>IFERROR(IF(UnitsTbl[[#This Row],[Max Gross Rent]]=0,"",UnitsTbl[[#This Row],[Max Gross Rent]]-UnitsTbl[[#This Row],[Less Utility Allowance Schedule 1]]-UnitsTbl[[#This Row],[Less Utility Allowance Schedule 2]]),"")</f>
        <v/>
      </c>
      <c r="AT19" s="1226"/>
      <c r="AU19" s="1225">
        <f>IF(UnitsTbl[[#This Row],[Proposed Net Rent ]]="",0,UnitsTbl[[#This Row],[Total Units]]*UnitsTbl[[#This Row],[Proposed Net Rent ]])</f>
        <v>0</v>
      </c>
      <c r="AV19" s="1227" t="str">
        <f>IF(UnitsTbl[[#This Row],[Proposed Net Rent ]]&gt;0,0,IFERROR(UnitsTbl[[#This Row],[Total Units]]*UnitsTbl[[#This Row],[Maximum Net Rent]],""))</f>
        <v/>
      </c>
      <c r="AW19" s="1228"/>
      <c r="AX19"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19" s="1637"/>
      <c r="AZ19" s="1637"/>
      <c r="BA19" s="1229" t="str">
        <f>IFERROR(IF(UnitsTbl[[#This Row],[Total Units]]="","",UnitsTbl[[#This Row],[Subsidy Payment Over  Gross Rent]]*UnitsTbl[[#This Row],[Total Units]])*NOT($BA$7=""),"")</f>
        <v/>
      </c>
      <c r="BB19" s="1228"/>
      <c r="BC19"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19" s="1230"/>
      <c r="BE19" s="1637"/>
      <c r="BF19" s="1227" t="str">
        <f>IFERROR(IF(UnitsTbl[[#This Row],[Total Units]]="","",UnitsTbl[[#This Row],[Subsidy Payment Over Gross Rent2]]*UnitsTbl[[#This Row],[Total Units]])*NOT($BF$7=""),"")</f>
        <v/>
      </c>
      <c r="BG19" s="1231">
        <f>IF(OR(UnitsTbl[[#This Row],[Special Needs?]]="Yes",UnitsTbl[[#This Row],[Special Needs2?]]="Yes"), 1,0)</f>
        <v>0</v>
      </c>
      <c r="BH19"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19"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19" s="969">
        <f>MIN(SUM(UnitsTbl[[#This Row],[Disability Homelessness]],UnitsTbl[[#This Row],[Chronic Homelessness]],UnitsTbl[[#This Row],[Other Homelessness]]),UnitsTbl[[#This Row],[Total restricted units]])</f>
        <v>0</v>
      </c>
      <c r="BK19" s="969">
        <f>(UnitsTbl[[#This Row],[Restricted Income Level]]&lt;=30%)*UnitsTbl[[#This Row],[Total restricted units]]</f>
        <v>0</v>
      </c>
      <c r="BL19" s="969">
        <f t="shared" si="8"/>
        <v>0</v>
      </c>
      <c r="BM19" s="307">
        <f>UnitsTbl[[#This Row],[Units being subsidized]]*SUM(UnitsTbl[[#This Row],[Less Utility Allowance Schedule 1]],UnitsTbl[[#This Row],[Less Utility Allowance Schedule 2]])</f>
        <v>0</v>
      </c>
      <c r="BN19" s="307">
        <f>UnitsTbl[[#This Row],[Units being subsidized2]]*SUM(UnitsTbl[[#This Row],[Less Utility Allowance Schedule 1]],UnitsTbl[[#This Row],[Less Utility Allowance Schedule 2]])</f>
        <v>0</v>
      </c>
      <c r="BO19" s="307"/>
      <c r="BP19" s="1232" t="str">
        <f>CONCATENATE(County," ",HCDLoanLimitTbl[[#This Row],[AMI]])</f>
        <v xml:space="preserve"> 0.35</v>
      </c>
      <c r="BQ19" s="1234">
        <v>0.35</v>
      </c>
      <c r="BR19" s="1643" t="e">
        <f t="shared" si="12"/>
        <v>#VALUE!</v>
      </c>
      <c r="BS19" s="1643" t="e">
        <f t="shared" si="13"/>
        <v>#VALUE!</v>
      </c>
      <c r="BT19" s="1643" t="e">
        <f t="shared" si="14"/>
        <v>#VALUE!</v>
      </c>
      <c r="BU19" s="1643" t="e">
        <f t="shared" si="15"/>
        <v>#VALUE!</v>
      </c>
      <c r="BV19" s="1233" t="e">
        <f t="shared" si="16"/>
        <v>#VALUE!</v>
      </c>
      <c r="BX19" s="1129" t="s">
        <v>78</v>
      </c>
      <c r="BY19" s="811">
        <v>32900</v>
      </c>
      <c r="BZ19" s="1744">
        <v>37600</v>
      </c>
      <c r="CA19" s="1744">
        <v>42300</v>
      </c>
      <c r="CB19" s="1744">
        <v>46950</v>
      </c>
      <c r="CC19" s="1744">
        <v>50750</v>
      </c>
      <c r="CD19" s="1744">
        <v>54500</v>
      </c>
      <c r="CE19" s="1744">
        <v>58250</v>
      </c>
      <c r="CF19" s="1135">
        <v>62000</v>
      </c>
      <c r="CH19" s="449">
        <v>0.5</v>
      </c>
      <c r="CI19" s="937" t="str">
        <f>$AO$7</f>
        <v/>
      </c>
      <c r="CJ19" s="937" t="str">
        <f>$AP$7</f>
        <v/>
      </c>
      <c r="CK19" s="937" t="str">
        <f>$AQ$7</f>
        <v/>
      </c>
      <c r="CL19" s="937" t="str">
        <f>$AR$7</f>
        <v/>
      </c>
      <c r="CM19" s="937" t="str">
        <f>$AS$7</f>
        <v/>
      </c>
      <c r="CN19" s="937" t="str">
        <f>$AT$7</f>
        <v/>
      </c>
      <c r="CO19" s="937" t="str">
        <f>$AU$7</f>
        <v/>
      </c>
      <c r="CP19" s="938" t="str">
        <f>$AV$7</f>
        <v/>
      </c>
      <c r="CQ19" s="1682"/>
      <c r="CR19" s="386" t="b">
        <f>OR(AND(OR($BA$7="USDA",$BA$7="Other Federal"),UnitsTbl[[#This Row],[Gross Monthly Contract Rent]]&gt;0),AND(OR($BF$7="USDA",$BF$7="Other Federal"),UnitsTbl[[#This Row],[Net Monthly Contract Rent2]]&gt;0))</f>
        <v>0</v>
      </c>
      <c r="CS19" s="223">
        <f>IF(UnitsTbl[[#This Row],[Restricted Income Level]]="Manager",0,UnitsTbl[[#This Row],[Total Units]]*INDEX(SizeFactors,MATCH(MIN(UnitsTbl[[#This Row],[Number of Bedrooms]],4),Sizes,0)))</f>
        <v>0</v>
      </c>
      <c r="CT19" s="550">
        <f>IF(UnitsTbl[[#This Row],[Restricted Income Level]]="Manager",0,UnitsTbl[[#This Row],[Total Units]]-SUM(UnitsTbl[[#This Row],[Units being subsidized]]*($BA$7&lt;&gt;"Not Federal"),UnitsTbl[[#This Row],[Units being subsidized2]]*($BF$7&lt;&gt;"Not Federal")))</f>
        <v>0</v>
      </c>
      <c r="CU19" s="309">
        <f>IFERROR(IF(AND($CU$8,CR19=FALSE),40%,IF(UnitsTbl[[#This Row],[Restricted Income Level]]&lt;30%,30%,UnitsTbl[[#This Row],[Restricted Income Level]])),0)</f>
        <v>0.4</v>
      </c>
      <c r="CV19" s="1682"/>
      <c r="CW19" s="555">
        <f t="shared" si="9"/>
        <v>0.4</v>
      </c>
      <c r="CX19" s="553">
        <f>IF(UnitsTbl[[#This Row],[Rent Limit Calculation Formula]]="TCAC",VLOOKUP(County&amp;CW19,TCACrentTbl[],UnitsTbl[[#This Row],[Number of Bedrooms]]+2,FALSE)-SUM(UnitsTbl[[#This Row],[Less Utility Allowance Schedule 2]],UnitsTbl[[#This Row],[Less Utility Allowance Schedule 1]]),IF(UnitsTbl[[#This Row],[Rent Limit Calculation Formula]]="Other",VLOOKUP(County&amp;CW19,OtherRentLimitTbl[],UnitsTbl[[#This Row],[Number of Bedrooms]]+3,FALSE)-SUM(UnitsTbl[[#This Row],[Less Utility Allowance Schedule 2]],UnitsTbl[[#This Row],[Less Utility Allowance Schedule 1]]),0))</f>
        <v>0</v>
      </c>
      <c r="CY19" s="363">
        <f>MAX(UnitsTbl[[#This Row],[Gross Monthly Contract Rent]],UnitsTbl[[#This Row],[Net Monthly Contract Rent2]])</f>
        <v>0</v>
      </c>
      <c r="CZ19" s="553">
        <f>IF(UnitsTbl[[#This Row],[Number of Bedrooms]]="",0,VLOOKUP(County&amp;"0.6",TCACrentTbl[],UnitsTbl[[#This Row],[Number of Bedrooms]]+2,FALSE))-SUM(UnitsTbl[[#This Row],[Less Utility Allowance Schedule 2]],UnitsTbl[[#This Row],[Less Utility Allowance Schedule 1]])</f>
        <v>0</v>
      </c>
      <c r="DA19" s="78" t="b">
        <f>OR(AND($BA$7="USDA",UnitsTbl[[#This Row],[Gross Monthly Contract Rent]]&gt;0),AND($BF$7="USDA",UnitsTbl[[#This Row],[Net Monthly Contract Rent2]]&gt;0))</f>
        <v>0</v>
      </c>
      <c r="DB19" s="363">
        <f t="shared" si="10"/>
        <v>0</v>
      </c>
      <c r="DC19" s="363">
        <f t="shared" si="11"/>
        <v>0</v>
      </c>
      <c r="DD19" s="364">
        <f>UnitsTbl[[#This Row],[Total Units]]*DC19</f>
        <v>0</v>
      </c>
    </row>
    <row r="20" spans="1:108" ht="18" customHeight="1">
      <c r="A20" s="693"/>
      <c r="B20" s="1210"/>
      <c r="C20" s="1211"/>
      <c r="D20" s="1637"/>
      <c r="E20" s="1212"/>
      <c r="F20" s="1637"/>
      <c r="G20" s="1637"/>
      <c r="H20" s="1637"/>
      <c r="I20" s="1213"/>
      <c r="J20" s="1213"/>
      <c r="K20" s="1637"/>
      <c r="L20" s="1214"/>
      <c r="M20" s="1637"/>
      <c r="N20" s="1637"/>
      <c r="O20" s="1637"/>
      <c r="P20" s="1637"/>
      <c r="Q20" s="1637"/>
      <c r="R20" s="1637"/>
      <c r="S20" s="1637"/>
      <c r="T20" s="1637"/>
      <c r="U20" s="1637"/>
      <c r="V20" s="1637"/>
      <c r="W20" s="1637"/>
      <c r="X20" s="1637"/>
      <c r="Y20" s="1637"/>
      <c r="Z20" s="1637"/>
      <c r="AA20" s="1637"/>
      <c r="AB20" s="1637"/>
      <c r="AC20" s="1637"/>
      <c r="AD20" s="1215"/>
      <c r="AE20" s="1210"/>
      <c r="AF20" s="1637"/>
      <c r="AG20" s="1216"/>
      <c r="AH20" s="667"/>
      <c r="AI20"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20" s="1218" t="b">
        <f>IFERROR(IF(AND(IsSerna,OR(UnitsTbl[[#This Row],[VHHP
Assisted]]&gt;0,UnitsTbl[[#This Row],[HCD Program 5]]&gt;0)),0,IF(AND(IsSerna,$B$4="FWHG",UnitsTbl[[#This Row],[Restricted Income Level]]="Manager"),VLOOKUP(CONCATENATE(County," ",0.6),HCDLoanLimitTbl2[],BH20,FALSE)*UnitsTbl[[#This Row],[Total Units]],IF(UnitsTbl[[#This Row],[Restricted Income Level]]&gt;80%,0,IF(IsSerna,VLOOKUP(CONCATENATE(County," ",UnitsTbl[[#This Row],[Restricted Income Level]]),HCDLoanLimitTbl2[],UnitsTbl[[#This Row],[VLOOKUP Base]],FALSE)*UnitsTbl[[#This Row],[HCD Program2]])))),0)</f>
        <v>0</v>
      </c>
      <c r="AK20" s="1218" t="b">
        <f>IFERROR(IF(AND(IsTod,OR(UnitsTbl[[#This Row],[HCD Program 5]]&gt;0,UnitsTbl[[#This Row],[HCD Program2]]&gt;0,UnitsTbl[[#This Row],[HCD Program4]]&gt;0,UnitsTbl[[#This Row],[VHHP
Assisted]]&gt;0)),0,(IF(AND(IsTod,$B$4="TOD",UnitsTbl[[#This Row],[Restricted Income Level]]="Manager"),VLOOKUP(CONCATENATE(County," ",0.6),HCDLoanLimitTbl[],BH20,FALSE)*UnitsTbl[[#This Row],[Total Units]],IF(UnitsTbl[[#This Row],[Restricted Income Level]]&gt;60%,0,IF(IsTod,VLOOKUP(CONCATENATE(County," ",UnitsTbl[[#This Row],[Restricted Income Level]]),HCDLoanLimitTbl[],UnitsTbl[[#This Row],[VLOOKUP Base]],FALSE)*UnitsTbl[[#This Row],[HCD Program3]]))))),0)</f>
        <v>0</v>
      </c>
      <c r="AL20" s="1218" t="b">
        <f>IFERROR(IF(AND(IsShmhp,OR(UnitsTbl[[#This Row],[HCD Program 5]]&gt;0,UnitsTbl[[#This Row],[HCD Program2]]&gt;0,UnitsTbl[[#This Row],[HCD Program3]]&gt;0,UnitsTbl[[#This Row],[VHHP
Assisted]]&gt;0)),0,(IF(AND(IsShmhp,$B$4="SHMHP",UnitsTbl[[#This Row],[Restricted Income Level]]="Manager"),VLOOKUP(CONCATENATE(County," ",0.6),HCDLoanLimitTbl[],BH20,FALSE)*UnitsTbl[[#This Row],[Total Units]],IF(UnitsTbl[[#This Row],[Restricted Income Level]]&gt;60%,0,IF(IsShmhp,VLOOKUP(CONCATENATE(County," ",UnitsTbl[[#This Row],[Restricted Income Level]]),HCDLoanLimitTbl[],UnitsTbl[[#This Row],[VLOOKUP Base]],FALSE)*UnitsTbl[[#This Row],[HCD Program4]]))))),0)</f>
        <v>0</v>
      </c>
      <c r="AM20" s="1219" t="b">
        <f>IFERROR(IF(AND(IsVhhp,OR(UnitsTbl[[#This Row],[HCD Program 5]]&gt;0,UnitsTbl[[#This Row],[HCD Program2]]&gt;0,UnitsTbl[[#This Row],[HCD Program3]]&gt;0,UnitsTbl[[#This Row],[HCD Program4]]&gt;0)),0,(IF(AND(IsVhhp,$B$4="VHHP",UnitsTbl[[#This Row],[Restricted Income Level]]="Manager"),VLOOKUP(CONCATENATE(County," ",0.6),HCDLoanLimitTbl2[],BH20,FALSE)*UnitsTbl[[#This Row],[Total Units]],IF(UnitsTbl[[#This Row],[Restricted Income Level]]&gt;60%,0,IF(IsVhhp,VLOOKUP(CONCATENATE(County," ",UnitsTbl[[#This Row],[Restricted Income Level]]),HCDLoanLimitTbl2[],UnitsTbl[[#This Row],[VLOOKUP Base]],FALSE)*UnitsTbl[[#This Row],[VHHP
Assisted]]))))),0)</f>
        <v>0</v>
      </c>
      <c r="AN20"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",0.6),HCDLoanLimitTbl[],BH20,FALSE)*UnitsTbl[[#This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20" s="1221"/>
      <c r="AP20"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20" s="1223"/>
      <c r="AR20" s="1224"/>
      <c r="AS20" s="1225" t="str">
        <f>IFERROR(IF(UnitsTbl[[#This Row],[Max Gross Rent]]=0,"",UnitsTbl[[#This Row],[Max Gross Rent]]-UnitsTbl[[#This Row],[Less Utility Allowance Schedule 1]]-UnitsTbl[[#This Row],[Less Utility Allowance Schedule 2]]),"")</f>
        <v/>
      </c>
      <c r="AT20" s="1226"/>
      <c r="AU20" s="1225">
        <f>IF(UnitsTbl[[#This Row],[Proposed Net Rent ]]="",0,UnitsTbl[[#This Row],[Total Units]]*UnitsTbl[[#This Row],[Proposed Net Rent ]])</f>
        <v>0</v>
      </c>
      <c r="AV20" s="1227" t="str">
        <f>IF(UnitsTbl[[#This Row],[Proposed Net Rent ]]&gt;0,0,IFERROR(UnitsTbl[[#This Row],[Total Units]]*UnitsTbl[[#This Row],[Maximum Net Rent]],""))</f>
        <v/>
      </c>
      <c r="AW20" s="1228"/>
      <c r="AX20"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20" s="1637"/>
      <c r="AZ20" s="1637"/>
      <c r="BA20" s="1229" t="str">
        <f>IFERROR(IF(UnitsTbl[[#This Row],[Total Units]]="","",UnitsTbl[[#This Row],[Subsidy Payment Over  Gross Rent]]*UnitsTbl[[#This Row],[Total Units]])*NOT($BA$7=""),"")</f>
        <v/>
      </c>
      <c r="BB20" s="1228"/>
      <c r="BC20"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20" s="1230"/>
      <c r="BE20" s="1637"/>
      <c r="BF20" s="1227" t="str">
        <f>IFERROR(IF(UnitsTbl[[#This Row],[Total Units]]="","",UnitsTbl[[#This Row],[Subsidy Payment Over Gross Rent2]]*UnitsTbl[[#This Row],[Total Units]])*NOT($BF$7=""),"")</f>
        <v/>
      </c>
      <c r="BG20" s="1231">
        <f>IF(OR(UnitsTbl[[#This Row],[Special Needs?]]="Yes",UnitsTbl[[#This Row],[Special Needs2?]]="Yes"), 1,0)</f>
        <v>0</v>
      </c>
      <c r="BH20"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20"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20" s="969">
        <f>MIN(SUM(UnitsTbl[[#This Row],[Disability Homelessness]],UnitsTbl[[#This Row],[Chronic Homelessness]],UnitsTbl[[#This Row],[Other Homelessness]]),UnitsTbl[[#This Row],[Total restricted units]])</f>
        <v>0</v>
      </c>
      <c r="BK20" s="969">
        <f>(UnitsTbl[[#This Row],[Restricted Income Level]]&lt;=30%)*UnitsTbl[[#This Row],[Total restricted units]]</f>
        <v>0</v>
      </c>
      <c r="BL20" s="969">
        <f t="shared" si="8"/>
        <v>0</v>
      </c>
      <c r="BM20" s="307">
        <f>UnitsTbl[[#This Row],[Units being subsidized]]*SUM(UnitsTbl[[#This Row],[Less Utility Allowance Schedule 1]],UnitsTbl[[#This Row],[Less Utility Allowance Schedule 2]])</f>
        <v>0</v>
      </c>
      <c r="BN20" s="307">
        <f>UnitsTbl[[#This Row],[Units being subsidized2]]*SUM(UnitsTbl[[#This Row],[Less Utility Allowance Schedule 1]],UnitsTbl[[#This Row],[Less Utility Allowance Schedule 2]])</f>
        <v>0</v>
      </c>
      <c r="BO20" s="307"/>
      <c r="BP20" s="1232" t="str">
        <f>CONCATENATE(County," ",HCDLoanLimitTbl[[#This Row],[AMI]])</f>
        <v xml:space="preserve"> 0.3</v>
      </c>
      <c r="BQ20" s="1721">
        <v>0.3</v>
      </c>
      <c r="BR20" s="1643" t="e">
        <f t="shared" si="12"/>
        <v>#VALUE!</v>
      </c>
      <c r="BS20" s="1643" t="e">
        <f t="shared" si="13"/>
        <v>#VALUE!</v>
      </c>
      <c r="BT20" s="1643" t="e">
        <f t="shared" si="14"/>
        <v>#VALUE!</v>
      </c>
      <c r="BU20" s="1643" t="e">
        <f t="shared" si="15"/>
        <v>#VALUE!</v>
      </c>
      <c r="BV20" s="1233" t="e">
        <f t="shared" si="16"/>
        <v>#VALUE!</v>
      </c>
      <c r="BX20" s="1129" t="s">
        <v>82</v>
      </c>
      <c r="BY20" s="812">
        <v>32900</v>
      </c>
      <c r="BZ20" s="813">
        <v>37600</v>
      </c>
      <c r="CA20" s="813">
        <v>42300</v>
      </c>
      <c r="CB20" s="813">
        <v>46950</v>
      </c>
      <c r="CC20" s="813">
        <v>50750</v>
      </c>
      <c r="CD20" s="813">
        <v>54500</v>
      </c>
      <c r="CE20" s="813">
        <v>58250</v>
      </c>
      <c r="CF20" s="1147">
        <v>62000</v>
      </c>
      <c r="CH20" s="449">
        <v>0.45</v>
      </c>
      <c r="CI20" s="307" t="e">
        <f t="shared" ref="CI20:CI26" si="17">$CI$19*CH20/$CH$19</f>
        <v>#VALUE!</v>
      </c>
      <c r="CJ20" s="307" t="e">
        <f t="shared" ref="CJ20:CJ26" si="18">$CJ$19*CH20/$CH$19</f>
        <v>#VALUE!</v>
      </c>
      <c r="CK20" s="307" t="e">
        <f t="shared" ref="CK20:CK26" si="19">$CK$19*CH20/$CH$19</f>
        <v>#VALUE!</v>
      </c>
      <c r="CL20" s="307" t="e">
        <f t="shared" ref="CL20:CL26" si="20">$CL$19*CH20/$CH$19</f>
        <v>#VALUE!</v>
      </c>
      <c r="CM20" s="307" t="e">
        <f t="shared" ref="CM20:CM26" si="21">$CM$19*CH20/$CH$19</f>
        <v>#VALUE!</v>
      </c>
      <c r="CN20" s="307" t="e">
        <f t="shared" ref="CN20:CN26" si="22">$CN$19*CH20/$CH$19</f>
        <v>#VALUE!</v>
      </c>
      <c r="CO20" s="307" t="e">
        <f t="shared" ref="CO20:CO26" si="23">$CO$19*CH20/$CH$19</f>
        <v>#VALUE!</v>
      </c>
      <c r="CP20" s="362" t="e">
        <f t="shared" ref="CP20:CP26" si="24">$CP$19*CH20/$CH$19</f>
        <v>#VALUE!</v>
      </c>
      <c r="CQ20" s="1682"/>
      <c r="CR20" s="386" t="b">
        <f>OR(AND(OR($BA$7="USDA",$BA$7="Other Federal"),UnitsTbl[[#This Row],[Gross Monthly Contract Rent]]&gt;0),AND(OR($BF$7="USDA",$BF$7="Other Federal"),UnitsTbl[[#This Row],[Net Monthly Contract Rent2]]&gt;0))</f>
        <v>0</v>
      </c>
      <c r="CS20" s="223">
        <f>IF(UnitsTbl[[#This Row],[Restricted Income Level]]="Manager",0,UnitsTbl[[#This Row],[Total Units]]*INDEX(SizeFactors,MATCH(MIN(UnitsTbl[[#This Row],[Number of Bedrooms]],4),Sizes,0)))</f>
        <v>0</v>
      </c>
      <c r="CT20" s="550">
        <f>IF(UnitsTbl[[#This Row],[Restricted Income Level]]="Manager",0,UnitsTbl[[#This Row],[Total Units]]-SUM(UnitsTbl[[#This Row],[Units being subsidized]]*($BA$7&lt;&gt;"Not Federal"),UnitsTbl[[#This Row],[Units being subsidized2]]*($BF$7&lt;&gt;"Not Federal")))</f>
        <v>0</v>
      </c>
      <c r="CU20" s="309">
        <f>IFERROR(IF(AND($CU$8,CR20=FALSE),40%,IF(UnitsTbl[[#This Row],[Restricted Income Level]]&lt;30%,30%,UnitsTbl[[#This Row],[Restricted Income Level]])),0)</f>
        <v>0.4</v>
      </c>
      <c r="CV20" s="1682"/>
      <c r="CW20" s="555">
        <f t="shared" si="9"/>
        <v>0.4</v>
      </c>
      <c r="CX20" s="553">
        <f>IF(UnitsTbl[[#This Row],[Rent Limit Calculation Formula]]="TCAC",VLOOKUP(County&amp;CW20,TCACrentTbl[],UnitsTbl[[#This Row],[Number of Bedrooms]]+2,FALSE)-SUM(UnitsTbl[[#This Row],[Less Utility Allowance Schedule 2]],UnitsTbl[[#This Row],[Less Utility Allowance Schedule 1]]),IF(UnitsTbl[[#This Row],[Rent Limit Calculation Formula]]="Other",VLOOKUP(County&amp;CW20,OtherRentLimitTbl[],UnitsTbl[[#This Row],[Number of Bedrooms]]+3,FALSE)-SUM(UnitsTbl[[#This Row],[Less Utility Allowance Schedule 2]],UnitsTbl[[#This Row],[Less Utility Allowance Schedule 1]]),0))</f>
        <v>0</v>
      </c>
      <c r="CY20" s="363">
        <f>MAX(UnitsTbl[[#This Row],[Gross Monthly Contract Rent]],UnitsTbl[[#This Row],[Net Monthly Contract Rent2]])</f>
        <v>0</v>
      </c>
      <c r="CZ20" s="553">
        <f>IF(UnitsTbl[[#This Row],[Number of Bedrooms]]="",0,VLOOKUP(County&amp;"0.6",TCACrentTbl[],UnitsTbl[[#This Row],[Number of Bedrooms]]+2,FALSE))-SUM(UnitsTbl[[#This Row],[Less Utility Allowance Schedule 2]],UnitsTbl[[#This Row],[Less Utility Allowance Schedule 1]])</f>
        <v>0</v>
      </c>
      <c r="DA20" s="78" t="b">
        <f>OR(AND($BA$7="USDA",UnitsTbl[[#This Row],[Gross Monthly Contract Rent]]&gt;0),AND($BF$7="USDA",UnitsTbl[[#This Row],[Net Monthly Contract Rent2]]&gt;0))</f>
        <v>0</v>
      </c>
      <c r="DB20" s="363">
        <f t="shared" si="10"/>
        <v>0</v>
      </c>
      <c r="DC20" s="363">
        <f t="shared" si="11"/>
        <v>0</v>
      </c>
      <c r="DD20" s="364">
        <f>UnitsTbl[[#This Row],[Total Units]]*DC20</f>
        <v>0</v>
      </c>
    </row>
    <row r="21" spans="1:108" ht="18" customHeight="1">
      <c r="A21" s="693"/>
      <c r="B21" s="1210"/>
      <c r="C21" s="1211"/>
      <c r="D21" s="1637"/>
      <c r="E21" s="1212"/>
      <c r="F21" s="1637"/>
      <c r="G21" s="1637"/>
      <c r="H21" s="1637"/>
      <c r="I21" s="1213"/>
      <c r="J21" s="1213"/>
      <c r="K21" s="1637"/>
      <c r="L21" s="1214"/>
      <c r="M21" s="1637"/>
      <c r="N21" s="1637"/>
      <c r="O21" s="1637"/>
      <c r="P21" s="1637"/>
      <c r="Q21" s="1637"/>
      <c r="R21" s="1637"/>
      <c r="S21" s="1637"/>
      <c r="T21" s="1637"/>
      <c r="U21" s="1637"/>
      <c r="V21" s="1637"/>
      <c r="W21" s="1637"/>
      <c r="X21" s="1637"/>
      <c r="Y21" s="1637"/>
      <c r="Z21" s="1637"/>
      <c r="AA21" s="1637"/>
      <c r="AB21" s="1637"/>
      <c r="AC21" s="1637"/>
      <c r="AD21" s="1215"/>
      <c r="AE21" s="1210"/>
      <c r="AF21" s="1637"/>
      <c r="AG21" s="1216"/>
      <c r="AH21" s="667"/>
      <c r="AI21"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21" s="1218" t="b">
        <f>IFERROR(IF(AND(IsSerna,OR(UnitsTbl[[#This Row],[VHHP
Assisted]]&gt;0,UnitsTbl[[#This Row],[HCD Program 5]]&gt;0)),0,IF(AND(IsSerna,$B$4="FWHG",UnitsTbl[[#This Row],[Restricted Income Level]]="Manager"),VLOOKUP(CONCATENATE(County," ",0.6),HCDLoanLimitTbl2[],BH21,FALSE)*UnitsTbl[[#This Row],[Total Units]],IF(UnitsTbl[[#This Row],[Restricted Income Level]]&gt;80%,0,IF(IsSerna,VLOOKUP(CONCATENATE(County," ",UnitsTbl[[#This Row],[Restricted Income Level]]),HCDLoanLimitTbl2[],UnitsTbl[[#This Row],[VLOOKUP Base]],FALSE)*UnitsTbl[[#This Row],[HCD Program2]])))),0)</f>
        <v>0</v>
      </c>
      <c r="AK21" s="1218" t="b">
        <f>IFERROR(IF(AND(IsTod,OR(UnitsTbl[[#This Row],[HCD Program 5]]&gt;0,UnitsTbl[[#This Row],[HCD Program2]]&gt;0,UnitsTbl[[#This Row],[HCD Program4]]&gt;0,UnitsTbl[[#This Row],[VHHP
Assisted]]&gt;0)),0,(IF(AND(IsTod,$B$4="TOD",UnitsTbl[[#This Row],[Restricted Income Level]]="Manager"),VLOOKUP(CONCATENATE(County," ",0.6),HCDLoanLimitTbl[],BH21,FALSE)*UnitsTbl[[#This Row],[Total Units]],IF(UnitsTbl[[#This Row],[Restricted Income Level]]&gt;60%,0,IF(IsTod,VLOOKUP(CONCATENATE(County," ",UnitsTbl[[#This Row],[Restricted Income Level]]),HCDLoanLimitTbl[],UnitsTbl[[#This Row],[VLOOKUP Base]],FALSE)*UnitsTbl[[#This Row],[HCD Program3]]))))),0)</f>
        <v>0</v>
      </c>
      <c r="AL21" s="1218" t="b">
        <f>IFERROR(IF(AND(IsShmhp,OR(UnitsTbl[[#This Row],[HCD Program 5]]&gt;0,UnitsTbl[[#This Row],[HCD Program2]]&gt;0,UnitsTbl[[#This Row],[HCD Program3]]&gt;0,UnitsTbl[[#This Row],[VHHP
Assisted]]&gt;0)),0,(IF(AND(IsShmhp,$B$4="SHMHP",UnitsTbl[[#This Row],[Restricted Income Level]]="Manager"),VLOOKUP(CONCATENATE(County," ",0.6),HCDLoanLimitTbl[],BH21,FALSE)*UnitsTbl[[#This Row],[Total Units]],IF(UnitsTbl[[#This Row],[Restricted Income Level]]&gt;60%,0,IF(IsShmhp,VLOOKUP(CONCATENATE(County," ",UnitsTbl[[#This Row],[Restricted Income Level]]),HCDLoanLimitTbl[],UnitsTbl[[#This Row],[VLOOKUP Base]],FALSE)*UnitsTbl[[#This Row],[HCD Program4]]))))),0)</f>
        <v>0</v>
      </c>
      <c r="AM21" s="1219" t="b">
        <f>IFERROR(IF(AND(IsVhhp,OR(UnitsTbl[[#This Row],[HCD Program 5]]&gt;0,UnitsTbl[[#This Row],[HCD Program2]]&gt;0,UnitsTbl[[#This Row],[HCD Program3]]&gt;0,UnitsTbl[[#This Row],[HCD Program4]]&gt;0)),0,(IF(AND(IsVhhp,$B$4="VHHP",UnitsTbl[[#This Row],[Restricted Income Level]]="Manager"),VLOOKUP(CONCATENATE(County," ",0.6),HCDLoanLimitTbl2[],BH21,FALSE)*UnitsTbl[[#This Row],[Total Units]],IF(UnitsTbl[[#This Row],[Restricted Income Level]]&gt;60%,0,IF(IsVhhp,VLOOKUP(CONCATENATE(County," ",UnitsTbl[[#This Row],[Restricted Income Level]]),HCDLoanLimitTbl2[],UnitsTbl[[#This Row],[VLOOKUP Base]],FALSE)*UnitsTbl[[#This Row],[VHHP
Assisted]]))))),0)</f>
        <v>0</v>
      </c>
      <c r="AN21"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",0.6),HCDLoanLimitTbl[],BH21,FALSE)*UnitsTbl[[#This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21" s="1221"/>
      <c r="AP21"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21" s="1223"/>
      <c r="AR21" s="1224"/>
      <c r="AS21" s="1225" t="str">
        <f>IFERROR(IF(UnitsTbl[[#This Row],[Max Gross Rent]]=0,"",UnitsTbl[[#This Row],[Max Gross Rent]]-UnitsTbl[[#This Row],[Less Utility Allowance Schedule 1]]-UnitsTbl[[#This Row],[Less Utility Allowance Schedule 2]]),"")</f>
        <v/>
      </c>
      <c r="AT21" s="1226"/>
      <c r="AU21" s="1225">
        <f>IF(UnitsTbl[[#This Row],[Proposed Net Rent ]]="",0,UnitsTbl[[#This Row],[Total Units]]*UnitsTbl[[#This Row],[Proposed Net Rent ]])</f>
        <v>0</v>
      </c>
      <c r="AV21" s="1227" t="str">
        <f>IF(UnitsTbl[[#This Row],[Proposed Net Rent ]]&gt;0,0,IFERROR(UnitsTbl[[#This Row],[Total Units]]*UnitsTbl[[#This Row],[Maximum Net Rent]],""))</f>
        <v/>
      </c>
      <c r="AW21" s="1228"/>
      <c r="AX21"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21" s="1637"/>
      <c r="AZ21" s="1637"/>
      <c r="BA21" s="1229" t="str">
        <f>IFERROR(IF(UnitsTbl[[#This Row],[Total Units]]="","",UnitsTbl[[#This Row],[Subsidy Payment Over  Gross Rent]]*UnitsTbl[[#This Row],[Total Units]])*NOT($BA$7=""),"")</f>
        <v/>
      </c>
      <c r="BB21" s="1228"/>
      <c r="BC21"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21" s="1230"/>
      <c r="BE21" s="1637"/>
      <c r="BF21" s="1227" t="str">
        <f>IFERROR(IF(UnitsTbl[[#This Row],[Total Units]]="","",UnitsTbl[[#This Row],[Subsidy Payment Over Gross Rent2]]*UnitsTbl[[#This Row],[Total Units]])*NOT($BF$7=""),"")</f>
        <v/>
      </c>
      <c r="BG21" s="1231">
        <f>IF(OR(UnitsTbl[[#This Row],[Special Needs?]]="Yes",UnitsTbl[[#This Row],[Special Needs2?]]="Yes"), 1,0)</f>
        <v>0</v>
      </c>
      <c r="BH21"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21"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21" s="969">
        <f>MIN(SUM(UnitsTbl[[#This Row],[Disability Homelessness]],UnitsTbl[[#This Row],[Chronic Homelessness]],UnitsTbl[[#This Row],[Other Homelessness]]),UnitsTbl[[#This Row],[Total restricted units]])</f>
        <v>0</v>
      </c>
      <c r="BK21" s="969">
        <f>(UnitsTbl[[#This Row],[Restricted Income Level]]&lt;=30%)*UnitsTbl[[#This Row],[Total restricted units]]</f>
        <v>0</v>
      </c>
      <c r="BL21" s="969">
        <f t="shared" si="8"/>
        <v>0</v>
      </c>
      <c r="BM21" s="307">
        <f>UnitsTbl[[#This Row],[Units being subsidized]]*SUM(UnitsTbl[[#This Row],[Less Utility Allowance Schedule 1]],UnitsTbl[[#This Row],[Less Utility Allowance Schedule 2]])</f>
        <v>0</v>
      </c>
      <c r="BN21" s="307">
        <f>UnitsTbl[[#This Row],[Units being subsidized2]]*SUM(UnitsTbl[[#This Row],[Less Utility Allowance Schedule 1]],UnitsTbl[[#This Row],[Less Utility Allowance Schedule 2]])</f>
        <v>0</v>
      </c>
      <c r="BO21" s="307"/>
      <c r="BP21" s="1232" t="str">
        <f>CONCATENATE(County," ",HCDLoanLimitTbl[[#This Row],[AMI]])</f>
        <v xml:space="preserve"> 0.25</v>
      </c>
      <c r="BQ21" s="1721">
        <v>0.25</v>
      </c>
      <c r="BR21" s="1643" t="e">
        <f t="shared" si="12"/>
        <v>#VALUE!</v>
      </c>
      <c r="BS21" s="1643" t="e">
        <f t="shared" si="13"/>
        <v>#VALUE!</v>
      </c>
      <c r="BT21" s="1643" t="e">
        <f t="shared" si="14"/>
        <v>#VALUE!</v>
      </c>
      <c r="BU21" s="1643" t="e">
        <f t="shared" si="15"/>
        <v>#VALUE!</v>
      </c>
      <c r="BV21" s="1233" t="e">
        <f t="shared" si="16"/>
        <v>#VALUE!</v>
      </c>
      <c r="BX21" s="1129" t="s">
        <v>85</v>
      </c>
      <c r="BY21" s="811">
        <v>32900</v>
      </c>
      <c r="BZ21" s="1744">
        <v>37600</v>
      </c>
      <c r="CA21" s="1744">
        <v>42300</v>
      </c>
      <c r="CB21" s="1744">
        <v>46950</v>
      </c>
      <c r="CC21" s="1744">
        <v>50750</v>
      </c>
      <c r="CD21" s="1744">
        <v>54500</v>
      </c>
      <c r="CE21" s="1744">
        <v>58250</v>
      </c>
      <c r="CF21" s="1135">
        <v>62000</v>
      </c>
      <c r="CH21" s="449">
        <v>0.4</v>
      </c>
      <c r="CI21" s="307" t="e">
        <f t="shared" si="17"/>
        <v>#VALUE!</v>
      </c>
      <c r="CJ21" s="307" t="e">
        <f t="shared" si="18"/>
        <v>#VALUE!</v>
      </c>
      <c r="CK21" s="307" t="e">
        <f t="shared" si="19"/>
        <v>#VALUE!</v>
      </c>
      <c r="CL21" s="307" t="e">
        <f t="shared" si="20"/>
        <v>#VALUE!</v>
      </c>
      <c r="CM21" s="307" t="e">
        <f t="shared" si="21"/>
        <v>#VALUE!</v>
      </c>
      <c r="CN21" s="307" t="e">
        <f t="shared" si="22"/>
        <v>#VALUE!</v>
      </c>
      <c r="CO21" s="307" t="e">
        <f t="shared" si="23"/>
        <v>#VALUE!</v>
      </c>
      <c r="CP21" s="362" t="e">
        <f t="shared" si="24"/>
        <v>#VALUE!</v>
      </c>
      <c r="CQ21" s="1682"/>
      <c r="CR21" s="386" t="b">
        <f>OR(AND(OR($BA$7="USDA",$BA$7="Other Federal"),UnitsTbl[[#This Row],[Gross Monthly Contract Rent]]&gt;0),AND(OR($BF$7="USDA",$BF$7="Other Federal"),UnitsTbl[[#This Row],[Net Monthly Contract Rent2]]&gt;0))</f>
        <v>0</v>
      </c>
      <c r="CS21" s="223">
        <f>IF(UnitsTbl[[#This Row],[Restricted Income Level]]="Manager",0,UnitsTbl[[#This Row],[Total Units]]*INDEX(SizeFactors,MATCH(MIN(UnitsTbl[[#This Row],[Number of Bedrooms]],4),Sizes,0)))</f>
        <v>0</v>
      </c>
      <c r="CT21" s="550">
        <f>IF(UnitsTbl[[#This Row],[Restricted Income Level]]="Manager",0,UnitsTbl[[#This Row],[Total Units]]-SUM(UnitsTbl[[#This Row],[Units being subsidized]]*($BA$7&lt;&gt;"Not Federal"),UnitsTbl[[#This Row],[Units being subsidized2]]*($BF$7&lt;&gt;"Not Federal")))</f>
        <v>0</v>
      </c>
      <c r="CU21" s="309">
        <f>IFERROR(IF(AND($CU$8,CR21=FALSE),40%,IF(UnitsTbl[[#This Row],[Restricted Income Level]]&lt;30%,30%,UnitsTbl[[#This Row],[Restricted Income Level]])),0)</f>
        <v>0.4</v>
      </c>
      <c r="CV21" s="1682"/>
      <c r="CW21" s="555">
        <f t="shared" si="9"/>
        <v>0.4</v>
      </c>
      <c r="CX21" s="553">
        <f>IF(UnitsTbl[[#This Row],[Rent Limit Calculation Formula]]="TCAC",VLOOKUP(County&amp;CW21,TCACrentTbl[],UnitsTbl[[#This Row],[Number of Bedrooms]]+2,FALSE)-SUM(UnitsTbl[[#This Row],[Less Utility Allowance Schedule 2]],UnitsTbl[[#This Row],[Less Utility Allowance Schedule 1]]),IF(UnitsTbl[[#This Row],[Rent Limit Calculation Formula]]="Other",VLOOKUP(County&amp;CW21,OtherRentLimitTbl[],UnitsTbl[[#This Row],[Number of Bedrooms]]+3,FALSE)-SUM(UnitsTbl[[#This Row],[Less Utility Allowance Schedule 2]],UnitsTbl[[#This Row],[Less Utility Allowance Schedule 1]]),0))</f>
        <v>0</v>
      </c>
      <c r="CY21" s="363">
        <f>MAX(UnitsTbl[[#This Row],[Gross Monthly Contract Rent]],UnitsTbl[[#This Row],[Net Monthly Contract Rent2]])</f>
        <v>0</v>
      </c>
      <c r="CZ21" s="553">
        <f>IF(UnitsTbl[[#This Row],[Number of Bedrooms]]="",0,VLOOKUP(County&amp;"0.6",TCACrentTbl[],UnitsTbl[[#This Row],[Number of Bedrooms]]+2,FALSE))-SUM(UnitsTbl[[#This Row],[Less Utility Allowance Schedule 2]],UnitsTbl[[#This Row],[Less Utility Allowance Schedule 1]])</f>
        <v>0</v>
      </c>
      <c r="DA21" s="78" t="b">
        <f>OR(AND($BA$7="USDA",UnitsTbl[[#This Row],[Gross Monthly Contract Rent]]&gt;0),AND($BF$7="USDA",UnitsTbl[[#This Row],[Net Monthly Contract Rent2]]&gt;0))</f>
        <v>0</v>
      </c>
      <c r="DB21" s="363">
        <f t="shared" si="10"/>
        <v>0</v>
      </c>
      <c r="DC21" s="363">
        <f t="shared" si="11"/>
        <v>0</v>
      </c>
      <c r="DD21" s="364">
        <f>UnitsTbl[[#This Row],[Total Units]]*DC21</f>
        <v>0</v>
      </c>
    </row>
    <row r="22" spans="1:108" ht="18" customHeight="1">
      <c r="A22" s="693"/>
      <c r="B22" s="1210"/>
      <c r="C22" s="1211"/>
      <c r="D22" s="1637"/>
      <c r="E22" s="1212"/>
      <c r="F22" s="1637"/>
      <c r="G22" s="1637"/>
      <c r="H22" s="1637"/>
      <c r="I22" s="1213"/>
      <c r="J22" s="1213"/>
      <c r="K22" s="1637"/>
      <c r="L22" s="1214"/>
      <c r="M22" s="1637"/>
      <c r="N22" s="1637"/>
      <c r="O22" s="1637"/>
      <c r="P22" s="1637"/>
      <c r="Q22" s="1637"/>
      <c r="R22" s="1637"/>
      <c r="S22" s="1637"/>
      <c r="T22" s="1637"/>
      <c r="U22" s="1637"/>
      <c r="V22" s="1637"/>
      <c r="W22" s="1637"/>
      <c r="X22" s="1637"/>
      <c r="Y22" s="1637"/>
      <c r="Z22" s="1637"/>
      <c r="AA22" s="1637"/>
      <c r="AB22" s="1637"/>
      <c r="AC22" s="1637"/>
      <c r="AD22" s="1215"/>
      <c r="AE22" s="1210"/>
      <c r="AF22" s="1637"/>
      <c r="AG22" s="1216"/>
      <c r="AH22" s="667"/>
      <c r="AI22"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22" s="1218" t="b">
        <f>IFERROR(IF(AND(IsSerna,OR(UnitsTbl[[#This Row],[VHHP
Assisted]]&gt;0,UnitsTbl[[#This Row],[HCD Program 5]]&gt;0)),0,IF(AND(IsSerna,$B$4="FWHG",UnitsTbl[[#This Row],[Restricted Income Level]]="Manager"),VLOOKUP(CONCATENATE(County," ",0.6),HCDLoanLimitTbl2[],BH22,FALSE)*UnitsTbl[[#This Row],[Total Units]],IF(UnitsTbl[[#This Row],[Restricted Income Level]]&gt;80%,0,IF(IsSerna,VLOOKUP(CONCATENATE(County," ",UnitsTbl[[#This Row],[Restricted Income Level]]),HCDLoanLimitTbl2[],UnitsTbl[[#This Row],[VLOOKUP Base]],FALSE)*UnitsTbl[[#This Row],[HCD Program2]])))),0)</f>
        <v>0</v>
      </c>
      <c r="AK22" s="1218" t="b">
        <f>IFERROR(IF(AND(IsTod,OR(UnitsTbl[[#This Row],[HCD Program 5]]&gt;0,UnitsTbl[[#This Row],[HCD Program2]]&gt;0,UnitsTbl[[#This Row],[HCD Program4]]&gt;0,UnitsTbl[[#This Row],[VHHP
Assisted]]&gt;0)),0,(IF(AND(IsTod,$B$4="TOD",UnitsTbl[[#This Row],[Restricted Income Level]]="Manager"),VLOOKUP(CONCATENATE(County," ",0.6),HCDLoanLimitTbl[],BH22,FALSE)*UnitsTbl[[#This Row],[Total Units]],IF(UnitsTbl[[#This Row],[Restricted Income Level]]&gt;60%,0,IF(IsTod,VLOOKUP(CONCATENATE(County," ",UnitsTbl[[#This Row],[Restricted Income Level]]),HCDLoanLimitTbl[],UnitsTbl[[#This Row],[VLOOKUP Base]],FALSE)*UnitsTbl[[#This Row],[HCD Program3]]))))),0)</f>
        <v>0</v>
      </c>
      <c r="AL22" s="1218" t="b">
        <f>IFERROR(IF(AND(IsShmhp,OR(UnitsTbl[[#This Row],[HCD Program 5]]&gt;0,UnitsTbl[[#This Row],[HCD Program2]]&gt;0,UnitsTbl[[#This Row],[HCD Program3]]&gt;0,UnitsTbl[[#This Row],[VHHP
Assisted]]&gt;0)),0,(IF(AND(IsShmhp,$B$4="SHMHP",UnitsTbl[[#This Row],[Restricted Income Level]]="Manager"),VLOOKUP(CONCATENATE(County," ",0.6),HCDLoanLimitTbl[],BH22,FALSE)*UnitsTbl[[#This Row],[Total Units]],IF(UnitsTbl[[#This Row],[Restricted Income Level]]&gt;60%,0,IF(IsShmhp,VLOOKUP(CONCATENATE(County," ",UnitsTbl[[#This Row],[Restricted Income Level]]),HCDLoanLimitTbl[],UnitsTbl[[#This Row],[VLOOKUP Base]],FALSE)*UnitsTbl[[#This Row],[HCD Program4]]))))),0)</f>
        <v>0</v>
      </c>
      <c r="AM22" s="1219" t="b">
        <f>IFERROR(IF(AND(IsVhhp,OR(UnitsTbl[[#This Row],[HCD Program 5]]&gt;0,UnitsTbl[[#This Row],[HCD Program2]]&gt;0,UnitsTbl[[#This Row],[HCD Program3]]&gt;0,UnitsTbl[[#This Row],[HCD Program4]]&gt;0)),0,(IF(AND(IsVhhp,$B$4="VHHP",UnitsTbl[[#This Row],[Restricted Income Level]]="Manager"),VLOOKUP(CONCATENATE(County," ",0.6),HCDLoanLimitTbl2[],BH22,FALSE)*UnitsTbl[[#This Row],[Total Units]],IF(UnitsTbl[[#This Row],[Restricted Income Level]]&gt;60%,0,IF(IsVhhp,VLOOKUP(CONCATENATE(County," ",UnitsTbl[[#This Row],[Restricted Income Level]]),HCDLoanLimitTbl2[],UnitsTbl[[#This Row],[VLOOKUP Base]],FALSE)*UnitsTbl[[#This Row],[VHHP
Assisted]]))))),0)</f>
        <v>0</v>
      </c>
      <c r="AN22"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",0.6),HCDLoanLimitTbl[],BH22,FALSE)*UnitsTbl[[#This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22" s="1221"/>
      <c r="AP22"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22" s="1223"/>
      <c r="AR22" s="1224"/>
      <c r="AS22" s="1225" t="str">
        <f>IFERROR(IF(UnitsTbl[[#This Row],[Max Gross Rent]]=0,"",UnitsTbl[[#This Row],[Max Gross Rent]]-UnitsTbl[[#This Row],[Less Utility Allowance Schedule 1]]-UnitsTbl[[#This Row],[Less Utility Allowance Schedule 2]]),"")</f>
        <v/>
      </c>
      <c r="AT22" s="1226"/>
      <c r="AU22" s="1225">
        <f>IF(UnitsTbl[[#This Row],[Proposed Net Rent ]]="",0,UnitsTbl[[#This Row],[Total Units]]*UnitsTbl[[#This Row],[Proposed Net Rent ]])</f>
        <v>0</v>
      </c>
      <c r="AV22" s="1227" t="str">
        <f>IF(UnitsTbl[[#This Row],[Proposed Net Rent ]]&gt;0,0,IFERROR(UnitsTbl[[#This Row],[Total Units]]*UnitsTbl[[#This Row],[Maximum Net Rent]],""))</f>
        <v/>
      </c>
      <c r="AW22" s="1228"/>
      <c r="AX22"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22" s="1637"/>
      <c r="AZ22" s="1637"/>
      <c r="BA22" s="1229" t="str">
        <f>IFERROR(IF(UnitsTbl[[#This Row],[Total Units]]="","",UnitsTbl[[#This Row],[Subsidy Payment Over  Gross Rent]]*UnitsTbl[[#This Row],[Total Units]])*NOT($BA$7=""),"")</f>
        <v/>
      </c>
      <c r="BB22" s="1228"/>
      <c r="BC22"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22" s="1230"/>
      <c r="BE22" s="1637"/>
      <c r="BF22" s="1227" t="str">
        <f>IFERROR(IF(UnitsTbl[[#This Row],[Total Units]]="","",UnitsTbl[[#This Row],[Subsidy Payment Over Gross Rent2]]*UnitsTbl[[#This Row],[Total Units]])*NOT($BF$7=""),"")</f>
        <v/>
      </c>
      <c r="BG22" s="1231">
        <f>IF(OR(UnitsTbl[[#This Row],[Special Needs?]]="Yes",UnitsTbl[[#This Row],[Special Needs2?]]="Yes"), 1,0)</f>
        <v>0</v>
      </c>
      <c r="BH22"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22"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22" s="969">
        <f>MIN(SUM(UnitsTbl[[#This Row],[Disability Homelessness]],UnitsTbl[[#This Row],[Chronic Homelessness]],UnitsTbl[[#This Row],[Other Homelessness]]),UnitsTbl[[#This Row],[Total restricted units]])</f>
        <v>0</v>
      </c>
      <c r="BK22" s="969">
        <f>(UnitsTbl[[#This Row],[Restricted Income Level]]&lt;=30%)*UnitsTbl[[#This Row],[Total restricted units]]</f>
        <v>0</v>
      </c>
      <c r="BL22" s="969">
        <f t="shared" si="8"/>
        <v>0</v>
      </c>
      <c r="BM22" s="307">
        <f>UnitsTbl[[#This Row],[Units being subsidized]]*SUM(UnitsTbl[[#This Row],[Less Utility Allowance Schedule 1]],UnitsTbl[[#This Row],[Less Utility Allowance Schedule 2]])</f>
        <v>0</v>
      </c>
      <c r="BN22" s="307">
        <f>UnitsTbl[[#This Row],[Units being subsidized2]]*SUM(UnitsTbl[[#This Row],[Less Utility Allowance Schedule 1]],UnitsTbl[[#This Row],[Less Utility Allowance Schedule 2]])</f>
        <v>0</v>
      </c>
      <c r="BO22" s="307"/>
      <c r="BP22" s="1232" t="str">
        <f>CONCATENATE(County," ",HCDLoanLimitTbl[[#This Row],[AMI]])</f>
        <v xml:space="preserve"> 0.2</v>
      </c>
      <c r="BQ22" s="1721">
        <v>0.2</v>
      </c>
      <c r="BR22" s="1643" t="e">
        <f t="shared" si="12"/>
        <v>#VALUE!</v>
      </c>
      <c r="BS22" s="1643" t="e">
        <f t="shared" si="13"/>
        <v>#VALUE!</v>
      </c>
      <c r="BT22" s="1643" t="e">
        <f t="shared" si="14"/>
        <v>#VALUE!</v>
      </c>
      <c r="BU22" s="1643" t="e">
        <f t="shared" si="15"/>
        <v>#VALUE!</v>
      </c>
      <c r="BV22" s="1233" t="e">
        <f t="shared" si="16"/>
        <v>#VALUE!</v>
      </c>
      <c r="BX22" s="1129" t="s">
        <v>88</v>
      </c>
      <c r="BY22" s="812">
        <v>53000</v>
      </c>
      <c r="BZ22" s="813">
        <v>60600</v>
      </c>
      <c r="CA22" s="813">
        <v>68150</v>
      </c>
      <c r="CB22" s="813">
        <v>75750</v>
      </c>
      <c r="CC22" s="813">
        <v>81800</v>
      </c>
      <c r="CD22" s="813">
        <v>87850</v>
      </c>
      <c r="CE22" s="813">
        <v>93900</v>
      </c>
      <c r="CF22" s="1147">
        <v>100000</v>
      </c>
      <c r="CH22" s="449">
        <v>0.35</v>
      </c>
      <c r="CI22" s="307" t="e">
        <f t="shared" si="17"/>
        <v>#VALUE!</v>
      </c>
      <c r="CJ22" s="307" t="e">
        <f t="shared" si="18"/>
        <v>#VALUE!</v>
      </c>
      <c r="CK22" s="307" t="e">
        <f t="shared" si="19"/>
        <v>#VALUE!</v>
      </c>
      <c r="CL22" s="307" t="e">
        <f t="shared" si="20"/>
        <v>#VALUE!</v>
      </c>
      <c r="CM22" s="307" t="e">
        <f t="shared" si="21"/>
        <v>#VALUE!</v>
      </c>
      <c r="CN22" s="307" t="e">
        <f t="shared" si="22"/>
        <v>#VALUE!</v>
      </c>
      <c r="CO22" s="307" t="e">
        <f t="shared" si="23"/>
        <v>#VALUE!</v>
      </c>
      <c r="CP22" s="362" t="e">
        <f t="shared" si="24"/>
        <v>#VALUE!</v>
      </c>
      <c r="CQ22" s="1682"/>
      <c r="CR22" s="386" t="b">
        <f>OR(AND(OR($BA$7="USDA",$BA$7="Other Federal"),UnitsTbl[[#This Row],[Gross Monthly Contract Rent]]&gt;0),AND(OR($BF$7="USDA",$BF$7="Other Federal"),UnitsTbl[[#This Row],[Net Monthly Contract Rent2]]&gt;0))</f>
        <v>0</v>
      </c>
      <c r="CS22" s="223">
        <f>IF(UnitsTbl[[#This Row],[Restricted Income Level]]="Manager",0,UnitsTbl[[#This Row],[Total Units]]*INDEX(SizeFactors,MATCH(MIN(UnitsTbl[[#This Row],[Number of Bedrooms]],4),Sizes,0)))</f>
        <v>0</v>
      </c>
      <c r="CT22" s="550">
        <f>IF(UnitsTbl[[#This Row],[Restricted Income Level]]="Manager",0,UnitsTbl[[#This Row],[Total Units]]-SUM(UnitsTbl[[#This Row],[Units being subsidized]]*($BA$7&lt;&gt;"Not Federal"),UnitsTbl[[#This Row],[Units being subsidized2]]*($BF$7&lt;&gt;"Not Federal")))</f>
        <v>0</v>
      </c>
      <c r="CU22" s="309">
        <f>IFERROR(IF(AND($CU$8,CR22=FALSE),40%,IF(UnitsTbl[[#This Row],[Restricted Income Level]]&lt;30%,30%,UnitsTbl[[#This Row],[Restricted Income Level]])),0)</f>
        <v>0.4</v>
      </c>
      <c r="CV22" s="1682"/>
      <c r="CW22" s="555">
        <f t="shared" si="9"/>
        <v>0.4</v>
      </c>
      <c r="CX22" s="553">
        <f>IF(UnitsTbl[[#This Row],[Rent Limit Calculation Formula]]="TCAC",VLOOKUP(County&amp;CW22,TCACrentTbl[],UnitsTbl[[#This Row],[Number of Bedrooms]]+2,FALSE)-SUM(UnitsTbl[[#This Row],[Less Utility Allowance Schedule 2]],UnitsTbl[[#This Row],[Less Utility Allowance Schedule 1]]),IF(UnitsTbl[[#This Row],[Rent Limit Calculation Formula]]="Other",VLOOKUP(County&amp;CW22,OtherRentLimitTbl[],UnitsTbl[[#This Row],[Number of Bedrooms]]+3,FALSE)-SUM(UnitsTbl[[#This Row],[Less Utility Allowance Schedule 2]],UnitsTbl[[#This Row],[Less Utility Allowance Schedule 1]]),0))</f>
        <v>0</v>
      </c>
      <c r="CY22" s="363">
        <f>MAX(UnitsTbl[[#This Row],[Gross Monthly Contract Rent]],UnitsTbl[[#This Row],[Net Monthly Contract Rent2]])</f>
        <v>0</v>
      </c>
      <c r="CZ22" s="553">
        <f>IF(UnitsTbl[[#This Row],[Number of Bedrooms]]="",0,VLOOKUP(County&amp;"0.6",TCACrentTbl[],UnitsTbl[[#This Row],[Number of Bedrooms]]+2,FALSE))-SUM(UnitsTbl[[#This Row],[Less Utility Allowance Schedule 2]],UnitsTbl[[#This Row],[Less Utility Allowance Schedule 1]])</f>
        <v>0</v>
      </c>
      <c r="DA22" s="78" t="b">
        <f>OR(AND($BA$7="USDA",UnitsTbl[[#This Row],[Gross Monthly Contract Rent]]&gt;0),AND($BF$7="USDA",UnitsTbl[[#This Row],[Net Monthly Contract Rent2]]&gt;0))</f>
        <v>0</v>
      </c>
      <c r="DB22" s="363">
        <f t="shared" si="10"/>
        <v>0</v>
      </c>
      <c r="DC22" s="363">
        <f t="shared" si="11"/>
        <v>0</v>
      </c>
      <c r="DD22" s="364">
        <f>UnitsTbl[[#This Row],[Total Units]]*DC22</f>
        <v>0</v>
      </c>
    </row>
    <row r="23" spans="1:108" ht="18" customHeight="1" thickBot="1">
      <c r="A23" s="693"/>
      <c r="B23" s="1210"/>
      <c r="C23" s="1211"/>
      <c r="D23" s="1637"/>
      <c r="E23" s="1212"/>
      <c r="F23" s="1637"/>
      <c r="G23" s="1637"/>
      <c r="H23" s="1637"/>
      <c r="I23" s="1213"/>
      <c r="J23" s="1213"/>
      <c r="K23" s="1637"/>
      <c r="L23" s="1214"/>
      <c r="M23" s="1637"/>
      <c r="N23" s="1637"/>
      <c r="O23" s="1637"/>
      <c r="P23" s="1637"/>
      <c r="Q23" s="1637"/>
      <c r="R23" s="1637"/>
      <c r="S23" s="1637"/>
      <c r="T23" s="1637"/>
      <c r="U23" s="1637"/>
      <c r="V23" s="1637"/>
      <c r="W23" s="1637"/>
      <c r="X23" s="1637"/>
      <c r="Y23" s="1637"/>
      <c r="Z23" s="1637"/>
      <c r="AA23" s="1637"/>
      <c r="AB23" s="1637"/>
      <c r="AC23" s="1637"/>
      <c r="AD23" s="1215"/>
      <c r="AE23" s="1210"/>
      <c r="AF23" s="1637"/>
      <c r="AG23" s="1216"/>
      <c r="AH23" s="667"/>
      <c r="AI23"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23" s="1218" t="b">
        <f>IFERROR(IF(AND(IsSerna,OR(UnitsTbl[[#This Row],[VHHP
Assisted]]&gt;0,UnitsTbl[[#This Row],[HCD Program 5]]&gt;0)),0,IF(AND(IsSerna,$B$4="FWHG",UnitsTbl[[#This Row],[Restricted Income Level]]="Manager"),VLOOKUP(CONCATENATE(County," ",0.6),HCDLoanLimitTbl2[],BH23,FALSE)*UnitsTbl[[#This Row],[Total Units]],IF(UnitsTbl[[#This Row],[Restricted Income Level]]&gt;80%,0,IF(IsSerna,VLOOKUP(CONCATENATE(County," ",UnitsTbl[[#This Row],[Restricted Income Level]]),HCDLoanLimitTbl2[],UnitsTbl[[#This Row],[VLOOKUP Base]],FALSE)*UnitsTbl[[#This Row],[HCD Program2]])))),0)</f>
        <v>0</v>
      </c>
      <c r="AK23" s="1218" t="b">
        <f>IFERROR(IF(AND(IsTod,OR(UnitsTbl[[#This Row],[HCD Program 5]]&gt;0,UnitsTbl[[#This Row],[HCD Program2]]&gt;0,UnitsTbl[[#This Row],[HCD Program4]]&gt;0,UnitsTbl[[#This Row],[VHHP
Assisted]]&gt;0)),0,(IF(AND(IsTod,$B$4="TOD",UnitsTbl[[#This Row],[Restricted Income Level]]="Manager"),VLOOKUP(CONCATENATE(County," ",0.6),HCDLoanLimitTbl[],BH23,FALSE)*UnitsTbl[[#This Row],[Total Units]],IF(UnitsTbl[[#This Row],[Restricted Income Level]]&gt;60%,0,IF(IsTod,VLOOKUP(CONCATENATE(County," ",UnitsTbl[[#This Row],[Restricted Income Level]]),HCDLoanLimitTbl[],UnitsTbl[[#This Row],[VLOOKUP Base]],FALSE)*UnitsTbl[[#This Row],[HCD Program3]]))))),0)</f>
        <v>0</v>
      </c>
      <c r="AL23" s="1218" t="b">
        <f>IFERROR(IF(AND(IsShmhp,OR(UnitsTbl[[#This Row],[HCD Program 5]]&gt;0,UnitsTbl[[#This Row],[HCD Program2]]&gt;0,UnitsTbl[[#This Row],[HCD Program3]]&gt;0,UnitsTbl[[#This Row],[VHHP
Assisted]]&gt;0)),0,(IF(AND(IsShmhp,$B$4="SHMHP",UnitsTbl[[#This Row],[Restricted Income Level]]="Manager"),VLOOKUP(CONCATENATE(County," ",0.6),HCDLoanLimitTbl[],BH23,FALSE)*UnitsTbl[[#This Row],[Total Units]],IF(UnitsTbl[[#This Row],[Restricted Income Level]]&gt;60%,0,IF(IsShmhp,VLOOKUP(CONCATENATE(County," ",UnitsTbl[[#This Row],[Restricted Income Level]]),HCDLoanLimitTbl[],UnitsTbl[[#This Row],[VLOOKUP Base]],FALSE)*UnitsTbl[[#This Row],[HCD Program4]]))))),0)</f>
        <v>0</v>
      </c>
      <c r="AM23" s="1219" t="b">
        <f>IFERROR(IF(AND(IsVhhp,OR(UnitsTbl[[#This Row],[HCD Program 5]]&gt;0,UnitsTbl[[#This Row],[HCD Program2]]&gt;0,UnitsTbl[[#This Row],[HCD Program3]]&gt;0,UnitsTbl[[#This Row],[HCD Program4]]&gt;0)),0,(IF(AND(IsVhhp,$B$4="VHHP",UnitsTbl[[#This Row],[Restricted Income Level]]="Manager"),VLOOKUP(CONCATENATE(County," ",0.6),HCDLoanLimitTbl2[],BH23,FALSE)*UnitsTbl[[#This Row],[Total Units]],IF(UnitsTbl[[#This Row],[Restricted Income Level]]&gt;60%,0,IF(IsVhhp,VLOOKUP(CONCATENATE(County," ",UnitsTbl[[#This Row],[Restricted Income Level]]),HCDLoanLimitTbl2[],UnitsTbl[[#This Row],[VLOOKUP Base]],FALSE)*UnitsTbl[[#This Row],[VHHP
Assisted]]))))),0)</f>
        <v>0</v>
      </c>
      <c r="AN23"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",0.6),HCDLoanLimitTbl[],BH23,FALSE)*UnitsTbl[[#This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23" s="1221"/>
      <c r="AP23"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23" s="1223"/>
      <c r="AR23" s="1224"/>
      <c r="AS23" s="1225" t="str">
        <f>IFERROR(IF(UnitsTbl[[#This Row],[Max Gross Rent]]=0,"",UnitsTbl[[#This Row],[Max Gross Rent]]-UnitsTbl[[#This Row],[Less Utility Allowance Schedule 1]]-UnitsTbl[[#This Row],[Less Utility Allowance Schedule 2]]),"")</f>
        <v/>
      </c>
      <c r="AT23" s="1226"/>
      <c r="AU23" s="1225">
        <f>IF(UnitsTbl[[#This Row],[Proposed Net Rent ]]="",0,UnitsTbl[[#This Row],[Total Units]]*UnitsTbl[[#This Row],[Proposed Net Rent ]])</f>
        <v>0</v>
      </c>
      <c r="AV23" s="1227" t="str">
        <f>IF(UnitsTbl[[#This Row],[Proposed Net Rent ]]&gt;0,0,IFERROR(UnitsTbl[[#This Row],[Total Units]]*UnitsTbl[[#This Row],[Maximum Net Rent]],""))</f>
        <v/>
      </c>
      <c r="AW23" s="1228"/>
      <c r="AX23"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23" s="1637"/>
      <c r="AZ23" s="1637"/>
      <c r="BA23" s="1229" t="str">
        <f>IFERROR(IF(UnitsTbl[[#This Row],[Total Units]]="","",UnitsTbl[[#This Row],[Subsidy Payment Over  Gross Rent]]*UnitsTbl[[#This Row],[Total Units]])*NOT($BA$7=""),"")</f>
        <v/>
      </c>
      <c r="BB23" s="1228"/>
      <c r="BC23"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23" s="1230"/>
      <c r="BE23" s="1637"/>
      <c r="BF23" s="1227" t="str">
        <f>IFERROR(IF(UnitsTbl[[#This Row],[Total Units]]="","",UnitsTbl[[#This Row],[Subsidy Payment Over Gross Rent2]]*UnitsTbl[[#This Row],[Total Units]])*NOT($BF$7=""),"")</f>
        <v/>
      </c>
      <c r="BG23" s="1231">
        <f>IF(OR(UnitsTbl[[#This Row],[Special Needs?]]="Yes",UnitsTbl[[#This Row],[Special Needs2?]]="Yes"), 1,0)</f>
        <v>0</v>
      </c>
      <c r="BH23"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23"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23" s="969">
        <f>MIN(SUM(UnitsTbl[[#This Row],[Disability Homelessness]],UnitsTbl[[#This Row],[Chronic Homelessness]],UnitsTbl[[#This Row],[Other Homelessness]]),UnitsTbl[[#This Row],[Total restricted units]])</f>
        <v>0</v>
      </c>
      <c r="BK23" s="969">
        <f>(UnitsTbl[[#This Row],[Restricted Income Level]]&lt;=30%)*UnitsTbl[[#This Row],[Total restricted units]]</f>
        <v>0</v>
      </c>
      <c r="BL23" s="969">
        <f t="shared" si="8"/>
        <v>0</v>
      </c>
      <c r="BM23" s="307">
        <f>UnitsTbl[[#This Row],[Units being subsidized]]*SUM(UnitsTbl[[#This Row],[Less Utility Allowance Schedule 1]],UnitsTbl[[#This Row],[Less Utility Allowance Schedule 2]])</f>
        <v>0</v>
      </c>
      <c r="BN23" s="307">
        <f>UnitsTbl[[#This Row],[Units being subsidized2]]*SUM(UnitsTbl[[#This Row],[Less Utility Allowance Schedule 1]],UnitsTbl[[#This Row],[Less Utility Allowance Schedule 2]])</f>
        <v>0</v>
      </c>
      <c r="BO23" s="307"/>
      <c r="BP23" s="1235" t="str">
        <f>CONCATENATE(County," ",HCDLoanLimitTbl[[#This Row],[AMI]])</f>
        <v xml:space="preserve"> 0.15</v>
      </c>
      <c r="BQ23" s="1236">
        <v>0.15</v>
      </c>
      <c r="BR23" s="1237" t="e">
        <f t="shared" si="12"/>
        <v>#VALUE!</v>
      </c>
      <c r="BS23" s="1237" t="e">
        <f t="shared" si="13"/>
        <v>#VALUE!</v>
      </c>
      <c r="BT23" s="1237" t="e">
        <f t="shared" si="14"/>
        <v>#VALUE!</v>
      </c>
      <c r="BU23" s="1237" t="e">
        <f t="shared" si="15"/>
        <v>#VALUE!</v>
      </c>
      <c r="BV23" s="1238" t="e">
        <f t="shared" si="16"/>
        <v>#VALUE!</v>
      </c>
      <c r="BX23" s="1129" t="s">
        <v>79</v>
      </c>
      <c r="BY23" s="811">
        <v>32900</v>
      </c>
      <c r="BZ23" s="1744">
        <v>37600</v>
      </c>
      <c r="CA23" s="1744">
        <v>42300</v>
      </c>
      <c r="CB23" s="1744">
        <v>46950</v>
      </c>
      <c r="CC23" s="1744">
        <v>50750</v>
      </c>
      <c r="CD23" s="1744">
        <v>54500</v>
      </c>
      <c r="CE23" s="1744">
        <v>58250</v>
      </c>
      <c r="CF23" s="1135">
        <v>62000</v>
      </c>
      <c r="CH23" s="449">
        <v>0.3</v>
      </c>
      <c r="CI23" s="307" t="e">
        <f t="shared" si="17"/>
        <v>#VALUE!</v>
      </c>
      <c r="CJ23" s="307" t="e">
        <f t="shared" si="18"/>
        <v>#VALUE!</v>
      </c>
      <c r="CK23" s="307" t="e">
        <f t="shared" si="19"/>
        <v>#VALUE!</v>
      </c>
      <c r="CL23" s="307" t="e">
        <f t="shared" si="20"/>
        <v>#VALUE!</v>
      </c>
      <c r="CM23" s="307" t="e">
        <f t="shared" si="21"/>
        <v>#VALUE!</v>
      </c>
      <c r="CN23" s="307" t="e">
        <f t="shared" si="22"/>
        <v>#VALUE!</v>
      </c>
      <c r="CO23" s="307" t="e">
        <f t="shared" si="23"/>
        <v>#VALUE!</v>
      </c>
      <c r="CP23" s="362" t="e">
        <f t="shared" si="24"/>
        <v>#VALUE!</v>
      </c>
      <c r="CQ23" s="1682"/>
      <c r="CR23" s="386" t="b">
        <f>OR(AND(OR($BA$7="USDA",$BA$7="Other Federal"),UnitsTbl[[#This Row],[Gross Monthly Contract Rent]]&gt;0),AND(OR($BF$7="USDA",$BF$7="Other Federal"),UnitsTbl[[#This Row],[Net Monthly Contract Rent2]]&gt;0))</f>
        <v>0</v>
      </c>
      <c r="CS23" s="223">
        <f>IF(UnitsTbl[[#This Row],[Restricted Income Level]]="Manager",0,UnitsTbl[[#This Row],[Total Units]]*INDEX(SizeFactors,MATCH(MIN(UnitsTbl[[#This Row],[Number of Bedrooms]],4),Sizes,0)))</f>
        <v>0</v>
      </c>
      <c r="CT23" s="550">
        <f>IF(UnitsTbl[[#This Row],[Restricted Income Level]]="Manager",0,UnitsTbl[[#This Row],[Total Units]]-SUM(UnitsTbl[[#This Row],[Units being subsidized]]*($BA$7&lt;&gt;"Not Federal"),UnitsTbl[[#This Row],[Units being subsidized2]]*($BF$7&lt;&gt;"Not Federal")))</f>
        <v>0</v>
      </c>
      <c r="CU23" s="309">
        <f>IFERROR(IF(AND($CU$8,CR23=FALSE),40%,IF(UnitsTbl[[#This Row],[Restricted Income Level]]&lt;30%,30%,UnitsTbl[[#This Row],[Restricted Income Level]])),0)</f>
        <v>0.4</v>
      </c>
      <c r="CV23" s="1682"/>
      <c r="CW23" s="555">
        <f t="shared" si="9"/>
        <v>0.4</v>
      </c>
      <c r="CX23" s="553">
        <f>IF(UnitsTbl[[#This Row],[Rent Limit Calculation Formula]]="TCAC",VLOOKUP(County&amp;CW23,TCACrentTbl[],UnitsTbl[[#This Row],[Number of Bedrooms]]+2,FALSE)-SUM(UnitsTbl[[#This Row],[Less Utility Allowance Schedule 2]],UnitsTbl[[#This Row],[Less Utility Allowance Schedule 1]]),IF(UnitsTbl[[#This Row],[Rent Limit Calculation Formula]]="Other",VLOOKUP(County&amp;CW23,OtherRentLimitTbl[],UnitsTbl[[#This Row],[Number of Bedrooms]]+3,FALSE)-SUM(UnitsTbl[[#This Row],[Less Utility Allowance Schedule 2]],UnitsTbl[[#This Row],[Less Utility Allowance Schedule 1]]),0))</f>
        <v>0</v>
      </c>
      <c r="CY23" s="363">
        <f>MAX(UnitsTbl[[#This Row],[Gross Monthly Contract Rent]],UnitsTbl[[#This Row],[Net Monthly Contract Rent2]])</f>
        <v>0</v>
      </c>
      <c r="CZ23" s="553">
        <f>IF(UnitsTbl[[#This Row],[Number of Bedrooms]]="",0,VLOOKUP(County&amp;"0.6",TCACrentTbl[],UnitsTbl[[#This Row],[Number of Bedrooms]]+2,FALSE))-SUM(UnitsTbl[[#This Row],[Less Utility Allowance Schedule 2]],UnitsTbl[[#This Row],[Less Utility Allowance Schedule 1]])</f>
        <v>0</v>
      </c>
      <c r="DA23" s="78" t="b">
        <f>OR(AND($BA$7="USDA",UnitsTbl[[#This Row],[Gross Monthly Contract Rent]]&gt;0),AND($BF$7="USDA",UnitsTbl[[#This Row],[Net Monthly Contract Rent2]]&gt;0))</f>
        <v>0</v>
      </c>
      <c r="DB23" s="363">
        <f t="shared" si="10"/>
        <v>0</v>
      </c>
      <c r="DC23" s="363">
        <f t="shared" si="11"/>
        <v>0</v>
      </c>
      <c r="DD23" s="364">
        <f>UnitsTbl[[#This Row],[Total Units]]*DC23</f>
        <v>0</v>
      </c>
    </row>
    <row r="24" spans="1:108" ht="18" customHeight="1" thickBot="1">
      <c r="A24" s="693"/>
      <c r="B24" s="1210"/>
      <c r="C24" s="1211"/>
      <c r="D24" s="1637"/>
      <c r="E24" s="1212"/>
      <c r="F24" s="1637"/>
      <c r="G24" s="1637"/>
      <c r="H24" s="1637"/>
      <c r="I24" s="1213"/>
      <c r="J24" s="1213"/>
      <c r="K24" s="1637"/>
      <c r="L24" s="1214"/>
      <c r="M24" s="1637"/>
      <c r="N24" s="1637"/>
      <c r="O24" s="1637"/>
      <c r="P24" s="1637"/>
      <c r="Q24" s="1637"/>
      <c r="R24" s="1637"/>
      <c r="S24" s="1637"/>
      <c r="T24" s="1637"/>
      <c r="U24" s="1637"/>
      <c r="V24" s="1637"/>
      <c r="W24" s="1637"/>
      <c r="X24" s="1637"/>
      <c r="Y24" s="1637"/>
      <c r="Z24" s="1637"/>
      <c r="AA24" s="1637"/>
      <c r="AB24" s="1637"/>
      <c r="AC24" s="1637"/>
      <c r="AD24" s="1215"/>
      <c r="AE24" s="1210"/>
      <c r="AF24" s="1637"/>
      <c r="AG24" s="1216"/>
      <c r="AH24" s="667"/>
      <c r="AI24"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24" s="1218" t="b">
        <f>IFERROR(IF(AND(IsSerna,OR(UnitsTbl[[#This Row],[VHHP
Assisted]]&gt;0,UnitsTbl[[#This Row],[HCD Program 5]]&gt;0)),0,IF(AND(IsSerna,$B$4="FWHG",UnitsTbl[[#This Row],[Restricted Income Level]]="Manager"),VLOOKUP(CONCATENATE(County," ",0.6),HCDLoanLimitTbl2[],BH24,FALSE)*UnitsTbl[[#This Row],[Total Units]],IF(UnitsTbl[[#This Row],[Restricted Income Level]]&gt;80%,0,IF(IsSerna,VLOOKUP(CONCATENATE(County," ",UnitsTbl[[#This Row],[Restricted Income Level]]),HCDLoanLimitTbl2[],UnitsTbl[[#This Row],[VLOOKUP Base]],FALSE)*UnitsTbl[[#This Row],[HCD Program2]])))),0)</f>
        <v>0</v>
      </c>
      <c r="AK24" s="1218" t="b">
        <f>IFERROR(IF(AND(IsTod,OR(UnitsTbl[[#This Row],[HCD Program 5]]&gt;0,UnitsTbl[[#This Row],[HCD Program2]]&gt;0,UnitsTbl[[#This Row],[HCD Program4]]&gt;0,UnitsTbl[[#This Row],[VHHP
Assisted]]&gt;0)),0,(IF(AND(IsTod,$B$4="TOD",UnitsTbl[[#This Row],[Restricted Income Level]]="Manager"),VLOOKUP(CONCATENATE(County," ",0.6),HCDLoanLimitTbl[],BH24,FALSE)*UnitsTbl[[#This Row],[Total Units]],IF(UnitsTbl[[#This Row],[Restricted Income Level]]&gt;60%,0,IF(IsTod,VLOOKUP(CONCATENATE(County," ",UnitsTbl[[#This Row],[Restricted Income Level]]),HCDLoanLimitTbl[],UnitsTbl[[#This Row],[VLOOKUP Base]],FALSE)*UnitsTbl[[#This Row],[HCD Program3]]))))),0)</f>
        <v>0</v>
      </c>
      <c r="AL24" s="1218" t="b">
        <f>IFERROR(IF(AND(IsShmhp,OR(UnitsTbl[[#This Row],[HCD Program 5]]&gt;0,UnitsTbl[[#This Row],[HCD Program2]]&gt;0,UnitsTbl[[#This Row],[HCD Program3]]&gt;0,UnitsTbl[[#This Row],[VHHP
Assisted]]&gt;0)),0,(IF(AND(IsShmhp,$B$4="SHMHP",UnitsTbl[[#This Row],[Restricted Income Level]]="Manager"),VLOOKUP(CONCATENATE(County," ",0.6),HCDLoanLimitTbl[],BH24,FALSE)*UnitsTbl[[#This Row],[Total Units]],IF(UnitsTbl[[#This Row],[Restricted Income Level]]&gt;60%,0,IF(IsShmhp,VLOOKUP(CONCATENATE(County," ",UnitsTbl[[#This Row],[Restricted Income Level]]),HCDLoanLimitTbl[],UnitsTbl[[#This Row],[VLOOKUP Base]],FALSE)*UnitsTbl[[#This Row],[HCD Program4]]))))),0)</f>
        <v>0</v>
      </c>
      <c r="AM24" s="1219" t="b">
        <f>IFERROR(IF(AND(IsVhhp,OR(UnitsTbl[[#This Row],[HCD Program 5]]&gt;0,UnitsTbl[[#This Row],[HCD Program2]]&gt;0,UnitsTbl[[#This Row],[HCD Program3]]&gt;0,UnitsTbl[[#This Row],[HCD Program4]]&gt;0)),0,(IF(AND(IsVhhp,$B$4="VHHP",UnitsTbl[[#This Row],[Restricted Income Level]]="Manager"),VLOOKUP(CONCATENATE(County," ",0.6),HCDLoanLimitTbl2[],BH24,FALSE)*UnitsTbl[[#This Row],[Total Units]],IF(UnitsTbl[[#This Row],[Restricted Income Level]]&gt;60%,0,IF(IsVhhp,VLOOKUP(CONCATENATE(County," ",UnitsTbl[[#This Row],[Restricted Income Level]]),HCDLoanLimitTbl2[],UnitsTbl[[#This Row],[VLOOKUP Base]],FALSE)*UnitsTbl[[#This Row],[VHHP
Assisted]]))))),0)</f>
        <v>0</v>
      </c>
      <c r="AN24"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",0.6),HCDLoanLimitTbl[],BH24,FALSE)*UnitsTbl[[#This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24" s="1221"/>
      <c r="AP24"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24" s="1223"/>
      <c r="AR24" s="1224"/>
      <c r="AS24" s="1225" t="str">
        <f>IFERROR(IF(UnitsTbl[[#This Row],[Max Gross Rent]]=0,"",UnitsTbl[[#This Row],[Max Gross Rent]]-UnitsTbl[[#This Row],[Less Utility Allowance Schedule 1]]-UnitsTbl[[#This Row],[Less Utility Allowance Schedule 2]]),"")</f>
        <v/>
      </c>
      <c r="AT24" s="1226"/>
      <c r="AU24" s="1225">
        <f>IF(UnitsTbl[[#This Row],[Proposed Net Rent ]]="",0,UnitsTbl[[#This Row],[Total Units]]*UnitsTbl[[#This Row],[Proposed Net Rent ]])</f>
        <v>0</v>
      </c>
      <c r="AV24" s="1227" t="str">
        <f>IF(UnitsTbl[[#This Row],[Proposed Net Rent ]]&gt;0,0,IFERROR(UnitsTbl[[#This Row],[Total Units]]*UnitsTbl[[#This Row],[Maximum Net Rent]],""))</f>
        <v/>
      </c>
      <c r="AW24" s="1228"/>
      <c r="AX24"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24" s="1637"/>
      <c r="AZ24" s="1637"/>
      <c r="BA24" s="1229" t="str">
        <f>IFERROR(IF(UnitsTbl[[#This Row],[Total Units]]="","",UnitsTbl[[#This Row],[Subsidy Payment Over  Gross Rent]]*UnitsTbl[[#This Row],[Total Units]])*NOT($BA$7=""),"")</f>
        <v/>
      </c>
      <c r="BB24" s="1228"/>
      <c r="BC24"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24" s="1230"/>
      <c r="BE24" s="1637"/>
      <c r="BF24" s="1227" t="str">
        <f>IFERROR(IF(UnitsTbl[[#This Row],[Total Units]]="","",UnitsTbl[[#This Row],[Subsidy Payment Over Gross Rent2]]*UnitsTbl[[#This Row],[Total Units]])*NOT($BF$7=""),"")</f>
        <v/>
      </c>
      <c r="BG24" s="1231">
        <f>IF(OR(UnitsTbl[[#This Row],[Special Needs?]]="Yes",UnitsTbl[[#This Row],[Special Needs2?]]="Yes"), 1,0)</f>
        <v>0</v>
      </c>
      <c r="BH24"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24"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24" s="969">
        <f>MIN(SUM(UnitsTbl[[#This Row],[Disability Homelessness]],UnitsTbl[[#This Row],[Chronic Homelessness]],UnitsTbl[[#This Row],[Other Homelessness]]),UnitsTbl[[#This Row],[Total restricted units]])</f>
        <v>0</v>
      </c>
      <c r="BK24" s="969">
        <f>(UnitsTbl[[#This Row],[Restricted Income Level]]&lt;=30%)*UnitsTbl[[#This Row],[Total restricted units]]</f>
        <v>0</v>
      </c>
      <c r="BL24" s="969">
        <f t="shared" si="8"/>
        <v>0</v>
      </c>
      <c r="BM24" s="307">
        <f>UnitsTbl[[#This Row],[Units being subsidized]]*SUM(UnitsTbl[[#This Row],[Less Utility Allowance Schedule 1]],UnitsTbl[[#This Row],[Less Utility Allowance Schedule 2]])</f>
        <v>0</v>
      </c>
      <c r="BN24" s="307">
        <f>UnitsTbl[[#This Row],[Units being subsidized2]]*SUM(UnitsTbl[[#This Row],[Less Utility Allowance Schedule 1]],UnitsTbl[[#This Row],[Less Utility Allowance Schedule 2]])</f>
        <v>0</v>
      </c>
      <c r="BO24" s="307"/>
      <c r="BP24" s="1682"/>
      <c r="BQ24" s="1682"/>
      <c r="BR24" s="407"/>
      <c r="BS24" s="407"/>
      <c r="BT24" s="407"/>
      <c r="BU24" s="407"/>
      <c r="BV24" s="407"/>
      <c r="BX24" s="1129" t="s">
        <v>97</v>
      </c>
      <c r="BY24" s="812">
        <v>67700</v>
      </c>
      <c r="BZ24" s="813">
        <v>77400</v>
      </c>
      <c r="CA24" s="813">
        <v>87050</v>
      </c>
      <c r="CB24" s="813">
        <v>96700</v>
      </c>
      <c r="CC24" s="813">
        <v>104450</v>
      </c>
      <c r="CD24" s="813">
        <v>112200</v>
      </c>
      <c r="CE24" s="813">
        <v>119950</v>
      </c>
      <c r="CF24" s="1147">
        <v>127650</v>
      </c>
      <c r="CH24" s="449">
        <v>0.25</v>
      </c>
      <c r="CI24" s="307" t="e">
        <f t="shared" si="17"/>
        <v>#VALUE!</v>
      </c>
      <c r="CJ24" s="307" t="e">
        <f t="shared" si="18"/>
        <v>#VALUE!</v>
      </c>
      <c r="CK24" s="307" t="e">
        <f t="shared" si="19"/>
        <v>#VALUE!</v>
      </c>
      <c r="CL24" s="307" t="e">
        <f t="shared" si="20"/>
        <v>#VALUE!</v>
      </c>
      <c r="CM24" s="307" t="e">
        <f t="shared" si="21"/>
        <v>#VALUE!</v>
      </c>
      <c r="CN24" s="307" t="e">
        <f t="shared" si="22"/>
        <v>#VALUE!</v>
      </c>
      <c r="CO24" s="307" t="e">
        <f t="shared" si="23"/>
        <v>#VALUE!</v>
      </c>
      <c r="CP24" s="362" t="e">
        <f t="shared" si="24"/>
        <v>#VALUE!</v>
      </c>
      <c r="CQ24" s="1682"/>
      <c r="CR24" s="386" t="b">
        <f>OR(AND(OR($BA$7="USDA",$BA$7="Other Federal"),UnitsTbl[[#This Row],[Gross Monthly Contract Rent]]&gt;0),AND(OR($BF$7="USDA",$BF$7="Other Federal"),UnitsTbl[[#This Row],[Net Monthly Contract Rent2]]&gt;0))</f>
        <v>0</v>
      </c>
      <c r="CS24" s="223">
        <f>IF(UnitsTbl[[#This Row],[Restricted Income Level]]="Manager",0,UnitsTbl[[#This Row],[Total Units]]*INDEX(SizeFactors,MATCH(MIN(UnitsTbl[[#This Row],[Number of Bedrooms]],4),Sizes,0)))</f>
        <v>0</v>
      </c>
      <c r="CT24" s="550">
        <f>IF(UnitsTbl[[#This Row],[Restricted Income Level]]="Manager",0,UnitsTbl[[#This Row],[Total Units]]-SUM(UnitsTbl[[#This Row],[Units being subsidized]]*($BA$7&lt;&gt;"Not Federal"),UnitsTbl[[#This Row],[Units being subsidized2]]*($BF$7&lt;&gt;"Not Federal")))</f>
        <v>0</v>
      </c>
      <c r="CU24" s="309">
        <f>IFERROR(IF(AND($CU$8,CR24=FALSE),40%,IF(UnitsTbl[[#This Row],[Restricted Income Level]]&lt;30%,30%,UnitsTbl[[#This Row],[Restricted Income Level]])),0)</f>
        <v>0.4</v>
      </c>
      <c r="CV24" s="1682"/>
      <c r="CW24" s="555">
        <f t="shared" si="9"/>
        <v>0.4</v>
      </c>
      <c r="CX24" s="553">
        <f>IF(UnitsTbl[[#This Row],[Rent Limit Calculation Formula]]="TCAC",VLOOKUP(County&amp;CW24,TCACrentTbl[],UnitsTbl[[#This Row],[Number of Bedrooms]]+2,FALSE)-SUM(UnitsTbl[[#This Row],[Less Utility Allowance Schedule 2]],UnitsTbl[[#This Row],[Less Utility Allowance Schedule 1]]),IF(UnitsTbl[[#This Row],[Rent Limit Calculation Formula]]="Other",VLOOKUP(County&amp;CW24,OtherRentLimitTbl[],UnitsTbl[[#This Row],[Number of Bedrooms]]+3,FALSE)-SUM(UnitsTbl[[#This Row],[Less Utility Allowance Schedule 2]],UnitsTbl[[#This Row],[Less Utility Allowance Schedule 1]]),0))</f>
        <v>0</v>
      </c>
      <c r="CY24" s="363">
        <f>MAX(UnitsTbl[[#This Row],[Gross Monthly Contract Rent]],UnitsTbl[[#This Row],[Net Monthly Contract Rent2]])</f>
        <v>0</v>
      </c>
      <c r="CZ24" s="553">
        <f>IF(UnitsTbl[[#This Row],[Number of Bedrooms]]="",0,VLOOKUP(County&amp;"0.6",TCACrentTbl[],UnitsTbl[[#This Row],[Number of Bedrooms]]+2,FALSE))-SUM(UnitsTbl[[#This Row],[Less Utility Allowance Schedule 2]],UnitsTbl[[#This Row],[Less Utility Allowance Schedule 1]])</f>
        <v>0</v>
      </c>
      <c r="DA24" s="78" t="b">
        <f>OR(AND($BA$7="USDA",UnitsTbl[[#This Row],[Gross Monthly Contract Rent]]&gt;0),AND($BF$7="USDA",UnitsTbl[[#This Row],[Net Monthly Contract Rent2]]&gt;0))</f>
        <v>0</v>
      </c>
      <c r="DB24" s="363">
        <f t="shared" si="10"/>
        <v>0</v>
      </c>
      <c r="DC24" s="363">
        <f t="shared" si="11"/>
        <v>0</v>
      </c>
      <c r="DD24" s="364">
        <f>UnitsTbl[[#This Row],[Total Units]]*DC24</f>
        <v>0</v>
      </c>
    </row>
    <row r="25" spans="1:108" ht="18" customHeight="1">
      <c r="A25" s="693"/>
      <c r="B25" s="1210"/>
      <c r="C25" s="1211"/>
      <c r="D25" s="1637"/>
      <c r="E25" s="1212"/>
      <c r="F25" s="1637"/>
      <c r="G25" s="1637"/>
      <c r="H25" s="1637"/>
      <c r="I25" s="1213"/>
      <c r="J25" s="1213"/>
      <c r="K25" s="1637"/>
      <c r="L25" s="1214"/>
      <c r="M25" s="1637"/>
      <c r="N25" s="1637"/>
      <c r="O25" s="1637"/>
      <c r="P25" s="1637"/>
      <c r="Q25" s="1637"/>
      <c r="R25" s="1637"/>
      <c r="S25" s="1637"/>
      <c r="T25" s="1637"/>
      <c r="U25" s="1637"/>
      <c r="V25" s="1637"/>
      <c r="W25" s="1637"/>
      <c r="X25" s="1637"/>
      <c r="Y25" s="1637"/>
      <c r="Z25" s="1637"/>
      <c r="AA25" s="1637"/>
      <c r="AB25" s="1637"/>
      <c r="AC25" s="1637"/>
      <c r="AD25" s="1215"/>
      <c r="AE25" s="1210"/>
      <c r="AF25" s="1637"/>
      <c r="AG25" s="1216"/>
      <c r="AH25" s="667"/>
      <c r="AI25"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25" s="1218" t="b">
        <f>IFERROR(IF(AND(IsSerna,OR(UnitsTbl[[#This Row],[VHHP
Assisted]]&gt;0,UnitsTbl[[#This Row],[HCD Program 5]]&gt;0)),0,IF(AND(IsSerna,$B$4="FWHG",UnitsTbl[[#This Row],[Restricted Income Level]]="Manager"),VLOOKUP(CONCATENATE(County," ",0.6),HCDLoanLimitTbl2[],BH25,FALSE)*UnitsTbl[[#This Row],[Total Units]],IF(UnitsTbl[[#This Row],[Restricted Income Level]]&gt;80%,0,IF(IsSerna,VLOOKUP(CONCATENATE(County," ",UnitsTbl[[#This Row],[Restricted Income Level]]),HCDLoanLimitTbl2[],UnitsTbl[[#This Row],[VLOOKUP Base]],FALSE)*UnitsTbl[[#This Row],[HCD Program2]])))),0)</f>
        <v>0</v>
      </c>
      <c r="AK25" s="1218" t="b">
        <f>IFERROR(IF(AND(IsTod,OR(UnitsTbl[[#This Row],[HCD Program 5]]&gt;0,UnitsTbl[[#This Row],[HCD Program2]]&gt;0,UnitsTbl[[#This Row],[HCD Program4]]&gt;0,UnitsTbl[[#This Row],[VHHP
Assisted]]&gt;0)),0,(IF(AND(IsTod,$B$4="TOD",UnitsTbl[[#This Row],[Restricted Income Level]]="Manager"),VLOOKUP(CONCATENATE(County," ",0.6),HCDLoanLimitTbl[],BH25,FALSE)*UnitsTbl[[#This Row],[Total Units]],IF(UnitsTbl[[#This Row],[Restricted Income Level]]&gt;60%,0,IF(IsTod,VLOOKUP(CONCATENATE(County," ",UnitsTbl[[#This Row],[Restricted Income Level]]),HCDLoanLimitTbl[],UnitsTbl[[#This Row],[VLOOKUP Base]],FALSE)*UnitsTbl[[#This Row],[HCD Program3]]))))),0)</f>
        <v>0</v>
      </c>
      <c r="AL25" s="1218" t="b">
        <f>IFERROR(IF(AND(IsShmhp,OR(UnitsTbl[[#This Row],[HCD Program 5]]&gt;0,UnitsTbl[[#This Row],[HCD Program2]]&gt;0,UnitsTbl[[#This Row],[HCD Program3]]&gt;0,UnitsTbl[[#This Row],[VHHP
Assisted]]&gt;0)),0,(IF(AND(IsShmhp,$B$4="SHMHP",UnitsTbl[[#This Row],[Restricted Income Level]]="Manager"),VLOOKUP(CONCATENATE(County," ",0.6),HCDLoanLimitTbl[],BH25,FALSE)*UnitsTbl[[#This Row],[Total Units]],IF(UnitsTbl[[#This Row],[Restricted Income Level]]&gt;60%,0,IF(IsShmhp,VLOOKUP(CONCATENATE(County," ",UnitsTbl[[#This Row],[Restricted Income Level]]),HCDLoanLimitTbl[],UnitsTbl[[#This Row],[VLOOKUP Base]],FALSE)*UnitsTbl[[#This Row],[HCD Program4]]))))),0)</f>
        <v>0</v>
      </c>
      <c r="AM25" s="1219" t="b">
        <f>IFERROR(IF(AND(IsVhhp,OR(UnitsTbl[[#This Row],[HCD Program 5]]&gt;0,UnitsTbl[[#This Row],[HCD Program2]]&gt;0,UnitsTbl[[#This Row],[HCD Program3]]&gt;0,UnitsTbl[[#This Row],[HCD Program4]]&gt;0)),0,(IF(AND(IsVhhp,$B$4="VHHP",UnitsTbl[[#This Row],[Restricted Income Level]]="Manager"),VLOOKUP(CONCATENATE(County," ",0.6),HCDLoanLimitTbl2[],BH25,FALSE)*UnitsTbl[[#This Row],[Total Units]],IF(UnitsTbl[[#This Row],[Restricted Income Level]]&gt;60%,0,IF(IsVhhp,VLOOKUP(CONCATENATE(County," ",UnitsTbl[[#This Row],[Restricted Income Level]]),HCDLoanLimitTbl2[],UnitsTbl[[#This Row],[VLOOKUP Base]],FALSE)*UnitsTbl[[#This Row],[VHHP
Assisted]]))))),0)</f>
        <v>0</v>
      </c>
      <c r="AN25"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",0.6),HCDLoanLimitTbl[],BH25,FALSE)*UnitsTbl[[#This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25" s="1221"/>
      <c r="AP25"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25" s="1223"/>
      <c r="AR25" s="1224"/>
      <c r="AS25" s="1225" t="str">
        <f>IFERROR(IF(UnitsTbl[[#This Row],[Max Gross Rent]]=0,"",UnitsTbl[[#This Row],[Max Gross Rent]]-UnitsTbl[[#This Row],[Less Utility Allowance Schedule 1]]-UnitsTbl[[#This Row],[Less Utility Allowance Schedule 2]]),"")</f>
        <v/>
      </c>
      <c r="AT25" s="1226"/>
      <c r="AU25" s="1225">
        <f>IF(UnitsTbl[[#This Row],[Proposed Net Rent ]]="",0,UnitsTbl[[#This Row],[Total Units]]*UnitsTbl[[#This Row],[Proposed Net Rent ]])</f>
        <v>0</v>
      </c>
      <c r="AV25" s="1227" t="str">
        <f>IF(UnitsTbl[[#This Row],[Proposed Net Rent ]]&gt;0,0,IFERROR(UnitsTbl[[#This Row],[Total Units]]*UnitsTbl[[#This Row],[Maximum Net Rent]],""))</f>
        <v/>
      </c>
      <c r="AW25" s="1228"/>
      <c r="AX25"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25" s="1637"/>
      <c r="AZ25" s="1637"/>
      <c r="BA25" s="1229" t="str">
        <f>IFERROR(IF(UnitsTbl[[#This Row],[Total Units]]="","",UnitsTbl[[#This Row],[Subsidy Payment Over  Gross Rent]]*UnitsTbl[[#This Row],[Total Units]])*NOT($BA$7=""),"")</f>
        <v/>
      </c>
      <c r="BB25" s="1228"/>
      <c r="BC25"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25" s="1230"/>
      <c r="BE25" s="1637"/>
      <c r="BF25" s="1227" t="str">
        <f>IFERROR(IF(UnitsTbl[[#This Row],[Total Units]]="","",UnitsTbl[[#This Row],[Subsidy Payment Over Gross Rent2]]*UnitsTbl[[#This Row],[Total Units]])*NOT($BF$7=""),"")</f>
        <v/>
      </c>
      <c r="BG25" s="1231">
        <f>IF(OR(UnitsTbl[[#This Row],[Special Needs?]]="Yes",UnitsTbl[[#This Row],[Special Needs2?]]="Yes"), 1,0)</f>
        <v>0</v>
      </c>
      <c r="BH25"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25"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25" s="969">
        <f>MIN(SUM(UnitsTbl[[#This Row],[Disability Homelessness]],UnitsTbl[[#This Row],[Chronic Homelessness]],UnitsTbl[[#This Row],[Other Homelessness]]),UnitsTbl[[#This Row],[Total restricted units]])</f>
        <v>0</v>
      </c>
      <c r="BK25" s="969">
        <f>(UnitsTbl[[#This Row],[Restricted Income Level]]&lt;=30%)*UnitsTbl[[#This Row],[Total restricted units]]</f>
        <v>0</v>
      </c>
      <c r="BL25" s="969">
        <f t="shared" si="8"/>
        <v>0</v>
      </c>
      <c r="BM25" s="307">
        <f>UnitsTbl[[#This Row],[Units being subsidized]]*SUM(UnitsTbl[[#This Row],[Less Utility Allowance Schedule 1]],UnitsTbl[[#This Row],[Less Utility Allowance Schedule 2]])</f>
        <v>0</v>
      </c>
      <c r="BN25" s="307">
        <f>UnitsTbl[[#This Row],[Units being subsidized2]]*SUM(UnitsTbl[[#This Row],[Less Utility Allowance Schedule 1]],UnitsTbl[[#This Row],[Less Utility Allowance Schedule 2]])</f>
        <v>0</v>
      </c>
      <c r="BO25" s="307"/>
      <c r="BP25" s="2634" t="s">
        <v>1597</v>
      </c>
      <c r="BQ25" s="2441"/>
      <c r="BR25" s="2441"/>
      <c r="BS25" s="2441"/>
      <c r="BT25" s="2441"/>
      <c r="BU25" s="2441"/>
      <c r="BV25" s="2442"/>
      <c r="BX25" s="1129" t="s">
        <v>103</v>
      </c>
      <c r="BY25" s="811">
        <v>32900</v>
      </c>
      <c r="BZ25" s="1744">
        <v>37600</v>
      </c>
      <c r="CA25" s="1744">
        <v>42300</v>
      </c>
      <c r="CB25" s="1744">
        <v>46950</v>
      </c>
      <c r="CC25" s="1744">
        <v>50750</v>
      </c>
      <c r="CD25" s="1744">
        <v>54500</v>
      </c>
      <c r="CE25" s="1744">
        <v>58250</v>
      </c>
      <c r="CF25" s="1135">
        <v>62000</v>
      </c>
      <c r="CH25" s="449">
        <v>0.2</v>
      </c>
      <c r="CI25" s="307" t="e">
        <f t="shared" si="17"/>
        <v>#VALUE!</v>
      </c>
      <c r="CJ25" s="307" t="e">
        <f t="shared" si="18"/>
        <v>#VALUE!</v>
      </c>
      <c r="CK25" s="307" t="e">
        <f t="shared" si="19"/>
        <v>#VALUE!</v>
      </c>
      <c r="CL25" s="307" t="e">
        <f t="shared" si="20"/>
        <v>#VALUE!</v>
      </c>
      <c r="CM25" s="307" t="e">
        <f t="shared" si="21"/>
        <v>#VALUE!</v>
      </c>
      <c r="CN25" s="307" t="e">
        <f t="shared" si="22"/>
        <v>#VALUE!</v>
      </c>
      <c r="CO25" s="307" t="e">
        <f t="shared" si="23"/>
        <v>#VALUE!</v>
      </c>
      <c r="CP25" s="362" t="e">
        <f t="shared" si="24"/>
        <v>#VALUE!</v>
      </c>
      <c r="CQ25" s="1682"/>
      <c r="CR25" s="386" t="b">
        <f>OR(AND(OR($BA$7="USDA",$BA$7="Other Federal"),UnitsTbl[[#This Row],[Gross Monthly Contract Rent]]&gt;0),AND(OR($BF$7="USDA",$BF$7="Other Federal"),UnitsTbl[[#This Row],[Net Monthly Contract Rent2]]&gt;0))</f>
        <v>0</v>
      </c>
      <c r="CS25" s="223">
        <f>IF(UnitsTbl[[#This Row],[Restricted Income Level]]="Manager",0,UnitsTbl[[#This Row],[Total Units]]*INDEX(SizeFactors,MATCH(MIN(UnitsTbl[[#This Row],[Number of Bedrooms]],4),Sizes,0)))</f>
        <v>0</v>
      </c>
      <c r="CT25" s="550">
        <f>IF(UnitsTbl[[#This Row],[Restricted Income Level]]="Manager",0,UnitsTbl[[#This Row],[Total Units]]-SUM(UnitsTbl[[#This Row],[Units being subsidized]]*($BA$7&lt;&gt;"Not Federal"),UnitsTbl[[#This Row],[Units being subsidized2]]*($BF$7&lt;&gt;"Not Federal")))</f>
        <v>0</v>
      </c>
      <c r="CU25" s="309">
        <f>IFERROR(IF(AND($CU$8,CR25=FALSE),40%,IF(UnitsTbl[[#This Row],[Restricted Income Level]]&lt;30%,30%,UnitsTbl[[#This Row],[Restricted Income Level]])),0)</f>
        <v>0.4</v>
      </c>
      <c r="CV25" s="1682"/>
      <c r="CW25" s="555">
        <f t="shared" si="9"/>
        <v>0.4</v>
      </c>
      <c r="CX25" s="553">
        <f>IF(UnitsTbl[[#This Row],[Rent Limit Calculation Formula]]="TCAC",VLOOKUP(County&amp;CW25,TCACrentTbl[],UnitsTbl[[#This Row],[Number of Bedrooms]]+2,FALSE)-SUM(UnitsTbl[[#This Row],[Less Utility Allowance Schedule 2]],UnitsTbl[[#This Row],[Less Utility Allowance Schedule 1]]),IF(UnitsTbl[[#This Row],[Rent Limit Calculation Formula]]="Other",VLOOKUP(County&amp;CW25,OtherRentLimitTbl[],UnitsTbl[[#This Row],[Number of Bedrooms]]+3,FALSE)-SUM(UnitsTbl[[#This Row],[Less Utility Allowance Schedule 2]],UnitsTbl[[#This Row],[Less Utility Allowance Schedule 1]]),0))</f>
        <v>0</v>
      </c>
      <c r="CY25" s="363">
        <f>MAX(UnitsTbl[[#This Row],[Gross Monthly Contract Rent]],UnitsTbl[[#This Row],[Net Monthly Contract Rent2]])</f>
        <v>0</v>
      </c>
      <c r="CZ25" s="553">
        <f>IF(UnitsTbl[[#This Row],[Number of Bedrooms]]="",0,VLOOKUP(County&amp;"0.6",TCACrentTbl[],UnitsTbl[[#This Row],[Number of Bedrooms]]+2,FALSE))-SUM(UnitsTbl[[#This Row],[Less Utility Allowance Schedule 2]],UnitsTbl[[#This Row],[Less Utility Allowance Schedule 1]])</f>
        <v>0</v>
      </c>
      <c r="DA25" s="78" t="b">
        <f>OR(AND($BA$7="USDA",UnitsTbl[[#This Row],[Gross Monthly Contract Rent]]&gt;0),AND($BF$7="USDA",UnitsTbl[[#This Row],[Net Monthly Contract Rent2]]&gt;0))</f>
        <v>0</v>
      </c>
      <c r="DB25" s="363">
        <f t="shared" si="10"/>
        <v>0</v>
      </c>
      <c r="DC25" s="363">
        <f t="shared" si="11"/>
        <v>0</v>
      </c>
      <c r="DD25" s="364">
        <f>UnitsTbl[[#This Row],[Total Units]]*DC25</f>
        <v>0</v>
      </c>
    </row>
    <row r="26" spans="1:108" ht="18" customHeight="1" thickBot="1">
      <c r="A26" s="693"/>
      <c r="B26" s="1210"/>
      <c r="C26" s="1211"/>
      <c r="D26" s="1637"/>
      <c r="E26" s="1212"/>
      <c r="F26" s="1637"/>
      <c r="G26" s="1637"/>
      <c r="H26" s="1637"/>
      <c r="I26" s="1213"/>
      <c r="J26" s="1213"/>
      <c r="K26" s="1637"/>
      <c r="L26" s="1214"/>
      <c r="M26" s="1637"/>
      <c r="N26" s="1637"/>
      <c r="O26" s="1637"/>
      <c r="P26" s="1637"/>
      <c r="Q26" s="1637"/>
      <c r="R26" s="1637"/>
      <c r="S26" s="1637"/>
      <c r="T26" s="1637"/>
      <c r="U26" s="1637"/>
      <c r="V26" s="1637"/>
      <c r="W26" s="1637"/>
      <c r="X26" s="1637"/>
      <c r="Y26" s="1637"/>
      <c r="Z26" s="1637"/>
      <c r="AA26" s="1637"/>
      <c r="AB26" s="1637"/>
      <c r="AC26" s="1637"/>
      <c r="AD26" s="1215"/>
      <c r="AE26" s="1210"/>
      <c r="AF26" s="1637"/>
      <c r="AG26" s="1216"/>
      <c r="AH26" s="667"/>
      <c r="AI26"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26" s="1218" t="b">
        <f>IFERROR(IF(AND(IsSerna,OR(UnitsTbl[[#This Row],[VHHP
Assisted]]&gt;0,UnitsTbl[[#This Row],[HCD Program 5]]&gt;0)),0,IF(AND(IsSerna,$B$4="FWHG",UnitsTbl[[#This Row],[Restricted Income Level]]="Manager"),VLOOKUP(CONCATENATE(County," ",0.6),HCDLoanLimitTbl2[],BH26,FALSE)*UnitsTbl[[#This Row],[Total Units]],IF(UnitsTbl[[#This Row],[Restricted Income Level]]&gt;80%,0,IF(IsSerna,VLOOKUP(CONCATENATE(County," ",UnitsTbl[[#This Row],[Restricted Income Level]]),HCDLoanLimitTbl2[],UnitsTbl[[#This Row],[VLOOKUP Base]],FALSE)*UnitsTbl[[#This Row],[HCD Program2]])))),0)</f>
        <v>0</v>
      </c>
      <c r="AK26" s="1218" t="b">
        <f>IFERROR(IF(AND(IsTod,OR(UnitsTbl[[#This Row],[HCD Program 5]]&gt;0,UnitsTbl[[#This Row],[HCD Program2]]&gt;0,UnitsTbl[[#This Row],[HCD Program4]]&gt;0,UnitsTbl[[#This Row],[VHHP
Assisted]]&gt;0)),0,(IF(AND(IsTod,$B$4="TOD",UnitsTbl[[#This Row],[Restricted Income Level]]="Manager"),VLOOKUP(CONCATENATE(County," ",0.6),HCDLoanLimitTbl[],BH26,FALSE)*UnitsTbl[[#This Row],[Total Units]],IF(UnitsTbl[[#This Row],[Restricted Income Level]]&gt;60%,0,IF(IsTod,VLOOKUP(CONCATENATE(County," ",UnitsTbl[[#This Row],[Restricted Income Level]]),HCDLoanLimitTbl[],UnitsTbl[[#This Row],[VLOOKUP Base]],FALSE)*UnitsTbl[[#This Row],[HCD Program3]]))))),0)</f>
        <v>0</v>
      </c>
      <c r="AL26" s="1218" t="b">
        <f>IFERROR(IF(AND(IsShmhp,OR(UnitsTbl[[#This Row],[HCD Program 5]]&gt;0,UnitsTbl[[#This Row],[HCD Program2]]&gt;0,UnitsTbl[[#This Row],[HCD Program3]]&gt;0,UnitsTbl[[#This Row],[VHHP
Assisted]]&gt;0)),0,(IF(AND(IsShmhp,$B$4="SHMHP",UnitsTbl[[#This Row],[Restricted Income Level]]="Manager"),VLOOKUP(CONCATENATE(County," ",0.6),HCDLoanLimitTbl[],BH26,FALSE)*UnitsTbl[[#This Row],[Total Units]],IF(UnitsTbl[[#This Row],[Restricted Income Level]]&gt;60%,0,IF(IsShmhp,VLOOKUP(CONCATENATE(County," ",UnitsTbl[[#This Row],[Restricted Income Level]]),HCDLoanLimitTbl[],UnitsTbl[[#This Row],[VLOOKUP Base]],FALSE)*UnitsTbl[[#This Row],[HCD Program4]]))))),0)</f>
        <v>0</v>
      </c>
      <c r="AM26" s="1219" t="b">
        <f>IFERROR(IF(AND(IsVhhp,OR(UnitsTbl[[#This Row],[HCD Program 5]]&gt;0,UnitsTbl[[#This Row],[HCD Program2]]&gt;0,UnitsTbl[[#This Row],[HCD Program3]]&gt;0,UnitsTbl[[#This Row],[HCD Program4]]&gt;0)),0,(IF(AND(IsVhhp,$B$4="VHHP",UnitsTbl[[#This Row],[Restricted Income Level]]="Manager"),VLOOKUP(CONCATENATE(County," ",0.6),HCDLoanLimitTbl2[],BH26,FALSE)*UnitsTbl[[#This Row],[Total Units]],IF(UnitsTbl[[#This Row],[Restricted Income Level]]&gt;60%,0,IF(IsVhhp,VLOOKUP(CONCATENATE(County," ",UnitsTbl[[#This Row],[Restricted Income Level]]),HCDLoanLimitTbl2[],UnitsTbl[[#This Row],[VLOOKUP Base]],FALSE)*UnitsTbl[[#This Row],[VHHP
Assisted]]))))),0)</f>
        <v>0</v>
      </c>
      <c r="AN26"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",0.6),HCDLoanLimitTbl[],BH26,FALSE)*UnitsTbl[[#This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26" s="1221"/>
      <c r="AP26"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26" s="1223"/>
      <c r="AR26" s="1224"/>
      <c r="AS26" s="1225" t="str">
        <f>IFERROR(IF(UnitsTbl[[#This Row],[Max Gross Rent]]=0,"",UnitsTbl[[#This Row],[Max Gross Rent]]-UnitsTbl[[#This Row],[Less Utility Allowance Schedule 1]]-UnitsTbl[[#This Row],[Less Utility Allowance Schedule 2]]),"")</f>
        <v/>
      </c>
      <c r="AT26" s="1226"/>
      <c r="AU26" s="1225">
        <f>IF(UnitsTbl[[#This Row],[Proposed Net Rent ]]="",0,UnitsTbl[[#This Row],[Total Units]]*UnitsTbl[[#This Row],[Proposed Net Rent ]])</f>
        <v>0</v>
      </c>
      <c r="AV26" s="1227" t="str">
        <f>IF(UnitsTbl[[#This Row],[Proposed Net Rent ]]&gt;0,0,IFERROR(UnitsTbl[[#This Row],[Total Units]]*UnitsTbl[[#This Row],[Maximum Net Rent]],""))</f>
        <v/>
      </c>
      <c r="AW26" s="1228"/>
      <c r="AX26"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26" s="1637"/>
      <c r="AZ26" s="1637"/>
      <c r="BA26" s="1229" t="str">
        <f>IFERROR(IF(UnitsTbl[[#This Row],[Total Units]]="","",UnitsTbl[[#This Row],[Subsidy Payment Over  Gross Rent]]*UnitsTbl[[#This Row],[Total Units]])*NOT($BA$7=""),"")</f>
        <v/>
      </c>
      <c r="BB26" s="1228"/>
      <c r="BC26"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26" s="1230"/>
      <c r="BE26" s="1637"/>
      <c r="BF26" s="1227" t="str">
        <f>IFERROR(IF(UnitsTbl[[#This Row],[Total Units]]="","",UnitsTbl[[#This Row],[Subsidy Payment Over Gross Rent2]]*UnitsTbl[[#This Row],[Total Units]])*NOT($BF$7=""),"")</f>
        <v/>
      </c>
      <c r="BG26" s="1231">
        <f>IF(OR(UnitsTbl[[#This Row],[Special Needs?]]="Yes",UnitsTbl[[#This Row],[Special Needs2?]]="Yes"), 1,0)</f>
        <v>0</v>
      </c>
      <c r="BH26"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26"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26" s="969">
        <f>MIN(SUM(UnitsTbl[[#This Row],[Disability Homelessness]],UnitsTbl[[#This Row],[Chronic Homelessness]],UnitsTbl[[#This Row],[Other Homelessness]]),UnitsTbl[[#This Row],[Total restricted units]])</f>
        <v>0</v>
      </c>
      <c r="BK26" s="969">
        <f>(UnitsTbl[[#This Row],[Restricted Income Level]]&lt;=30%)*UnitsTbl[[#This Row],[Total restricted units]]</f>
        <v>0</v>
      </c>
      <c r="BL26" s="969">
        <f t="shared" si="8"/>
        <v>0</v>
      </c>
      <c r="BM26" s="307">
        <f>UnitsTbl[[#This Row],[Units being subsidized]]*SUM(UnitsTbl[[#This Row],[Less Utility Allowance Schedule 1]],UnitsTbl[[#This Row],[Less Utility Allowance Schedule 2]])</f>
        <v>0</v>
      </c>
      <c r="BN26" s="307">
        <f>UnitsTbl[[#This Row],[Units being subsidized2]]*SUM(UnitsTbl[[#This Row],[Less Utility Allowance Schedule 1]],UnitsTbl[[#This Row],[Less Utility Allowance Schedule 2]])</f>
        <v>0</v>
      </c>
      <c r="BO26" s="307"/>
      <c r="BP26" s="1127"/>
      <c r="BQ26" s="1128"/>
      <c r="BR26" s="1128"/>
      <c r="BS26" s="1128"/>
      <c r="BT26" s="1128"/>
      <c r="BU26" s="1128"/>
      <c r="BV26" s="549"/>
      <c r="BX26" s="1129" t="s">
        <v>109</v>
      </c>
      <c r="BY26" s="812">
        <v>32900</v>
      </c>
      <c r="BZ26" s="813">
        <v>37600</v>
      </c>
      <c r="CA26" s="813">
        <v>42300</v>
      </c>
      <c r="CB26" s="813">
        <v>46950</v>
      </c>
      <c r="CC26" s="813">
        <v>50750</v>
      </c>
      <c r="CD26" s="813">
        <v>54500</v>
      </c>
      <c r="CE26" s="813">
        <v>58250</v>
      </c>
      <c r="CF26" s="1147">
        <v>62000</v>
      </c>
      <c r="CH26" s="450">
        <v>0.15</v>
      </c>
      <c r="CI26" s="370" t="e">
        <f t="shared" si="17"/>
        <v>#VALUE!</v>
      </c>
      <c r="CJ26" s="370" t="e">
        <f t="shared" si="18"/>
        <v>#VALUE!</v>
      </c>
      <c r="CK26" s="370" t="e">
        <f t="shared" si="19"/>
        <v>#VALUE!</v>
      </c>
      <c r="CL26" s="370" t="e">
        <f t="shared" si="20"/>
        <v>#VALUE!</v>
      </c>
      <c r="CM26" s="370" t="e">
        <f t="shared" si="21"/>
        <v>#VALUE!</v>
      </c>
      <c r="CN26" s="370" t="e">
        <f t="shared" si="22"/>
        <v>#VALUE!</v>
      </c>
      <c r="CO26" s="370" t="e">
        <f t="shared" si="23"/>
        <v>#VALUE!</v>
      </c>
      <c r="CP26" s="371" t="e">
        <f t="shared" si="24"/>
        <v>#VALUE!</v>
      </c>
      <c r="CQ26" s="1682"/>
      <c r="CR26" s="386" t="b">
        <f>OR(AND(OR($BA$7="USDA",$BA$7="Other Federal"),UnitsTbl[[#This Row],[Gross Monthly Contract Rent]]&gt;0),AND(OR($BF$7="USDA",$BF$7="Other Federal"),UnitsTbl[[#This Row],[Net Monthly Contract Rent2]]&gt;0))</f>
        <v>0</v>
      </c>
      <c r="CS26" s="223">
        <f>IF(UnitsTbl[[#This Row],[Restricted Income Level]]="Manager",0,UnitsTbl[[#This Row],[Total Units]]*INDEX(SizeFactors,MATCH(MIN(UnitsTbl[[#This Row],[Number of Bedrooms]],4),Sizes,0)))</f>
        <v>0</v>
      </c>
      <c r="CT26" s="550">
        <f>IF(UnitsTbl[[#This Row],[Restricted Income Level]]="Manager",0,UnitsTbl[[#This Row],[Total Units]]-SUM(UnitsTbl[[#This Row],[Units being subsidized]]*($BA$7&lt;&gt;"Not Federal"),UnitsTbl[[#This Row],[Units being subsidized2]]*($BF$7&lt;&gt;"Not Federal")))</f>
        <v>0</v>
      </c>
      <c r="CU26" s="309">
        <f>IFERROR(IF(AND($CU$8,CR26=FALSE),40%,IF(UnitsTbl[[#This Row],[Restricted Income Level]]&lt;30%,30%,UnitsTbl[[#This Row],[Restricted Income Level]])),0)</f>
        <v>0.4</v>
      </c>
      <c r="CV26" s="1682"/>
      <c r="CW26" s="555">
        <f t="shared" si="9"/>
        <v>0.4</v>
      </c>
      <c r="CX26" s="553">
        <f>IF(UnitsTbl[[#This Row],[Rent Limit Calculation Formula]]="TCAC",VLOOKUP(County&amp;CW26,TCACrentTbl[],UnitsTbl[[#This Row],[Number of Bedrooms]]+2,FALSE)-SUM(UnitsTbl[[#This Row],[Less Utility Allowance Schedule 2]],UnitsTbl[[#This Row],[Less Utility Allowance Schedule 1]]),IF(UnitsTbl[[#This Row],[Rent Limit Calculation Formula]]="Other",VLOOKUP(County&amp;CW26,OtherRentLimitTbl[],UnitsTbl[[#This Row],[Number of Bedrooms]]+3,FALSE)-SUM(UnitsTbl[[#This Row],[Less Utility Allowance Schedule 2]],UnitsTbl[[#This Row],[Less Utility Allowance Schedule 1]]),0))</f>
        <v>0</v>
      </c>
      <c r="CY26" s="363">
        <f>MAX(UnitsTbl[[#This Row],[Gross Monthly Contract Rent]],UnitsTbl[[#This Row],[Net Monthly Contract Rent2]])</f>
        <v>0</v>
      </c>
      <c r="CZ26" s="553">
        <f>IF(UnitsTbl[[#This Row],[Number of Bedrooms]]="",0,VLOOKUP(County&amp;"0.6",TCACrentTbl[],UnitsTbl[[#This Row],[Number of Bedrooms]]+2,FALSE))-SUM(UnitsTbl[[#This Row],[Less Utility Allowance Schedule 2]],UnitsTbl[[#This Row],[Less Utility Allowance Schedule 1]])</f>
        <v>0</v>
      </c>
      <c r="DA26" s="78" t="b">
        <f>OR(AND($BA$7="USDA",UnitsTbl[[#This Row],[Gross Monthly Contract Rent]]&gt;0),AND($BF$7="USDA",UnitsTbl[[#This Row],[Net Monthly Contract Rent2]]&gt;0))</f>
        <v>0</v>
      </c>
      <c r="DB26" s="363">
        <f t="shared" si="10"/>
        <v>0</v>
      </c>
      <c r="DC26" s="363">
        <f t="shared" si="11"/>
        <v>0</v>
      </c>
      <c r="DD26" s="364">
        <f>UnitsTbl[[#This Row],[Total Units]]*DC26</f>
        <v>0</v>
      </c>
    </row>
    <row r="27" spans="1:108" ht="18" customHeight="1" thickBot="1">
      <c r="A27" s="693"/>
      <c r="B27" s="1210"/>
      <c r="C27" s="1211"/>
      <c r="D27" s="1637"/>
      <c r="E27" s="1212"/>
      <c r="F27" s="1637"/>
      <c r="G27" s="1637"/>
      <c r="H27" s="1637"/>
      <c r="I27" s="1213"/>
      <c r="J27" s="1213"/>
      <c r="K27" s="1637"/>
      <c r="L27" s="1214"/>
      <c r="M27" s="1637"/>
      <c r="N27" s="1637"/>
      <c r="O27" s="1637"/>
      <c r="P27" s="1637"/>
      <c r="Q27" s="1637"/>
      <c r="R27" s="1637"/>
      <c r="S27" s="1637"/>
      <c r="T27" s="1637"/>
      <c r="U27" s="1637"/>
      <c r="V27" s="1637"/>
      <c r="W27" s="1637"/>
      <c r="X27" s="1637"/>
      <c r="Y27" s="1637"/>
      <c r="Z27" s="1637"/>
      <c r="AA27" s="1637"/>
      <c r="AB27" s="1637"/>
      <c r="AC27" s="1637"/>
      <c r="AD27" s="1215"/>
      <c r="AE27" s="1210"/>
      <c r="AF27" s="1637"/>
      <c r="AG27" s="1216"/>
      <c r="AH27" s="667"/>
      <c r="AI27"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27" s="1218" t="b">
        <f>IFERROR(IF(AND(IsSerna,OR(UnitsTbl[[#This Row],[VHHP
Assisted]]&gt;0,UnitsTbl[[#This Row],[HCD Program 5]]&gt;0)),0,IF(AND(IsSerna,$B$4="FWHG",UnitsTbl[[#This Row],[Restricted Income Level]]="Manager"),VLOOKUP(CONCATENATE(County," ",0.6),HCDLoanLimitTbl2[],BH27,FALSE)*UnitsTbl[[#This Row],[Total Units]],IF(UnitsTbl[[#This Row],[Restricted Income Level]]&gt;80%,0,IF(IsSerna,VLOOKUP(CONCATENATE(County," ",UnitsTbl[[#This Row],[Restricted Income Level]]),HCDLoanLimitTbl2[],UnitsTbl[[#This Row],[VLOOKUP Base]],FALSE)*UnitsTbl[[#This Row],[HCD Program2]])))),0)</f>
        <v>0</v>
      </c>
      <c r="AK27" s="1218" t="b">
        <f>IFERROR(IF(AND(IsTod,OR(UnitsTbl[[#This Row],[HCD Program 5]]&gt;0,UnitsTbl[[#This Row],[HCD Program2]]&gt;0,UnitsTbl[[#This Row],[HCD Program4]]&gt;0,UnitsTbl[[#This Row],[VHHP
Assisted]]&gt;0)),0,(IF(AND(IsTod,$B$4="TOD",UnitsTbl[[#This Row],[Restricted Income Level]]="Manager"),VLOOKUP(CONCATENATE(County," ",0.6),HCDLoanLimitTbl[],BH27,FALSE)*UnitsTbl[[#This Row],[Total Units]],IF(UnitsTbl[[#This Row],[Restricted Income Level]]&gt;60%,0,IF(IsTod,VLOOKUP(CONCATENATE(County," ",UnitsTbl[[#This Row],[Restricted Income Level]]),HCDLoanLimitTbl[],UnitsTbl[[#This Row],[VLOOKUP Base]],FALSE)*UnitsTbl[[#This Row],[HCD Program3]]))))),0)</f>
        <v>0</v>
      </c>
      <c r="AL27" s="1218" t="b">
        <f>IFERROR(IF(AND(IsShmhp,OR(UnitsTbl[[#This Row],[HCD Program 5]]&gt;0,UnitsTbl[[#This Row],[HCD Program2]]&gt;0,UnitsTbl[[#This Row],[HCD Program3]]&gt;0,UnitsTbl[[#This Row],[VHHP
Assisted]]&gt;0)),0,(IF(AND(IsShmhp,$B$4="SHMHP",UnitsTbl[[#This Row],[Restricted Income Level]]="Manager"),VLOOKUP(CONCATENATE(County," ",0.6),HCDLoanLimitTbl[],BH27,FALSE)*UnitsTbl[[#This Row],[Total Units]],IF(UnitsTbl[[#This Row],[Restricted Income Level]]&gt;60%,0,IF(IsShmhp,VLOOKUP(CONCATENATE(County," ",UnitsTbl[[#This Row],[Restricted Income Level]]),HCDLoanLimitTbl[],UnitsTbl[[#This Row],[VLOOKUP Base]],FALSE)*UnitsTbl[[#This Row],[HCD Program4]]))))),0)</f>
        <v>0</v>
      </c>
      <c r="AM27" s="1219" t="b">
        <f>IFERROR(IF(AND(IsVhhp,OR(UnitsTbl[[#This Row],[HCD Program 5]]&gt;0,UnitsTbl[[#This Row],[HCD Program2]]&gt;0,UnitsTbl[[#This Row],[HCD Program3]]&gt;0,UnitsTbl[[#This Row],[HCD Program4]]&gt;0)),0,(IF(AND(IsVhhp,$B$4="VHHP",UnitsTbl[[#This Row],[Restricted Income Level]]="Manager"),VLOOKUP(CONCATENATE(County," ",0.6),HCDLoanLimitTbl2[],BH27,FALSE)*UnitsTbl[[#This Row],[Total Units]],IF(UnitsTbl[[#This Row],[Restricted Income Level]]&gt;60%,0,IF(IsVhhp,VLOOKUP(CONCATENATE(County," ",UnitsTbl[[#This Row],[Restricted Income Level]]),HCDLoanLimitTbl2[],UnitsTbl[[#This Row],[VLOOKUP Base]],FALSE)*UnitsTbl[[#This Row],[VHHP
Assisted]]))))),0)</f>
        <v>0</v>
      </c>
      <c r="AN27"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",0.6),HCDLoanLimitTbl[],BH27,FALSE)*UnitsTbl[[#This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27" s="1221"/>
      <c r="AP27"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27" s="1223"/>
      <c r="AR27" s="1224"/>
      <c r="AS27" s="1225" t="str">
        <f>IFERROR(IF(UnitsTbl[[#This Row],[Max Gross Rent]]=0,"",UnitsTbl[[#This Row],[Max Gross Rent]]-UnitsTbl[[#This Row],[Less Utility Allowance Schedule 1]]-UnitsTbl[[#This Row],[Less Utility Allowance Schedule 2]]),"")</f>
        <v/>
      </c>
      <c r="AT27" s="1226"/>
      <c r="AU27" s="1225">
        <f>IF(UnitsTbl[[#This Row],[Proposed Net Rent ]]="",0,UnitsTbl[[#This Row],[Total Units]]*UnitsTbl[[#This Row],[Proposed Net Rent ]])</f>
        <v>0</v>
      </c>
      <c r="AV27" s="1227" t="str">
        <f>IF(UnitsTbl[[#This Row],[Proposed Net Rent ]]&gt;0,0,IFERROR(UnitsTbl[[#This Row],[Total Units]]*UnitsTbl[[#This Row],[Maximum Net Rent]],""))</f>
        <v/>
      </c>
      <c r="AW27" s="1228"/>
      <c r="AX27"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27" s="1637"/>
      <c r="AZ27" s="1637"/>
      <c r="BA27" s="1229" t="str">
        <f>IFERROR(IF(UnitsTbl[[#This Row],[Total Units]]="","",UnitsTbl[[#This Row],[Subsidy Payment Over  Gross Rent]]*UnitsTbl[[#This Row],[Total Units]])*NOT($BA$7=""),"")</f>
        <v/>
      </c>
      <c r="BB27" s="1228"/>
      <c r="BC27"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27" s="1230"/>
      <c r="BE27" s="1637"/>
      <c r="BF27" s="1227" t="str">
        <f>IFERROR(IF(UnitsTbl[[#This Row],[Total Units]]="","",UnitsTbl[[#This Row],[Subsidy Payment Over Gross Rent2]]*UnitsTbl[[#This Row],[Total Units]])*NOT($BF$7=""),"")</f>
        <v/>
      </c>
      <c r="BG27" s="1231">
        <f>IF(OR(UnitsTbl[[#This Row],[Special Needs?]]="Yes",UnitsTbl[[#This Row],[Special Needs2?]]="Yes"), 1,0)</f>
        <v>0</v>
      </c>
      <c r="BH27"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27"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27" s="969">
        <f>MIN(SUM(UnitsTbl[[#This Row],[Disability Homelessness]],UnitsTbl[[#This Row],[Chronic Homelessness]],UnitsTbl[[#This Row],[Other Homelessness]]),UnitsTbl[[#This Row],[Total restricted units]])</f>
        <v>0</v>
      </c>
      <c r="BK27" s="969">
        <f>(UnitsTbl[[#This Row],[Restricted Income Level]]&lt;=30%)*UnitsTbl[[#This Row],[Total restricted units]]</f>
        <v>0</v>
      </c>
      <c r="BL27" s="969">
        <f t="shared" si="8"/>
        <v>0</v>
      </c>
      <c r="BM27" s="307">
        <f>UnitsTbl[[#This Row],[Units being subsidized]]*SUM(UnitsTbl[[#This Row],[Less Utility Allowance Schedule 1]],UnitsTbl[[#This Row],[Less Utility Allowance Schedule 2]])</f>
        <v>0</v>
      </c>
      <c r="BN27" s="307">
        <f>UnitsTbl[[#This Row],[Units being subsidized2]]*SUM(UnitsTbl[[#This Row],[Less Utility Allowance Schedule 1]],UnitsTbl[[#This Row],[Less Utility Allowance Schedule 2]])</f>
        <v>0</v>
      </c>
      <c r="BO27" s="307"/>
      <c r="BP27" s="2610" t="s">
        <v>1491</v>
      </c>
      <c r="BQ27" s="1778"/>
      <c r="BR27" s="2621" t="b">
        <f>IF(OR(IsVhhp,IsSerna),300000+IF(Scoring!$AL$82=3,25000))</f>
        <v>0</v>
      </c>
      <c r="BS27" s="1772"/>
      <c r="BT27" s="2588" t="b">
        <f>IF(OR(IsVhhp,IsSerna),IF(Scoring!$AL$82=3,"25K BOOST Added","No BOOST added"))</f>
        <v>0</v>
      </c>
      <c r="BU27" s="1777"/>
      <c r="BV27" s="2589"/>
      <c r="BX27" s="1129" t="s">
        <v>83</v>
      </c>
      <c r="BY27" s="811">
        <v>32900</v>
      </c>
      <c r="BZ27" s="1744">
        <v>37600</v>
      </c>
      <c r="CA27" s="1744">
        <v>42300</v>
      </c>
      <c r="CB27" s="1744">
        <v>46950</v>
      </c>
      <c r="CC27" s="1744">
        <v>50750</v>
      </c>
      <c r="CD27" s="1744">
        <v>54500</v>
      </c>
      <c r="CE27" s="1744">
        <v>58250</v>
      </c>
      <c r="CF27" s="1135">
        <v>62000</v>
      </c>
      <c r="CQ27" s="1682"/>
      <c r="CR27" s="386" t="b">
        <f>OR(AND(OR($BA$7="USDA",$BA$7="Other Federal"),UnitsTbl[[#This Row],[Gross Monthly Contract Rent]]&gt;0),AND(OR($BF$7="USDA",$BF$7="Other Federal"),UnitsTbl[[#This Row],[Net Monthly Contract Rent2]]&gt;0))</f>
        <v>0</v>
      </c>
      <c r="CS27" s="223">
        <f>IF(UnitsTbl[[#This Row],[Restricted Income Level]]="Manager",0,UnitsTbl[[#This Row],[Total Units]]*INDEX(SizeFactors,MATCH(MIN(UnitsTbl[[#This Row],[Number of Bedrooms]],4),Sizes,0)))</f>
        <v>0</v>
      </c>
      <c r="CT27" s="550">
        <f>IF(UnitsTbl[[#This Row],[Restricted Income Level]]="Manager",0,UnitsTbl[[#This Row],[Total Units]]-SUM(UnitsTbl[[#This Row],[Units being subsidized]]*($BA$7&lt;&gt;"Not Federal"),UnitsTbl[[#This Row],[Units being subsidized2]]*($BF$7&lt;&gt;"Not Federal")))</f>
        <v>0</v>
      </c>
      <c r="CU27" s="309">
        <f>IFERROR(IF(AND($CU$8,CR27=FALSE),40%,IF(UnitsTbl[[#This Row],[Restricted Income Level]]&lt;30%,30%,UnitsTbl[[#This Row],[Restricted Income Level]])),0)</f>
        <v>0.4</v>
      </c>
      <c r="CV27" s="1682"/>
      <c r="CW27" s="555">
        <f t="shared" si="9"/>
        <v>0.4</v>
      </c>
      <c r="CX27" s="553">
        <f>IF(UnitsTbl[[#This Row],[Rent Limit Calculation Formula]]="TCAC",VLOOKUP(County&amp;CW27,TCACrentTbl[],UnitsTbl[[#This Row],[Number of Bedrooms]]+2,FALSE)-SUM(UnitsTbl[[#This Row],[Less Utility Allowance Schedule 2]],UnitsTbl[[#This Row],[Less Utility Allowance Schedule 1]]),IF(UnitsTbl[[#This Row],[Rent Limit Calculation Formula]]="Other",VLOOKUP(County&amp;CW27,OtherRentLimitTbl[],UnitsTbl[[#This Row],[Number of Bedrooms]]+3,FALSE)-SUM(UnitsTbl[[#This Row],[Less Utility Allowance Schedule 2]],UnitsTbl[[#This Row],[Less Utility Allowance Schedule 1]]),0))</f>
        <v>0</v>
      </c>
      <c r="CY27" s="363">
        <f>MAX(UnitsTbl[[#This Row],[Gross Monthly Contract Rent]],UnitsTbl[[#This Row],[Net Monthly Contract Rent2]])</f>
        <v>0</v>
      </c>
      <c r="CZ27" s="553">
        <f>IF(UnitsTbl[[#This Row],[Number of Bedrooms]]="",0,VLOOKUP(County&amp;"0.6",TCACrentTbl[],UnitsTbl[[#This Row],[Number of Bedrooms]]+2,FALSE))-SUM(UnitsTbl[[#This Row],[Less Utility Allowance Schedule 2]],UnitsTbl[[#This Row],[Less Utility Allowance Schedule 1]])</f>
        <v>0</v>
      </c>
      <c r="DA27" s="78" t="b">
        <f>OR(AND($BA$7="USDA",UnitsTbl[[#This Row],[Gross Monthly Contract Rent]]&gt;0),AND($BF$7="USDA",UnitsTbl[[#This Row],[Net Monthly Contract Rent2]]&gt;0))</f>
        <v>0</v>
      </c>
      <c r="DB27" s="363">
        <f t="shared" si="10"/>
        <v>0</v>
      </c>
      <c r="DC27" s="363">
        <f t="shared" si="11"/>
        <v>0</v>
      </c>
      <c r="DD27" s="364">
        <f>UnitsTbl[[#This Row],[Total Units]]*DC27</f>
        <v>0</v>
      </c>
    </row>
    <row r="28" spans="1:108" ht="18" customHeight="1">
      <c r="A28" s="693"/>
      <c r="B28" s="1210"/>
      <c r="C28" s="1211"/>
      <c r="D28" s="1637"/>
      <c r="E28" s="1212"/>
      <c r="F28" s="1637"/>
      <c r="G28" s="1637"/>
      <c r="H28" s="1637"/>
      <c r="I28" s="1213"/>
      <c r="J28" s="1213"/>
      <c r="K28" s="1637"/>
      <c r="L28" s="1214"/>
      <c r="M28" s="1637"/>
      <c r="N28" s="1637"/>
      <c r="O28" s="1637"/>
      <c r="P28" s="1637"/>
      <c r="Q28" s="1637"/>
      <c r="R28" s="1637"/>
      <c r="S28" s="1637"/>
      <c r="T28" s="1637"/>
      <c r="U28" s="1637"/>
      <c r="V28" s="1637"/>
      <c r="W28" s="1637"/>
      <c r="X28" s="1637"/>
      <c r="Y28" s="1637"/>
      <c r="Z28" s="1637"/>
      <c r="AA28" s="1637"/>
      <c r="AB28" s="1637"/>
      <c r="AC28" s="1637"/>
      <c r="AD28" s="1215"/>
      <c r="AE28" s="1210"/>
      <c r="AF28" s="1637"/>
      <c r="AG28" s="1216"/>
      <c r="AH28" s="667"/>
      <c r="AI28"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28" s="1218" t="b">
        <f>IFERROR(IF(AND(IsSerna,OR(UnitsTbl[[#This Row],[VHHP
Assisted]]&gt;0,UnitsTbl[[#This Row],[HCD Program 5]]&gt;0)),0,IF(AND(IsSerna,$B$4="FWHG",UnitsTbl[[#This Row],[Restricted Income Level]]="Manager"),VLOOKUP(CONCATENATE(County," ",0.6),HCDLoanLimitTbl2[],BH28,FALSE)*UnitsTbl[[#This Row],[Total Units]],IF(UnitsTbl[[#This Row],[Restricted Income Level]]&gt;80%,0,IF(IsSerna,VLOOKUP(CONCATENATE(County," ",UnitsTbl[[#This Row],[Restricted Income Level]]),HCDLoanLimitTbl2[],UnitsTbl[[#This Row],[VLOOKUP Base]],FALSE)*UnitsTbl[[#This Row],[HCD Program2]])))),0)</f>
        <v>0</v>
      </c>
      <c r="AK28" s="1218" t="b">
        <f>IFERROR(IF(AND(IsTod,OR(UnitsTbl[[#This Row],[HCD Program 5]]&gt;0,UnitsTbl[[#This Row],[HCD Program2]]&gt;0,UnitsTbl[[#This Row],[HCD Program4]]&gt;0,UnitsTbl[[#This Row],[VHHP
Assisted]]&gt;0)),0,(IF(AND(IsTod,$B$4="TOD",UnitsTbl[[#This Row],[Restricted Income Level]]="Manager"),VLOOKUP(CONCATENATE(County," ",0.6),HCDLoanLimitTbl[],BH28,FALSE)*UnitsTbl[[#This Row],[Total Units]],IF(UnitsTbl[[#This Row],[Restricted Income Level]]&gt;60%,0,IF(IsTod,VLOOKUP(CONCATENATE(County," ",UnitsTbl[[#This Row],[Restricted Income Level]]),HCDLoanLimitTbl[],UnitsTbl[[#This Row],[VLOOKUP Base]],FALSE)*UnitsTbl[[#This Row],[HCD Program3]]))))),0)</f>
        <v>0</v>
      </c>
      <c r="AL28" s="1218" t="b">
        <f>IFERROR(IF(AND(IsShmhp,OR(UnitsTbl[[#This Row],[HCD Program 5]]&gt;0,UnitsTbl[[#This Row],[HCD Program2]]&gt;0,UnitsTbl[[#This Row],[HCD Program3]]&gt;0,UnitsTbl[[#This Row],[VHHP
Assisted]]&gt;0)),0,(IF(AND(IsShmhp,$B$4="SHMHP",UnitsTbl[[#This Row],[Restricted Income Level]]="Manager"),VLOOKUP(CONCATENATE(County," ",0.6),HCDLoanLimitTbl[],BH28,FALSE)*UnitsTbl[[#This Row],[Total Units]],IF(UnitsTbl[[#This Row],[Restricted Income Level]]&gt;60%,0,IF(IsShmhp,VLOOKUP(CONCATENATE(County," ",UnitsTbl[[#This Row],[Restricted Income Level]]),HCDLoanLimitTbl[],UnitsTbl[[#This Row],[VLOOKUP Base]],FALSE)*UnitsTbl[[#This Row],[HCD Program4]]))))),0)</f>
        <v>0</v>
      </c>
      <c r="AM28" s="1219" t="b">
        <f>IFERROR(IF(AND(IsVhhp,OR(UnitsTbl[[#This Row],[HCD Program 5]]&gt;0,UnitsTbl[[#This Row],[HCD Program2]]&gt;0,UnitsTbl[[#This Row],[HCD Program3]]&gt;0,UnitsTbl[[#This Row],[HCD Program4]]&gt;0)),0,(IF(AND(IsVhhp,$B$4="VHHP",UnitsTbl[[#This Row],[Restricted Income Level]]="Manager"),VLOOKUP(CONCATENATE(County," ",0.6),HCDLoanLimitTbl2[],BH28,FALSE)*UnitsTbl[[#This Row],[Total Units]],IF(UnitsTbl[[#This Row],[Restricted Income Level]]&gt;60%,0,IF(IsVhhp,VLOOKUP(CONCATENATE(County," ",UnitsTbl[[#This Row],[Restricted Income Level]]),HCDLoanLimitTbl2[],UnitsTbl[[#This Row],[VLOOKUP Base]],FALSE)*UnitsTbl[[#This Row],[VHHP
Assisted]]))))),0)</f>
        <v>0</v>
      </c>
      <c r="AN28"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",0.6),HCDLoanLimitTbl[],BH28,FALSE)*UnitsTbl[[#This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28" s="1221"/>
      <c r="AP28"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28" s="1223"/>
      <c r="AR28" s="1224"/>
      <c r="AS28" s="1225" t="str">
        <f>IFERROR(IF(UnitsTbl[[#This Row],[Max Gross Rent]]=0,"",UnitsTbl[[#This Row],[Max Gross Rent]]-UnitsTbl[[#This Row],[Less Utility Allowance Schedule 1]]-UnitsTbl[[#This Row],[Less Utility Allowance Schedule 2]]),"")</f>
        <v/>
      </c>
      <c r="AT28" s="1226"/>
      <c r="AU28" s="1225">
        <f>IF(UnitsTbl[[#This Row],[Proposed Net Rent ]]="",0,UnitsTbl[[#This Row],[Total Units]]*UnitsTbl[[#This Row],[Proposed Net Rent ]])</f>
        <v>0</v>
      </c>
      <c r="AV28" s="1227" t="str">
        <f>IF(UnitsTbl[[#This Row],[Proposed Net Rent ]]&gt;0,0,IFERROR(UnitsTbl[[#This Row],[Total Units]]*UnitsTbl[[#This Row],[Maximum Net Rent]],""))</f>
        <v/>
      </c>
      <c r="AW28" s="1228"/>
      <c r="AX28"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28" s="1637"/>
      <c r="AZ28" s="1637"/>
      <c r="BA28" s="1229" t="str">
        <f>IFERROR(IF(UnitsTbl[[#This Row],[Total Units]]="","",UnitsTbl[[#This Row],[Subsidy Payment Over  Gross Rent]]*UnitsTbl[[#This Row],[Total Units]])*NOT($BA$7=""),"")</f>
        <v/>
      </c>
      <c r="BB28" s="1228"/>
      <c r="BC28"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28" s="1230"/>
      <c r="BE28" s="1637"/>
      <c r="BF28" s="1227" t="str">
        <f>IFERROR(IF(UnitsTbl[[#This Row],[Total Units]]="","",UnitsTbl[[#This Row],[Subsidy Payment Over Gross Rent2]]*UnitsTbl[[#This Row],[Total Units]])*NOT($BF$7=""),"")</f>
        <v/>
      </c>
      <c r="BG28" s="1231">
        <f>IF(OR(UnitsTbl[[#This Row],[Special Needs?]]="Yes",UnitsTbl[[#This Row],[Special Needs2?]]="Yes"), 1,0)</f>
        <v>0</v>
      </c>
      <c r="BH28"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28"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28" s="969">
        <f>MIN(SUM(UnitsTbl[[#This Row],[Disability Homelessness]],UnitsTbl[[#This Row],[Chronic Homelessness]],UnitsTbl[[#This Row],[Other Homelessness]]),UnitsTbl[[#This Row],[Total restricted units]])</f>
        <v>0</v>
      </c>
      <c r="BK28" s="969">
        <f>(UnitsTbl[[#This Row],[Restricted Income Level]]&lt;=30%)*UnitsTbl[[#This Row],[Total restricted units]]</f>
        <v>0</v>
      </c>
      <c r="BL28" s="969">
        <f t="shared" si="8"/>
        <v>0</v>
      </c>
      <c r="BM28" s="307">
        <f>UnitsTbl[[#This Row],[Units being subsidized]]*SUM(UnitsTbl[[#This Row],[Less Utility Allowance Schedule 1]],UnitsTbl[[#This Row],[Less Utility Allowance Schedule 2]])</f>
        <v>0</v>
      </c>
      <c r="BN28" s="307">
        <f>UnitsTbl[[#This Row],[Units being subsidized2]]*SUM(UnitsTbl[[#This Row],[Less Utility Allowance Schedule 1]],UnitsTbl[[#This Row],[Less Utility Allowance Schedule 2]])</f>
        <v>0</v>
      </c>
      <c r="BO28" s="307"/>
      <c r="BP28" s="2642" t="s">
        <v>1512</v>
      </c>
      <c r="BQ28" s="1778"/>
      <c r="BR28" s="1635" t="s">
        <v>1496</v>
      </c>
      <c r="BS28" s="1146">
        <v>0.06</v>
      </c>
      <c r="BT28" s="1635">
        <v>360</v>
      </c>
      <c r="BU28" s="1635">
        <v>1.1000000000000001</v>
      </c>
      <c r="BV28" s="406">
        <v>0.05</v>
      </c>
      <c r="BX28" s="1129" t="s">
        <v>115</v>
      </c>
      <c r="BY28" s="812">
        <v>32900</v>
      </c>
      <c r="BZ28" s="813">
        <v>37600</v>
      </c>
      <c r="CA28" s="813">
        <v>42300</v>
      </c>
      <c r="CB28" s="813">
        <v>46950</v>
      </c>
      <c r="CC28" s="813">
        <v>50750</v>
      </c>
      <c r="CD28" s="813">
        <v>54500</v>
      </c>
      <c r="CE28" s="813">
        <v>58250</v>
      </c>
      <c r="CF28" s="1147">
        <v>62000</v>
      </c>
      <c r="CH28" s="782"/>
      <c r="CI28" s="372" t="s">
        <v>1598</v>
      </c>
      <c r="CJ28" s="372"/>
      <c r="CK28" s="372"/>
      <c r="CL28" s="373"/>
      <c r="CM28" s="373"/>
      <c r="CN28" s="373"/>
      <c r="CO28" s="373"/>
      <c r="CP28" s="374"/>
      <c r="CQ28" s="1682"/>
      <c r="CR28" s="386" t="b">
        <f>OR(AND(OR($BA$7="USDA",$BA$7="Other Federal"),UnitsTbl[[#This Row],[Gross Monthly Contract Rent]]&gt;0),AND(OR($BF$7="USDA",$BF$7="Other Federal"),UnitsTbl[[#This Row],[Net Monthly Contract Rent2]]&gt;0))</f>
        <v>0</v>
      </c>
      <c r="CS28" s="223">
        <f>IF(UnitsTbl[[#This Row],[Restricted Income Level]]="Manager",0,UnitsTbl[[#This Row],[Total Units]]*INDEX(SizeFactors,MATCH(MIN(UnitsTbl[[#This Row],[Number of Bedrooms]],4),Sizes,0)))</f>
        <v>0</v>
      </c>
      <c r="CT28" s="550">
        <f>IF(UnitsTbl[[#This Row],[Restricted Income Level]]="Manager",0,UnitsTbl[[#This Row],[Total Units]]-SUM(UnitsTbl[[#This Row],[Units being subsidized]]*($BA$7&lt;&gt;"Not Federal"),UnitsTbl[[#This Row],[Units being subsidized2]]*($BF$7&lt;&gt;"Not Federal")))</f>
        <v>0</v>
      </c>
      <c r="CU28" s="309">
        <f>IFERROR(IF(AND($CU$8,CR28=FALSE),40%,IF(UnitsTbl[[#This Row],[Restricted Income Level]]&lt;30%,30%,UnitsTbl[[#This Row],[Restricted Income Level]])),0)</f>
        <v>0.4</v>
      </c>
      <c r="CV28" s="1682"/>
      <c r="CW28" s="555">
        <f t="shared" si="9"/>
        <v>0.4</v>
      </c>
      <c r="CX28" s="553">
        <f>IF(UnitsTbl[[#This Row],[Rent Limit Calculation Formula]]="TCAC",VLOOKUP(County&amp;CW28,TCACrentTbl[],UnitsTbl[[#This Row],[Number of Bedrooms]]+2,FALSE)-SUM(UnitsTbl[[#This Row],[Less Utility Allowance Schedule 2]],UnitsTbl[[#This Row],[Less Utility Allowance Schedule 1]]),IF(UnitsTbl[[#This Row],[Rent Limit Calculation Formula]]="Other",VLOOKUP(County&amp;CW28,OtherRentLimitTbl[],UnitsTbl[[#This Row],[Number of Bedrooms]]+3,FALSE)-SUM(UnitsTbl[[#This Row],[Less Utility Allowance Schedule 2]],UnitsTbl[[#This Row],[Less Utility Allowance Schedule 1]]),0))</f>
        <v>0</v>
      </c>
      <c r="CY28" s="363">
        <f>MAX(UnitsTbl[[#This Row],[Gross Monthly Contract Rent]],UnitsTbl[[#This Row],[Net Monthly Contract Rent2]])</f>
        <v>0</v>
      </c>
      <c r="CZ28" s="553">
        <f>IF(UnitsTbl[[#This Row],[Number of Bedrooms]]="",0,VLOOKUP(County&amp;"0.6",TCACrentTbl[],UnitsTbl[[#This Row],[Number of Bedrooms]]+2,FALSE))-SUM(UnitsTbl[[#This Row],[Less Utility Allowance Schedule 2]],UnitsTbl[[#This Row],[Less Utility Allowance Schedule 1]])</f>
        <v>0</v>
      </c>
      <c r="DA28" s="78" t="b">
        <f>OR(AND($BA$7="USDA",UnitsTbl[[#This Row],[Gross Monthly Contract Rent]]&gt;0),AND($BF$7="USDA",UnitsTbl[[#This Row],[Net Monthly Contract Rent2]]&gt;0))</f>
        <v>0</v>
      </c>
      <c r="DB28" s="363">
        <f t="shared" si="10"/>
        <v>0</v>
      </c>
      <c r="DC28" s="363">
        <f t="shared" si="11"/>
        <v>0</v>
      </c>
      <c r="DD28" s="364">
        <f>UnitsTbl[[#This Row],[Total Units]]*DC28</f>
        <v>0</v>
      </c>
    </row>
    <row r="29" spans="1:108" ht="18" customHeight="1">
      <c r="A29" s="693"/>
      <c r="B29" s="1210"/>
      <c r="C29" s="1211"/>
      <c r="D29" s="1637"/>
      <c r="E29" s="1212"/>
      <c r="F29" s="1637"/>
      <c r="G29" s="1637"/>
      <c r="H29" s="1637"/>
      <c r="I29" s="1213"/>
      <c r="J29" s="1213"/>
      <c r="K29" s="1637"/>
      <c r="L29" s="1214"/>
      <c r="M29" s="1637"/>
      <c r="N29" s="1637"/>
      <c r="O29" s="1637"/>
      <c r="P29" s="1637"/>
      <c r="Q29" s="1637"/>
      <c r="R29" s="1637"/>
      <c r="S29" s="1637"/>
      <c r="T29" s="1637"/>
      <c r="U29" s="1637"/>
      <c r="V29" s="1637"/>
      <c r="W29" s="1637"/>
      <c r="X29" s="1637"/>
      <c r="Y29" s="1637"/>
      <c r="Z29" s="1637"/>
      <c r="AA29" s="1637"/>
      <c r="AB29" s="1637"/>
      <c r="AC29" s="1637"/>
      <c r="AD29" s="1215"/>
      <c r="AE29" s="1210"/>
      <c r="AF29" s="1637"/>
      <c r="AG29" s="1216"/>
      <c r="AH29" s="667"/>
      <c r="AI29"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29" s="1218" t="b">
        <f>IFERROR(IF(AND(IsSerna,OR(UnitsTbl[[#This Row],[VHHP
Assisted]]&gt;0,UnitsTbl[[#This Row],[HCD Program 5]]&gt;0)),0,IF(AND(IsSerna,$B$4="FWHG",UnitsTbl[[#This Row],[Restricted Income Level]]="Manager"),VLOOKUP(CONCATENATE(County," ",0.6),HCDLoanLimitTbl2[],BH29,FALSE)*UnitsTbl[[#This Row],[Total Units]],IF(UnitsTbl[[#This Row],[Restricted Income Level]]&gt;80%,0,IF(IsSerna,VLOOKUP(CONCATENATE(County," ",UnitsTbl[[#This Row],[Restricted Income Level]]),HCDLoanLimitTbl2[],UnitsTbl[[#This Row],[VLOOKUP Base]],FALSE)*UnitsTbl[[#This Row],[HCD Program2]])))),0)</f>
        <v>0</v>
      </c>
      <c r="AK29" s="1218" t="b">
        <f>IFERROR(IF(AND(IsTod,OR(UnitsTbl[[#This Row],[HCD Program 5]]&gt;0,UnitsTbl[[#This Row],[HCD Program2]]&gt;0,UnitsTbl[[#This Row],[HCD Program4]]&gt;0,UnitsTbl[[#This Row],[VHHP
Assisted]]&gt;0)),0,(IF(AND(IsTod,$B$4="TOD",UnitsTbl[[#This Row],[Restricted Income Level]]="Manager"),VLOOKUP(CONCATENATE(County," ",0.6),HCDLoanLimitTbl[],BH29,FALSE)*UnitsTbl[[#This Row],[Total Units]],IF(UnitsTbl[[#This Row],[Restricted Income Level]]&gt;60%,0,IF(IsTod,VLOOKUP(CONCATENATE(County," ",UnitsTbl[[#This Row],[Restricted Income Level]]),HCDLoanLimitTbl[],UnitsTbl[[#This Row],[VLOOKUP Base]],FALSE)*UnitsTbl[[#This Row],[HCD Program3]]))))),0)</f>
        <v>0</v>
      </c>
      <c r="AL29" s="1218" t="b">
        <f>IFERROR(IF(AND(IsShmhp,OR(UnitsTbl[[#This Row],[HCD Program 5]]&gt;0,UnitsTbl[[#This Row],[HCD Program2]]&gt;0,UnitsTbl[[#This Row],[HCD Program3]]&gt;0,UnitsTbl[[#This Row],[VHHP
Assisted]]&gt;0)),0,(IF(AND(IsShmhp,$B$4="SHMHP",UnitsTbl[[#This Row],[Restricted Income Level]]="Manager"),VLOOKUP(CONCATENATE(County," ",0.6),HCDLoanLimitTbl[],BH29,FALSE)*UnitsTbl[[#This Row],[Total Units]],IF(UnitsTbl[[#This Row],[Restricted Income Level]]&gt;60%,0,IF(IsShmhp,VLOOKUP(CONCATENATE(County," ",UnitsTbl[[#This Row],[Restricted Income Level]]),HCDLoanLimitTbl[],UnitsTbl[[#This Row],[VLOOKUP Base]],FALSE)*UnitsTbl[[#This Row],[HCD Program4]]))))),0)</f>
        <v>0</v>
      </c>
      <c r="AM29" s="1219" t="b">
        <f>IFERROR(IF(AND(IsVhhp,OR(UnitsTbl[[#This Row],[HCD Program 5]]&gt;0,UnitsTbl[[#This Row],[HCD Program2]]&gt;0,UnitsTbl[[#This Row],[HCD Program3]]&gt;0,UnitsTbl[[#This Row],[HCD Program4]]&gt;0)),0,(IF(AND(IsVhhp,$B$4="VHHP",UnitsTbl[[#This Row],[Restricted Income Level]]="Manager"),VLOOKUP(CONCATENATE(County," ",0.6),HCDLoanLimitTbl2[],BH29,FALSE)*UnitsTbl[[#This Row],[Total Units]],IF(UnitsTbl[[#This Row],[Restricted Income Level]]&gt;60%,0,IF(IsVhhp,VLOOKUP(CONCATENATE(County," ",UnitsTbl[[#This Row],[Restricted Income Level]]),HCDLoanLimitTbl2[],UnitsTbl[[#This Row],[VLOOKUP Base]],FALSE)*UnitsTbl[[#This Row],[VHHP
Assisted]]))))),0)</f>
        <v>0</v>
      </c>
      <c r="AN29"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",0.6),HCDLoanLimitTbl[],BH29,FALSE)*UnitsTbl[[#This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29" s="1221"/>
      <c r="AP29"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29" s="1223"/>
      <c r="AR29" s="1224"/>
      <c r="AS29" s="1225" t="str">
        <f>IFERROR(IF(UnitsTbl[[#This Row],[Max Gross Rent]]=0,"",UnitsTbl[[#This Row],[Max Gross Rent]]-UnitsTbl[[#This Row],[Less Utility Allowance Schedule 1]]-UnitsTbl[[#This Row],[Less Utility Allowance Schedule 2]]),"")</f>
        <v/>
      </c>
      <c r="AT29" s="1226"/>
      <c r="AU29" s="1225">
        <f>IF(UnitsTbl[[#This Row],[Proposed Net Rent ]]="",0,UnitsTbl[[#This Row],[Total Units]]*UnitsTbl[[#This Row],[Proposed Net Rent ]])</f>
        <v>0</v>
      </c>
      <c r="AV29" s="1227" t="str">
        <f>IF(UnitsTbl[[#This Row],[Proposed Net Rent ]]&gt;0,0,IFERROR(UnitsTbl[[#This Row],[Total Units]]*UnitsTbl[[#This Row],[Maximum Net Rent]],""))</f>
        <v/>
      </c>
      <c r="AW29" s="1228"/>
      <c r="AX29"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29" s="1637"/>
      <c r="AZ29" s="1637"/>
      <c r="BA29" s="1229" t="str">
        <f>IFERROR(IF(UnitsTbl[[#This Row],[Total Units]]="","",UnitsTbl[[#This Row],[Subsidy Payment Over  Gross Rent]]*UnitsTbl[[#This Row],[Total Units]])*NOT($BA$7=""),"")</f>
        <v/>
      </c>
      <c r="BB29" s="1228"/>
      <c r="BC29"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29" s="1230"/>
      <c r="BE29" s="1637"/>
      <c r="BF29" s="1227" t="str">
        <f>IFERROR(IF(UnitsTbl[[#This Row],[Total Units]]="","",UnitsTbl[[#This Row],[Subsidy Payment Over Gross Rent2]]*UnitsTbl[[#This Row],[Total Units]])*NOT($BF$7=""),"")</f>
        <v/>
      </c>
      <c r="BG29" s="1231">
        <f>IF(OR(UnitsTbl[[#This Row],[Special Needs?]]="Yes",UnitsTbl[[#This Row],[Special Needs2?]]="Yes"), 1,0)</f>
        <v>0</v>
      </c>
      <c r="BH29"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29"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29" s="969">
        <f>MIN(SUM(UnitsTbl[[#This Row],[Disability Homelessness]],UnitsTbl[[#This Row],[Chronic Homelessness]],UnitsTbl[[#This Row],[Other Homelessness]]),UnitsTbl[[#This Row],[Total restricted units]])</f>
        <v>0</v>
      </c>
      <c r="BK29" s="969">
        <f>(UnitsTbl[[#This Row],[Restricted Income Level]]&lt;=30%)*UnitsTbl[[#This Row],[Total restricted units]]</f>
        <v>0</v>
      </c>
      <c r="BL29" s="969">
        <f t="shared" si="8"/>
        <v>0</v>
      </c>
      <c r="BM29" s="307">
        <f>UnitsTbl[[#This Row],[Units being subsidized]]*SUM(UnitsTbl[[#This Row],[Less Utility Allowance Schedule 1]],UnitsTbl[[#This Row],[Less Utility Allowance Schedule 2]])</f>
        <v>0</v>
      </c>
      <c r="BN29" s="307">
        <f>UnitsTbl[[#This Row],[Units being subsidized2]]*SUM(UnitsTbl[[#This Row],[Less Utility Allowance Schedule 1]],UnitsTbl[[#This Row],[Less Utility Allowance Schedule 2]])</f>
        <v>0</v>
      </c>
      <c r="BO29" s="307"/>
      <c r="BP29" s="2638" t="s">
        <v>1516</v>
      </c>
      <c r="BQ29" s="1953"/>
      <c r="BR29" s="1953"/>
      <c r="BS29" s="1953"/>
      <c r="BT29" s="1953"/>
      <c r="BU29" s="1770"/>
      <c r="BV29" s="2615" t="s">
        <v>1517</v>
      </c>
      <c r="BX29" s="1129" t="s">
        <v>118</v>
      </c>
      <c r="BY29" s="811">
        <v>35700</v>
      </c>
      <c r="BZ29" s="1744">
        <v>40850</v>
      </c>
      <c r="CA29" s="1744">
        <v>45900</v>
      </c>
      <c r="CB29" s="1744">
        <v>51050</v>
      </c>
      <c r="CC29" s="1744">
        <v>55100</v>
      </c>
      <c r="CD29" s="1744">
        <v>59200</v>
      </c>
      <c r="CE29" s="1744">
        <v>63300</v>
      </c>
      <c r="CF29" s="1135">
        <v>67350</v>
      </c>
      <c r="CH29" s="2580" t="s">
        <v>1599</v>
      </c>
      <c r="CI29" s="2581"/>
      <c r="CJ29" s="2581"/>
      <c r="CK29" s="2581"/>
      <c r="CL29" s="2581"/>
      <c r="CM29" s="2581"/>
      <c r="CN29" s="2581"/>
      <c r="CO29" s="2581"/>
      <c r="CP29" s="2444"/>
      <c r="CQ29" s="1682"/>
      <c r="CR29" s="386" t="b">
        <f>OR(AND(OR($BA$7="USDA",$BA$7="Other Federal"),UnitsTbl[[#This Row],[Gross Monthly Contract Rent]]&gt;0),AND(OR($BF$7="USDA",$BF$7="Other Federal"),UnitsTbl[[#This Row],[Net Monthly Contract Rent2]]&gt;0))</f>
        <v>0</v>
      </c>
      <c r="CS29" s="223">
        <f>IF(UnitsTbl[[#This Row],[Restricted Income Level]]="Manager",0,UnitsTbl[[#This Row],[Total Units]]*INDEX(SizeFactors,MATCH(MIN(UnitsTbl[[#This Row],[Number of Bedrooms]],4),Sizes,0)))</f>
        <v>0</v>
      </c>
      <c r="CT29" s="550">
        <f>IF(UnitsTbl[[#This Row],[Restricted Income Level]]="Manager",0,UnitsTbl[[#This Row],[Total Units]]-SUM(UnitsTbl[[#This Row],[Units being subsidized]]*($BA$7&lt;&gt;"Not Federal"),UnitsTbl[[#This Row],[Units being subsidized2]]*($BF$7&lt;&gt;"Not Federal")))</f>
        <v>0</v>
      </c>
      <c r="CU29" s="309">
        <f>IFERROR(IF(AND($CU$8,CR29=FALSE),40%,IF(UnitsTbl[[#This Row],[Restricted Income Level]]&lt;30%,30%,UnitsTbl[[#This Row],[Restricted Income Level]])),0)</f>
        <v>0.4</v>
      </c>
      <c r="CV29" s="1682"/>
      <c r="CW29" s="555">
        <f t="shared" si="9"/>
        <v>0.4</v>
      </c>
      <c r="CX29" s="553">
        <f>IF(UnitsTbl[[#This Row],[Rent Limit Calculation Formula]]="TCAC",VLOOKUP(County&amp;CW29,TCACrentTbl[],UnitsTbl[[#This Row],[Number of Bedrooms]]+2,FALSE)-SUM(UnitsTbl[[#This Row],[Less Utility Allowance Schedule 2]],UnitsTbl[[#This Row],[Less Utility Allowance Schedule 1]]),IF(UnitsTbl[[#This Row],[Rent Limit Calculation Formula]]="Other",VLOOKUP(County&amp;CW29,OtherRentLimitTbl[],UnitsTbl[[#This Row],[Number of Bedrooms]]+3,FALSE)-SUM(UnitsTbl[[#This Row],[Less Utility Allowance Schedule 2]],UnitsTbl[[#This Row],[Less Utility Allowance Schedule 1]]),0))</f>
        <v>0</v>
      </c>
      <c r="CY29" s="363">
        <f>MAX(UnitsTbl[[#This Row],[Gross Monthly Contract Rent]],UnitsTbl[[#This Row],[Net Monthly Contract Rent2]])</f>
        <v>0</v>
      </c>
      <c r="CZ29" s="553">
        <f>IF(UnitsTbl[[#This Row],[Number of Bedrooms]]="",0,VLOOKUP(County&amp;"0.6",TCACrentTbl[],UnitsTbl[[#This Row],[Number of Bedrooms]]+2,FALSE))-SUM(UnitsTbl[[#This Row],[Less Utility Allowance Schedule 2]],UnitsTbl[[#This Row],[Less Utility Allowance Schedule 1]])</f>
        <v>0</v>
      </c>
      <c r="DA29" s="78" t="b">
        <f>OR(AND($BA$7="USDA",UnitsTbl[[#This Row],[Gross Monthly Contract Rent]]&gt;0),AND($BF$7="USDA",UnitsTbl[[#This Row],[Net Monthly Contract Rent2]]&gt;0))</f>
        <v>0</v>
      </c>
      <c r="DB29" s="363">
        <f t="shared" si="10"/>
        <v>0</v>
      </c>
      <c r="DC29" s="363">
        <f t="shared" si="11"/>
        <v>0</v>
      </c>
      <c r="DD29" s="364">
        <f>UnitsTbl[[#This Row],[Total Units]]*DC29</f>
        <v>0</v>
      </c>
    </row>
    <row r="30" spans="1:108" ht="18" customHeight="1">
      <c r="A30" s="693"/>
      <c r="B30" s="1210"/>
      <c r="C30" s="1211"/>
      <c r="D30" s="1637"/>
      <c r="E30" s="1212"/>
      <c r="F30" s="1637"/>
      <c r="G30" s="1637"/>
      <c r="H30" s="1637"/>
      <c r="I30" s="1213"/>
      <c r="J30" s="1213"/>
      <c r="K30" s="1637"/>
      <c r="L30" s="1214"/>
      <c r="M30" s="1637"/>
      <c r="N30" s="1637"/>
      <c r="O30" s="1637"/>
      <c r="P30" s="1637"/>
      <c r="Q30" s="1637"/>
      <c r="R30" s="1637"/>
      <c r="S30" s="1637"/>
      <c r="T30" s="1637"/>
      <c r="U30" s="1637"/>
      <c r="V30" s="1637"/>
      <c r="W30" s="1637"/>
      <c r="X30" s="1637"/>
      <c r="Y30" s="1637"/>
      <c r="Z30" s="1637"/>
      <c r="AA30" s="1637"/>
      <c r="AB30" s="1637"/>
      <c r="AC30" s="1637"/>
      <c r="AD30" s="1215"/>
      <c r="AE30" s="1210"/>
      <c r="AF30" s="1637"/>
      <c r="AG30" s="1216"/>
      <c r="AH30" s="667"/>
      <c r="AI30"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30" s="1218" t="b">
        <f>IFERROR(IF(AND(IsSerna,OR(UnitsTbl[[#This Row],[VHHP
Assisted]]&gt;0,UnitsTbl[[#This Row],[HCD Program 5]]&gt;0)),0,IF(AND(IsSerna,$B$4="FWHG",UnitsTbl[[#This Row],[Restricted Income Level]]="Manager"),VLOOKUP(CONCATENATE(County," ",0.6),HCDLoanLimitTbl2[],BH30,FALSE)*UnitsTbl[[#This Row],[Total Units]],IF(UnitsTbl[[#This Row],[Restricted Income Level]]&gt;80%,0,IF(IsSerna,VLOOKUP(CONCATENATE(County," ",UnitsTbl[[#This Row],[Restricted Income Level]]),HCDLoanLimitTbl2[],UnitsTbl[[#This Row],[VLOOKUP Base]],FALSE)*UnitsTbl[[#This Row],[HCD Program2]])))),0)</f>
        <v>0</v>
      </c>
      <c r="AK30" s="1218" t="b">
        <f>IFERROR(IF(AND(IsTod,OR(UnitsTbl[[#This Row],[HCD Program 5]]&gt;0,UnitsTbl[[#This Row],[HCD Program2]]&gt;0,UnitsTbl[[#This Row],[HCD Program4]]&gt;0,UnitsTbl[[#This Row],[VHHP
Assisted]]&gt;0)),0,(IF(AND(IsTod,$B$4="TOD",UnitsTbl[[#This Row],[Restricted Income Level]]="Manager"),VLOOKUP(CONCATENATE(County," ",0.6),HCDLoanLimitTbl[],BH30,FALSE)*UnitsTbl[[#This Row],[Total Units]],IF(UnitsTbl[[#This Row],[Restricted Income Level]]&gt;60%,0,IF(IsTod,VLOOKUP(CONCATENATE(County," ",UnitsTbl[[#This Row],[Restricted Income Level]]),HCDLoanLimitTbl[],UnitsTbl[[#This Row],[VLOOKUP Base]],FALSE)*UnitsTbl[[#This Row],[HCD Program3]]))))),0)</f>
        <v>0</v>
      </c>
      <c r="AL30" s="1218" t="b">
        <f>IFERROR(IF(AND(IsShmhp,OR(UnitsTbl[[#This Row],[HCD Program 5]]&gt;0,UnitsTbl[[#This Row],[HCD Program2]]&gt;0,UnitsTbl[[#This Row],[HCD Program3]]&gt;0,UnitsTbl[[#This Row],[VHHP
Assisted]]&gt;0)),0,(IF(AND(IsShmhp,$B$4="SHMHP",UnitsTbl[[#This Row],[Restricted Income Level]]="Manager"),VLOOKUP(CONCATENATE(County," ",0.6),HCDLoanLimitTbl[],BH30,FALSE)*UnitsTbl[[#This Row],[Total Units]],IF(UnitsTbl[[#This Row],[Restricted Income Level]]&gt;60%,0,IF(IsShmhp,VLOOKUP(CONCATENATE(County," ",UnitsTbl[[#This Row],[Restricted Income Level]]),HCDLoanLimitTbl[],UnitsTbl[[#This Row],[VLOOKUP Base]],FALSE)*UnitsTbl[[#This Row],[HCD Program4]]))))),0)</f>
        <v>0</v>
      </c>
      <c r="AM30" s="1219" t="b">
        <f>IFERROR(IF(AND(IsVhhp,OR(UnitsTbl[[#This Row],[HCD Program 5]]&gt;0,UnitsTbl[[#This Row],[HCD Program2]]&gt;0,UnitsTbl[[#This Row],[HCD Program3]]&gt;0,UnitsTbl[[#This Row],[HCD Program4]]&gt;0)),0,(IF(AND(IsVhhp,$B$4="VHHP",UnitsTbl[[#This Row],[Restricted Income Level]]="Manager"),VLOOKUP(CONCATENATE(County," ",0.6),HCDLoanLimitTbl2[],BH30,FALSE)*UnitsTbl[[#This Row],[Total Units]],IF(UnitsTbl[[#This Row],[Restricted Income Level]]&gt;60%,0,IF(IsVhhp,VLOOKUP(CONCATENATE(County," ",UnitsTbl[[#This Row],[Restricted Income Level]]),HCDLoanLimitTbl2[],UnitsTbl[[#This Row],[VLOOKUP Base]],FALSE)*UnitsTbl[[#This Row],[VHHP
Assisted]]))))),0)</f>
        <v>0</v>
      </c>
      <c r="AN30"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",0.6),HCDLoanLimitTbl[],BH30,FALSE)*UnitsTbl[[#This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30" s="1221"/>
      <c r="AP30"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30" s="1223"/>
      <c r="AR30" s="1224"/>
      <c r="AS30" s="1225" t="str">
        <f>IFERROR(IF(UnitsTbl[[#This Row],[Max Gross Rent]]=0,"",UnitsTbl[[#This Row],[Max Gross Rent]]-UnitsTbl[[#This Row],[Less Utility Allowance Schedule 1]]-UnitsTbl[[#This Row],[Less Utility Allowance Schedule 2]]),"")</f>
        <v/>
      </c>
      <c r="AT30" s="1226"/>
      <c r="AU30" s="1225">
        <f>IF(UnitsTbl[[#This Row],[Proposed Net Rent ]]="",0,UnitsTbl[[#This Row],[Total Units]]*UnitsTbl[[#This Row],[Proposed Net Rent ]])</f>
        <v>0</v>
      </c>
      <c r="AV30" s="1227" t="str">
        <f>IF(UnitsTbl[[#This Row],[Proposed Net Rent ]]&gt;0,0,IFERROR(UnitsTbl[[#This Row],[Total Units]]*UnitsTbl[[#This Row],[Maximum Net Rent]],""))</f>
        <v/>
      </c>
      <c r="AW30" s="1228"/>
      <c r="AX30"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30" s="1637"/>
      <c r="AZ30" s="1637"/>
      <c r="BA30" s="1229" t="str">
        <f>IFERROR(IF(UnitsTbl[[#This Row],[Total Units]]="","",UnitsTbl[[#This Row],[Subsidy Payment Over  Gross Rent]]*UnitsTbl[[#This Row],[Total Units]])*NOT($BA$7=""),"")</f>
        <v/>
      </c>
      <c r="BB30" s="1228"/>
      <c r="BC30"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30" s="1230"/>
      <c r="BE30" s="1637"/>
      <c r="BF30" s="1227" t="str">
        <f>IFERROR(IF(UnitsTbl[[#This Row],[Total Units]]="","",UnitsTbl[[#This Row],[Subsidy Payment Over Gross Rent2]]*UnitsTbl[[#This Row],[Total Units]])*NOT($BF$7=""),"")</f>
        <v/>
      </c>
      <c r="BG30" s="1231">
        <f>IF(OR(UnitsTbl[[#This Row],[Special Needs?]]="Yes",UnitsTbl[[#This Row],[Special Needs2?]]="Yes"), 1,0)</f>
        <v>0</v>
      </c>
      <c r="BH30"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30"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30" s="969">
        <f>MIN(SUM(UnitsTbl[[#This Row],[Disability Homelessness]],UnitsTbl[[#This Row],[Chronic Homelessness]],UnitsTbl[[#This Row],[Other Homelessness]]),UnitsTbl[[#This Row],[Total restricted units]])</f>
        <v>0</v>
      </c>
      <c r="BK30" s="969">
        <f>(UnitsTbl[[#This Row],[Restricted Income Level]]&lt;=30%)*UnitsTbl[[#This Row],[Total restricted units]]</f>
        <v>0</v>
      </c>
      <c r="BL30" s="969">
        <f t="shared" si="8"/>
        <v>0</v>
      </c>
      <c r="BM30" s="307">
        <f>UnitsTbl[[#This Row],[Units being subsidized]]*SUM(UnitsTbl[[#This Row],[Less Utility Allowance Schedule 1]],UnitsTbl[[#This Row],[Less Utility Allowance Schedule 2]])</f>
        <v>0</v>
      </c>
      <c r="BN30" s="307">
        <f>UnitsTbl[[#This Row],[Units being subsidized2]]*SUM(UnitsTbl[[#This Row],[Less Utility Allowance Schedule 1]],UnitsTbl[[#This Row],[Less Utility Allowance Schedule 2]])</f>
        <v>0</v>
      </c>
      <c r="BO30" s="307"/>
      <c r="BP30" s="2584"/>
      <c r="BQ30" s="1877"/>
      <c r="BR30" s="1877"/>
      <c r="BS30" s="1877"/>
      <c r="BT30" s="1877"/>
      <c r="BU30" s="1772"/>
      <c r="BV30" s="2572"/>
      <c r="BX30" s="1129" t="s">
        <v>52</v>
      </c>
      <c r="BY30" s="812">
        <v>50600</v>
      </c>
      <c r="BZ30" s="813">
        <v>57850</v>
      </c>
      <c r="CA30" s="813">
        <v>65100</v>
      </c>
      <c r="CB30" s="813">
        <v>72300</v>
      </c>
      <c r="CC30" s="813">
        <v>78100</v>
      </c>
      <c r="CD30" s="813">
        <v>83850</v>
      </c>
      <c r="CE30" s="813">
        <v>89650</v>
      </c>
      <c r="CF30" s="1147">
        <v>95450</v>
      </c>
      <c r="CH30" s="386"/>
      <c r="CP30" s="1681"/>
      <c r="CQ30" s="1682"/>
      <c r="CR30" s="386" t="b">
        <f>OR(AND(OR($BA$7="USDA",$BA$7="Other Federal"),UnitsTbl[[#This Row],[Gross Monthly Contract Rent]]&gt;0),AND(OR($BF$7="USDA",$BF$7="Other Federal"),UnitsTbl[[#This Row],[Net Monthly Contract Rent2]]&gt;0))</f>
        <v>0</v>
      </c>
      <c r="CS30" s="223">
        <f>IF(UnitsTbl[[#This Row],[Restricted Income Level]]="Manager",0,UnitsTbl[[#This Row],[Total Units]]*INDEX(SizeFactors,MATCH(MIN(UnitsTbl[[#This Row],[Number of Bedrooms]],4),Sizes,0)))</f>
        <v>0</v>
      </c>
      <c r="CT30" s="550">
        <f>IF(UnitsTbl[[#This Row],[Restricted Income Level]]="Manager",0,UnitsTbl[[#This Row],[Total Units]]-SUM(UnitsTbl[[#This Row],[Units being subsidized]]*($BA$7&lt;&gt;"Not Federal"),UnitsTbl[[#This Row],[Units being subsidized2]]*($BF$7&lt;&gt;"Not Federal")))</f>
        <v>0</v>
      </c>
      <c r="CU30" s="309">
        <f>IFERROR(IF(AND($CU$8,CR30=FALSE),40%,IF(UnitsTbl[[#This Row],[Restricted Income Level]]&lt;30%,30%,UnitsTbl[[#This Row],[Restricted Income Level]])),0)</f>
        <v>0.4</v>
      </c>
      <c r="CV30" s="1682"/>
      <c r="CW30" s="555">
        <f t="shared" si="9"/>
        <v>0.4</v>
      </c>
      <c r="CX30" s="553">
        <f>IF(UnitsTbl[[#This Row],[Rent Limit Calculation Formula]]="TCAC",VLOOKUP(County&amp;CW30,TCACrentTbl[],UnitsTbl[[#This Row],[Number of Bedrooms]]+2,FALSE)-SUM(UnitsTbl[[#This Row],[Less Utility Allowance Schedule 2]],UnitsTbl[[#This Row],[Less Utility Allowance Schedule 1]]),IF(UnitsTbl[[#This Row],[Rent Limit Calculation Formula]]="Other",VLOOKUP(County&amp;CW30,OtherRentLimitTbl[],UnitsTbl[[#This Row],[Number of Bedrooms]]+3,FALSE)-SUM(UnitsTbl[[#This Row],[Less Utility Allowance Schedule 2]],UnitsTbl[[#This Row],[Less Utility Allowance Schedule 1]]),0))</f>
        <v>0</v>
      </c>
      <c r="CY30" s="363">
        <f>MAX(UnitsTbl[[#This Row],[Gross Monthly Contract Rent]],UnitsTbl[[#This Row],[Net Monthly Contract Rent2]])</f>
        <v>0</v>
      </c>
      <c r="CZ30" s="553">
        <f>IF(UnitsTbl[[#This Row],[Number of Bedrooms]]="",0,VLOOKUP(County&amp;"0.6",TCACrentTbl[],UnitsTbl[[#This Row],[Number of Bedrooms]]+2,FALSE))-SUM(UnitsTbl[[#This Row],[Less Utility Allowance Schedule 2]],UnitsTbl[[#This Row],[Less Utility Allowance Schedule 1]])</f>
        <v>0</v>
      </c>
      <c r="DA30" s="78" t="b">
        <f>OR(AND($BA$7="USDA",UnitsTbl[[#This Row],[Gross Monthly Contract Rent]]&gt;0),AND($BF$7="USDA",UnitsTbl[[#This Row],[Net Monthly Contract Rent2]]&gt;0))</f>
        <v>0</v>
      </c>
      <c r="DB30" s="363">
        <f t="shared" si="10"/>
        <v>0</v>
      </c>
      <c r="DC30" s="363">
        <f t="shared" si="11"/>
        <v>0</v>
      </c>
      <c r="DD30" s="364">
        <f>UnitsTbl[[#This Row],[Total Units]]*DC30</f>
        <v>0</v>
      </c>
    </row>
    <row r="31" spans="1:108" ht="18" customHeight="1">
      <c r="A31" s="693"/>
      <c r="B31" s="1210"/>
      <c r="C31" s="1211"/>
      <c r="D31" s="1637"/>
      <c r="E31" s="1212"/>
      <c r="F31" s="1637"/>
      <c r="G31" s="1637"/>
      <c r="H31" s="1637"/>
      <c r="I31" s="1213"/>
      <c r="J31" s="1213"/>
      <c r="K31" s="1637"/>
      <c r="L31" s="1214"/>
      <c r="M31" s="1637"/>
      <c r="N31" s="1637"/>
      <c r="O31" s="1637"/>
      <c r="P31" s="1637"/>
      <c r="Q31" s="1637"/>
      <c r="R31" s="1637"/>
      <c r="S31" s="1637"/>
      <c r="T31" s="1637"/>
      <c r="U31" s="1637"/>
      <c r="V31" s="1637"/>
      <c r="W31" s="1637"/>
      <c r="X31" s="1637"/>
      <c r="Y31" s="1637"/>
      <c r="Z31" s="1637"/>
      <c r="AA31" s="1637"/>
      <c r="AB31" s="1637"/>
      <c r="AC31" s="1637"/>
      <c r="AD31" s="1215"/>
      <c r="AE31" s="1210"/>
      <c r="AF31" s="1637"/>
      <c r="AG31" s="1216"/>
      <c r="AH31" s="667"/>
      <c r="AI31"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31" s="1218" t="b">
        <f>IFERROR(IF(AND(IsSerna,OR(UnitsTbl[[#This Row],[VHHP
Assisted]]&gt;0,UnitsTbl[[#This Row],[HCD Program 5]]&gt;0)),0,IF(AND(IsSerna,$B$4="FWHG",UnitsTbl[[#This Row],[Restricted Income Level]]="Manager"),VLOOKUP(CONCATENATE(County," ",0.6),HCDLoanLimitTbl2[],BH31,FALSE)*UnitsTbl[[#This Row],[Total Units]],IF(UnitsTbl[[#This Row],[Restricted Income Level]]&gt;80%,0,IF(IsSerna,VLOOKUP(CONCATENATE(County," ",UnitsTbl[[#This Row],[Restricted Income Level]]),HCDLoanLimitTbl2[],UnitsTbl[[#This Row],[VLOOKUP Base]],FALSE)*UnitsTbl[[#This Row],[HCD Program2]])))),0)</f>
        <v>0</v>
      </c>
      <c r="AK31" s="1218" t="b">
        <f>IFERROR(IF(AND(IsTod,OR(UnitsTbl[[#This Row],[HCD Program 5]]&gt;0,UnitsTbl[[#This Row],[HCD Program2]]&gt;0,UnitsTbl[[#This Row],[HCD Program4]]&gt;0,UnitsTbl[[#This Row],[VHHP
Assisted]]&gt;0)),0,(IF(AND(IsTod,$B$4="TOD",UnitsTbl[[#This Row],[Restricted Income Level]]="Manager"),VLOOKUP(CONCATENATE(County," ",0.6),HCDLoanLimitTbl[],BH31,FALSE)*UnitsTbl[[#This Row],[Total Units]],IF(UnitsTbl[[#This Row],[Restricted Income Level]]&gt;60%,0,IF(IsTod,VLOOKUP(CONCATENATE(County," ",UnitsTbl[[#This Row],[Restricted Income Level]]),HCDLoanLimitTbl[],UnitsTbl[[#This Row],[VLOOKUP Base]],FALSE)*UnitsTbl[[#This Row],[HCD Program3]]))))),0)</f>
        <v>0</v>
      </c>
      <c r="AL31" s="1218" t="b">
        <f>IFERROR(IF(AND(IsShmhp,OR(UnitsTbl[[#This Row],[HCD Program 5]]&gt;0,UnitsTbl[[#This Row],[HCD Program2]]&gt;0,UnitsTbl[[#This Row],[HCD Program3]]&gt;0,UnitsTbl[[#This Row],[VHHP
Assisted]]&gt;0)),0,(IF(AND(IsShmhp,$B$4="SHMHP",UnitsTbl[[#This Row],[Restricted Income Level]]="Manager"),VLOOKUP(CONCATENATE(County," ",0.6),HCDLoanLimitTbl[],BH31,FALSE)*UnitsTbl[[#This Row],[Total Units]],IF(UnitsTbl[[#This Row],[Restricted Income Level]]&gt;60%,0,IF(IsShmhp,VLOOKUP(CONCATENATE(County," ",UnitsTbl[[#This Row],[Restricted Income Level]]),HCDLoanLimitTbl[],UnitsTbl[[#This Row],[VLOOKUP Base]],FALSE)*UnitsTbl[[#This Row],[HCD Program4]]))))),0)</f>
        <v>0</v>
      </c>
      <c r="AM31" s="1219" t="b">
        <f>IFERROR(IF(AND(IsVhhp,OR(UnitsTbl[[#This Row],[HCD Program 5]]&gt;0,UnitsTbl[[#This Row],[HCD Program2]]&gt;0,UnitsTbl[[#This Row],[HCD Program3]]&gt;0,UnitsTbl[[#This Row],[HCD Program4]]&gt;0)),0,(IF(AND(IsVhhp,$B$4="VHHP",UnitsTbl[[#This Row],[Restricted Income Level]]="Manager"),VLOOKUP(CONCATENATE(County," ",0.6),HCDLoanLimitTbl2[],BH31,FALSE)*UnitsTbl[[#This Row],[Total Units]],IF(UnitsTbl[[#This Row],[Restricted Income Level]]&gt;60%,0,IF(IsVhhp,VLOOKUP(CONCATENATE(County," ",UnitsTbl[[#This Row],[Restricted Income Level]]),HCDLoanLimitTbl2[],UnitsTbl[[#This Row],[VLOOKUP Base]],FALSE)*UnitsTbl[[#This Row],[VHHP
Assisted]]))))),0)</f>
        <v>0</v>
      </c>
      <c r="AN31"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",0.6),HCDLoanLimitTbl[],BH31,FALSE)*UnitsTbl[[#This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31" s="1221"/>
      <c r="AP31"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31" s="1223"/>
      <c r="AR31" s="1224"/>
      <c r="AS31" s="1225" t="str">
        <f>IFERROR(IF(UnitsTbl[[#This Row],[Max Gross Rent]]=0,"",UnitsTbl[[#This Row],[Max Gross Rent]]-UnitsTbl[[#This Row],[Less Utility Allowance Schedule 1]]-UnitsTbl[[#This Row],[Less Utility Allowance Schedule 2]]),"")</f>
        <v/>
      </c>
      <c r="AT31" s="1226"/>
      <c r="AU31" s="1225">
        <f>IF(UnitsTbl[[#This Row],[Proposed Net Rent ]]="",0,UnitsTbl[[#This Row],[Total Units]]*UnitsTbl[[#This Row],[Proposed Net Rent ]])</f>
        <v>0</v>
      </c>
      <c r="AV31" s="1227" t="str">
        <f>IF(UnitsTbl[[#This Row],[Proposed Net Rent ]]&gt;0,0,IFERROR(UnitsTbl[[#This Row],[Total Units]]*UnitsTbl[[#This Row],[Maximum Net Rent]],""))</f>
        <v/>
      </c>
      <c r="AW31" s="1228"/>
      <c r="AX31"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31" s="1637"/>
      <c r="AZ31" s="1637"/>
      <c r="BA31" s="1229" t="str">
        <f>IFERROR(IF(UnitsTbl[[#This Row],[Total Units]]="","",UnitsTbl[[#This Row],[Subsidy Payment Over  Gross Rent]]*UnitsTbl[[#This Row],[Total Units]])*NOT($BA$7=""),"")</f>
        <v/>
      </c>
      <c r="BB31" s="1228"/>
      <c r="BC31"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31" s="1230"/>
      <c r="BE31" s="1637"/>
      <c r="BF31" s="1227" t="str">
        <f>IFERROR(IF(UnitsTbl[[#This Row],[Total Units]]="","",UnitsTbl[[#This Row],[Subsidy Payment Over Gross Rent2]]*UnitsTbl[[#This Row],[Total Units]])*NOT($BF$7=""),"")</f>
        <v/>
      </c>
      <c r="BG31" s="1231">
        <f>IF(OR(UnitsTbl[[#This Row],[Special Needs?]]="Yes",UnitsTbl[[#This Row],[Special Needs2?]]="Yes"), 1,0)</f>
        <v>0</v>
      </c>
      <c r="BH31"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31"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31" s="969">
        <f>MIN(SUM(UnitsTbl[[#This Row],[Disability Homelessness]],UnitsTbl[[#This Row],[Chronic Homelessness]],UnitsTbl[[#This Row],[Other Homelessness]]),UnitsTbl[[#This Row],[Total restricted units]])</f>
        <v>0</v>
      </c>
      <c r="BK31" s="969">
        <f>(UnitsTbl[[#This Row],[Restricted Income Level]]&lt;=30%)*UnitsTbl[[#This Row],[Total restricted units]]</f>
        <v>0</v>
      </c>
      <c r="BL31" s="969">
        <f t="shared" si="8"/>
        <v>0</v>
      </c>
      <c r="BM31" s="307">
        <f>UnitsTbl[[#This Row],[Units being subsidized]]*SUM(UnitsTbl[[#This Row],[Less Utility Allowance Schedule 1]],UnitsTbl[[#This Row],[Less Utility Allowance Schedule 2]])</f>
        <v>0</v>
      </c>
      <c r="BN31" s="307">
        <f>UnitsTbl[[#This Row],[Units being subsidized2]]*SUM(UnitsTbl[[#This Row],[Less Utility Allowance Schedule 1]],UnitsTbl[[#This Row],[Less Utility Allowance Schedule 2]])</f>
        <v>0</v>
      </c>
      <c r="BO31" s="307"/>
      <c r="BP31" s="1206" t="s">
        <v>1474</v>
      </c>
      <c r="BQ31" s="1207" t="s">
        <v>1580</v>
      </c>
      <c r="BR31" s="1207" t="s">
        <v>1581</v>
      </c>
      <c r="BS31" s="1207" t="s">
        <v>1582</v>
      </c>
      <c r="BT31" s="1207" t="s">
        <v>1583</v>
      </c>
      <c r="BU31" s="1207" t="s">
        <v>1584</v>
      </c>
      <c r="BV31" s="1208" t="s">
        <v>1585</v>
      </c>
      <c r="BX31" s="1129" t="s">
        <v>122</v>
      </c>
      <c r="BY31" s="811">
        <v>56100</v>
      </c>
      <c r="BZ31" s="1744">
        <v>64100</v>
      </c>
      <c r="CA31" s="1744">
        <v>72150</v>
      </c>
      <c r="CB31" s="1744">
        <v>80150</v>
      </c>
      <c r="CC31" s="1744">
        <v>86600</v>
      </c>
      <c r="CD31" s="1744">
        <v>93000</v>
      </c>
      <c r="CE31" s="1744">
        <v>99400</v>
      </c>
      <c r="CF31" s="1135">
        <v>105800</v>
      </c>
      <c r="CH31" s="386"/>
      <c r="CI31" s="78" t="s">
        <v>1600</v>
      </c>
      <c r="CP31" s="1681"/>
      <c r="CQ31" s="1682"/>
      <c r="CR31" s="386" t="b">
        <f>OR(AND(OR($BA$7="USDA",$BA$7="Other Federal"),UnitsTbl[[#This Row],[Gross Monthly Contract Rent]]&gt;0),AND(OR($BF$7="USDA",$BF$7="Other Federal"),UnitsTbl[[#This Row],[Net Monthly Contract Rent2]]&gt;0))</f>
        <v>0</v>
      </c>
      <c r="CS31" s="223">
        <f>IF(UnitsTbl[[#This Row],[Restricted Income Level]]="Manager",0,UnitsTbl[[#This Row],[Total Units]]*INDEX(SizeFactors,MATCH(MIN(UnitsTbl[[#This Row],[Number of Bedrooms]],4),Sizes,0)))</f>
        <v>0</v>
      </c>
      <c r="CT31" s="550">
        <f>IF(UnitsTbl[[#This Row],[Restricted Income Level]]="Manager",0,UnitsTbl[[#This Row],[Total Units]]-SUM(UnitsTbl[[#This Row],[Units being subsidized]]*($BA$7&lt;&gt;"Not Federal"),UnitsTbl[[#This Row],[Units being subsidized2]]*($BF$7&lt;&gt;"Not Federal")))</f>
        <v>0</v>
      </c>
      <c r="CU31" s="309">
        <f>IFERROR(IF(AND($CU$8,CR31=FALSE),40%,IF(UnitsTbl[[#This Row],[Restricted Income Level]]&lt;30%,30%,UnitsTbl[[#This Row],[Restricted Income Level]])),0)</f>
        <v>0.4</v>
      </c>
      <c r="CV31" s="1682"/>
      <c r="CW31" s="555">
        <f t="shared" si="9"/>
        <v>0.4</v>
      </c>
      <c r="CX31" s="553">
        <f>IF(UnitsTbl[[#This Row],[Rent Limit Calculation Formula]]="TCAC",VLOOKUP(County&amp;CW31,TCACrentTbl[],UnitsTbl[[#This Row],[Number of Bedrooms]]+2,FALSE)-SUM(UnitsTbl[[#This Row],[Less Utility Allowance Schedule 2]],UnitsTbl[[#This Row],[Less Utility Allowance Schedule 1]]),IF(UnitsTbl[[#This Row],[Rent Limit Calculation Formula]]="Other",VLOOKUP(County&amp;CW31,OtherRentLimitTbl[],UnitsTbl[[#This Row],[Number of Bedrooms]]+3,FALSE)-SUM(UnitsTbl[[#This Row],[Less Utility Allowance Schedule 2]],UnitsTbl[[#This Row],[Less Utility Allowance Schedule 1]]),0))</f>
        <v>0</v>
      </c>
      <c r="CY31" s="363">
        <f>MAX(UnitsTbl[[#This Row],[Gross Monthly Contract Rent]],UnitsTbl[[#This Row],[Net Monthly Contract Rent2]])</f>
        <v>0</v>
      </c>
      <c r="CZ31" s="553">
        <f>IF(UnitsTbl[[#This Row],[Number of Bedrooms]]="",0,VLOOKUP(County&amp;"0.6",TCACrentTbl[],UnitsTbl[[#This Row],[Number of Bedrooms]]+2,FALSE))-SUM(UnitsTbl[[#This Row],[Less Utility Allowance Schedule 2]],UnitsTbl[[#This Row],[Less Utility Allowance Schedule 1]])</f>
        <v>0</v>
      </c>
      <c r="DA31" s="78" t="b">
        <f>OR(AND($BA$7="USDA",UnitsTbl[[#This Row],[Gross Monthly Contract Rent]]&gt;0),AND($BF$7="USDA",UnitsTbl[[#This Row],[Net Monthly Contract Rent2]]&gt;0))</f>
        <v>0</v>
      </c>
      <c r="DB31" s="363">
        <f t="shared" si="10"/>
        <v>0</v>
      </c>
      <c r="DC31" s="363">
        <f t="shared" si="11"/>
        <v>0</v>
      </c>
      <c r="DD31" s="364">
        <f>UnitsTbl[[#This Row],[Total Units]]*DC31</f>
        <v>0</v>
      </c>
    </row>
    <row r="32" spans="1:108" ht="18" customHeight="1">
      <c r="A32" s="693"/>
      <c r="B32" s="1210"/>
      <c r="C32" s="1211"/>
      <c r="D32" s="1637"/>
      <c r="E32" s="1212"/>
      <c r="F32" s="1637"/>
      <c r="G32" s="1637"/>
      <c r="H32" s="1637"/>
      <c r="I32" s="1213"/>
      <c r="J32" s="1213"/>
      <c r="K32" s="1637"/>
      <c r="L32" s="1214"/>
      <c r="M32" s="1637"/>
      <c r="N32" s="1637"/>
      <c r="O32" s="1637"/>
      <c r="P32" s="1637"/>
      <c r="Q32" s="1637"/>
      <c r="R32" s="1637"/>
      <c r="S32" s="1637"/>
      <c r="T32" s="1637"/>
      <c r="U32" s="1637"/>
      <c r="V32" s="1637"/>
      <c r="W32" s="1637"/>
      <c r="X32" s="1637"/>
      <c r="Y32" s="1637"/>
      <c r="Z32" s="1637"/>
      <c r="AA32" s="1637"/>
      <c r="AB32" s="1637"/>
      <c r="AC32" s="1637"/>
      <c r="AD32" s="1215"/>
      <c r="AE32" s="1210"/>
      <c r="AF32" s="1637"/>
      <c r="AG32" s="1216"/>
      <c r="AH32" s="667"/>
      <c r="AI32"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32" s="1218" t="b">
        <f>IFERROR(IF(AND(IsSerna,OR(UnitsTbl[[#This Row],[VHHP
Assisted]]&gt;0,UnitsTbl[[#This Row],[HCD Program 5]]&gt;0)),0,IF(AND(IsSerna,$B$4="FWHG",UnitsTbl[[#This Row],[Restricted Income Level]]="Manager"),VLOOKUP(CONCATENATE(County," ",0.6),HCDLoanLimitTbl2[],BH32,FALSE)*UnitsTbl[[#This Row],[Total Units]],IF(UnitsTbl[[#This Row],[Restricted Income Level]]&gt;80%,0,IF(IsSerna,VLOOKUP(CONCATENATE(County," ",UnitsTbl[[#This Row],[Restricted Income Level]]),HCDLoanLimitTbl2[],UnitsTbl[[#This Row],[VLOOKUP Base]],FALSE)*UnitsTbl[[#This Row],[HCD Program2]])))),0)</f>
        <v>0</v>
      </c>
      <c r="AK32" s="1218" t="b">
        <f>IFERROR(IF(AND(IsTod,OR(UnitsTbl[[#This Row],[HCD Program 5]]&gt;0,UnitsTbl[[#This Row],[HCD Program2]]&gt;0,UnitsTbl[[#This Row],[HCD Program4]]&gt;0,UnitsTbl[[#This Row],[VHHP
Assisted]]&gt;0)),0,(IF(AND(IsTod,$B$4="TOD",UnitsTbl[[#This Row],[Restricted Income Level]]="Manager"),VLOOKUP(CONCATENATE(County," ",0.6),HCDLoanLimitTbl[],BH32,FALSE)*UnitsTbl[[#This Row],[Total Units]],IF(UnitsTbl[[#This Row],[Restricted Income Level]]&gt;60%,0,IF(IsTod,VLOOKUP(CONCATENATE(County," ",UnitsTbl[[#This Row],[Restricted Income Level]]),HCDLoanLimitTbl[],UnitsTbl[[#This Row],[VLOOKUP Base]],FALSE)*UnitsTbl[[#This Row],[HCD Program3]]))))),0)</f>
        <v>0</v>
      </c>
      <c r="AL32" s="1218" t="b">
        <f>IFERROR(IF(AND(IsShmhp,OR(UnitsTbl[[#This Row],[HCD Program 5]]&gt;0,UnitsTbl[[#This Row],[HCD Program2]]&gt;0,UnitsTbl[[#This Row],[HCD Program3]]&gt;0,UnitsTbl[[#This Row],[VHHP
Assisted]]&gt;0)),0,(IF(AND(IsShmhp,$B$4="SHMHP",UnitsTbl[[#This Row],[Restricted Income Level]]="Manager"),VLOOKUP(CONCATENATE(County," ",0.6),HCDLoanLimitTbl[],BH32,FALSE)*UnitsTbl[[#This Row],[Total Units]],IF(UnitsTbl[[#This Row],[Restricted Income Level]]&gt;60%,0,IF(IsShmhp,VLOOKUP(CONCATENATE(County," ",UnitsTbl[[#This Row],[Restricted Income Level]]),HCDLoanLimitTbl[],UnitsTbl[[#This Row],[VLOOKUP Base]],FALSE)*UnitsTbl[[#This Row],[HCD Program4]]))))),0)</f>
        <v>0</v>
      </c>
      <c r="AM32" s="1219" t="b">
        <f>IFERROR(IF(AND(IsVhhp,OR(UnitsTbl[[#This Row],[HCD Program 5]]&gt;0,UnitsTbl[[#This Row],[HCD Program2]]&gt;0,UnitsTbl[[#This Row],[HCD Program3]]&gt;0,UnitsTbl[[#This Row],[HCD Program4]]&gt;0)),0,(IF(AND(IsVhhp,$B$4="VHHP",UnitsTbl[[#This Row],[Restricted Income Level]]="Manager"),VLOOKUP(CONCATENATE(County," ",0.6),HCDLoanLimitTbl2[],BH32,FALSE)*UnitsTbl[[#This Row],[Total Units]],IF(UnitsTbl[[#This Row],[Restricted Income Level]]&gt;60%,0,IF(IsVhhp,VLOOKUP(CONCATENATE(County," ",UnitsTbl[[#This Row],[Restricted Income Level]]),HCDLoanLimitTbl2[],UnitsTbl[[#This Row],[VLOOKUP Base]],FALSE)*UnitsTbl[[#This Row],[VHHP
Assisted]]))))),0)</f>
        <v>0</v>
      </c>
      <c r="AN32"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",0.6),HCDLoanLimitTbl[],BH32,FALSE)*UnitsTbl[[#This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32" s="1221"/>
      <c r="AP32"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32" s="1223"/>
      <c r="AR32" s="1224"/>
      <c r="AS32" s="1225" t="str">
        <f>IFERROR(IF(UnitsTbl[[#This Row],[Max Gross Rent]]=0,"",UnitsTbl[[#This Row],[Max Gross Rent]]-UnitsTbl[[#This Row],[Less Utility Allowance Schedule 1]]-UnitsTbl[[#This Row],[Less Utility Allowance Schedule 2]]),"")</f>
        <v/>
      </c>
      <c r="AT32" s="1226"/>
      <c r="AU32" s="1225">
        <f>IF(UnitsTbl[[#This Row],[Proposed Net Rent ]]="",0,UnitsTbl[[#This Row],[Total Units]]*UnitsTbl[[#This Row],[Proposed Net Rent ]])</f>
        <v>0</v>
      </c>
      <c r="AV32" s="1227" t="str">
        <f>IF(UnitsTbl[[#This Row],[Proposed Net Rent ]]&gt;0,0,IFERROR(UnitsTbl[[#This Row],[Total Units]]*UnitsTbl[[#This Row],[Maximum Net Rent]],""))</f>
        <v/>
      </c>
      <c r="AW32" s="1228"/>
      <c r="AX32"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32" s="1637"/>
      <c r="AZ32" s="1637"/>
      <c r="BA32" s="1229" t="str">
        <f>IFERROR(IF(UnitsTbl[[#This Row],[Total Units]]="","",UnitsTbl[[#This Row],[Subsidy Payment Over  Gross Rent]]*UnitsTbl[[#This Row],[Total Units]])*NOT($BA$7=""),"")</f>
        <v/>
      </c>
      <c r="BB32" s="1228"/>
      <c r="BC32"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32" s="1230"/>
      <c r="BE32" s="1637"/>
      <c r="BF32" s="1227" t="str">
        <f>IFERROR(IF(UnitsTbl[[#This Row],[Total Units]]="","",UnitsTbl[[#This Row],[Subsidy Payment Over Gross Rent2]]*UnitsTbl[[#This Row],[Total Units]])*NOT($BF$7=""),"")</f>
        <v/>
      </c>
      <c r="BG32" s="1231">
        <f>IF(OR(UnitsTbl[[#This Row],[Special Needs?]]="Yes",UnitsTbl[[#This Row],[Special Needs2?]]="Yes"), 1,0)</f>
        <v>0</v>
      </c>
      <c r="BH32"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32"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32" s="969">
        <f>MIN(SUM(UnitsTbl[[#This Row],[Disability Homelessness]],UnitsTbl[[#This Row],[Chronic Homelessness]],UnitsTbl[[#This Row],[Other Homelessness]]),UnitsTbl[[#This Row],[Total restricted units]])</f>
        <v>0</v>
      </c>
      <c r="BK32" s="969">
        <f>(UnitsTbl[[#This Row],[Restricted Income Level]]&lt;=30%)*UnitsTbl[[#This Row],[Total restricted units]]</f>
        <v>0</v>
      </c>
      <c r="BL32" s="969">
        <f t="shared" si="8"/>
        <v>0</v>
      </c>
      <c r="BM32" s="307">
        <f>UnitsTbl[[#This Row],[Units being subsidized]]*SUM(UnitsTbl[[#This Row],[Less Utility Allowance Schedule 1]],UnitsTbl[[#This Row],[Less Utility Allowance Schedule 2]])</f>
        <v>0</v>
      </c>
      <c r="BN32" s="307">
        <f>UnitsTbl[[#This Row],[Units being subsidized2]]*SUM(UnitsTbl[[#This Row],[Less Utility Allowance Schedule 1]],UnitsTbl[[#This Row],[Less Utility Allowance Schedule 2]])</f>
        <v>0</v>
      </c>
      <c r="BO32" s="307"/>
      <c r="BP32" s="1232" t="str">
        <f>CONCATENATE(County," ",HCDLoanLimitTbl2[[#This Row],[AMI]])</f>
        <v xml:space="preserve"> 0.8</v>
      </c>
      <c r="BQ32" s="1721">
        <v>0.8</v>
      </c>
      <c r="BR32" s="1643">
        <f>$BR$36</f>
        <v>0</v>
      </c>
      <c r="BS32" s="1643">
        <f>$BS$36</f>
        <v>0</v>
      </c>
      <c r="BT32" s="1643">
        <f>$BT$36</f>
        <v>0</v>
      </c>
      <c r="BU32" s="1643">
        <f>$BU$36</f>
        <v>0</v>
      </c>
      <c r="BV32" s="1643">
        <f>$BV$36</f>
        <v>0</v>
      </c>
      <c r="BX32" s="1129" t="s">
        <v>124</v>
      </c>
      <c r="BY32" s="812">
        <v>39850</v>
      </c>
      <c r="BZ32" s="813">
        <v>45500</v>
      </c>
      <c r="CA32" s="813">
        <v>51200</v>
      </c>
      <c r="CB32" s="813">
        <v>56900</v>
      </c>
      <c r="CC32" s="813">
        <v>61450</v>
      </c>
      <c r="CD32" s="813">
        <v>66000</v>
      </c>
      <c r="CE32" s="813">
        <v>70600</v>
      </c>
      <c r="CF32" s="1147">
        <v>75150</v>
      </c>
      <c r="CH32" s="1553"/>
      <c r="CI32" s="78" t="s">
        <v>1601</v>
      </c>
      <c r="CJ32" s="78" t="s">
        <v>859</v>
      </c>
      <c r="CK32" s="78" t="s">
        <v>860</v>
      </c>
      <c r="CL32" s="78" t="s">
        <v>861</v>
      </c>
      <c r="CM32" s="78" t="s">
        <v>862</v>
      </c>
      <c r="CN32" s="78" t="s">
        <v>863</v>
      </c>
      <c r="CO32" s="78" t="s">
        <v>865</v>
      </c>
      <c r="CP32" s="1681"/>
      <c r="CQ32" s="78"/>
      <c r="CR32" s="386" t="b">
        <f>OR(AND(OR($BA$7="USDA",$BA$7="Other Federal"),UnitsTbl[[#This Row],[Gross Monthly Contract Rent]]&gt;0),AND(OR($BF$7="USDA",$BF$7="Other Federal"),UnitsTbl[[#This Row],[Net Monthly Contract Rent2]]&gt;0))</f>
        <v>0</v>
      </c>
      <c r="CS32" s="223">
        <f>IF(UnitsTbl[[#This Row],[Restricted Income Level]]="Manager",0,UnitsTbl[[#This Row],[Total Units]]*INDEX(SizeFactors,MATCH(MIN(UnitsTbl[[#This Row],[Number of Bedrooms]],4),Sizes,0)))</f>
        <v>0</v>
      </c>
      <c r="CT32" s="550">
        <f>IF(UnitsTbl[[#This Row],[Restricted Income Level]]="Manager",0,UnitsTbl[[#This Row],[Total Units]]-SUM(UnitsTbl[[#This Row],[Units being subsidized]]*($BA$7&lt;&gt;"Not Federal"),UnitsTbl[[#This Row],[Units being subsidized2]]*($BF$7&lt;&gt;"Not Federal")))</f>
        <v>0</v>
      </c>
      <c r="CU32" s="309">
        <f>IFERROR(IF(AND($CU$8,CR32=FALSE),40%,IF(UnitsTbl[[#This Row],[Restricted Income Level]]&lt;30%,30%,UnitsTbl[[#This Row],[Restricted Income Level]])),0)</f>
        <v>0.4</v>
      </c>
      <c r="CV32" s="1682"/>
      <c r="CW32" s="555">
        <f t="shared" si="9"/>
        <v>0.4</v>
      </c>
      <c r="CX32" s="553">
        <f>IF(UnitsTbl[[#This Row],[Rent Limit Calculation Formula]]="TCAC",VLOOKUP(County&amp;CW32,TCACrentTbl[],UnitsTbl[[#This Row],[Number of Bedrooms]]+2,FALSE)-SUM(UnitsTbl[[#This Row],[Less Utility Allowance Schedule 2]],UnitsTbl[[#This Row],[Less Utility Allowance Schedule 1]]),IF(UnitsTbl[[#This Row],[Rent Limit Calculation Formula]]="Other",VLOOKUP(County&amp;CW32,OtherRentLimitTbl[],UnitsTbl[[#This Row],[Number of Bedrooms]]+3,FALSE)-SUM(UnitsTbl[[#This Row],[Less Utility Allowance Schedule 2]],UnitsTbl[[#This Row],[Less Utility Allowance Schedule 1]]),0))</f>
        <v>0</v>
      </c>
      <c r="CY32" s="363">
        <f>MAX(UnitsTbl[[#This Row],[Gross Monthly Contract Rent]],UnitsTbl[[#This Row],[Net Monthly Contract Rent2]])</f>
        <v>0</v>
      </c>
      <c r="CZ32" s="553">
        <f>IF(UnitsTbl[[#This Row],[Number of Bedrooms]]="",0,VLOOKUP(County&amp;"0.6",TCACrentTbl[],UnitsTbl[[#This Row],[Number of Bedrooms]]+2,FALSE))-SUM(UnitsTbl[[#This Row],[Less Utility Allowance Schedule 2]],UnitsTbl[[#This Row],[Less Utility Allowance Schedule 1]])</f>
        <v>0</v>
      </c>
      <c r="DA32" s="78" t="b">
        <f>OR(AND($BA$7="USDA",UnitsTbl[[#This Row],[Gross Monthly Contract Rent]]&gt;0),AND($BF$7="USDA",UnitsTbl[[#This Row],[Net Monthly Contract Rent2]]&gt;0))</f>
        <v>0</v>
      </c>
      <c r="DB32" s="363">
        <f t="shared" si="10"/>
        <v>0</v>
      </c>
      <c r="DC32" s="363">
        <f t="shared" si="11"/>
        <v>0</v>
      </c>
      <c r="DD32" s="364">
        <f>UnitsTbl[[#This Row],[Total Units]]*DC32</f>
        <v>0</v>
      </c>
    </row>
    <row r="33" spans="1:108" ht="18" customHeight="1">
      <c r="A33" s="693"/>
      <c r="B33" s="1210"/>
      <c r="C33" s="1211"/>
      <c r="D33" s="1637"/>
      <c r="E33" s="1212"/>
      <c r="F33" s="1637"/>
      <c r="G33" s="1637"/>
      <c r="H33" s="1637"/>
      <c r="I33" s="1213"/>
      <c r="J33" s="1213"/>
      <c r="K33" s="1637"/>
      <c r="L33" s="1214"/>
      <c r="M33" s="1637"/>
      <c r="N33" s="1637"/>
      <c r="O33" s="1637"/>
      <c r="P33" s="1637"/>
      <c r="Q33" s="1637"/>
      <c r="R33" s="1637"/>
      <c r="S33" s="1637"/>
      <c r="T33" s="1637"/>
      <c r="U33" s="1637"/>
      <c r="V33" s="1637"/>
      <c r="W33" s="1637"/>
      <c r="X33" s="1637"/>
      <c r="Y33" s="1637"/>
      <c r="Z33" s="1637"/>
      <c r="AA33" s="1637"/>
      <c r="AB33" s="1637"/>
      <c r="AC33" s="1637"/>
      <c r="AD33" s="1215"/>
      <c r="AE33" s="1210"/>
      <c r="AF33" s="1637"/>
      <c r="AG33" s="1216"/>
      <c r="AH33" s="667"/>
      <c r="AI33"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33" s="1218" t="b">
        <f>IFERROR(IF(AND(IsSerna,OR(UnitsTbl[[#This Row],[VHHP
Assisted]]&gt;0,UnitsTbl[[#This Row],[HCD Program 5]]&gt;0)),0,IF(AND(IsSerna,$B$4="FWHG",UnitsTbl[[#This Row],[Restricted Income Level]]="Manager"),VLOOKUP(CONCATENATE(County," ",0.6),HCDLoanLimitTbl2[],BH33,FALSE)*UnitsTbl[[#This Row],[Total Units]],IF(UnitsTbl[[#This Row],[Restricted Income Level]]&gt;80%,0,IF(IsSerna,VLOOKUP(CONCATENATE(County," ",UnitsTbl[[#This Row],[Restricted Income Level]]),HCDLoanLimitTbl2[],UnitsTbl[[#This Row],[VLOOKUP Base]],FALSE)*UnitsTbl[[#This Row],[HCD Program2]])))),0)</f>
        <v>0</v>
      </c>
      <c r="AK33" s="1218" t="b">
        <f>IFERROR(IF(AND(IsTod,OR(UnitsTbl[[#This Row],[HCD Program 5]]&gt;0,UnitsTbl[[#This Row],[HCD Program2]]&gt;0,UnitsTbl[[#This Row],[HCD Program4]]&gt;0,UnitsTbl[[#This Row],[VHHP
Assisted]]&gt;0)),0,(IF(AND(IsTod,$B$4="TOD",UnitsTbl[[#This Row],[Restricted Income Level]]="Manager"),VLOOKUP(CONCATENATE(County," ",0.6),HCDLoanLimitTbl[],BH33,FALSE)*UnitsTbl[[#This Row],[Total Units]],IF(UnitsTbl[[#This Row],[Restricted Income Level]]&gt;60%,0,IF(IsTod,VLOOKUP(CONCATENATE(County," ",UnitsTbl[[#This Row],[Restricted Income Level]]),HCDLoanLimitTbl[],UnitsTbl[[#This Row],[VLOOKUP Base]],FALSE)*UnitsTbl[[#This Row],[HCD Program3]]))))),0)</f>
        <v>0</v>
      </c>
      <c r="AL33" s="1218" t="b">
        <f>IFERROR(IF(AND(IsShmhp,OR(UnitsTbl[[#This Row],[HCD Program 5]]&gt;0,UnitsTbl[[#This Row],[HCD Program2]]&gt;0,UnitsTbl[[#This Row],[HCD Program3]]&gt;0,UnitsTbl[[#This Row],[VHHP
Assisted]]&gt;0)),0,(IF(AND(IsShmhp,$B$4="SHMHP",UnitsTbl[[#This Row],[Restricted Income Level]]="Manager"),VLOOKUP(CONCATENATE(County," ",0.6),HCDLoanLimitTbl[],BH33,FALSE)*UnitsTbl[[#This Row],[Total Units]],IF(UnitsTbl[[#This Row],[Restricted Income Level]]&gt;60%,0,IF(IsShmhp,VLOOKUP(CONCATENATE(County," ",UnitsTbl[[#This Row],[Restricted Income Level]]),HCDLoanLimitTbl[],UnitsTbl[[#This Row],[VLOOKUP Base]],FALSE)*UnitsTbl[[#This Row],[HCD Program4]]))))),0)</f>
        <v>0</v>
      </c>
      <c r="AM33" s="1219" t="b">
        <f>IFERROR(IF(AND(IsVhhp,OR(UnitsTbl[[#This Row],[HCD Program 5]]&gt;0,UnitsTbl[[#This Row],[HCD Program2]]&gt;0,UnitsTbl[[#This Row],[HCD Program3]]&gt;0,UnitsTbl[[#This Row],[HCD Program4]]&gt;0)),0,(IF(AND(IsVhhp,$B$4="VHHP",UnitsTbl[[#This Row],[Restricted Income Level]]="Manager"),VLOOKUP(CONCATENATE(County," ",0.6),HCDLoanLimitTbl2[],BH33,FALSE)*UnitsTbl[[#This Row],[Total Units]],IF(UnitsTbl[[#This Row],[Restricted Income Level]]&gt;60%,0,IF(IsVhhp,VLOOKUP(CONCATENATE(County," ",UnitsTbl[[#This Row],[Restricted Income Level]]),HCDLoanLimitTbl2[],UnitsTbl[[#This Row],[VLOOKUP Base]],FALSE)*UnitsTbl[[#This Row],[VHHP
Assisted]]))))),0)</f>
        <v>0</v>
      </c>
      <c r="AN33"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",0.6),HCDLoanLimitTbl[],BH33,FALSE)*UnitsTbl[[#This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33" s="1221"/>
      <c r="AP33"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33" s="1223"/>
      <c r="AR33" s="1224"/>
      <c r="AS33" s="1225" t="str">
        <f>IFERROR(IF(UnitsTbl[[#This Row],[Max Gross Rent]]=0,"",UnitsTbl[[#This Row],[Max Gross Rent]]-UnitsTbl[[#This Row],[Less Utility Allowance Schedule 1]]-UnitsTbl[[#This Row],[Less Utility Allowance Schedule 2]]),"")</f>
        <v/>
      </c>
      <c r="AT33" s="1226"/>
      <c r="AU33" s="1225">
        <f>IF(UnitsTbl[[#This Row],[Proposed Net Rent ]]="",0,UnitsTbl[[#This Row],[Total Units]]*UnitsTbl[[#This Row],[Proposed Net Rent ]])</f>
        <v>0</v>
      </c>
      <c r="AV33" s="1227" t="str">
        <f>IF(UnitsTbl[[#This Row],[Proposed Net Rent ]]&gt;0,0,IFERROR(UnitsTbl[[#This Row],[Total Units]]*UnitsTbl[[#This Row],[Maximum Net Rent]],""))</f>
        <v/>
      </c>
      <c r="AW33" s="1228"/>
      <c r="AX33"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33" s="1637"/>
      <c r="AZ33" s="1637"/>
      <c r="BA33" s="1229" t="str">
        <f>IFERROR(IF(UnitsTbl[[#This Row],[Total Units]]="","",UnitsTbl[[#This Row],[Subsidy Payment Over  Gross Rent]]*UnitsTbl[[#This Row],[Total Units]])*NOT($BA$7=""),"")</f>
        <v/>
      </c>
      <c r="BB33" s="1228"/>
      <c r="BC33"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33" s="1230"/>
      <c r="BE33" s="1637"/>
      <c r="BF33" s="1227" t="str">
        <f>IFERROR(IF(UnitsTbl[[#This Row],[Total Units]]="","",UnitsTbl[[#This Row],[Subsidy Payment Over Gross Rent2]]*UnitsTbl[[#This Row],[Total Units]])*NOT($BF$7=""),"")</f>
        <v/>
      </c>
      <c r="BG33" s="1231">
        <f>IF(OR(UnitsTbl[[#This Row],[Special Needs?]]="Yes",UnitsTbl[[#This Row],[Special Needs2?]]="Yes"), 1,0)</f>
        <v>0</v>
      </c>
      <c r="BH33"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33"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33" s="969">
        <f>MIN(SUM(UnitsTbl[[#This Row],[Disability Homelessness]],UnitsTbl[[#This Row],[Chronic Homelessness]],UnitsTbl[[#This Row],[Other Homelessness]]),UnitsTbl[[#This Row],[Total restricted units]])</f>
        <v>0</v>
      </c>
      <c r="BK33" s="969">
        <f>(UnitsTbl[[#This Row],[Restricted Income Level]]&lt;=30%)*UnitsTbl[[#This Row],[Total restricted units]]</f>
        <v>0</v>
      </c>
      <c r="BL33" s="969">
        <f t="shared" si="8"/>
        <v>0</v>
      </c>
      <c r="BM33" s="307">
        <f>UnitsTbl[[#This Row],[Units being subsidized]]*SUM(UnitsTbl[[#This Row],[Less Utility Allowance Schedule 1]],UnitsTbl[[#This Row],[Less Utility Allowance Schedule 2]])</f>
        <v>0</v>
      </c>
      <c r="BN33" s="307">
        <f>UnitsTbl[[#This Row],[Units being subsidized2]]*SUM(UnitsTbl[[#This Row],[Less Utility Allowance Schedule 1]],UnitsTbl[[#This Row],[Less Utility Allowance Schedule 2]])</f>
        <v>0</v>
      </c>
      <c r="BO33" s="307"/>
      <c r="BP33" s="1232" t="str">
        <f>CONCATENATE(County," ",HCDLoanLimitTbl2[[#This Row],[AMI]])</f>
        <v xml:space="preserve"> 0.75</v>
      </c>
      <c r="BQ33" s="1721">
        <v>0.75</v>
      </c>
      <c r="BR33" s="1643">
        <f>$BR$36</f>
        <v>0</v>
      </c>
      <c r="BS33" s="1643">
        <f>$BS$36</f>
        <v>0</v>
      </c>
      <c r="BT33" s="1643">
        <f>$BT$36</f>
        <v>0</v>
      </c>
      <c r="BU33" s="1643">
        <f>$BU$36</f>
        <v>0</v>
      </c>
      <c r="BV33" s="1643">
        <f>$BV$36</f>
        <v>0</v>
      </c>
      <c r="BX33" s="1129" t="s">
        <v>126</v>
      </c>
      <c r="BY33" s="811">
        <v>59250</v>
      </c>
      <c r="BZ33" s="1744">
        <v>67700</v>
      </c>
      <c r="CA33" s="1744">
        <v>76150</v>
      </c>
      <c r="CB33" s="1744">
        <v>84600</v>
      </c>
      <c r="CC33" s="1744">
        <v>91400</v>
      </c>
      <c r="CD33" s="1744">
        <v>98150</v>
      </c>
      <c r="CE33" s="1744">
        <v>104950</v>
      </c>
      <c r="CF33" s="1135">
        <v>111700</v>
      </c>
      <c r="CH33" s="1553"/>
      <c r="CI33" s="78" t="str">
        <f>CONCATENATE(County,0.5)</f>
        <v>0.5</v>
      </c>
      <c r="CJ33" s="78" t="e">
        <f>CI19/12*0.3</f>
        <v>#VALUE!</v>
      </c>
      <c r="CK33" s="307" t="e">
        <f t="shared" ref="CK33:CO33" si="25">CJ19/12*0.3</f>
        <v>#VALUE!</v>
      </c>
      <c r="CL33" s="307" t="e">
        <f t="shared" si="25"/>
        <v>#VALUE!</v>
      </c>
      <c r="CM33" s="307" t="e">
        <f t="shared" si="25"/>
        <v>#VALUE!</v>
      </c>
      <c r="CN33" s="307" t="e">
        <f t="shared" si="25"/>
        <v>#VALUE!</v>
      </c>
      <c r="CO33" s="307" t="e">
        <f t="shared" si="25"/>
        <v>#VALUE!</v>
      </c>
      <c r="CP33" s="362"/>
      <c r="CQ33" s="307"/>
      <c r="CR33" s="386" t="b">
        <f>OR(AND(OR($BA$7="USDA",$BA$7="Other Federal"),UnitsTbl[[#This Row],[Gross Monthly Contract Rent]]&gt;0),AND(OR($BF$7="USDA",$BF$7="Other Federal"),UnitsTbl[[#This Row],[Net Monthly Contract Rent2]]&gt;0))</f>
        <v>0</v>
      </c>
      <c r="CS33" s="223">
        <f>IF(UnitsTbl[[#This Row],[Restricted Income Level]]="Manager",0,UnitsTbl[[#This Row],[Total Units]]*INDEX(SizeFactors,MATCH(MIN(UnitsTbl[[#This Row],[Number of Bedrooms]],4),Sizes,0)))</f>
        <v>0</v>
      </c>
      <c r="CT33" s="550">
        <f>IF(UnitsTbl[[#This Row],[Restricted Income Level]]="Manager",0,UnitsTbl[[#This Row],[Total Units]]-SUM(UnitsTbl[[#This Row],[Units being subsidized]]*($BA$7&lt;&gt;"Not Federal"),UnitsTbl[[#This Row],[Units being subsidized2]]*($BF$7&lt;&gt;"Not Federal")))</f>
        <v>0</v>
      </c>
      <c r="CU33" s="309">
        <f>IFERROR(IF(AND($CU$8,CR33=FALSE),40%,IF(UnitsTbl[[#This Row],[Restricted Income Level]]&lt;30%,30%,UnitsTbl[[#This Row],[Restricted Income Level]])),0)</f>
        <v>0.4</v>
      </c>
      <c r="CV33" s="1682"/>
      <c r="CW33" s="555">
        <f t="shared" si="9"/>
        <v>0.4</v>
      </c>
      <c r="CX33" s="553">
        <f>IF(UnitsTbl[[#This Row],[Rent Limit Calculation Formula]]="TCAC",VLOOKUP(County&amp;CW33,TCACrentTbl[],UnitsTbl[[#This Row],[Number of Bedrooms]]+2,FALSE)-SUM(UnitsTbl[[#This Row],[Less Utility Allowance Schedule 2]],UnitsTbl[[#This Row],[Less Utility Allowance Schedule 1]]),IF(UnitsTbl[[#This Row],[Rent Limit Calculation Formula]]="Other",VLOOKUP(County&amp;CW33,OtherRentLimitTbl[],UnitsTbl[[#This Row],[Number of Bedrooms]]+3,FALSE)-SUM(UnitsTbl[[#This Row],[Less Utility Allowance Schedule 2]],UnitsTbl[[#This Row],[Less Utility Allowance Schedule 1]]),0))</f>
        <v>0</v>
      </c>
      <c r="CY33" s="363">
        <f>MAX(UnitsTbl[[#This Row],[Gross Monthly Contract Rent]],UnitsTbl[[#This Row],[Net Monthly Contract Rent2]])</f>
        <v>0</v>
      </c>
      <c r="CZ33" s="553">
        <f>IF(UnitsTbl[[#This Row],[Number of Bedrooms]]="",0,VLOOKUP(County&amp;"0.6",TCACrentTbl[],UnitsTbl[[#This Row],[Number of Bedrooms]]+2,FALSE))-SUM(UnitsTbl[[#This Row],[Less Utility Allowance Schedule 2]],UnitsTbl[[#This Row],[Less Utility Allowance Schedule 1]])</f>
        <v>0</v>
      </c>
      <c r="DA33" s="78" t="b">
        <f>OR(AND($BA$7="USDA",UnitsTbl[[#This Row],[Gross Monthly Contract Rent]]&gt;0),AND($BF$7="USDA",UnitsTbl[[#This Row],[Net Monthly Contract Rent2]]&gt;0))</f>
        <v>0</v>
      </c>
      <c r="DB33" s="363">
        <f t="shared" si="10"/>
        <v>0</v>
      </c>
      <c r="DC33" s="363">
        <f t="shared" si="11"/>
        <v>0</v>
      </c>
      <c r="DD33" s="364">
        <f>UnitsTbl[[#This Row],[Total Units]]*DC33</f>
        <v>0</v>
      </c>
    </row>
    <row r="34" spans="1:108" ht="18" customHeight="1" thickBot="1">
      <c r="A34" s="693"/>
      <c r="B34" s="1210"/>
      <c r="C34" s="1211"/>
      <c r="D34" s="1637"/>
      <c r="E34" s="1212"/>
      <c r="F34" s="1637"/>
      <c r="G34" s="1637"/>
      <c r="H34" s="1637"/>
      <c r="I34" s="1213"/>
      <c r="J34" s="1213"/>
      <c r="K34" s="1637"/>
      <c r="L34" s="1214"/>
      <c r="M34" s="1637"/>
      <c r="N34" s="1637"/>
      <c r="O34" s="1637"/>
      <c r="P34" s="1637"/>
      <c r="Q34" s="1637"/>
      <c r="R34" s="1637"/>
      <c r="S34" s="1637"/>
      <c r="T34" s="1637"/>
      <c r="U34" s="1637"/>
      <c r="V34" s="1637"/>
      <c r="W34" s="1637"/>
      <c r="X34" s="1637"/>
      <c r="Y34" s="1637"/>
      <c r="Z34" s="1637"/>
      <c r="AA34" s="1637"/>
      <c r="AB34" s="1637"/>
      <c r="AC34" s="1637"/>
      <c r="AD34" s="1215"/>
      <c r="AE34" s="1210"/>
      <c r="AF34" s="1637"/>
      <c r="AG34" s="1216"/>
      <c r="AH34" s="667"/>
      <c r="AI34"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34" s="1218" t="b">
        <f>IFERROR(IF(AND(IsSerna,OR(UnitsTbl[[#This Row],[VHHP
Assisted]]&gt;0,UnitsTbl[[#This Row],[HCD Program 5]]&gt;0)),0,IF(AND(IsSerna,$B$4="FWHG",UnitsTbl[[#This Row],[Restricted Income Level]]="Manager"),VLOOKUP(CONCATENATE(County," ",0.6),HCDLoanLimitTbl2[],BH34,FALSE)*UnitsTbl[[#This Row],[Total Units]],IF(UnitsTbl[[#This Row],[Restricted Income Level]]&gt;80%,0,IF(IsSerna,VLOOKUP(CONCATENATE(County," ",UnitsTbl[[#This Row],[Restricted Income Level]]),HCDLoanLimitTbl2[],UnitsTbl[[#This Row],[VLOOKUP Base]],FALSE)*UnitsTbl[[#This Row],[HCD Program2]])))),0)</f>
        <v>0</v>
      </c>
      <c r="AK34" s="1218" t="b">
        <f>IFERROR(IF(AND(IsTod,OR(UnitsTbl[[#This Row],[HCD Program 5]]&gt;0,UnitsTbl[[#This Row],[HCD Program2]]&gt;0,UnitsTbl[[#This Row],[HCD Program4]]&gt;0,UnitsTbl[[#This Row],[VHHP
Assisted]]&gt;0)),0,(IF(AND(IsTod,$B$4="TOD",UnitsTbl[[#This Row],[Restricted Income Level]]="Manager"),VLOOKUP(CONCATENATE(County," ",0.6),HCDLoanLimitTbl[],BH34,FALSE)*UnitsTbl[[#This Row],[Total Units]],IF(UnitsTbl[[#This Row],[Restricted Income Level]]&gt;60%,0,IF(IsTod,VLOOKUP(CONCATENATE(County," ",UnitsTbl[[#This Row],[Restricted Income Level]]),HCDLoanLimitTbl[],UnitsTbl[[#This Row],[VLOOKUP Base]],FALSE)*UnitsTbl[[#This Row],[HCD Program3]]))))),0)</f>
        <v>0</v>
      </c>
      <c r="AL34" s="1218" t="b">
        <f>IFERROR(IF(AND(IsShmhp,OR(UnitsTbl[[#This Row],[HCD Program 5]]&gt;0,UnitsTbl[[#This Row],[HCD Program2]]&gt;0,UnitsTbl[[#This Row],[HCD Program3]]&gt;0,UnitsTbl[[#This Row],[VHHP
Assisted]]&gt;0)),0,(IF(AND(IsShmhp,$B$4="SHMHP",UnitsTbl[[#This Row],[Restricted Income Level]]="Manager"),VLOOKUP(CONCATENATE(County," ",0.6),HCDLoanLimitTbl[],BH34,FALSE)*UnitsTbl[[#This Row],[Total Units]],IF(UnitsTbl[[#This Row],[Restricted Income Level]]&gt;60%,0,IF(IsShmhp,VLOOKUP(CONCATENATE(County," ",UnitsTbl[[#This Row],[Restricted Income Level]]),HCDLoanLimitTbl[],UnitsTbl[[#This Row],[VLOOKUP Base]],FALSE)*UnitsTbl[[#This Row],[HCD Program4]]))))),0)</f>
        <v>0</v>
      </c>
      <c r="AM34" s="1219" t="b">
        <f>IFERROR(IF(AND(IsVhhp,OR(UnitsTbl[[#This Row],[HCD Program 5]]&gt;0,UnitsTbl[[#This Row],[HCD Program2]]&gt;0,UnitsTbl[[#This Row],[HCD Program3]]&gt;0,UnitsTbl[[#This Row],[HCD Program4]]&gt;0)),0,(IF(AND(IsVhhp,$B$4="VHHP",UnitsTbl[[#This Row],[Restricted Income Level]]="Manager"),VLOOKUP(CONCATENATE(County," ",0.6),HCDLoanLimitTbl2[],BH34,FALSE)*UnitsTbl[[#This Row],[Total Units]],IF(UnitsTbl[[#This Row],[Restricted Income Level]]&gt;60%,0,IF(IsVhhp,VLOOKUP(CONCATENATE(County," ",UnitsTbl[[#This Row],[Restricted Income Level]]),HCDLoanLimitTbl2[],UnitsTbl[[#This Row],[VLOOKUP Base]],FALSE)*UnitsTbl[[#This Row],[VHHP
Assisted]]))))),0)</f>
        <v>0</v>
      </c>
      <c r="AN34"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",0.6),HCDLoanLimitTbl[],BH34,FALSE)*UnitsTbl[[#This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34" s="1221"/>
      <c r="AP34"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34" s="1223"/>
      <c r="AR34" s="1224"/>
      <c r="AS34" s="1225" t="str">
        <f>IFERROR(IF(UnitsTbl[[#This Row],[Max Gross Rent]]=0,"",UnitsTbl[[#This Row],[Max Gross Rent]]-UnitsTbl[[#This Row],[Less Utility Allowance Schedule 1]]-UnitsTbl[[#This Row],[Less Utility Allowance Schedule 2]]),"")</f>
        <v/>
      </c>
      <c r="AT34" s="1226"/>
      <c r="AU34" s="1225">
        <f>IF(UnitsTbl[[#This Row],[Proposed Net Rent ]]="",0,UnitsTbl[[#This Row],[Total Units]]*UnitsTbl[[#This Row],[Proposed Net Rent ]])</f>
        <v>0</v>
      </c>
      <c r="AV34" s="1227" t="str">
        <f>IF(UnitsTbl[[#This Row],[Proposed Net Rent ]]&gt;0,0,IFERROR(UnitsTbl[[#This Row],[Total Units]]*UnitsTbl[[#This Row],[Maximum Net Rent]],""))</f>
        <v/>
      </c>
      <c r="AW34" s="1228"/>
      <c r="AX34"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34" s="1637"/>
      <c r="AZ34" s="1637"/>
      <c r="BA34" s="1229" t="str">
        <f>IFERROR(IF(UnitsTbl[[#This Row],[Total Units]]="","",UnitsTbl[[#This Row],[Subsidy Payment Over  Gross Rent]]*UnitsTbl[[#This Row],[Total Units]])*NOT($BA$7=""),"")</f>
        <v/>
      </c>
      <c r="BB34" s="1228"/>
      <c r="BC34"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34" s="1230"/>
      <c r="BE34" s="1637"/>
      <c r="BF34" s="1227" t="str">
        <f>IFERROR(IF(UnitsTbl[[#This Row],[Total Units]]="","",UnitsTbl[[#This Row],[Subsidy Payment Over Gross Rent2]]*UnitsTbl[[#This Row],[Total Units]])*NOT($BF$7=""),"")</f>
        <v/>
      </c>
      <c r="BG34" s="1231">
        <f>IF(OR(UnitsTbl[[#This Row],[Special Needs?]]="Yes",UnitsTbl[[#This Row],[Special Needs2?]]="Yes"), 1,0)</f>
        <v>0</v>
      </c>
      <c r="BH34"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34"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34" s="969">
        <f>MIN(SUM(UnitsTbl[[#This Row],[Disability Homelessness]],UnitsTbl[[#This Row],[Chronic Homelessness]],UnitsTbl[[#This Row],[Other Homelessness]]),UnitsTbl[[#This Row],[Total restricted units]])</f>
        <v>0</v>
      </c>
      <c r="BK34" s="969">
        <f>(UnitsTbl[[#This Row],[Restricted Income Level]]&lt;=30%)*UnitsTbl[[#This Row],[Total restricted units]]</f>
        <v>0</v>
      </c>
      <c r="BL34" s="969">
        <f t="shared" si="8"/>
        <v>0</v>
      </c>
      <c r="BM34" s="307">
        <f>UnitsTbl[[#This Row],[Units being subsidized]]*SUM(UnitsTbl[[#This Row],[Less Utility Allowance Schedule 1]],UnitsTbl[[#This Row],[Less Utility Allowance Schedule 2]])</f>
        <v>0</v>
      </c>
      <c r="BN34" s="307">
        <f>UnitsTbl[[#This Row],[Units being subsidized2]]*SUM(UnitsTbl[[#This Row],[Less Utility Allowance Schedule 1]],UnitsTbl[[#This Row],[Less Utility Allowance Schedule 2]])</f>
        <v>0</v>
      </c>
      <c r="BO34" s="307"/>
      <c r="BP34" s="1232" t="str">
        <f>CONCATENATE(County," ",HCDLoanLimitTbl2[[#This Row],[AMI]])</f>
        <v xml:space="preserve"> 0.7</v>
      </c>
      <c r="BQ34" s="1721">
        <v>0.7</v>
      </c>
      <c r="BR34" s="1643">
        <f>$BR$36</f>
        <v>0</v>
      </c>
      <c r="BS34" s="1643">
        <f>$BS$36</f>
        <v>0</v>
      </c>
      <c r="BT34" s="1643">
        <f>$BT$36</f>
        <v>0</v>
      </c>
      <c r="BU34" s="1643">
        <f>$BU$36</f>
        <v>0</v>
      </c>
      <c r="BV34" s="1643">
        <f>$BV$36</f>
        <v>0</v>
      </c>
      <c r="BX34" s="1129" t="s">
        <v>127</v>
      </c>
      <c r="BY34" s="812">
        <v>45050</v>
      </c>
      <c r="BZ34" s="813">
        <v>51450</v>
      </c>
      <c r="CA34" s="813">
        <v>57900</v>
      </c>
      <c r="CB34" s="813">
        <v>64300</v>
      </c>
      <c r="CC34" s="813">
        <v>69450</v>
      </c>
      <c r="CD34" s="813">
        <v>74600</v>
      </c>
      <c r="CE34" s="813">
        <v>79750</v>
      </c>
      <c r="CF34" s="1147">
        <v>84900</v>
      </c>
      <c r="CH34" s="365"/>
      <c r="CI34" s="366"/>
      <c r="CJ34" s="366"/>
      <c r="CK34" s="366"/>
      <c r="CL34" s="366"/>
      <c r="CM34" s="366"/>
      <c r="CN34" s="366"/>
      <c r="CO34" s="366"/>
      <c r="CP34" s="375"/>
      <c r="CQ34" s="1682"/>
      <c r="CR34" s="386" t="b">
        <f>OR(AND(OR($BA$7="USDA",$BA$7="Other Federal"),UnitsTbl[[#This Row],[Gross Monthly Contract Rent]]&gt;0),AND(OR($BF$7="USDA",$BF$7="Other Federal"),UnitsTbl[[#This Row],[Net Monthly Contract Rent2]]&gt;0))</f>
        <v>0</v>
      </c>
      <c r="CS34" s="223">
        <f>IF(UnitsTbl[[#This Row],[Restricted Income Level]]="Manager",0,UnitsTbl[[#This Row],[Total Units]]*INDEX(SizeFactors,MATCH(MIN(UnitsTbl[[#This Row],[Number of Bedrooms]],4),Sizes,0)))</f>
        <v>0</v>
      </c>
      <c r="CT34" s="550">
        <f>IF(UnitsTbl[[#This Row],[Restricted Income Level]]="Manager",0,UnitsTbl[[#This Row],[Total Units]]-SUM(UnitsTbl[[#This Row],[Units being subsidized]]*($BA$7&lt;&gt;"Not Federal"),UnitsTbl[[#This Row],[Units being subsidized2]]*($BF$7&lt;&gt;"Not Federal")))</f>
        <v>0</v>
      </c>
      <c r="CU34" s="309">
        <f>IFERROR(IF(AND($CU$8,CR34=FALSE),40%,IF(UnitsTbl[[#This Row],[Restricted Income Level]]&lt;30%,30%,UnitsTbl[[#This Row],[Restricted Income Level]])),0)</f>
        <v>0.4</v>
      </c>
      <c r="CV34" s="1682"/>
      <c r="CW34" s="555">
        <f t="shared" si="9"/>
        <v>0.4</v>
      </c>
      <c r="CX34" s="553">
        <f>IF(UnitsTbl[[#This Row],[Rent Limit Calculation Formula]]="TCAC",VLOOKUP(County&amp;CW34,TCACrentTbl[],UnitsTbl[[#This Row],[Number of Bedrooms]]+2,FALSE)-SUM(UnitsTbl[[#This Row],[Less Utility Allowance Schedule 2]],UnitsTbl[[#This Row],[Less Utility Allowance Schedule 1]]),IF(UnitsTbl[[#This Row],[Rent Limit Calculation Formula]]="Other",VLOOKUP(County&amp;CW34,OtherRentLimitTbl[],UnitsTbl[[#This Row],[Number of Bedrooms]]+3,FALSE)-SUM(UnitsTbl[[#This Row],[Less Utility Allowance Schedule 2]],UnitsTbl[[#This Row],[Less Utility Allowance Schedule 1]]),0))</f>
        <v>0</v>
      </c>
      <c r="CY34" s="363">
        <f>MAX(UnitsTbl[[#This Row],[Gross Monthly Contract Rent]],UnitsTbl[[#This Row],[Net Monthly Contract Rent2]])</f>
        <v>0</v>
      </c>
      <c r="CZ34" s="553">
        <f>IF(UnitsTbl[[#This Row],[Number of Bedrooms]]="",0,VLOOKUP(County&amp;"0.6",TCACrentTbl[],UnitsTbl[[#This Row],[Number of Bedrooms]]+2,FALSE))-SUM(UnitsTbl[[#This Row],[Less Utility Allowance Schedule 2]],UnitsTbl[[#This Row],[Less Utility Allowance Schedule 1]])</f>
        <v>0</v>
      </c>
      <c r="DA34" s="78" t="b">
        <f>OR(AND($BA$7="USDA",UnitsTbl[[#This Row],[Gross Monthly Contract Rent]]&gt;0),AND($BF$7="USDA",UnitsTbl[[#This Row],[Net Monthly Contract Rent2]]&gt;0))</f>
        <v>0</v>
      </c>
      <c r="DB34" s="363">
        <f t="shared" si="10"/>
        <v>0</v>
      </c>
      <c r="DC34" s="363">
        <f t="shared" si="11"/>
        <v>0</v>
      </c>
      <c r="DD34" s="364">
        <f>UnitsTbl[[#This Row],[Total Units]]*DC34</f>
        <v>0</v>
      </c>
    </row>
    <row r="35" spans="1:108" ht="18" customHeight="1" thickBot="1">
      <c r="A35" s="693"/>
      <c r="B35" s="1210"/>
      <c r="C35" s="1211"/>
      <c r="D35" s="1637"/>
      <c r="E35" s="1212"/>
      <c r="F35" s="1637"/>
      <c r="G35" s="1637"/>
      <c r="H35" s="1637"/>
      <c r="I35" s="1213"/>
      <c r="J35" s="1213"/>
      <c r="K35" s="1637"/>
      <c r="L35" s="1214"/>
      <c r="M35" s="1637"/>
      <c r="N35" s="1637"/>
      <c r="O35" s="1637"/>
      <c r="P35" s="1637"/>
      <c r="Q35" s="1637"/>
      <c r="R35" s="1637"/>
      <c r="S35" s="1637"/>
      <c r="T35" s="1637"/>
      <c r="U35" s="1637"/>
      <c r="V35" s="1637"/>
      <c r="W35" s="1637"/>
      <c r="X35" s="1637"/>
      <c r="Y35" s="1637"/>
      <c r="Z35" s="1637"/>
      <c r="AA35" s="1637"/>
      <c r="AB35" s="1637"/>
      <c r="AC35" s="1637"/>
      <c r="AD35" s="1215"/>
      <c r="AE35" s="1210"/>
      <c r="AF35" s="1637"/>
      <c r="AG35" s="1216"/>
      <c r="AH35" s="667"/>
      <c r="AI35"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35" s="1218" t="b">
        <f>IFERROR(IF(AND(IsSerna,OR(UnitsTbl[[#This Row],[VHHP
Assisted]]&gt;0,UnitsTbl[[#This Row],[HCD Program 5]]&gt;0)),0,IF(AND(IsSerna,$B$4="FWHG",UnitsTbl[[#This Row],[Restricted Income Level]]="Manager"),VLOOKUP(CONCATENATE(County," ",0.6),HCDLoanLimitTbl2[],BH35,FALSE)*UnitsTbl[[#This Row],[Total Units]],IF(UnitsTbl[[#This Row],[Restricted Income Level]]&gt;80%,0,IF(IsSerna,VLOOKUP(CONCATENATE(County," ",UnitsTbl[[#This Row],[Restricted Income Level]]),HCDLoanLimitTbl2[],UnitsTbl[[#This Row],[VLOOKUP Base]],FALSE)*UnitsTbl[[#This Row],[HCD Program2]])))),0)</f>
        <v>0</v>
      </c>
      <c r="AK35" s="1218" t="b">
        <f>IFERROR(IF(AND(IsTod,OR(UnitsTbl[[#This Row],[HCD Program 5]]&gt;0,UnitsTbl[[#This Row],[HCD Program2]]&gt;0,UnitsTbl[[#This Row],[HCD Program4]]&gt;0,UnitsTbl[[#This Row],[VHHP
Assisted]]&gt;0)),0,(IF(AND(IsTod,$B$4="TOD",UnitsTbl[[#This Row],[Restricted Income Level]]="Manager"),VLOOKUP(CONCATENATE(County," ",0.6),HCDLoanLimitTbl[],BH35,FALSE)*UnitsTbl[[#This Row],[Total Units]],IF(UnitsTbl[[#This Row],[Restricted Income Level]]&gt;60%,0,IF(IsTod,VLOOKUP(CONCATENATE(County," ",UnitsTbl[[#This Row],[Restricted Income Level]]),HCDLoanLimitTbl[],UnitsTbl[[#This Row],[VLOOKUP Base]],FALSE)*UnitsTbl[[#This Row],[HCD Program3]]))))),0)</f>
        <v>0</v>
      </c>
      <c r="AL35" s="1218" t="b">
        <f>IFERROR(IF(AND(IsShmhp,OR(UnitsTbl[[#This Row],[HCD Program 5]]&gt;0,UnitsTbl[[#This Row],[HCD Program2]]&gt;0,UnitsTbl[[#This Row],[HCD Program3]]&gt;0,UnitsTbl[[#This Row],[VHHP
Assisted]]&gt;0)),0,(IF(AND(IsShmhp,$B$4="SHMHP",UnitsTbl[[#This Row],[Restricted Income Level]]="Manager"),VLOOKUP(CONCATENATE(County," ",0.6),HCDLoanLimitTbl[],BH35,FALSE)*UnitsTbl[[#This Row],[Total Units]],IF(UnitsTbl[[#This Row],[Restricted Income Level]]&gt;60%,0,IF(IsShmhp,VLOOKUP(CONCATENATE(County," ",UnitsTbl[[#This Row],[Restricted Income Level]]),HCDLoanLimitTbl[],UnitsTbl[[#This Row],[VLOOKUP Base]],FALSE)*UnitsTbl[[#This Row],[HCD Program4]]))))),0)</f>
        <v>0</v>
      </c>
      <c r="AM35" s="1219" t="b">
        <f>IFERROR(IF(AND(IsVhhp,OR(UnitsTbl[[#This Row],[HCD Program 5]]&gt;0,UnitsTbl[[#This Row],[HCD Program2]]&gt;0,UnitsTbl[[#This Row],[HCD Program3]]&gt;0,UnitsTbl[[#This Row],[HCD Program4]]&gt;0)),0,(IF(AND(IsVhhp,$B$4="VHHP",UnitsTbl[[#This Row],[Restricted Income Level]]="Manager"),VLOOKUP(CONCATENATE(County," ",0.6),HCDLoanLimitTbl2[],BH35,FALSE)*UnitsTbl[[#This Row],[Total Units]],IF(UnitsTbl[[#This Row],[Restricted Income Level]]&gt;60%,0,IF(IsVhhp,VLOOKUP(CONCATENATE(County," ",UnitsTbl[[#This Row],[Restricted Income Level]]),HCDLoanLimitTbl2[],UnitsTbl[[#This Row],[VLOOKUP Base]],FALSE)*UnitsTbl[[#This Row],[VHHP
Assisted]]))))),0)</f>
        <v>0</v>
      </c>
      <c r="AN35"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",0.6),HCDLoanLimitTbl[],BH35,FALSE)*UnitsTbl[[#This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35" s="1221"/>
      <c r="AP35"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35" s="1223"/>
      <c r="AR35" s="1224"/>
      <c r="AS35" s="1225" t="str">
        <f>IFERROR(IF(UnitsTbl[[#This Row],[Max Gross Rent]]=0,"",UnitsTbl[[#This Row],[Max Gross Rent]]-UnitsTbl[[#This Row],[Less Utility Allowance Schedule 1]]-UnitsTbl[[#This Row],[Less Utility Allowance Schedule 2]]),"")</f>
        <v/>
      </c>
      <c r="AT35" s="1226"/>
      <c r="AU35" s="1225">
        <f>IF(UnitsTbl[[#This Row],[Proposed Net Rent ]]="",0,UnitsTbl[[#This Row],[Total Units]]*UnitsTbl[[#This Row],[Proposed Net Rent ]])</f>
        <v>0</v>
      </c>
      <c r="AV35" s="1227" t="str">
        <f>IF(UnitsTbl[[#This Row],[Proposed Net Rent ]]&gt;0,0,IFERROR(UnitsTbl[[#This Row],[Total Units]]*UnitsTbl[[#This Row],[Maximum Net Rent]],""))</f>
        <v/>
      </c>
      <c r="AW35" s="1228"/>
      <c r="AX35"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35" s="1637"/>
      <c r="AZ35" s="1637"/>
      <c r="BA35" s="1229" t="str">
        <f>IFERROR(IF(UnitsTbl[[#This Row],[Total Units]]="","",UnitsTbl[[#This Row],[Subsidy Payment Over  Gross Rent]]*UnitsTbl[[#This Row],[Total Units]])*NOT($BA$7=""),"")</f>
        <v/>
      </c>
      <c r="BB35" s="1228"/>
      <c r="BC35"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35" s="1230"/>
      <c r="BE35" s="1637"/>
      <c r="BF35" s="1227" t="str">
        <f>IFERROR(IF(UnitsTbl[[#This Row],[Total Units]]="","",UnitsTbl[[#This Row],[Subsidy Payment Over Gross Rent2]]*UnitsTbl[[#This Row],[Total Units]])*NOT($BF$7=""),"")</f>
        <v/>
      </c>
      <c r="BG35" s="1231">
        <f>IF(OR(UnitsTbl[[#This Row],[Special Needs?]]="Yes",UnitsTbl[[#This Row],[Special Needs2?]]="Yes"), 1,0)</f>
        <v>0</v>
      </c>
      <c r="BH35"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35"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35" s="969">
        <f>MIN(SUM(UnitsTbl[[#This Row],[Disability Homelessness]],UnitsTbl[[#This Row],[Chronic Homelessness]],UnitsTbl[[#This Row],[Other Homelessness]]),UnitsTbl[[#This Row],[Total restricted units]])</f>
        <v>0</v>
      </c>
      <c r="BK35" s="969">
        <f>(UnitsTbl[[#This Row],[Restricted Income Level]]&lt;=30%)*UnitsTbl[[#This Row],[Total restricted units]]</f>
        <v>0</v>
      </c>
      <c r="BL35" s="969">
        <f t="shared" si="8"/>
        <v>0</v>
      </c>
      <c r="BM35" s="307">
        <f>UnitsTbl[[#This Row],[Units being subsidized]]*SUM(UnitsTbl[[#This Row],[Less Utility Allowance Schedule 1]],UnitsTbl[[#This Row],[Less Utility Allowance Schedule 2]])</f>
        <v>0</v>
      </c>
      <c r="BN35" s="307">
        <f>UnitsTbl[[#This Row],[Units being subsidized2]]*SUM(UnitsTbl[[#This Row],[Less Utility Allowance Schedule 1]],UnitsTbl[[#This Row],[Less Utility Allowance Schedule 2]])</f>
        <v>0</v>
      </c>
      <c r="BO35" s="307"/>
      <c r="BP35" s="1232" t="str">
        <f>CONCATENATE(County," ",HCDLoanLimitTbl2[[#This Row],[AMI]])</f>
        <v xml:space="preserve"> 0.65</v>
      </c>
      <c r="BQ35" s="1721">
        <v>0.65</v>
      </c>
      <c r="BR35" s="1643">
        <f>$BR$36</f>
        <v>0</v>
      </c>
      <c r="BS35" s="1643">
        <f>$BS$36</f>
        <v>0</v>
      </c>
      <c r="BT35" s="1643">
        <f>$BT$36</f>
        <v>0</v>
      </c>
      <c r="BU35" s="1643">
        <f>$BU$36</f>
        <v>0</v>
      </c>
      <c r="BV35" s="1643">
        <f>$BV$36</f>
        <v>0</v>
      </c>
      <c r="BX35" s="1129" t="s">
        <v>129</v>
      </c>
      <c r="BY35" s="811">
        <v>33400</v>
      </c>
      <c r="BZ35" s="1744">
        <v>38150</v>
      </c>
      <c r="CA35" s="1744">
        <v>42900</v>
      </c>
      <c r="CB35" s="1744">
        <v>47650</v>
      </c>
      <c r="CC35" s="1744">
        <v>51500</v>
      </c>
      <c r="CD35" s="1744">
        <v>55300</v>
      </c>
      <c r="CE35" s="1744">
        <v>59100</v>
      </c>
      <c r="CF35" s="1135">
        <v>62900</v>
      </c>
      <c r="CH35" s="2581"/>
      <c r="CI35" s="2581"/>
      <c r="CJ35" s="2581"/>
      <c r="CK35" s="2581"/>
      <c r="CL35" s="2581"/>
      <c r="CM35" s="2581"/>
      <c r="CN35" s="2581"/>
      <c r="CQ35" s="1682"/>
      <c r="CR35" s="386" t="b">
        <f>OR(AND(OR($BA$7="USDA",$BA$7="Other Federal"),UnitsTbl[[#This Row],[Gross Monthly Contract Rent]]&gt;0),AND(OR($BF$7="USDA",$BF$7="Other Federal"),UnitsTbl[[#This Row],[Net Monthly Contract Rent2]]&gt;0))</f>
        <v>0</v>
      </c>
      <c r="CS35" s="223">
        <f>IF(UnitsTbl[[#This Row],[Restricted Income Level]]="Manager",0,UnitsTbl[[#This Row],[Total Units]]*INDEX(SizeFactors,MATCH(MIN(UnitsTbl[[#This Row],[Number of Bedrooms]],4),Sizes,0)))</f>
        <v>0</v>
      </c>
      <c r="CT35" s="550">
        <f>IF(UnitsTbl[[#This Row],[Restricted Income Level]]="Manager",0,UnitsTbl[[#This Row],[Total Units]]-SUM(UnitsTbl[[#This Row],[Units being subsidized]]*($BA$7&lt;&gt;"Not Federal"),UnitsTbl[[#This Row],[Units being subsidized2]]*($BF$7&lt;&gt;"Not Federal")))</f>
        <v>0</v>
      </c>
      <c r="CU35" s="309">
        <f>IFERROR(IF(AND($CU$8,CR35=FALSE),40%,IF(UnitsTbl[[#This Row],[Restricted Income Level]]&lt;30%,30%,UnitsTbl[[#This Row],[Restricted Income Level]])),0)</f>
        <v>0.4</v>
      </c>
      <c r="CV35" s="1682"/>
      <c r="CW35" s="555">
        <f t="shared" si="9"/>
        <v>0.4</v>
      </c>
      <c r="CX35" s="553">
        <f>IF(UnitsTbl[[#This Row],[Rent Limit Calculation Formula]]="TCAC",VLOOKUP(County&amp;CW35,TCACrentTbl[],UnitsTbl[[#This Row],[Number of Bedrooms]]+2,FALSE)-SUM(UnitsTbl[[#This Row],[Less Utility Allowance Schedule 2]],UnitsTbl[[#This Row],[Less Utility Allowance Schedule 1]]),IF(UnitsTbl[[#This Row],[Rent Limit Calculation Formula]]="Other",VLOOKUP(County&amp;CW35,OtherRentLimitTbl[],UnitsTbl[[#This Row],[Number of Bedrooms]]+3,FALSE)-SUM(UnitsTbl[[#This Row],[Less Utility Allowance Schedule 2]],UnitsTbl[[#This Row],[Less Utility Allowance Schedule 1]]),0))</f>
        <v>0</v>
      </c>
      <c r="CY35" s="363">
        <f>MAX(UnitsTbl[[#This Row],[Gross Monthly Contract Rent]],UnitsTbl[[#This Row],[Net Monthly Contract Rent2]])</f>
        <v>0</v>
      </c>
      <c r="CZ35" s="553">
        <f>IF(UnitsTbl[[#This Row],[Number of Bedrooms]]="",0,VLOOKUP(County&amp;"0.6",TCACrentTbl[],UnitsTbl[[#This Row],[Number of Bedrooms]]+2,FALSE))-SUM(UnitsTbl[[#This Row],[Less Utility Allowance Schedule 2]],UnitsTbl[[#This Row],[Less Utility Allowance Schedule 1]])</f>
        <v>0</v>
      </c>
      <c r="DA35" s="78" t="b">
        <f>OR(AND($BA$7="USDA",UnitsTbl[[#This Row],[Gross Monthly Contract Rent]]&gt;0),AND($BF$7="USDA",UnitsTbl[[#This Row],[Net Monthly Contract Rent2]]&gt;0))</f>
        <v>0</v>
      </c>
      <c r="DB35" s="363">
        <f t="shared" si="10"/>
        <v>0</v>
      </c>
      <c r="DC35" s="363">
        <f t="shared" si="11"/>
        <v>0</v>
      </c>
      <c r="DD35" s="364">
        <f>UnitsTbl[[#This Row],[Total Units]]*DC35</f>
        <v>0</v>
      </c>
    </row>
    <row r="36" spans="1:108" ht="18" customHeight="1">
      <c r="A36" s="693"/>
      <c r="B36" s="1210"/>
      <c r="C36" s="1211"/>
      <c r="D36" s="1637"/>
      <c r="E36" s="1212"/>
      <c r="F36" s="1637"/>
      <c r="G36" s="1637"/>
      <c r="H36" s="1637"/>
      <c r="I36" s="1213"/>
      <c r="J36" s="1213"/>
      <c r="K36" s="1637"/>
      <c r="L36" s="1214"/>
      <c r="M36" s="1637"/>
      <c r="N36" s="1637"/>
      <c r="O36" s="1637"/>
      <c r="P36" s="1637"/>
      <c r="Q36" s="1637"/>
      <c r="R36" s="1637"/>
      <c r="S36" s="1637"/>
      <c r="T36" s="1637"/>
      <c r="U36" s="1637"/>
      <c r="V36" s="1637"/>
      <c r="W36" s="1637"/>
      <c r="X36" s="1637"/>
      <c r="Y36" s="1637"/>
      <c r="Z36" s="1637"/>
      <c r="AA36" s="1637"/>
      <c r="AB36" s="1637"/>
      <c r="AC36" s="1637"/>
      <c r="AD36" s="1215"/>
      <c r="AE36" s="1210"/>
      <c r="AF36" s="1637"/>
      <c r="AG36" s="1216"/>
      <c r="AH36" s="667"/>
      <c r="AI36"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36" s="1218" t="b">
        <f>IFERROR(IF(AND(IsSerna,OR(UnitsTbl[[#This Row],[VHHP
Assisted]]&gt;0,UnitsTbl[[#This Row],[HCD Program 5]]&gt;0)),0,IF(AND(IsSerna,$B$4="FWHG",UnitsTbl[[#This Row],[Restricted Income Level]]="Manager"),VLOOKUP(CONCATENATE(County," ",0.6),HCDLoanLimitTbl2[],BH36,FALSE)*UnitsTbl[[#This Row],[Total Units]],IF(UnitsTbl[[#This Row],[Restricted Income Level]]&gt;80%,0,IF(IsSerna,VLOOKUP(CONCATENATE(County," ",UnitsTbl[[#This Row],[Restricted Income Level]]),HCDLoanLimitTbl2[],UnitsTbl[[#This Row],[VLOOKUP Base]],FALSE)*UnitsTbl[[#This Row],[HCD Program2]])))),0)</f>
        <v>0</v>
      </c>
      <c r="AK36" s="1218" t="b">
        <f>IFERROR(IF(AND(IsTod,OR(UnitsTbl[[#This Row],[HCD Program 5]]&gt;0,UnitsTbl[[#This Row],[HCD Program2]]&gt;0,UnitsTbl[[#This Row],[HCD Program4]]&gt;0,UnitsTbl[[#This Row],[VHHP
Assisted]]&gt;0)),0,(IF(AND(IsTod,$B$4="TOD",UnitsTbl[[#This Row],[Restricted Income Level]]="Manager"),VLOOKUP(CONCATENATE(County," ",0.6),HCDLoanLimitTbl[],BH36,FALSE)*UnitsTbl[[#This Row],[Total Units]],IF(UnitsTbl[[#This Row],[Restricted Income Level]]&gt;60%,0,IF(IsTod,VLOOKUP(CONCATENATE(County," ",UnitsTbl[[#This Row],[Restricted Income Level]]),HCDLoanLimitTbl[],UnitsTbl[[#This Row],[VLOOKUP Base]],FALSE)*UnitsTbl[[#This Row],[HCD Program3]]))))),0)</f>
        <v>0</v>
      </c>
      <c r="AL36" s="1218" t="b">
        <f>IFERROR(IF(AND(IsShmhp,OR(UnitsTbl[[#This Row],[HCD Program 5]]&gt;0,UnitsTbl[[#This Row],[HCD Program2]]&gt;0,UnitsTbl[[#This Row],[HCD Program3]]&gt;0,UnitsTbl[[#This Row],[VHHP
Assisted]]&gt;0)),0,(IF(AND(IsShmhp,$B$4="SHMHP",UnitsTbl[[#This Row],[Restricted Income Level]]="Manager"),VLOOKUP(CONCATENATE(County," ",0.6),HCDLoanLimitTbl[],BH36,FALSE)*UnitsTbl[[#This Row],[Total Units]],IF(UnitsTbl[[#This Row],[Restricted Income Level]]&gt;60%,0,IF(IsShmhp,VLOOKUP(CONCATENATE(County," ",UnitsTbl[[#This Row],[Restricted Income Level]]),HCDLoanLimitTbl[],UnitsTbl[[#This Row],[VLOOKUP Base]],FALSE)*UnitsTbl[[#This Row],[HCD Program4]]))))),0)</f>
        <v>0</v>
      </c>
      <c r="AM36" s="1219" t="b">
        <f>IFERROR(IF(AND(IsVhhp,OR(UnitsTbl[[#This Row],[HCD Program 5]]&gt;0,UnitsTbl[[#This Row],[HCD Program2]]&gt;0,UnitsTbl[[#This Row],[HCD Program3]]&gt;0,UnitsTbl[[#This Row],[HCD Program4]]&gt;0)),0,(IF(AND(IsVhhp,$B$4="VHHP",UnitsTbl[[#This Row],[Restricted Income Level]]="Manager"),VLOOKUP(CONCATENATE(County," ",0.6),HCDLoanLimitTbl2[],BH36,FALSE)*UnitsTbl[[#This Row],[Total Units]],IF(UnitsTbl[[#This Row],[Restricted Income Level]]&gt;60%,0,IF(IsVhhp,VLOOKUP(CONCATENATE(County," ",UnitsTbl[[#This Row],[Restricted Income Level]]),HCDLoanLimitTbl2[],UnitsTbl[[#This Row],[VLOOKUP Base]],FALSE)*UnitsTbl[[#This Row],[VHHP
Assisted]]))))),0)</f>
        <v>0</v>
      </c>
      <c r="AN36"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",0.6),HCDLoanLimitTbl[],BH36,FALSE)*UnitsTbl[[#This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36" s="1221"/>
      <c r="AP36"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36" s="1223"/>
      <c r="AR36" s="1224"/>
      <c r="AS36" s="1225" t="str">
        <f>IFERROR(IF(UnitsTbl[[#This Row],[Max Gross Rent]]=0,"",UnitsTbl[[#This Row],[Max Gross Rent]]-UnitsTbl[[#This Row],[Less Utility Allowance Schedule 1]]-UnitsTbl[[#This Row],[Less Utility Allowance Schedule 2]]),"")</f>
        <v/>
      </c>
      <c r="AT36" s="1226"/>
      <c r="AU36" s="1225">
        <f>IF(UnitsTbl[[#This Row],[Proposed Net Rent ]]="",0,UnitsTbl[[#This Row],[Total Units]]*UnitsTbl[[#This Row],[Proposed Net Rent ]])</f>
        <v>0</v>
      </c>
      <c r="AV36" s="1227" t="str">
        <f>IF(UnitsTbl[[#This Row],[Proposed Net Rent ]]&gt;0,0,IFERROR(UnitsTbl[[#This Row],[Total Units]]*UnitsTbl[[#This Row],[Maximum Net Rent]],""))</f>
        <v/>
      </c>
      <c r="AW36" s="1228"/>
      <c r="AX36"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36" s="1637"/>
      <c r="AZ36" s="1637"/>
      <c r="BA36" s="1229" t="str">
        <f>IFERROR(IF(UnitsTbl[[#This Row],[Total Units]]="","",UnitsTbl[[#This Row],[Subsidy Payment Over  Gross Rent]]*UnitsTbl[[#This Row],[Total Units]])*NOT($BA$7=""),"")</f>
        <v/>
      </c>
      <c r="BB36" s="1228"/>
      <c r="BC36"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36" s="1230"/>
      <c r="BE36" s="1637"/>
      <c r="BF36" s="1227" t="str">
        <f>IFERROR(IF(UnitsTbl[[#This Row],[Total Units]]="","",UnitsTbl[[#This Row],[Subsidy Payment Over Gross Rent2]]*UnitsTbl[[#This Row],[Total Units]])*NOT($BF$7=""),"")</f>
        <v/>
      </c>
      <c r="BG36" s="1231">
        <f>IF(OR(UnitsTbl[[#This Row],[Special Needs?]]="Yes",UnitsTbl[[#This Row],[Special Needs2?]]="Yes"), 1,0)</f>
        <v>0</v>
      </c>
      <c r="BH36"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36"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36" s="969">
        <f>MIN(SUM(UnitsTbl[[#This Row],[Disability Homelessness]],UnitsTbl[[#This Row],[Chronic Homelessness]],UnitsTbl[[#This Row],[Other Homelessness]]),UnitsTbl[[#This Row],[Total restricted units]])</f>
        <v>0</v>
      </c>
      <c r="BK36" s="969">
        <f>(UnitsTbl[[#This Row],[Restricted Income Level]]&lt;=30%)*UnitsTbl[[#This Row],[Total restricted units]]</f>
        <v>0</v>
      </c>
      <c r="BL36" s="969">
        <f t="shared" si="8"/>
        <v>0</v>
      </c>
      <c r="BM36" s="307">
        <f>UnitsTbl[[#This Row],[Units being subsidized]]*SUM(UnitsTbl[[#This Row],[Less Utility Allowance Schedule 1]],UnitsTbl[[#This Row],[Less Utility Allowance Schedule 2]])</f>
        <v>0</v>
      </c>
      <c r="BN36" s="307">
        <f>UnitsTbl[[#This Row],[Units being subsidized2]]*SUM(UnitsTbl[[#This Row],[Less Utility Allowance Schedule 1]],UnitsTbl[[#This Row],[Less Utility Allowance Schedule 2]])</f>
        <v>0</v>
      </c>
      <c r="BO36" s="307"/>
      <c r="BP36" s="1232" t="str">
        <f>CONCATENATE(County," ",HCDLoanLimitTbl2[[#This Row],[AMI]])</f>
        <v xml:space="preserve"> 0.6</v>
      </c>
      <c r="BQ36" s="1721">
        <v>0.6</v>
      </c>
      <c r="BR36" s="1643">
        <f>IFERROR(+$BR$27+PV($BS$28/12,$BT$28,-(($CJ$51-$CJ$51)*(1-$BV$28))/$BU$28),0)</f>
        <v>0</v>
      </c>
      <c r="BS36" s="1643">
        <f>IFERROR(+$BR$27+PV($BS$28/12,$BT$28,-(($CJ$51-$CJ$51)*(1-$BV$28))/$BU$28),0)</f>
        <v>0</v>
      </c>
      <c r="BT36" s="1643">
        <f>IFERROR(+$BR$27+PV($BS$28/12,$BT$28,-(($CJ$51-$CJ$51)*(1-$BV$28))/$BU$28),0)</f>
        <v>0</v>
      </c>
      <c r="BU36" s="1643">
        <f>IFERROR(+$BR$27+PV($BS$28/12,$BT$28,-(($CJ$51-$CJ$51)*(1-$BV$28))/$BU$28),0)</f>
        <v>0</v>
      </c>
      <c r="BV36" s="1643">
        <f>IFERROR(+$BR$27+PV($BS$28/12,$BT$28,-(($CJ$51-$CJ$51)*(1-$BV$28))/$BU$28),0)</f>
        <v>0</v>
      </c>
      <c r="BX36" s="1129" t="s">
        <v>86</v>
      </c>
      <c r="BY36" s="812">
        <v>39200</v>
      </c>
      <c r="BZ36" s="813">
        <v>44750</v>
      </c>
      <c r="CA36" s="813">
        <v>50350</v>
      </c>
      <c r="CB36" s="813">
        <v>55950</v>
      </c>
      <c r="CC36" s="813">
        <v>60450</v>
      </c>
      <c r="CD36" s="813">
        <v>64900</v>
      </c>
      <c r="CE36" s="813">
        <v>69400</v>
      </c>
      <c r="CF36" s="1147">
        <v>73850</v>
      </c>
      <c r="CH36" s="782"/>
      <c r="CI36" s="376" t="s">
        <v>1602</v>
      </c>
      <c r="CJ36" s="783"/>
      <c r="CK36" s="783"/>
      <c r="CL36" s="783"/>
      <c r="CM36" s="783"/>
      <c r="CN36" s="783"/>
      <c r="CO36" s="783"/>
      <c r="CP36" s="784"/>
      <c r="CQ36" s="1682"/>
      <c r="CR36" s="386" t="b">
        <f>OR(AND(OR($BA$7="USDA",$BA$7="Other Federal"),UnitsTbl[[#This Row],[Gross Monthly Contract Rent]]&gt;0),AND(OR($BF$7="USDA",$BF$7="Other Federal"),UnitsTbl[[#This Row],[Net Monthly Contract Rent2]]&gt;0))</f>
        <v>0</v>
      </c>
      <c r="CS36" s="223">
        <f>IF(UnitsTbl[[#This Row],[Restricted Income Level]]="Manager",0,UnitsTbl[[#This Row],[Total Units]]*INDEX(SizeFactors,MATCH(MIN(UnitsTbl[[#This Row],[Number of Bedrooms]],4),Sizes,0)))</f>
        <v>0</v>
      </c>
      <c r="CT36" s="550">
        <f>IF(UnitsTbl[[#This Row],[Restricted Income Level]]="Manager",0,UnitsTbl[[#This Row],[Total Units]]-SUM(UnitsTbl[[#This Row],[Units being subsidized]]*($BA$7&lt;&gt;"Not Federal"),UnitsTbl[[#This Row],[Units being subsidized2]]*($BF$7&lt;&gt;"Not Federal")))</f>
        <v>0</v>
      </c>
      <c r="CU36" s="309">
        <f>IFERROR(IF(AND($CU$8,CR36=FALSE),40%,IF(UnitsTbl[[#This Row],[Restricted Income Level]]&lt;30%,30%,UnitsTbl[[#This Row],[Restricted Income Level]])),0)</f>
        <v>0.4</v>
      </c>
      <c r="CV36" s="1682"/>
      <c r="CW36" s="555">
        <f t="shared" si="9"/>
        <v>0.4</v>
      </c>
      <c r="CX36" s="553">
        <f>IF(UnitsTbl[[#This Row],[Rent Limit Calculation Formula]]="TCAC",VLOOKUP(County&amp;CW36,TCACrentTbl[],UnitsTbl[[#This Row],[Number of Bedrooms]]+2,FALSE)-SUM(UnitsTbl[[#This Row],[Less Utility Allowance Schedule 2]],UnitsTbl[[#This Row],[Less Utility Allowance Schedule 1]]),IF(UnitsTbl[[#This Row],[Rent Limit Calculation Formula]]="Other",VLOOKUP(County&amp;CW36,OtherRentLimitTbl[],UnitsTbl[[#This Row],[Number of Bedrooms]]+3,FALSE)-SUM(UnitsTbl[[#This Row],[Less Utility Allowance Schedule 2]],UnitsTbl[[#This Row],[Less Utility Allowance Schedule 1]]),0))</f>
        <v>0</v>
      </c>
      <c r="CY36" s="363">
        <f>MAX(UnitsTbl[[#This Row],[Gross Monthly Contract Rent]],UnitsTbl[[#This Row],[Net Monthly Contract Rent2]])</f>
        <v>0</v>
      </c>
      <c r="CZ36" s="553">
        <f>IF(UnitsTbl[[#This Row],[Number of Bedrooms]]="",0,VLOOKUP(County&amp;"0.6",TCACrentTbl[],UnitsTbl[[#This Row],[Number of Bedrooms]]+2,FALSE))-SUM(UnitsTbl[[#This Row],[Less Utility Allowance Schedule 2]],UnitsTbl[[#This Row],[Less Utility Allowance Schedule 1]])</f>
        <v>0</v>
      </c>
      <c r="DA36" s="78" t="b">
        <f>OR(AND($BA$7="USDA",UnitsTbl[[#This Row],[Gross Monthly Contract Rent]]&gt;0),AND($BF$7="USDA",UnitsTbl[[#This Row],[Net Monthly Contract Rent2]]&gt;0))</f>
        <v>0</v>
      </c>
      <c r="DB36" s="363">
        <f t="shared" si="10"/>
        <v>0</v>
      </c>
      <c r="DC36" s="363">
        <f t="shared" si="11"/>
        <v>0</v>
      </c>
      <c r="DD36" s="364">
        <f>UnitsTbl[[#This Row],[Total Units]]*DC36</f>
        <v>0</v>
      </c>
    </row>
    <row r="37" spans="1:108" ht="18" customHeight="1">
      <c r="A37" s="693"/>
      <c r="B37" s="1210"/>
      <c r="C37" s="1211"/>
      <c r="D37" s="1637"/>
      <c r="E37" s="1212"/>
      <c r="F37" s="1637"/>
      <c r="G37" s="1637"/>
      <c r="H37" s="1637"/>
      <c r="I37" s="1213"/>
      <c r="J37" s="1213"/>
      <c r="K37" s="1637"/>
      <c r="L37" s="1214"/>
      <c r="M37" s="1637"/>
      <c r="N37" s="1637"/>
      <c r="O37" s="1637"/>
      <c r="P37" s="1637"/>
      <c r="Q37" s="1637"/>
      <c r="R37" s="1637"/>
      <c r="S37" s="1637"/>
      <c r="T37" s="1637"/>
      <c r="U37" s="1637"/>
      <c r="V37" s="1637"/>
      <c r="W37" s="1637"/>
      <c r="X37" s="1637"/>
      <c r="Y37" s="1637"/>
      <c r="Z37" s="1637"/>
      <c r="AA37" s="1637"/>
      <c r="AB37" s="1637"/>
      <c r="AC37" s="1637"/>
      <c r="AD37" s="1215"/>
      <c r="AE37" s="1210"/>
      <c r="AF37" s="1637"/>
      <c r="AG37" s="1216"/>
      <c r="AH37" s="667"/>
      <c r="AI37"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37" s="1218" t="b">
        <f>IFERROR(IF(AND(IsSerna,OR(UnitsTbl[[#This Row],[VHHP
Assisted]]&gt;0,UnitsTbl[[#This Row],[HCD Program 5]]&gt;0)),0,IF(AND(IsSerna,$B$4="FWHG",UnitsTbl[[#This Row],[Restricted Income Level]]="Manager"),VLOOKUP(CONCATENATE(County," ",0.6),HCDLoanLimitTbl2[],BH37,FALSE)*UnitsTbl[[#This Row],[Total Units]],IF(UnitsTbl[[#This Row],[Restricted Income Level]]&gt;80%,0,IF(IsSerna,VLOOKUP(CONCATENATE(County," ",UnitsTbl[[#This Row],[Restricted Income Level]]),HCDLoanLimitTbl2[],UnitsTbl[[#This Row],[VLOOKUP Base]],FALSE)*UnitsTbl[[#This Row],[HCD Program2]])))),0)</f>
        <v>0</v>
      </c>
      <c r="AK37" s="1218" t="b">
        <f>IFERROR(IF(AND(IsTod,OR(UnitsTbl[[#This Row],[HCD Program 5]]&gt;0,UnitsTbl[[#This Row],[HCD Program2]]&gt;0,UnitsTbl[[#This Row],[HCD Program4]]&gt;0,UnitsTbl[[#This Row],[VHHP
Assisted]]&gt;0)),0,(IF(AND(IsTod,$B$4="TOD",UnitsTbl[[#This Row],[Restricted Income Level]]="Manager"),VLOOKUP(CONCATENATE(County," ",0.6),HCDLoanLimitTbl[],BH37,FALSE)*UnitsTbl[[#This Row],[Total Units]],IF(UnitsTbl[[#This Row],[Restricted Income Level]]&gt;60%,0,IF(IsTod,VLOOKUP(CONCATENATE(County," ",UnitsTbl[[#This Row],[Restricted Income Level]]),HCDLoanLimitTbl[],UnitsTbl[[#This Row],[VLOOKUP Base]],FALSE)*UnitsTbl[[#This Row],[HCD Program3]]))))),0)</f>
        <v>0</v>
      </c>
      <c r="AL37" s="1218" t="b">
        <f>IFERROR(IF(AND(IsShmhp,OR(UnitsTbl[[#This Row],[HCD Program 5]]&gt;0,UnitsTbl[[#This Row],[HCD Program2]]&gt;0,UnitsTbl[[#This Row],[HCD Program3]]&gt;0,UnitsTbl[[#This Row],[VHHP
Assisted]]&gt;0)),0,(IF(AND(IsShmhp,$B$4="SHMHP",UnitsTbl[[#This Row],[Restricted Income Level]]="Manager"),VLOOKUP(CONCATENATE(County," ",0.6),HCDLoanLimitTbl[],BH37,FALSE)*UnitsTbl[[#This Row],[Total Units]],IF(UnitsTbl[[#This Row],[Restricted Income Level]]&gt;60%,0,IF(IsShmhp,VLOOKUP(CONCATENATE(County," ",UnitsTbl[[#This Row],[Restricted Income Level]]),HCDLoanLimitTbl[],UnitsTbl[[#This Row],[VLOOKUP Base]],FALSE)*UnitsTbl[[#This Row],[HCD Program4]]))))),0)</f>
        <v>0</v>
      </c>
      <c r="AM37" s="1219" t="b">
        <f>IFERROR(IF(AND(IsVhhp,OR(UnitsTbl[[#This Row],[HCD Program 5]]&gt;0,UnitsTbl[[#This Row],[HCD Program2]]&gt;0,UnitsTbl[[#This Row],[HCD Program3]]&gt;0,UnitsTbl[[#This Row],[HCD Program4]]&gt;0)),0,(IF(AND(IsVhhp,$B$4="VHHP",UnitsTbl[[#This Row],[Restricted Income Level]]="Manager"),VLOOKUP(CONCATENATE(County," ",0.6),HCDLoanLimitTbl2[],BH37,FALSE)*UnitsTbl[[#This Row],[Total Units]],IF(UnitsTbl[[#This Row],[Restricted Income Level]]&gt;60%,0,IF(IsVhhp,VLOOKUP(CONCATENATE(County," ",UnitsTbl[[#This Row],[Restricted Income Level]]),HCDLoanLimitTbl2[],UnitsTbl[[#This Row],[VLOOKUP Base]],FALSE)*UnitsTbl[[#This Row],[VHHP
Assisted]]))))),0)</f>
        <v>0</v>
      </c>
      <c r="AN37"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",0.6),HCDLoanLimitTbl[],BH37,FALSE)*UnitsTbl[[#This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37" s="1221"/>
      <c r="AP37"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37" s="1223"/>
      <c r="AR37" s="1224"/>
      <c r="AS37" s="1225" t="str">
        <f>IFERROR(IF(UnitsTbl[[#This Row],[Max Gross Rent]]=0,"",UnitsTbl[[#This Row],[Max Gross Rent]]-UnitsTbl[[#This Row],[Less Utility Allowance Schedule 1]]-UnitsTbl[[#This Row],[Less Utility Allowance Schedule 2]]),"")</f>
        <v/>
      </c>
      <c r="AT37" s="1226"/>
      <c r="AU37" s="1225">
        <f>IF(UnitsTbl[[#This Row],[Proposed Net Rent ]]="",0,UnitsTbl[[#This Row],[Total Units]]*UnitsTbl[[#This Row],[Proposed Net Rent ]])</f>
        <v>0</v>
      </c>
      <c r="AV37" s="1227" t="str">
        <f>IF(UnitsTbl[[#This Row],[Proposed Net Rent ]]&gt;0,0,IFERROR(UnitsTbl[[#This Row],[Total Units]]*UnitsTbl[[#This Row],[Maximum Net Rent]],""))</f>
        <v/>
      </c>
      <c r="AW37" s="1228"/>
      <c r="AX37"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37" s="1637"/>
      <c r="AZ37" s="1637"/>
      <c r="BA37" s="1229" t="str">
        <f>IFERROR(IF(UnitsTbl[[#This Row],[Total Units]]="","",UnitsTbl[[#This Row],[Subsidy Payment Over  Gross Rent]]*UnitsTbl[[#This Row],[Total Units]])*NOT($BA$7=""),"")</f>
        <v/>
      </c>
      <c r="BB37" s="1228"/>
      <c r="BC37"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37" s="1230"/>
      <c r="BE37" s="1637"/>
      <c r="BF37" s="1227" t="str">
        <f>IFERROR(IF(UnitsTbl[[#This Row],[Total Units]]="","",UnitsTbl[[#This Row],[Subsidy Payment Over Gross Rent2]]*UnitsTbl[[#This Row],[Total Units]])*NOT($BF$7=""),"")</f>
        <v/>
      </c>
      <c r="BG37" s="1231">
        <f>IF(OR(UnitsTbl[[#This Row],[Special Needs?]]="Yes",UnitsTbl[[#This Row],[Special Needs2?]]="Yes"), 1,0)</f>
        <v>0</v>
      </c>
      <c r="BH37"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37"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37" s="969">
        <f>MIN(SUM(UnitsTbl[[#This Row],[Disability Homelessness]],UnitsTbl[[#This Row],[Chronic Homelessness]],UnitsTbl[[#This Row],[Other Homelessness]]),UnitsTbl[[#This Row],[Total restricted units]])</f>
        <v>0</v>
      </c>
      <c r="BK37" s="969">
        <f>(UnitsTbl[[#This Row],[Restricted Income Level]]&lt;=30%)*UnitsTbl[[#This Row],[Total restricted units]]</f>
        <v>0</v>
      </c>
      <c r="BL37" s="969">
        <f t="shared" si="8"/>
        <v>0</v>
      </c>
      <c r="BM37" s="307">
        <f>UnitsTbl[[#This Row],[Units being subsidized]]*SUM(UnitsTbl[[#This Row],[Less Utility Allowance Schedule 1]],UnitsTbl[[#This Row],[Less Utility Allowance Schedule 2]])</f>
        <v>0</v>
      </c>
      <c r="BN37" s="307">
        <f>UnitsTbl[[#This Row],[Units being subsidized2]]*SUM(UnitsTbl[[#This Row],[Less Utility Allowance Schedule 1]],UnitsTbl[[#This Row],[Less Utility Allowance Schedule 2]])</f>
        <v>0</v>
      </c>
      <c r="BO37" s="307"/>
      <c r="BP37" s="1232" t="str">
        <f>CONCATENATE(County," ",HCDLoanLimitTbl2[[#This Row],[AMI]])</f>
        <v xml:space="preserve"> 0.55</v>
      </c>
      <c r="BQ37" s="1721">
        <v>0.55000000000000004</v>
      </c>
      <c r="BR37" s="1643" t="e">
        <f>+$BR$27+PV($BS$28/12,$BT$28,-((CJ$51-CJ52)*(1-$BV$28))/$BU$28)</f>
        <v>#VALUE!</v>
      </c>
      <c r="BS37" s="1643" t="e">
        <f t="shared" ref="BS37:BS45" si="26">+$BR$27+PV($BS$28/12,$BT$28,-((CK$51-CK52)*(1-$BV$28))/$BU$28)</f>
        <v>#VALUE!</v>
      </c>
      <c r="BT37" s="1643" t="e">
        <f t="shared" ref="BT37:BT45" si="27">+$BR$27+PV($BS$28/12,$BT$28,-((CL$51-CL52)*(1-$BV$28))/$BU$28)</f>
        <v>#VALUE!</v>
      </c>
      <c r="BU37" s="1643" t="e">
        <f t="shared" ref="BU37:BU45" si="28">+$BR$27+PV($BS$28/12,$BT$28,-((CM$51-CM52)*(1-$BV$28))/$BU$28)</f>
        <v>#VALUE!</v>
      </c>
      <c r="BV37" s="1233" t="e">
        <f t="shared" ref="BV37:BV45" si="29">+$BR$27+PV($BS$28/12,$BT$28,-((CN$51-CN52)*(1-$BV$28))/$BU$28)</f>
        <v>#VALUE!</v>
      </c>
      <c r="BX37" s="1129" t="s">
        <v>134</v>
      </c>
      <c r="BY37" s="811">
        <v>45050</v>
      </c>
      <c r="BZ37" s="1744">
        <v>51450</v>
      </c>
      <c r="CA37" s="1744">
        <v>57900</v>
      </c>
      <c r="CB37" s="1744">
        <v>64300</v>
      </c>
      <c r="CC37" s="1744">
        <v>69450</v>
      </c>
      <c r="CD37" s="1744">
        <v>74600</v>
      </c>
      <c r="CE37" s="1744">
        <v>79750</v>
      </c>
      <c r="CF37" s="1135">
        <v>84900</v>
      </c>
      <c r="CH37" s="386"/>
      <c r="CI37" s="81" t="s">
        <v>1603</v>
      </c>
      <c r="CJ37" s="221"/>
      <c r="CK37" s="221"/>
      <c r="CL37" s="221"/>
      <c r="CM37" s="221"/>
      <c r="CN37" s="221"/>
      <c r="CP37" s="1681"/>
      <c r="CQ37" s="1682"/>
      <c r="CR37" s="386" t="b">
        <f>OR(AND(OR($BA$7="USDA",$BA$7="Other Federal"),UnitsTbl[[#This Row],[Gross Monthly Contract Rent]]&gt;0),AND(OR($BF$7="USDA",$BF$7="Other Federal"),UnitsTbl[[#This Row],[Net Monthly Contract Rent2]]&gt;0))</f>
        <v>0</v>
      </c>
      <c r="CS37" s="223">
        <f>IF(UnitsTbl[[#This Row],[Restricted Income Level]]="Manager",0,UnitsTbl[[#This Row],[Total Units]]*INDEX(SizeFactors,MATCH(MIN(UnitsTbl[[#This Row],[Number of Bedrooms]],4),Sizes,0)))</f>
        <v>0</v>
      </c>
      <c r="CT37" s="550">
        <f>IF(UnitsTbl[[#This Row],[Restricted Income Level]]="Manager",0,UnitsTbl[[#This Row],[Total Units]]-SUM(UnitsTbl[[#This Row],[Units being subsidized]]*($BA$7&lt;&gt;"Not Federal"),UnitsTbl[[#This Row],[Units being subsidized2]]*($BF$7&lt;&gt;"Not Federal")))</f>
        <v>0</v>
      </c>
      <c r="CU37" s="309">
        <f>IFERROR(IF(AND($CU$8,CR37=FALSE),40%,IF(UnitsTbl[[#This Row],[Restricted Income Level]]&lt;30%,30%,UnitsTbl[[#This Row],[Restricted Income Level]])),0)</f>
        <v>0.4</v>
      </c>
      <c r="CV37" s="1682"/>
      <c r="CW37" s="555">
        <f t="shared" si="9"/>
        <v>0.4</v>
      </c>
      <c r="CX37" s="553">
        <f>IF(UnitsTbl[[#This Row],[Rent Limit Calculation Formula]]="TCAC",VLOOKUP(County&amp;CW37,TCACrentTbl[],UnitsTbl[[#This Row],[Number of Bedrooms]]+2,FALSE)-SUM(UnitsTbl[[#This Row],[Less Utility Allowance Schedule 2]],UnitsTbl[[#This Row],[Less Utility Allowance Schedule 1]]),IF(UnitsTbl[[#This Row],[Rent Limit Calculation Formula]]="Other",VLOOKUP(County&amp;CW37,OtherRentLimitTbl[],UnitsTbl[[#This Row],[Number of Bedrooms]]+3,FALSE)-SUM(UnitsTbl[[#This Row],[Less Utility Allowance Schedule 2]],UnitsTbl[[#This Row],[Less Utility Allowance Schedule 1]]),0))</f>
        <v>0</v>
      </c>
      <c r="CY37" s="363">
        <f>MAX(UnitsTbl[[#This Row],[Gross Monthly Contract Rent]],UnitsTbl[[#This Row],[Net Monthly Contract Rent2]])</f>
        <v>0</v>
      </c>
      <c r="CZ37" s="553">
        <f>IF(UnitsTbl[[#This Row],[Number of Bedrooms]]="",0,VLOOKUP(County&amp;"0.6",TCACrentTbl[],UnitsTbl[[#This Row],[Number of Bedrooms]]+2,FALSE))-SUM(UnitsTbl[[#This Row],[Less Utility Allowance Schedule 2]],UnitsTbl[[#This Row],[Less Utility Allowance Schedule 1]])</f>
        <v>0</v>
      </c>
      <c r="DA37" s="78" t="b">
        <f>OR(AND($BA$7="USDA",UnitsTbl[[#This Row],[Gross Monthly Contract Rent]]&gt;0),AND($BF$7="USDA",UnitsTbl[[#This Row],[Net Monthly Contract Rent2]]&gt;0))</f>
        <v>0</v>
      </c>
      <c r="DB37" s="363">
        <f t="shared" si="10"/>
        <v>0</v>
      </c>
      <c r="DC37" s="363">
        <f t="shared" si="11"/>
        <v>0</v>
      </c>
      <c r="DD37" s="364">
        <f>UnitsTbl[[#This Row],[Total Units]]*DC37</f>
        <v>0</v>
      </c>
    </row>
    <row r="38" spans="1:108" ht="18" customHeight="1">
      <c r="A38" s="693"/>
      <c r="B38" s="1210"/>
      <c r="C38" s="1211"/>
      <c r="D38" s="1637"/>
      <c r="E38" s="1212"/>
      <c r="F38" s="1637"/>
      <c r="G38" s="1637"/>
      <c r="H38" s="1637"/>
      <c r="I38" s="1213"/>
      <c r="J38" s="1213"/>
      <c r="K38" s="1637"/>
      <c r="L38" s="1214"/>
      <c r="M38" s="1637"/>
      <c r="N38" s="1637"/>
      <c r="O38" s="1637"/>
      <c r="P38" s="1637"/>
      <c r="Q38" s="1637"/>
      <c r="R38" s="1637"/>
      <c r="S38" s="1637"/>
      <c r="T38" s="1637"/>
      <c r="U38" s="1637"/>
      <c r="V38" s="1637"/>
      <c r="W38" s="1637"/>
      <c r="X38" s="1637"/>
      <c r="Y38" s="1637"/>
      <c r="Z38" s="1637"/>
      <c r="AA38" s="1637"/>
      <c r="AB38" s="1637"/>
      <c r="AC38" s="1637"/>
      <c r="AD38" s="1215"/>
      <c r="AE38" s="1210"/>
      <c r="AF38" s="1637"/>
      <c r="AG38" s="1216"/>
      <c r="AH38" s="667"/>
      <c r="AI38"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38" s="1218" t="b">
        <f>IFERROR(IF(AND(IsSerna,OR(UnitsTbl[[#This Row],[VHHP
Assisted]]&gt;0,UnitsTbl[[#This Row],[HCD Program 5]]&gt;0)),0,IF(AND(IsSerna,$B$4="FWHG",UnitsTbl[[#This Row],[Restricted Income Level]]="Manager"),VLOOKUP(CONCATENATE(County," ",0.6),HCDLoanLimitTbl2[],BH38,FALSE)*UnitsTbl[[#This Row],[Total Units]],IF(UnitsTbl[[#This Row],[Restricted Income Level]]&gt;80%,0,IF(IsSerna,VLOOKUP(CONCATENATE(County," ",UnitsTbl[[#This Row],[Restricted Income Level]]),HCDLoanLimitTbl2[],UnitsTbl[[#This Row],[VLOOKUP Base]],FALSE)*UnitsTbl[[#This Row],[HCD Program2]])))),0)</f>
        <v>0</v>
      </c>
      <c r="AK38" s="1218" t="b">
        <f>IFERROR(IF(AND(IsTod,OR(UnitsTbl[[#This Row],[HCD Program 5]]&gt;0,UnitsTbl[[#This Row],[HCD Program2]]&gt;0,UnitsTbl[[#This Row],[HCD Program4]]&gt;0,UnitsTbl[[#This Row],[VHHP
Assisted]]&gt;0)),0,(IF(AND(IsTod,$B$4="TOD",UnitsTbl[[#This Row],[Restricted Income Level]]="Manager"),VLOOKUP(CONCATENATE(County," ",0.6),HCDLoanLimitTbl[],BH38,FALSE)*UnitsTbl[[#This Row],[Total Units]],IF(UnitsTbl[[#This Row],[Restricted Income Level]]&gt;60%,0,IF(IsTod,VLOOKUP(CONCATENATE(County," ",UnitsTbl[[#This Row],[Restricted Income Level]]),HCDLoanLimitTbl[],UnitsTbl[[#This Row],[VLOOKUP Base]],FALSE)*UnitsTbl[[#This Row],[HCD Program3]]))))),0)</f>
        <v>0</v>
      </c>
      <c r="AL38" s="1218" t="b">
        <f>IFERROR(IF(AND(IsShmhp,OR(UnitsTbl[[#This Row],[HCD Program 5]]&gt;0,UnitsTbl[[#This Row],[HCD Program2]]&gt;0,UnitsTbl[[#This Row],[HCD Program3]]&gt;0,UnitsTbl[[#This Row],[VHHP
Assisted]]&gt;0)),0,(IF(AND(IsShmhp,$B$4="SHMHP",UnitsTbl[[#This Row],[Restricted Income Level]]="Manager"),VLOOKUP(CONCATENATE(County," ",0.6),HCDLoanLimitTbl[],BH38,FALSE)*UnitsTbl[[#This Row],[Total Units]],IF(UnitsTbl[[#This Row],[Restricted Income Level]]&gt;60%,0,IF(IsShmhp,VLOOKUP(CONCATENATE(County," ",UnitsTbl[[#This Row],[Restricted Income Level]]),HCDLoanLimitTbl[],UnitsTbl[[#This Row],[VLOOKUP Base]],FALSE)*UnitsTbl[[#This Row],[HCD Program4]]))))),0)</f>
        <v>0</v>
      </c>
      <c r="AM38" s="1219" t="b">
        <f>IFERROR(IF(AND(IsVhhp,OR(UnitsTbl[[#This Row],[HCD Program 5]]&gt;0,UnitsTbl[[#This Row],[HCD Program2]]&gt;0,UnitsTbl[[#This Row],[HCD Program3]]&gt;0,UnitsTbl[[#This Row],[HCD Program4]]&gt;0)),0,(IF(AND(IsVhhp,$B$4="VHHP",UnitsTbl[[#This Row],[Restricted Income Level]]="Manager"),VLOOKUP(CONCATENATE(County," ",0.6),HCDLoanLimitTbl2[],BH38,FALSE)*UnitsTbl[[#This Row],[Total Units]],IF(UnitsTbl[[#This Row],[Restricted Income Level]]&gt;60%,0,IF(IsVhhp,VLOOKUP(CONCATENATE(County," ",UnitsTbl[[#This Row],[Restricted Income Level]]),HCDLoanLimitTbl2[],UnitsTbl[[#This Row],[VLOOKUP Base]],FALSE)*UnitsTbl[[#This Row],[VHHP
Assisted]]))))),0)</f>
        <v>0</v>
      </c>
      <c r="AN38"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",0.6),HCDLoanLimitTbl[],BH38,FALSE)*UnitsTbl[[#This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38" s="1221"/>
      <c r="AP38"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38" s="1223"/>
      <c r="AR38" s="1224"/>
      <c r="AS38" s="1225" t="str">
        <f>IFERROR(IF(UnitsTbl[[#This Row],[Max Gross Rent]]=0,"",UnitsTbl[[#This Row],[Max Gross Rent]]-UnitsTbl[[#This Row],[Less Utility Allowance Schedule 1]]-UnitsTbl[[#This Row],[Less Utility Allowance Schedule 2]]),"")</f>
        <v/>
      </c>
      <c r="AT38" s="1226"/>
      <c r="AU38" s="1225">
        <f>IF(UnitsTbl[[#This Row],[Proposed Net Rent ]]="",0,UnitsTbl[[#This Row],[Total Units]]*UnitsTbl[[#This Row],[Proposed Net Rent ]])</f>
        <v>0</v>
      </c>
      <c r="AV38" s="1227" t="str">
        <f>IF(UnitsTbl[[#This Row],[Proposed Net Rent ]]&gt;0,0,IFERROR(UnitsTbl[[#This Row],[Total Units]]*UnitsTbl[[#This Row],[Maximum Net Rent]],""))</f>
        <v/>
      </c>
      <c r="AW38" s="1228"/>
      <c r="AX38"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38" s="1637"/>
      <c r="AZ38" s="1637"/>
      <c r="BA38" s="1229" t="str">
        <f>IFERROR(IF(UnitsTbl[[#This Row],[Total Units]]="","",UnitsTbl[[#This Row],[Subsidy Payment Over  Gross Rent]]*UnitsTbl[[#This Row],[Total Units]])*NOT($BA$7=""),"")</f>
        <v/>
      </c>
      <c r="BB38" s="1228"/>
      <c r="BC38"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38" s="1230"/>
      <c r="BE38" s="1637"/>
      <c r="BF38" s="1227" t="str">
        <f>IFERROR(IF(UnitsTbl[[#This Row],[Total Units]]="","",UnitsTbl[[#This Row],[Subsidy Payment Over Gross Rent2]]*UnitsTbl[[#This Row],[Total Units]])*NOT($BF$7=""),"")</f>
        <v/>
      </c>
      <c r="BG38" s="1231">
        <f>IF(OR(UnitsTbl[[#This Row],[Special Needs?]]="Yes",UnitsTbl[[#This Row],[Special Needs2?]]="Yes"), 1,0)</f>
        <v>0</v>
      </c>
      <c r="BH38"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38"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38" s="969">
        <f>MIN(SUM(UnitsTbl[[#This Row],[Disability Homelessness]],UnitsTbl[[#This Row],[Chronic Homelessness]],UnitsTbl[[#This Row],[Other Homelessness]]),UnitsTbl[[#This Row],[Total restricted units]])</f>
        <v>0</v>
      </c>
      <c r="BK38" s="969">
        <f>(UnitsTbl[[#This Row],[Restricted Income Level]]&lt;=30%)*UnitsTbl[[#This Row],[Total restricted units]]</f>
        <v>0</v>
      </c>
      <c r="BL38" s="969">
        <f t="shared" si="8"/>
        <v>0</v>
      </c>
      <c r="BM38" s="307">
        <f>UnitsTbl[[#This Row],[Units being subsidized]]*SUM(UnitsTbl[[#This Row],[Less Utility Allowance Schedule 1]],UnitsTbl[[#This Row],[Less Utility Allowance Schedule 2]])</f>
        <v>0</v>
      </c>
      <c r="BN38" s="307">
        <f>UnitsTbl[[#This Row],[Units being subsidized2]]*SUM(UnitsTbl[[#This Row],[Less Utility Allowance Schedule 1]],UnitsTbl[[#This Row],[Less Utility Allowance Schedule 2]])</f>
        <v>0</v>
      </c>
      <c r="BO38" s="307"/>
      <c r="BP38" s="1232" t="str">
        <f>CONCATENATE(County," ",HCDLoanLimitTbl2[[#This Row],[AMI]])</f>
        <v xml:space="preserve"> 0.5</v>
      </c>
      <c r="BQ38" s="1721">
        <v>0.5</v>
      </c>
      <c r="BR38" s="1643" t="e">
        <f t="shared" ref="BR38:BR45" si="30">+$BR$27+PV($BS$28/12,$BT$28,-((CJ$51-CJ53)*(1-$BV$28))/$BU$28)</f>
        <v>#VALUE!</v>
      </c>
      <c r="BS38" s="1643" t="e">
        <f t="shared" si="26"/>
        <v>#VALUE!</v>
      </c>
      <c r="BT38" s="1643" t="e">
        <f t="shared" si="27"/>
        <v>#VALUE!</v>
      </c>
      <c r="BU38" s="1643" t="e">
        <f t="shared" si="28"/>
        <v>#VALUE!</v>
      </c>
      <c r="BV38" s="1233" t="e">
        <f t="shared" si="29"/>
        <v>#VALUE!</v>
      </c>
      <c r="BX38" s="1129" t="s">
        <v>137</v>
      </c>
      <c r="BY38" s="812">
        <v>46800</v>
      </c>
      <c r="BZ38" s="813">
        <v>53450</v>
      </c>
      <c r="CA38" s="813">
        <v>60150</v>
      </c>
      <c r="CB38" s="813">
        <v>66800</v>
      </c>
      <c r="CC38" s="813">
        <v>72150</v>
      </c>
      <c r="CD38" s="813">
        <v>77500</v>
      </c>
      <c r="CE38" s="813">
        <v>82850</v>
      </c>
      <c r="CF38" s="1147">
        <v>88200</v>
      </c>
      <c r="CH38" s="386"/>
      <c r="CI38" s="81"/>
      <c r="CP38" s="1681"/>
      <c r="CQ38" s="1682"/>
      <c r="CR38" s="386" t="b">
        <f>OR(AND(OR($BA$7="USDA",$BA$7="Other Federal"),UnitsTbl[[#This Row],[Gross Monthly Contract Rent]]&gt;0),AND(OR($BF$7="USDA",$BF$7="Other Federal"),UnitsTbl[[#This Row],[Net Monthly Contract Rent2]]&gt;0))</f>
        <v>0</v>
      </c>
      <c r="CS38" s="223">
        <f>IF(UnitsTbl[[#This Row],[Restricted Income Level]]="Manager",0,UnitsTbl[[#This Row],[Total Units]]*INDEX(SizeFactors,MATCH(MIN(UnitsTbl[[#This Row],[Number of Bedrooms]],4),Sizes,0)))</f>
        <v>0</v>
      </c>
      <c r="CT38" s="550">
        <f>IF(UnitsTbl[[#This Row],[Restricted Income Level]]="Manager",0,UnitsTbl[[#This Row],[Total Units]]-SUM(UnitsTbl[[#This Row],[Units being subsidized]]*($BA$7&lt;&gt;"Not Federal"),UnitsTbl[[#This Row],[Units being subsidized2]]*($BF$7&lt;&gt;"Not Federal")))</f>
        <v>0</v>
      </c>
      <c r="CU38" s="309">
        <f>IFERROR(IF(AND($CU$8,CR38=FALSE),40%,IF(UnitsTbl[[#This Row],[Restricted Income Level]]&lt;30%,30%,UnitsTbl[[#This Row],[Restricted Income Level]])),0)</f>
        <v>0.4</v>
      </c>
      <c r="CV38" s="1682"/>
      <c r="CW38" s="555">
        <f t="shared" si="9"/>
        <v>0.4</v>
      </c>
      <c r="CX38" s="553">
        <f>IF(UnitsTbl[[#This Row],[Rent Limit Calculation Formula]]="TCAC",VLOOKUP(County&amp;CW38,TCACrentTbl[],UnitsTbl[[#This Row],[Number of Bedrooms]]+2,FALSE)-SUM(UnitsTbl[[#This Row],[Less Utility Allowance Schedule 2]],UnitsTbl[[#This Row],[Less Utility Allowance Schedule 1]]),IF(UnitsTbl[[#This Row],[Rent Limit Calculation Formula]]="Other",VLOOKUP(County&amp;CW38,OtherRentLimitTbl[],UnitsTbl[[#This Row],[Number of Bedrooms]]+3,FALSE)-SUM(UnitsTbl[[#This Row],[Less Utility Allowance Schedule 2]],UnitsTbl[[#This Row],[Less Utility Allowance Schedule 1]]),0))</f>
        <v>0</v>
      </c>
      <c r="CY38" s="363">
        <f>MAX(UnitsTbl[[#This Row],[Gross Monthly Contract Rent]],UnitsTbl[[#This Row],[Net Monthly Contract Rent2]])</f>
        <v>0</v>
      </c>
      <c r="CZ38" s="553">
        <f>IF(UnitsTbl[[#This Row],[Number of Bedrooms]]="",0,VLOOKUP(County&amp;"0.6",TCACrentTbl[],UnitsTbl[[#This Row],[Number of Bedrooms]]+2,FALSE))-SUM(UnitsTbl[[#This Row],[Less Utility Allowance Schedule 2]],UnitsTbl[[#This Row],[Less Utility Allowance Schedule 1]])</f>
        <v>0</v>
      </c>
      <c r="DA38" s="78" t="b">
        <f>OR(AND($BA$7="USDA",UnitsTbl[[#This Row],[Gross Monthly Contract Rent]]&gt;0),AND($BF$7="USDA",UnitsTbl[[#This Row],[Net Monthly Contract Rent2]]&gt;0))</f>
        <v>0</v>
      </c>
      <c r="DB38" s="363">
        <f t="shared" si="10"/>
        <v>0</v>
      </c>
      <c r="DC38" s="363">
        <f t="shared" si="11"/>
        <v>0</v>
      </c>
      <c r="DD38" s="364">
        <f>UnitsTbl[[#This Row],[Total Units]]*DC38</f>
        <v>0</v>
      </c>
    </row>
    <row r="39" spans="1:108" ht="18" customHeight="1">
      <c r="A39" s="693"/>
      <c r="B39" s="1210"/>
      <c r="C39" s="1211"/>
      <c r="D39" s="1637"/>
      <c r="E39" s="1212"/>
      <c r="F39" s="1637"/>
      <c r="G39" s="1637"/>
      <c r="H39" s="1637"/>
      <c r="I39" s="1213"/>
      <c r="J39" s="1213"/>
      <c r="K39" s="1637"/>
      <c r="L39" s="1214"/>
      <c r="M39" s="1637"/>
      <c r="N39" s="1637"/>
      <c r="O39" s="1637"/>
      <c r="P39" s="1637"/>
      <c r="Q39" s="1637"/>
      <c r="R39" s="1637"/>
      <c r="S39" s="1637"/>
      <c r="T39" s="1637"/>
      <c r="U39" s="1637"/>
      <c r="V39" s="1637"/>
      <c r="W39" s="1637"/>
      <c r="X39" s="1637"/>
      <c r="Y39" s="1637"/>
      <c r="Z39" s="1637"/>
      <c r="AA39" s="1637"/>
      <c r="AB39" s="1637"/>
      <c r="AC39" s="1637"/>
      <c r="AD39" s="1215"/>
      <c r="AE39" s="1210"/>
      <c r="AF39" s="1637"/>
      <c r="AG39" s="1216"/>
      <c r="AH39" s="667"/>
      <c r="AI39"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39" s="1218" t="b">
        <f>IFERROR(IF(AND(IsSerna,OR(UnitsTbl[[#This Row],[VHHP
Assisted]]&gt;0,UnitsTbl[[#This Row],[HCD Program 5]]&gt;0)),0,IF(AND(IsSerna,$B$4="FWHG",UnitsTbl[[#This Row],[Restricted Income Level]]="Manager"),VLOOKUP(CONCATENATE(County," ",0.6),HCDLoanLimitTbl2[],BH39,FALSE)*UnitsTbl[[#This Row],[Total Units]],IF(UnitsTbl[[#This Row],[Restricted Income Level]]&gt;80%,0,IF(IsSerna,VLOOKUP(CONCATENATE(County," ",UnitsTbl[[#This Row],[Restricted Income Level]]),HCDLoanLimitTbl2[],UnitsTbl[[#This Row],[VLOOKUP Base]],FALSE)*UnitsTbl[[#This Row],[HCD Program2]])))),0)</f>
        <v>0</v>
      </c>
      <c r="AK39" s="1218" t="b">
        <f>IFERROR(IF(AND(IsTod,OR(UnitsTbl[[#This Row],[HCD Program 5]]&gt;0,UnitsTbl[[#This Row],[HCD Program2]]&gt;0,UnitsTbl[[#This Row],[HCD Program4]]&gt;0,UnitsTbl[[#This Row],[VHHP
Assisted]]&gt;0)),0,(IF(AND(IsTod,$B$4="TOD",UnitsTbl[[#This Row],[Restricted Income Level]]="Manager"),VLOOKUP(CONCATENATE(County," ",0.6),HCDLoanLimitTbl[],BH39,FALSE)*UnitsTbl[[#This Row],[Total Units]],IF(UnitsTbl[[#This Row],[Restricted Income Level]]&gt;60%,0,IF(IsTod,VLOOKUP(CONCATENATE(County," ",UnitsTbl[[#This Row],[Restricted Income Level]]),HCDLoanLimitTbl[],UnitsTbl[[#This Row],[VLOOKUP Base]],FALSE)*UnitsTbl[[#This Row],[HCD Program3]]))))),0)</f>
        <v>0</v>
      </c>
      <c r="AL39" s="1218" t="b">
        <f>IFERROR(IF(AND(IsShmhp,OR(UnitsTbl[[#This Row],[HCD Program 5]]&gt;0,UnitsTbl[[#This Row],[HCD Program2]]&gt;0,UnitsTbl[[#This Row],[HCD Program3]]&gt;0,UnitsTbl[[#This Row],[VHHP
Assisted]]&gt;0)),0,(IF(AND(IsShmhp,$B$4="SHMHP",UnitsTbl[[#This Row],[Restricted Income Level]]="Manager"),VLOOKUP(CONCATENATE(County," ",0.6),HCDLoanLimitTbl[],BH39,FALSE)*UnitsTbl[[#This Row],[Total Units]],IF(UnitsTbl[[#This Row],[Restricted Income Level]]&gt;60%,0,IF(IsShmhp,VLOOKUP(CONCATENATE(County," ",UnitsTbl[[#This Row],[Restricted Income Level]]),HCDLoanLimitTbl[],UnitsTbl[[#This Row],[VLOOKUP Base]],FALSE)*UnitsTbl[[#This Row],[HCD Program4]]))))),0)</f>
        <v>0</v>
      </c>
      <c r="AM39" s="1219" t="b">
        <f>IFERROR(IF(AND(IsVhhp,OR(UnitsTbl[[#This Row],[HCD Program 5]]&gt;0,UnitsTbl[[#This Row],[HCD Program2]]&gt;0,UnitsTbl[[#This Row],[HCD Program3]]&gt;0,UnitsTbl[[#This Row],[HCD Program4]]&gt;0)),0,(IF(AND(IsVhhp,$B$4="VHHP",UnitsTbl[[#This Row],[Restricted Income Level]]="Manager"),VLOOKUP(CONCATENATE(County," ",0.6),HCDLoanLimitTbl2[],BH39,FALSE)*UnitsTbl[[#This Row],[Total Units]],IF(UnitsTbl[[#This Row],[Restricted Income Level]]&gt;60%,0,IF(IsVhhp,VLOOKUP(CONCATENATE(County," ",UnitsTbl[[#This Row],[Restricted Income Level]]),HCDLoanLimitTbl2[],UnitsTbl[[#This Row],[VLOOKUP Base]],FALSE)*UnitsTbl[[#This Row],[VHHP
Assisted]]))))),0)</f>
        <v>0</v>
      </c>
      <c r="AN39"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",0.6),HCDLoanLimitTbl[],BH39,FALSE)*UnitsTbl[[#This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39" s="1221"/>
      <c r="AP39"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39" s="1223"/>
      <c r="AR39" s="1224"/>
      <c r="AS39" s="1225" t="str">
        <f>IFERROR(IF(UnitsTbl[[#This Row],[Max Gross Rent]]=0,"",UnitsTbl[[#This Row],[Max Gross Rent]]-UnitsTbl[[#This Row],[Less Utility Allowance Schedule 1]]-UnitsTbl[[#This Row],[Less Utility Allowance Schedule 2]]),"")</f>
        <v/>
      </c>
      <c r="AT39" s="1226"/>
      <c r="AU39" s="1225">
        <f>IF(UnitsTbl[[#This Row],[Proposed Net Rent ]]="",0,UnitsTbl[[#This Row],[Total Units]]*UnitsTbl[[#This Row],[Proposed Net Rent ]])</f>
        <v>0</v>
      </c>
      <c r="AV39" s="1227" t="str">
        <f>IF(UnitsTbl[[#This Row],[Proposed Net Rent ]]&gt;0,0,IFERROR(UnitsTbl[[#This Row],[Total Units]]*UnitsTbl[[#This Row],[Maximum Net Rent]],""))</f>
        <v/>
      </c>
      <c r="AW39" s="1228"/>
      <c r="AX39"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39" s="1637"/>
      <c r="AZ39" s="1637"/>
      <c r="BA39" s="1229" t="str">
        <f>IFERROR(IF(UnitsTbl[[#This Row],[Total Units]]="","",UnitsTbl[[#This Row],[Subsidy Payment Over  Gross Rent]]*UnitsTbl[[#This Row],[Total Units]])*NOT($BA$7=""),"")</f>
        <v/>
      </c>
      <c r="BB39" s="1228"/>
      <c r="BC39"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39" s="1230"/>
      <c r="BE39" s="1637"/>
      <c r="BF39" s="1227" t="str">
        <f>IFERROR(IF(UnitsTbl[[#This Row],[Total Units]]="","",UnitsTbl[[#This Row],[Subsidy Payment Over Gross Rent2]]*UnitsTbl[[#This Row],[Total Units]])*NOT($BF$7=""),"")</f>
        <v/>
      </c>
      <c r="BG39" s="1231">
        <f>IF(OR(UnitsTbl[[#This Row],[Special Needs?]]="Yes",UnitsTbl[[#This Row],[Special Needs2?]]="Yes"), 1,0)</f>
        <v>0</v>
      </c>
      <c r="BH39"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39"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39" s="969">
        <f>MIN(SUM(UnitsTbl[[#This Row],[Disability Homelessness]],UnitsTbl[[#This Row],[Chronic Homelessness]],UnitsTbl[[#This Row],[Other Homelessness]]),UnitsTbl[[#This Row],[Total restricted units]])</f>
        <v>0</v>
      </c>
      <c r="BK39" s="969">
        <f>(UnitsTbl[[#This Row],[Restricted Income Level]]&lt;=30%)*UnitsTbl[[#This Row],[Total restricted units]]</f>
        <v>0</v>
      </c>
      <c r="BL39" s="969">
        <f t="shared" si="8"/>
        <v>0</v>
      </c>
      <c r="BM39" s="307">
        <f>UnitsTbl[[#This Row],[Units being subsidized]]*SUM(UnitsTbl[[#This Row],[Less Utility Allowance Schedule 1]],UnitsTbl[[#This Row],[Less Utility Allowance Schedule 2]])</f>
        <v>0</v>
      </c>
      <c r="BN39" s="307">
        <f>UnitsTbl[[#This Row],[Units being subsidized2]]*SUM(UnitsTbl[[#This Row],[Less Utility Allowance Schedule 1]],UnitsTbl[[#This Row],[Less Utility Allowance Schedule 2]])</f>
        <v>0</v>
      </c>
      <c r="BO39" s="307"/>
      <c r="BP39" s="1232" t="str">
        <f>CONCATENATE(County," ",HCDLoanLimitTbl2[[#This Row],[AMI]])</f>
        <v xml:space="preserve"> 0.45</v>
      </c>
      <c r="BQ39" s="1721">
        <v>0.45</v>
      </c>
      <c r="BR39" s="1643" t="e">
        <f t="shared" si="30"/>
        <v>#VALUE!</v>
      </c>
      <c r="BS39" s="1643" t="e">
        <f t="shared" si="26"/>
        <v>#VALUE!</v>
      </c>
      <c r="BT39" s="1643" t="e">
        <f t="shared" si="27"/>
        <v>#VALUE!</v>
      </c>
      <c r="BU39" s="1643" t="e">
        <f t="shared" si="28"/>
        <v>#VALUE!</v>
      </c>
      <c r="BV39" s="1233" t="e">
        <f t="shared" si="29"/>
        <v>#VALUE!</v>
      </c>
      <c r="BX39" s="1129" t="s">
        <v>139</v>
      </c>
      <c r="BY39" s="811">
        <v>39200</v>
      </c>
      <c r="BZ39" s="1744">
        <v>44750</v>
      </c>
      <c r="CA39" s="1744">
        <v>50350</v>
      </c>
      <c r="CB39" s="1744">
        <v>55950</v>
      </c>
      <c r="CC39" s="1744">
        <v>60450</v>
      </c>
      <c r="CD39" s="1744">
        <v>64900</v>
      </c>
      <c r="CE39" s="1744">
        <v>69400</v>
      </c>
      <c r="CF39" s="1135">
        <v>73850</v>
      </c>
      <c r="CH39" s="386"/>
      <c r="CI39" s="785" t="s">
        <v>1604</v>
      </c>
      <c r="CP39" s="1681"/>
      <c r="CQ39" s="1682"/>
      <c r="CR39" s="386" t="b">
        <f>OR(AND(OR($BA$7="USDA",$BA$7="Other Federal"),UnitsTbl[[#This Row],[Gross Monthly Contract Rent]]&gt;0),AND(OR($BF$7="USDA",$BF$7="Other Federal"),UnitsTbl[[#This Row],[Net Monthly Contract Rent2]]&gt;0))</f>
        <v>0</v>
      </c>
      <c r="CS39" s="223">
        <f>IF(UnitsTbl[[#This Row],[Restricted Income Level]]="Manager",0,UnitsTbl[[#This Row],[Total Units]]*INDEX(SizeFactors,MATCH(MIN(UnitsTbl[[#This Row],[Number of Bedrooms]],4),Sizes,0)))</f>
        <v>0</v>
      </c>
      <c r="CT39" s="550">
        <f>IF(UnitsTbl[[#This Row],[Restricted Income Level]]="Manager",0,UnitsTbl[[#This Row],[Total Units]]-SUM(UnitsTbl[[#This Row],[Units being subsidized]]*($BA$7&lt;&gt;"Not Federal"),UnitsTbl[[#This Row],[Units being subsidized2]]*($BF$7&lt;&gt;"Not Federal")))</f>
        <v>0</v>
      </c>
      <c r="CU39" s="309">
        <f>IFERROR(IF(AND($CU$8,CR39=FALSE),40%,IF(UnitsTbl[[#This Row],[Restricted Income Level]]&lt;30%,30%,UnitsTbl[[#This Row],[Restricted Income Level]])),0)</f>
        <v>0.4</v>
      </c>
      <c r="CV39" s="1682"/>
      <c r="CW39" s="555">
        <f t="shared" si="9"/>
        <v>0.4</v>
      </c>
      <c r="CX39" s="553">
        <f>IF(UnitsTbl[[#This Row],[Rent Limit Calculation Formula]]="TCAC",VLOOKUP(County&amp;CW39,TCACrentTbl[],UnitsTbl[[#This Row],[Number of Bedrooms]]+2,FALSE)-SUM(UnitsTbl[[#This Row],[Less Utility Allowance Schedule 2]],UnitsTbl[[#This Row],[Less Utility Allowance Schedule 1]]),IF(UnitsTbl[[#This Row],[Rent Limit Calculation Formula]]="Other",VLOOKUP(County&amp;CW39,OtherRentLimitTbl[],UnitsTbl[[#This Row],[Number of Bedrooms]]+3,FALSE)-SUM(UnitsTbl[[#This Row],[Less Utility Allowance Schedule 2]],UnitsTbl[[#This Row],[Less Utility Allowance Schedule 1]]),0))</f>
        <v>0</v>
      </c>
      <c r="CY39" s="363">
        <f>MAX(UnitsTbl[[#This Row],[Gross Monthly Contract Rent]],UnitsTbl[[#This Row],[Net Monthly Contract Rent2]])</f>
        <v>0</v>
      </c>
      <c r="CZ39" s="553">
        <f>IF(UnitsTbl[[#This Row],[Number of Bedrooms]]="",0,VLOOKUP(County&amp;"0.6",TCACrentTbl[],UnitsTbl[[#This Row],[Number of Bedrooms]]+2,FALSE))-SUM(UnitsTbl[[#This Row],[Less Utility Allowance Schedule 2]],UnitsTbl[[#This Row],[Less Utility Allowance Schedule 1]])</f>
        <v>0</v>
      </c>
      <c r="DA39" s="78" t="b">
        <f>OR(AND($BA$7="USDA",UnitsTbl[[#This Row],[Gross Monthly Contract Rent]]&gt;0),AND($BF$7="USDA",UnitsTbl[[#This Row],[Net Monthly Contract Rent2]]&gt;0))</f>
        <v>0</v>
      </c>
      <c r="DB39" s="363">
        <f t="shared" si="10"/>
        <v>0</v>
      </c>
      <c r="DC39" s="363">
        <f t="shared" si="11"/>
        <v>0</v>
      </c>
      <c r="DD39" s="364">
        <f>UnitsTbl[[#This Row],[Total Units]]*DC39</f>
        <v>0</v>
      </c>
    </row>
    <row r="40" spans="1:108" ht="18" customHeight="1">
      <c r="A40" s="693"/>
      <c r="B40" s="1210"/>
      <c r="C40" s="1211"/>
      <c r="D40" s="1637"/>
      <c r="E40" s="1212"/>
      <c r="F40" s="1637"/>
      <c r="G40" s="1637"/>
      <c r="H40" s="1637"/>
      <c r="I40" s="1213"/>
      <c r="J40" s="1213"/>
      <c r="K40" s="1637"/>
      <c r="L40" s="1214"/>
      <c r="M40" s="1637"/>
      <c r="N40" s="1637"/>
      <c r="O40" s="1637"/>
      <c r="P40" s="1637"/>
      <c r="Q40" s="1637"/>
      <c r="R40" s="1637"/>
      <c r="S40" s="1637"/>
      <c r="T40" s="1637"/>
      <c r="U40" s="1637"/>
      <c r="V40" s="1637"/>
      <c r="W40" s="1637"/>
      <c r="X40" s="1637"/>
      <c r="Y40" s="1637"/>
      <c r="Z40" s="1637"/>
      <c r="AA40" s="1637"/>
      <c r="AB40" s="1637"/>
      <c r="AC40" s="1637"/>
      <c r="AD40" s="1215"/>
      <c r="AE40" s="1210"/>
      <c r="AF40" s="1637"/>
      <c r="AG40" s="1216"/>
      <c r="AH40" s="667"/>
      <c r="AI40"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40" s="1218" t="b">
        <f>IFERROR(IF(AND(IsSerna,OR(UnitsTbl[[#This Row],[VHHP
Assisted]]&gt;0,UnitsTbl[[#This Row],[HCD Program 5]]&gt;0)),0,IF(AND(IsSerna,$B$4="FWHG",UnitsTbl[[#This Row],[Restricted Income Level]]="Manager"),VLOOKUP(CONCATENATE(County," ",0.6),HCDLoanLimitTbl2[],BH40,FALSE)*UnitsTbl[[#This Row],[Total Units]],IF(UnitsTbl[[#This Row],[Restricted Income Level]]&gt;80%,0,IF(IsSerna,VLOOKUP(CONCATENATE(County," ",UnitsTbl[[#This Row],[Restricted Income Level]]),HCDLoanLimitTbl2[],UnitsTbl[[#This Row],[VLOOKUP Base]],FALSE)*UnitsTbl[[#This Row],[HCD Program2]])))),0)</f>
        <v>0</v>
      </c>
      <c r="AK40" s="1218" t="b">
        <f>IFERROR(IF(AND(IsTod,OR(UnitsTbl[[#This Row],[HCD Program 5]]&gt;0,UnitsTbl[[#This Row],[HCD Program2]]&gt;0,UnitsTbl[[#This Row],[HCD Program4]]&gt;0,UnitsTbl[[#This Row],[VHHP
Assisted]]&gt;0)),0,(IF(AND(IsTod,$B$4="TOD",UnitsTbl[[#This Row],[Restricted Income Level]]="Manager"),VLOOKUP(CONCATENATE(County," ",0.6),HCDLoanLimitTbl[],BH40,FALSE)*UnitsTbl[[#This Row],[Total Units]],IF(UnitsTbl[[#This Row],[Restricted Income Level]]&gt;60%,0,IF(IsTod,VLOOKUP(CONCATENATE(County," ",UnitsTbl[[#This Row],[Restricted Income Level]]),HCDLoanLimitTbl[],UnitsTbl[[#This Row],[VLOOKUP Base]],FALSE)*UnitsTbl[[#This Row],[HCD Program3]]))))),0)</f>
        <v>0</v>
      </c>
      <c r="AL40" s="1218" t="b">
        <f>IFERROR(IF(AND(IsShmhp,OR(UnitsTbl[[#This Row],[HCD Program 5]]&gt;0,UnitsTbl[[#This Row],[HCD Program2]]&gt;0,UnitsTbl[[#This Row],[HCD Program3]]&gt;0,UnitsTbl[[#This Row],[VHHP
Assisted]]&gt;0)),0,(IF(AND(IsShmhp,$B$4="SHMHP",UnitsTbl[[#This Row],[Restricted Income Level]]="Manager"),VLOOKUP(CONCATENATE(County," ",0.6),HCDLoanLimitTbl[],BH40,FALSE)*UnitsTbl[[#This Row],[Total Units]],IF(UnitsTbl[[#This Row],[Restricted Income Level]]&gt;60%,0,IF(IsShmhp,VLOOKUP(CONCATENATE(County," ",UnitsTbl[[#This Row],[Restricted Income Level]]),HCDLoanLimitTbl[],UnitsTbl[[#This Row],[VLOOKUP Base]],FALSE)*UnitsTbl[[#This Row],[HCD Program4]]))))),0)</f>
        <v>0</v>
      </c>
      <c r="AM40" s="1219" t="b">
        <f>IFERROR(IF(AND(IsVhhp,OR(UnitsTbl[[#This Row],[HCD Program 5]]&gt;0,UnitsTbl[[#This Row],[HCD Program2]]&gt;0,UnitsTbl[[#This Row],[HCD Program3]]&gt;0,UnitsTbl[[#This Row],[HCD Program4]]&gt;0)),0,(IF(AND(IsVhhp,$B$4="VHHP",UnitsTbl[[#This Row],[Restricted Income Level]]="Manager"),VLOOKUP(CONCATENATE(County," ",0.6),HCDLoanLimitTbl2[],BH40,FALSE)*UnitsTbl[[#This Row],[Total Units]],IF(UnitsTbl[[#This Row],[Restricted Income Level]]&gt;60%,0,IF(IsVhhp,VLOOKUP(CONCATENATE(County," ",UnitsTbl[[#This Row],[Restricted Income Level]]),HCDLoanLimitTbl2[],UnitsTbl[[#This Row],[VLOOKUP Base]],FALSE)*UnitsTbl[[#This Row],[VHHP
Assisted]]))))),0)</f>
        <v>0</v>
      </c>
      <c r="AN40"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",0.6),HCDLoanLimitTbl[],BH40,FALSE)*UnitsTbl[[#This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40" s="1221"/>
      <c r="AP40"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40" s="1223"/>
      <c r="AR40" s="1224"/>
      <c r="AS40" s="1225" t="str">
        <f>IFERROR(IF(UnitsTbl[[#This Row],[Max Gross Rent]]=0,"",UnitsTbl[[#This Row],[Max Gross Rent]]-UnitsTbl[[#This Row],[Less Utility Allowance Schedule 1]]-UnitsTbl[[#This Row],[Less Utility Allowance Schedule 2]]),"")</f>
        <v/>
      </c>
      <c r="AT40" s="1226"/>
      <c r="AU40" s="1225">
        <f>IF(UnitsTbl[[#This Row],[Proposed Net Rent ]]="",0,UnitsTbl[[#This Row],[Total Units]]*UnitsTbl[[#This Row],[Proposed Net Rent ]])</f>
        <v>0</v>
      </c>
      <c r="AV40" s="1227" t="str">
        <f>IF(UnitsTbl[[#This Row],[Proposed Net Rent ]]&gt;0,0,IFERROR(UnitsTbl[[#This Row],[Total Units]]*UnitsTbl[[#This Row],[Maximum Net Rent]],""))</f>
        <v/>
      </c>
      <c r="AW40" s="1228"/>
      <c r="AX40"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40" s="1637"/>
      <c r="AZ40" s="1637"/>
      <c r="BA40" s="1229" t="str">
        <f>IFERROR(IF(UnitsTbl[[#This Row],[Total Units]]="","",UnitsTbl[[#This Row],[Subsidy Payment Over  Gross Rent]]*UnitsTbl[[#This Row],[Total Units]])*NOT($BA$7=""),"")</f>
        <v/>
      </c>
      <c r="BB40" s="1228"/>
      <c r="BC40"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40" s="1230"/>
      <c r="BE40" s="1637"/>
      <c r="BF40" s="1227" t="str">
        <f>IFERROR(IF(UnitsTbl[[#This Row],[Total Units]]="","",UnitsTbl[[#This Row],[Subsidy Payment Over Gross Rent2]]*UnitsTbl[[#This Row],[Total Units]])*NOT($BF$7=""),"")</f>
        <v/>
      </c>
      <c r="BG40" s="1231">
        <f>IF(OR(UnitsTbl[[#This Row],[Special Needs?]]="Yes",UnitsTbl[[#This Row],[Special Needs2?]]="Yes"), 1,0)</f>
        <v>0</v>
      </c>
      <c r="BH40"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40"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40" s="969">
        <f>MIN(SUM(UnitsTbl[[#This Row],[Disability Homelessness]],UnitsTbl[[#This Row],[Chronic Homelessness]],UnitsTbl[[#This Row],[Other Homelessness]]),UnitsTbl[[#This Row],[Total restricted units]])</f>
        <v>0</v>
      </c>
      <c r="BK40" s="969">
        <f>(UnitsTbl[[#This Row],[Restricted Income Level]]&lt;=30%)*UnitsTbl[[#This Row],[Total restricted units]]</f>
        <v>0</v>
      </c>
      <c r="BL40" s="969">
        <f t="shared" si="8"/>
        <v>0</v>
      </c>
      <c r="BM40" s="307">
        <f>UnitsTbl[[#This Row],[Units being subsidized]]*SUM(UnitsTbl[[#This Row],[Less Utility Allowance Schedule 1]],UnitsTbl[[#This Row],[Less Utility Allowance Schedule 2]])</f>
        <v>0</v>
      </c>
      <c r="BN40" s="307">
        <f>UnitsTbl[[#This Row],[Units being subsidized2]]*SUM(UnitsTbl[[#This Row],[Less Utility Allowance Schedule 1]],UnitsTbl[[#This Row],[Less Utility Allowance Schedule 2]])</f>
        <v>0</v>
      </c>
      <c r="BO40" s="307"/>
      <c r="BP40" s="1232" t="str">
        <f>CONCATENATE(County," ",HCDLoanLimitTbl2[[#This Row],[AMI]])</f>
        <v xml:space="preserve"> 0.4</v>
      </c>
      <c r="BQ40" s="1721">
        <v>0.4</v>
      </c>
      <c r="BR40" s="1643" t="e">
        <f t="shared" si="30"/>
        <v>#VALUE!</v>
      </c>
      <c r="BS40" s="1643" t="e">
        <f t="shared" si="26"/>
        <v>#VALUE!</v>
      </c>
      <c r="BT40" s="1643" t="e">
        <f t="shared" si="27"/>
        <v>#VALUE!</v>
      </c>
      <c r="BU40" s="1643" t="e">
        <f t="shared" si="28"/>
        <v>#VALUE!</v>
      </c>
      <c r="BV40" s="1233" t="e">
        <f t="shared" si="29"/>
        <v>#VALUE!</v>
      </c>
      <c r="BX40" s="1129" t="s">
        <v>89</v>
      </c>
      <c r="BY40" s="812">
        <v>57900</v>
      </c>
      <c r="BZ40" s="813">
        <v>66150</v>
      </c>
      <c r="CA40" s="813">
        <v>74450</v>
      </c>
      <c r="CB40" s="813">
        <v>82700</v>
      </c>
      <c r="CC40" s="813">
        <v>89350</v>
      </c>
      <c r="CD40" s="813">
        <v>95950</v>
      </c>
      <c r="CE40" s="813">
        <v>102550</v>
      </c>
      <c r="CF40" s="1147">
        <v>109200</v>
      </c>
      <c r="CH40" s="386"/>
      <c r="CI40" s="1468" t="s">
        <v>1605</v>
      </c>
      <c r="CJ40" s="1239" t="s">
        <v>859</v>
      </c>
      <c r="CK40" s="1239" t="s">
        <v>860</v>
      </c>
      <c r="CL40" s="1239" t="s">
        <v>861</v>
      </c>
      <c r="CM40" s="1239" t="s">
        <v>862</v>
      </c>
      <c r="CN40" s="1239" t="s">
        <v>863</v>
      </c>
      <c r="CO40" s="795" t="s">
        <v>865</v>
      </c>
      <c r="CP40" s="1681"/>
      <c r="CQ40" s="1682"/>
      <c r="CR40" s="386" t="b">
        <f>OR(AND(OR($BA$7="USDA",$BA$7="Other Federal"),UnitsTbl[[#This Row],[Gross Monthly Contract Rent]]&gt;0),AND(OR($BF$7="USDA",$BF$7="Other Federal"),UnitsTbl[[#This Row],[Net Monthly Contract Rent2]]&gt;0))</f>
        <v>0</v>
      </c>
      <c r="CS40" s="223">
        <f>IF(UnitsTbl[[#This Row],[Restricted Income Level]]="Manager",0,UnitsTbl[[#This Row],[Total Units]]*INDEX(SizeFactors,MATCH(MIN(UnitsTbl[[#This Row],[Number of Bedrooms]],4),Sizes,0)))</f>
        <v>0</v>
      </c>
      <c r="CT40" s="550">
        <f>IF(UnitsTbl[[#This Row],[Restricted Income Level]]="Manager",0,UnitsTbl[[#This Row],[Total Units]]-SUM(UnitsTbl[[#This Row],[Units being subsidized]]*($BA$7&lt;&gt;"Not Federal"),UnitsTbl[[#This Row],[Units being subsidized2]]*($BF$7&lt;&gt;"Not Federal")))</f>
        <v>0</v>
      </c>
      <c r="CU40" s="309">
        <f>IFERROR(IF(AND($CU$8,CR40=FALSE),40%,IF(UnitsTbl[[#This Row],[Restricted Income Level]]&lt;30%,30%,UnitsTbl[[#This Row],[Restricted Income Level]])),0)</f>
        <v>0.4</v>
      </c>
      <c r="CV40" s="1682"/>
      <c r="CW40" s="555">
        <f t="shared" si="9"/>
        <v>0.4</v>
      </c>
      <c r="CX40" s="553">
        <f>IF(UnitsTbl[[#This Row],[Rent Limit Calculation Formula]]="TCAC",VLOOKUP(County&amp;CW40,TCACrentTbl[],UnitsTbl[[#This Row],[Number of Bedrooms]]+2,FALSE)-SUM(UnitsTbl[[#This Row],[Less Utility Allowance Schedule 2]],UnitsTbl[[#This Row],[Less Utility Allowance Schedule 1]]),IF(UnitsTbl[[#This Row],[Rent Limit Calculation Formula]]="Other",VLOOKUP(County&amp;CW40,OtherRentLimitTbl[],UnitsTbl[[#This Row],[Number of Bedrooms]]+3,FALSE)-SUM(UnitsTbl[[#This Row],[Less Utility Allowance Schedule 2]],UnitsTbl[[#This Row],[Less Utility Allowance Schedule 1]]),0))</f>
        <v>0</v>
      </c>
      <c r="CY40" s="363">
        <f>MAX(UnitsTbl[[#This Row],[Gross Monthly Contract Rent]],UnitsTbl[[#This Row],[Net Monthly Contract Rent2]])</f>
        <v>0</v>
      </c>
      <c r="CZ40" s="553">
        <f>IF(UnitsTbl[[#This Row],[Number of Bedrooms]]="",0,VLOOKUP(County&amp;"0.6",TCACrentTbl[],UnitsTbl[[#This Row],[Number of Bedrooms]]+2,FALSE))-SUM(UnitsTbl[[#This Row],[Less Utility Allowance Schedule 2]],UnitsTbl[[#This Row],[Less Utility Allowance Schedule 1]])</f>
        <v>0</v>
      </c>
      <c r="DA40" s="78" t="b">
        <f>OR(AND($BA$7="USDA",UnitsTbl[[#This Row],[Gross Monthly Contract Rent]]&gt;0),AND($BF$7="USDA",UnitsTbl[[#This Row],[Net Monthly Contract Rent2]]&gt;0))</f>
        <v>0</v>
      </c>
      <c r="DB40" s="363">
        <f t="shared" si="10"/>
        <v>0</v>
      </c>
      <c r="DC40" s="363">
        <f t="shared" si="11"/>
        <v>0</v>
      </c>
      <c r="DD40" s="364">
        <f>UnitsTbl[[#This Row],[Total Units]]*DC40</f>
        <v>0</v>
      </c>
    </row>
    <row r="41" spans="1:108" ht="18" customHeight="1">
      <c r="A41" s="693"/>
      <c r="B41" s="1210"/>
      <c r="C41" s="1211"/>
      <c r="D41" s="1637"/>
      <c r="E41" s="1212"/>
      <c r="F41" s="1637"/>
      <c r="G41" s="1637"/>
      <c r="H41" s="1637"/>
      <c r="I41" s="1213"/>
      <c r="J41" s="1213"/>
      <c r="K41" s="1637"/>
      <c r="L41" s="1214"/>
      <c r="M41" s="1637"/>
      <c r="N41" s="1637"/>
      <c r="O41" s="1637"/>
      <c r="P41" s="1637"/>
      <c r="Q41" s="1637"/>
      <c r="R41" s="1637"/>
      <c r="S41" s="1637"/>
      <c r="T41" s="1637"/>
      <c r="U41" s="1637"/>
      <c r="V41" s="1637"/>
      <c r="W41" s="1637"/>
      <c r="X41" s="1637"/>
      <c r="Y41" s="1637"/>
      <c r="Z41" s="1637"/>
      <c r="AA41" s="1637"/>
      <c r="AB41" s="1637"/>
      <c r="AC41" s="1637"/>
      <c r="AD41" s="1215"/>
      <c r="AE41" s="1210"/>
      <c r="AF41" s="1637"/>
      <c r="AG41" s="1216"/>
      <c r="AH41" s="667"/>
      <c r="AI41"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41" s="1218" t="b">
        <f>IFERROR(IF(AND(IsSerna,OR(UnitsTbl[[#This Row],[VHHP
Assisted]]&gt;0,UnitsTbl[[#This Row],[HCD Program 5]]&gt;0)),0,IF(AND(IsSerna,$B$4="FWHG",UnitsTbl[[#This Row],[Restricted Income Level]]="Manager"),VLOOKUP(CONCATENATE(County," ",0.6),HCDLoanLimitTbl2[],BH41,FALSE)*UnitsTbl[[#This Row],[Total Units]],IF(UnitsTbl[[#This Row],[Restricted Income Level]]&gt;80%,0,IF(IsSerna,VLOOKUP(CONCATENATE(County," ",UnitsTbl[[#This Row],[Restricted Income Level]]),HCDLoanLimitTbl2[],UnitsTbl[[#This Row],[VLOOKUP Base]],FALSE)*UnitsTbl[[#This Row],[HCD Program2]])))),0)</f>
        <v>0</v>
      </c>
      <c r="AK41" s="1218" t="b">
        <f>IFERROR(IF(AND(IsTod,OR(UnitsTbl[[#This Row],[HCD Program 5]]&gt;0,UnitsTbl[[#This Row],[HCD Program2]]&gt;0,UnitsTbl[[#This Row],[HCD Program4]]&gt;0,UnitsTbl[[#This Row],[VHHP
Assisted]]&gt;0)),0,(IF(AND(IsTod,$B$4="TOD",UnitsTbl[[#This Row],[Restricted Income Level]]="Manager"),VLOOKUP(CONCATENATE(County," ",0.6),HCDLoanLimitTbl[],BH41,FALSE)*UnitsTbl[[#This Row],[Total Units]],IF(UnitsTbl[[#This Row],[Restricted Income Level]]&gt;60%,0,IF(IsTod,VLOOKUP(CONCATENATE(County," ",UnitsTbl[[#This Row],[Restricted Income Level]]),HCDLoanLimitTbl[],UnitsTbl[[#This Row],[VLOOKUP Base]],FALSE)*UnitsTbl[[#This Row],[HCD Program3]]))))),0)</f>
        <v>0</v>
      </c>
      <c r="AL41" s="1218" t="b">
        <f>IFERROR(IF(AND(IsShmhp,OR(UnitsTbl[[#This Row],[HCD Program 5]]&gt;0,UnitsTbl[[#This Row],[HCD Program2]]&gt;0,UnitsTbl[[#This Row],[HCD Program3]]&gt;0,UnitsTbl[[#This Row],[VHHP
Assisted]]&gt;0)),0,(IF(AND(IsShmhp,$B$4="SHMHP",UnitsTbl[[#This Row],[Restricted Income Level]]="Manager"),VLOOKUP(CONCATENATE(County," ",0.6),HCDLoanLimitTbl[],BH41,FALSE)*UnitsTbl[[#This Row],[Total Units]],IF(UnitsTbl[[#This Row],[Restricted Income Level]]&gt;60%,0,IF(IsShmhp,VLOOKUP(CONCATENATE(County," ",UnitsTbl[[#This Row],[Restricted Income Level]]),HCDLoanLimitTbl[],UnitsTbl[[#This Row],[VLOOKUP Base]],FALSE)*UnitsTbl[[#This Row],[HCD Program4]]))))),0)</f>
        <v>0</v>
      </c>
      <c r="AM41" s="1219" t="b">
        <f>IFERROR(IF(AND(IsVhhp,OR(UnitsTbl[[#This Row],[HCD Program 5]]&gt;0,UnitsTbl[[#This Row],[HCD Program2]]&gt;0,UnitsTbl[[#This Row],[HCD Program3]]&gt;0,UnitsTbl[[#This Row],[HCD Program4]]&gt;0)),0,(IF(AND(IsVhhp,$B$4="VHHP",UnitsTbl[[#This Row],[Restricted Income Level]]="Manager"),VLOOKUP(CONCATENATE(County," ",0.6),HCDLoanLimitTbl2[],BH41,FALSE)*UnitsTbl[[#This Row],[Total Units]],IF(UnitsTbl[[#This Row],[Restricted Income Level]]&gt;60%,0,IF(IsVhhp,VLOOKUP(CONCATENATE(County," ",UnitsTbl[[#This Row],[Restricted Income Level]]),HCDLoanLimitTbl2[],UnitsTbl[[#This Row],[VLOOKUP Base]],FALSE)*UnitsTbl[[#This Row],[VHHP
Assisted]]))))),0)</f>
        <v>0</v>
      </c>
      <c r="AN41"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",0.6),HCDLoanLimitTbl[],BH41,FALSE)*UnitsTbl[[#This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41" s="1221"/>
      <c r="AP41"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41" s="1223"/>
      <c r="AR41" s="1224"/>
      <c r="AS41" s="1225" t="str">
        <f>IFERROR(IF(UnitsTbl[[#This Row],[Max Gross Rent]]=0,"",UnitsTbl[[#This Row],[Max Gross Rent]]-UnitsTbl[[#This Row],[Less Utility Allowance Schedule 1]]-UnitsTbl[[#This Row],[Less Utility Allowance Schedule 2]]),"")</f>
        <v/>
      </c>
      <c r="AT41" s="1226"/>
      <c r="AU41" s="1225">
        <f>IF(UnitsTbl[[#This Row],[Proposed Net Rent ]]="",0,UnitsTbl[[#This Row],[Total Units]]*UnitsTbl[[#This Row],[Proposed Net Rent ]])</f>
        <v>0</v>
      </c>
      <c r="AV41" s="1227" t="str">
        <f>IF(UnitsTbl[[#This Row],[Proposed Net Rent ]]&gt;0,0,IFERROR(UnitsTbl[[#This Row],[Total Units]]*UnitsTbl[[#This Row],[Maximum Net Rent]],""))</f>
        <v/>
      </c>
      <c r="AW41" s="1228"/>
      <c r="AX41"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41" s="1637"/>
      <c r="AZ41" s="1637"/>
      <c r="BA41" s="1229" t="str">
        <f>IFERROR(IF(UnitsTbl[[#This Row],[Total Units]]="","",UnitsTbl[[#This Row],[Subsidy Payment Over  Gross Rent]]*UnitsTbl[[#This Row],[Total Units]])*NOT($BA$7=""),"")</f>
        <v/>
      </c>
      <c r="BB41" s="1228"/>
      <c r="BC41"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41" s="1230"/>
      <c r="BE41" s="1637"/>
      <c r="BF41" s="1227" t="str">
        <f>IFERROR(IF(UnitsTbl[[#This Row],[Total Units]]="","",UnitsTbl[[#This Row],[Subsidy Payment Over Gross Rent2]]*UnitsTbl[[#This Row],[Total Units]])*NOT($BF$7=""),"")</f>
        <v/>
      </c>
      <c r="BG41" s="1231">
        <f>IF(OR(UnitsTbl[[#This Row],[Special Needs?]]="Yes",UnitsTbl[[#This Row],[Special Needs2?]]="Yes"), 1,0)</f>
        <v>0</v>
      </c>
      <c r="BH41"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41"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41" s="969">
        <f>MIN(SUM(UnitsTbl[[#This Row],[Disability Homelessness]],UnitsTbl[[#This Row],[Chronic Homelessness]],UnitsTbl[[#This Row],[Other Homelessness]]),UnitsTbl[[#This Row],[Total restricted units]])</f>
        <v>0</v>
      </c>
      <c r="BK41" s="969">
        <f>(UnitsTbl[[#This Row],[Restricted Income Level]]&lt;=30%)*UnitsTbl[[#This Row],[Total restricted units]]</f>
        <v>0</v>
      </c>
      <c r="BL41" s="969">
        <f t="shared" si="8"/>
        <v>0</v>
      </c>
      <c r="BM41" s="307">
        <f>UnitsTbl[[#This Row],[Units being subsidized]]*SUM(UnitsTbl[[#This Row],[Less Utility Allowance Schedule 1]],UnitsTbl[[#This Row],[Less Utility Allowance Schedule 2]])</f>
        <v>0</v>
      </c>
      <c r="BN41" s="307">
        <f>UnitsTbl[[#This Row],[Units being subsidized2]]*SUM(UnitsTbl[[#This Row],[Less Utility Allowance Schedule 1]],UnitsTbl[[#This Row],[Less Utility Allowance Schedule 2]])</f>
        <v>0</v>
      </c>
      <c r="BO41" s="307"/>
      <c r="BP41" s="1232" t="str">
        <f>CONCATENATE(County," ",HCDLoanLimitTbl2[[#This Row],[AMI]])</f>
        <v xml:space="preserve"> 0.35</v>
      </c>
      <c r="BQ41" s="1234">
        <v>0.35</v>
      </c>
      <c r="BR41" s="1643" t="e">
        <f t="shared" si="30"/>
        <v>#VALUE!</v>
      </c>
      <c r="BS41" s="1643" t="e">
        <f t="shared" si="26"/>
        <v>#VALUE!</v>
      </c>
      <c r="BT41" s="1643" t="e">
        <f t="shared" si="27"/>
        <v>#VALUE!</v>
      </c>
      <c r="BU41" s="1643" t="e">
        <f t="shared" si="28"/>
        <v>#VALUE!</v>
      </c>
      <c r="BV41" s="1233" t="e">
        <f t="shared" si="29"/>
        <v>#VALUE!</v>
      </c>
      <c r="BX41" s="1129" t="s">
        <v>143</v>
      </c>
      <c r="BY41" s="811">
        <v>67700</v>
      </c>
      <c r="BZ41" s="1744">
        <v>77400</v>
      </c>
      <c r="CA41" s="1744">
        <v>87050</v>
      </c>
      <c r="CB41" s="1744">
        <v>96700</v>
      </c>
      <c r="CC41" s="1744">
        <v>104450</v>
      </c>
      <c r="CD41" s="1744">
        <v>112200</v>
      </c>
      <c r="CE41" s="1744">
        <v>119950</v>
      </c>
      <c r="CF41" s="1135">
        <v>127650</v>
      </c>
      <c r="CH41" s="386"/>
      <c r="CI41" s="971" t="str">
        <f>CONCATENATE(County,1.2)</f>
        <v>1.2</v>
      </c>
      <c r="CJ41" s="1126" t="e">
        <f>TRUNC(CI7/12*0.3)</f>
        <v>#VALUE!</v>
      </c>
      <c r="CK41" s="1126" t="e">
        <f t="shared" ref="CK41:CK60" si="31">TRUNC((CI7+CJ7)/2/12*0.3)</f>
        <v>#VALUE!</v>
      </c>
      <c r="CL41" s="1126" t="e">
        <f t="shared" ref="CL41:CL60" si="32">TRUNC(CK7/12*0.3)</f>
        <v>#VALUE!</v>
      </c>
      <c r="CM41" s="1126" t="e">
        <f t="shared" ref="CM41:CM60" si="33">TRUNC((CL7+CM7)/2/12*0.3)</f>
        <v>#VALUE!</v>
      </c>
      <c r="CN41" s="1126" t="e">
        <f t="shared" ref="CN41:CN60" si="34">TRUNC(CN7/12*0.3)</f>
        <v>#VALUE!</v>
      </c>
      <c r="CO41" s="1240" t="e">
        <f t="shared" ref="CO41:CO60" si="35">TRUNC((CO7+CP7)/2/12*0.3)</f>
        <v>#VALUE!</v>
      </c>
      <c r="CP41" s="1681"/>
      <c r="CQ41" s="1682"/>
      <c r="CR41" s="386" t="b">
        <f>OR(AND(OR($BA$7="USDA",$BA$7="Other Federal"),UnitsTbl[[#This Row],[Gross Monthly Contract Rent]]&gt;0),AND(OR($BF$7="USDA",$BF$7="Other Federal"),UnitsTbl[[#This Row],[Net Monthly Contract Rent2]]&gt;0))</f>
        <v>0</v>
      </c>
      <c r="CS41" s="223">
        <f>IF(UnitsTbl[[#This Row],[Restricted Income Level]]="Manager",0,UnitsTbl[[#This Row],[Total Units]]*INDEX(SizeFactors,MATCH(MIN(UnitsTbl[[#This Row],[Number of Bedrooms]],4),Sizes,0)))</f>
        <v>0</v>
      </c>
      <c r="CT41" s="550">
        <f>IF(UnitsTbl[[#This Row],[Restricted Income Level]]="Manager",0,UnitsTbl[[#This Row],[Total Units]]-SUM(UnitsTbl[[#This Row],[Units being subsidized]]*($BA$7&lt;&gt;"Not Federal"),UnitsTbl[[#This Row],[Units being subsidized2]]*($BF$7&lt;&gt;"Not Federal")))</f>
        <v>0</v>
      </c>
      <c r="CU41" s="309">
        <f>IFERROR(IF(AND($CU$8,CR41=FALSE),40%,IF(UnitsTbl[[#This Row],[Restricted Income Level]]&lt;30%,30%,UnitsTbl[[#This Row],[Restricted Income Level]])),0)</f>
        <v>0.4</v>
      </c>
      <c r="CV41" s="1682"/>
      <c r="CW41" s="555">
        <f t="shared" si="9"/>
        <v>0.4</v>
      </c>
      <c r="CX41" s="553">
        <f>IF(UnitsTbl[[#This Row],[Rent Limit Calculation Formula]]="TCAC",VLOOKUP(County&amp;CW41,TCACrentTbl[],UnitsTbl[[#This Row],[Number of Bedrooms]]+2,FALSE)-SUM(UnitsTbl[[#This Row],[Less Utility Allowance Schedule 2]],UnitsTbl[[#This Row],[Less Utility Allowance Schedule 1]]),IF(UnitsTbl[[#This Row],[Rent Limit Calculation Formula]]="Other",VLOOKUP(County&amp;CW41,OtherRentLimitTbl[],UnitsTbl[[#This Row],[Number of Bedrooms]]+3,FALSE)-SUM(UnitsTbl[[#This Row],[Less Utility Allowance Schedule 2]],UnitsTbl[[#This Row],[Less Utility Allowance Schedule 1]]),0))</f>
        <v>0</v>
      </c>
      <c r="CY41" s="363">
        <f>MAX(UnitsTbl[[#This Row],[Gross Monthly Contract Rent]],UnitsTbl[[#This Row],[Net Monthly Contract Rent2]])</f>
        <v>0</v>
      </c>
      <c r="CZ41" s="553">
        <f>IF(UnitsTbl[[#This Row],[Number of Bedrooms]]="",0,VLOOKUP(County&amp;"0.6",TCACrentTbl[],UnitsTbl[[#This Row],[Number of Bedrooms]]+2,FALSE))-SUM(UnitsTbl[[#This Row],[Less Utility Allowance Schedule 2]],UnitsTbl[[#This Row],[Less Utility Allowance Schedule 1]])</f>
        <v>0</v>
      </c>
      <c r="DA41" s="78" t="b">
        <f>OR(AND($BA$7="USDA",UnitsTbl[[#This Row],[Gross Monthly Contract Rent]]&gt;0),AND($BF$7="USDA",UnitsTbl[[#This Row],[Net Monthly Contract Rent2]]&gt;0))</f>
        <v>0</v>
      </c>
      <c r="DB41" s="363">
        <f t="shared" si="10"/>
        <v>0</v>
      </c>
      <c r="DC41" s="363">
        <f t="shared" si="11"/>
        <v>0</v>
      </c>
      <c r="DD41" s="364">
        <f>UnitsTbl[[#This Row],[Total Units]]*DC41</f>
        <v>0</v>
      </c>
    </row>
    <row r="42" spans="1:108" ht="18" customHeight="1">
      <c r="A42" s="693"/>
      <c r="B42" s="1210"/>
      <c r="C42" s="1211"/>
      <c r="D42" s="1637"/>
      <c r="E42" s="1212"/>
      <c r="F42" s="1637"/>
      <c r="G42" s="1637"/>
      <c r="H42" s="1637"/>
      <c r="I42" s="1213"/>
      <c r="J42" s="1213"/>
      <c r="K42" s="1637"/>
      <c r="L42" s="1214"/>
      <c r="M42" s="1637"/>
      <c r="N42" s="1637"/>
      <c r="O42" s="1637"/>
      <c r="P42" s="1637"/>
      <c r="Q42" s="1637"/>
      <c r="R42" s="1637"/>
      <c r="S42" s="1637"/>
      <c r="T42" s="1637"/>
      <c r="U42" s="1637"/>
      <c r="V42" s="1637"/>
      <c r="W42" s="1637"/>
      <c r="X42" s="1637"/>
      <c r="Y42" s="1637"/>
      <c r="Z42" s="1637"/>
      <c r="AA42" s="1637"/>
      <c r="AB42" s="1637"/>
      <c r="AC42" s="1637"/>
      <c r="AD42" s="1215"/>
      <c r="AE42" s="1210"/>
      <c r="AF42" s="1637"/>
      <c r="AG42" s="1216"/>
      <c r="AH42" s="667"/>
      <c r="AI42"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42" s="1218" t="b">
        <f>IFERROR(IF(AND(IsSerna,OR(UnitsTbl[[#This Row],[VHHP
Assisted]]&gt;0,UnitsTbl[[#This Row],[HCD Program 5]]&gt;0)),0,IF(AND(IsSerna,$B$4="FWHG",UnitsTbl[[#This Row],[Restricted Income Level]]="Manager"),VLOOKUP(CONCATENATE(County," ",0.6),HCDLoanLimitTbl2[],BH42,FALSE)*UnitsTbl[[#This Row],[Total Units]],IF(UnitsTbl[[#This Row],[Restricted Income Level]]&gt;80%,0,IF(IsSerna,VLOOKUP(CONCATENATE(County," ",UnitsTbl[[#This Row],[Restricted Income Level]]),HCDLoanLimitTbl2[],UnitsTbl[[#This Row],[VLOOKUP Base]],FALSE)*UnitsTbl[[#This Row],[HCD Program2]])))),0)</f>
        <v>0</v>
      </c>
      <c r="AK42" s="1218" t="b">
        <f>IFERROR(IF(AND(IsTod,OR(UnitsTbl[[#This Row],[HCD Program 5]]&gt;0,UnitsTbl[[#This Row],[HCD Program2]]&gt;0,UnitsTbl[[#This Row],[HCD Program4]]&gt;0,UnitsTbl[[#This Row],[VHHP
Assisted]]&gt;0)),0,(IF(AND(IsTod,$B$4="TOD",UnitsTbl[[#This Row],[Restricted Income Level]]="Manager"),VLOOKUP(CONCATENATE(County," ",0.6),HCDLoanLimitTbl[],BH42,FALSE)*UnitsTbl[[#This Row],[Total Units]],IF(UnitsTbl[[#This Row],[Restricted Income Level]]&gt;60%,0,IF(IsTod,VLOOKUP(CONCATENATE(County," ",UnitsTbl[[#This Row],[Restricted Income Level]]),HCDLoanLimitTbl[],UnitsTbl[[#This Row],[VLOOKUP Base]],FALSE)*UnitsTbl[[#This Row],[HCD Program3]]))))),0)</f>
        <v>0</v>
      </c>
      <c r="AL42" s="1218" t="b">
        <f>IFERROR(IF(AND(IsShmhp,OR(UnitsTbl[[#This Row],[HCD Program 5]]&gt;0,UnitsTbl[[#This Row],[HCD Program2]]&gt;0,UnitsTbl[[#This Row],[HCD Program3]]&gt;0,UnitsTbl[[#This Row],[VHHP
Assisted]]&gt;0)),0,(IF(AND(IsShmhp,$B$4="SHMHP",UnitsTbl[[#This Row],[Restricted Income Level]]="Manager"),VLOOKUP(CONCATENATE(County," ",0.6),HCDLoanLimitTbl[],BH42,FALSE)*UnitsTbl[[#This Row],[Total Units]],IF(UnitsTbl[[#This Row],[Restricted Income Level]]&gt;60%,0,IF(IsShmhp,VLOOKUP(CONCATENATE(County," ",UnitsTbl[[#This Row],[Restricted Income Level]]),HCDLoanLimitTbl[],UnitsTbl[[#This Row],[VLOOKUP Base]],FALSE)*UnitsTbl[[#This Row],[HCD Program4]]))))),0)</f>
        <v>0</v>
      </c>
      <c r="AM42" s="1219" t="b">
        <f>IFERROR(IF(AND(IsVhhp,OR(UnitsTbl[[#This Row],[HCD Program 5]]&gt;0,UnitsTbl[[#This Row],[HCD Program2]]&gt;0,UnitsTbl[[#This Row],[HCD Program3]]&gt;0,UnitsTbl[[#This Row],[HCD Program4]]&gt;0)),0,(IF(AND(IsVhhp,$B$4="VHHP",UnitsTbl[[#This Row],[Restricted Income Level]]="Manager"),VLOOKUP(CONCATENATE(County," ",0.6),HCDLoanLimitTbl2[],BH42,FALSE)*UnitsTbl[[#This Row],[Total Units]],IF(UnitsTbl[[#This Row],[Restricted Income Level]]&gt;60%,0,IF(IsVhhp,VLOOKUP(CONCATENATE(County," ",UnitsTbl[[#This Row],[Restricted Income Level]]),HCDLoanLimitTbl2[],UnitsTbl[[#This Row],[VLOOKUP Base]],FALSE)*UnitsTbl[[#This Row],[VHHP
Assisted]]))))),0)</f>
        <v>0</v>
      </c>
      <c r="AN42"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",0.6),HCDLoanLimitTbl[],BH42,FALSE)*UnitsTbl[[#This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42" s="1221"/>
      <c r="AP42"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42" s="1223"/>
      <c r="AR42" s="1224"/>
      <c r="AS42" s="1225" t="str">
        <f>IFERROR(IF(UnitsTbl[[#This Row],[Max Gross Rent]]=0,"",UnitsTbl[[#This Row],[Max Gross Rent]]-UnitsTbl[[#This Row],[Less Utility Allowance Schedule 1]]-UnitsTbl[[#This Row],[Less Utility Allowance Schedule 2]]),"")</f>
        <v/>
      </c>
      <c r="AT42" s="1226"/>
      <c r="AU42" s="1225">
        <f>IF(UnitsTbl[[#This Row],[Proposed Net Rent ]]="",0,UnitsTbl[[#This Row],[Total Units]]*UnitsTbl[[#This Row],[Proposed Net Rent ]])</f>
        <v>0</v>
      </c>
      <c r="AV42" s="1227" t="str">
        <f>IF(UnitsTbl[[#This Row],[Proposed Net Rent ]]&gt;0,0,IFERROR(UnitsTbl[[#This Row],[Total Units]]*UnitsTbl[[#This Row],[Maximum Net Rent]],""))</f>
        <v/>
      </c>
      <c r="AW42" s="1228"/>
      <c r="AX42"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42" s="1637"/>
      <c r="AZ42" s="1637"/>
      <c r="BA42" s="1229" t="str">
        <f>IFERROR(IF(UnitsTbl[[#This Row],[Total Units]]="","",UnitsTbl[[#This Row],[Subsidy Payment Over  Gross Rent]]*UnitsTbl[[#This Row],[Total Units]])*NOT($BA$7=""),"")</f>
        <v/>
      </c>
      <c r="BB42" s="1228"/>
      <c r="BC42"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42" s="1230"/>
      <c r="BE42" s="1637"/>
      <c r="BF42" s="1227" t="str">
        <f>IFERROR(IF(UnitsTbl[[#This Row],[Total Units]]="","",UnitsTbl[[#This Row],[Subsidy Payment Over Gross Rent2]]*UnitsTbl[[#This Row],[Total Units]])*NOT($BF$7=""),"")</f>
        <v/>
      </c>
      <c r="BG42" s="1231">
        <f>IF(OR(UnitsTbl[[#This Row],[Special Needs?]]="Yes",UnitsTbl[[#This Row],[Special Needs2?]]="Yes"), 1,0)</f>
        <v>0</v>
      </c>
      <c r="BH42"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42"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42" s="969">
        <f>MIN(SUM(UnitsTbl[[#This Row],[Disability Homelessness]],UnitsTbl[[#This Row],[Chronic Homelessness]],UnitsTbl[[#This Row],[Other Homelessness]]),UnitsTbl[[#This Row],[Total restricted units]])</f>
        <v>0</v>
      </c>
      <c r="BK42" s="969">
        <f>(UnitsTbl[[#This Row],[Restricted Income Level]]&lt;=30%)*UnitsTbl[[#This Row],[Total restricted units]]</f>
        <v>0</v>
      </c>
      <c r="BL42" s="969">
        <f t="shared" si="8"/>
        <v>0</v>
      </c>
      <c r="BM42" s="307">
        <f>UnitsTbl[[#This Row],[Units being subsidized]]*SUM(UnitsTbl[[#This Row],[Less Utility Allowance Schedule 1]],UnitsTbl[[#This Row],[Less Utility Allowance Schedule 2]])</f>
        <v>0</v>
      </c>
      <c r="BN42" s="307">
        <f>UnitsTbl[[#This Row],[Units being subsidized2]]*SUM(UnitsTbl[[#This Row],[Less Utility Allowance Schedule 1]],UnitsTbl[[#This Row],[Less Utility Allowance Schedule 2]])</f>
        <v>0</v>
      </c>
      <c r="BO42" s="307"/>
      <c r="BP42" s="1232" t="str">
        <f>CONCATENATE(County," ",HCDLoanLimitTbl2[[#This Row],[AMI]])</f>
        <v xml:space="preserve"> 0.3</v>
      </c>
      <c r="BQ42" s="1721">
        <v>0.3</v>
      </c>
      <c r="BR42" s="1643" t="e">
        <f t="shared" si="30"/>
        <v>#VALUE!</v>
      </c>
      <c r="BS42" s="1643" t="e">
        <f t="shared" si="26"/>
        <v>#VALUE!</v>
      </c>
      <c r="BT42" s="1643" t="e">
        <f t="shared" si="27"/>
        <v>#VALUE!</v>
      </c>
      <c r="BU42" s="1643" t="e">
        <f t="shared" si="28"/>
        <v>#VALUE!</v>
      </c>
      <c r="BV42" s="1233" t="e">
        <f t="shared" si="29"/>
        <v>#VALUE!</v>
      </c>
      <c r="BX42" s="1129" t="s">
        <v>58</v>
      </c>
      <c r="BY42" s="812">
        <v>36650</v>
      </c>
      <c r="BZ42" s="813">
        <v>41850</v>
      </c>
      <c r="CA42" s="813">
        <v>47100</v>
      </c>
      <c r="CB42" s="813">
        <v>52300</v>
      </c>
      <c r="CC42" s="813">
        <v>56500</v>
      </c>
      <c r="CD42" s="813">
        <v>60700</v>
      </c>
      <c r="CE42" s="813">
        <v>64900</v>
      </c>
      <c r="CF42" s="1147">
        <v>69050</v>
      </c>
      <c r="CH42" s="386"/>
      <c r="CI42" s="971" t="str">
        <f>CONCATENATE(County,1.1)</f>
        <v>1.1</v>
      </c>
      <c r="CJ42" s="1126" t="e">
        <f t="shared" ref="CJ42:CJ60" si="36">TRUNC(CI8/12*0.3)</f>
        <v>#VALUE!</v>
      </c>
      <c r="CK42" s="1126" t="e">
        <f t="shared" si="31"/>
        <v>#VALUE!</v>
      </c>
      <c r="CL42" s="1126" t="e">
        <f t="shared" si="32"/>
        <v>#VALUE!</v>
      </c>
      <c r="CM42" s="1126" t="e">
        <f t="shared" si="33"/>
        <v>#VALUE!</v>
      </c>
      <c r="CN42" s="1126" t="e">
        <f t="shared" si="34"/>
        <v>#VALUE!</v>
      </c>
      <c r="CO42" s="1240" t="e">
        <f t="shared" si="35"/>
        <v>#VALUE!</v>
      </c>
      <c r="CP42" s="1681"/>
      <c r="CQ42" s="1682"/>
      <c r="CR42" s="386" t="b">
        <f>OR(AND(OR($BA$7="USDA",$BA$7="Other Federal"),UnitsTbl[[#This Row],[Gross Monthly Contract Rent]]&gt;0),AND(OR($BF$7="USDA",$BF$7="Other Federal"),UnitsTbl[[#This Row],[Net Monthly Contract Rent2]]&gt;0))</f>
        <v>0</v>
      </c>
      <c r="CS42" s="223">
        <f>IF(UnitsTbl[[#This Row],[Restricted Income Level]]="Manager",0,UnitsTbl[[#This Row],[Total Units]]*INDEX(SizeFactors,MATCH(MIN(UnitsTbl[[#This Row],[Number of Bedrooms]],4),Sizes,0)))</f>
        <v>0</v>
      </c>
      <c r="CT42" s="550">
        <f>IF(UnitsTbl[[#This Row],[Restricted Income Level]]="Manager",0,UnitsTbl[[#This Row],[Total Units]]-SUM(UnitsTbl[[#This Row],[Units being subsidized]]*($BA$7&lt;&gt;"Not Federal"),UnitsTbl[[#This Row],[Units being subsidized2]]*($BF$7&lt;&gt;"Not Federal")))</f>
        <v>0</v>
      </c>
      <c r="CU42" s="309">
        <f>IFERROR(IF(AND($CU$8,CR42=FALSE),40%,IF(UnitsTbl[[#This Row],[Restricted Income Level]]&lt;30%,30%,UnitsTbl[[#This Row],[Restricted Income Level]])),0)</f>
        <v>0.4</v>
      </c>
      <c r="CV42" s="1682"/>
      <c r="CW42" s="555">
        <f t="shared" si="9"/>
        <v>0.4</v>
      </c>
      <c r="CX42" s="553">
        <f>IF(UnitsTbl[[#This Row],[Rent Limit Calculation Formula]]="TCAC",VLOOKUP(County&amp;CW42,TCACrentTbl[],UnitsTbl[[#This Row],[Number of Bedrooms]]+2,FALSE)-SUM(UnitsTbl[[#This Row],[Less Utility Allowance Schedule 2]],UnitsTbl[[#This Row],[Less Utility Allowance Schedule 1]]),IF(UnitsTbl[[#This Row],[Rent Limit Calculation Formula]]="Other",VLOOKUP(County&amp;CW42,OtherRentLimitTbl[],UnitsTbl[[#This Row],[Number of Bedrooms]]+3,FALSE)-SUM(UnitsTbl[[#This Row],[Less Utility Allowance Schedule 2]],UnitsTbl[[#This Row],[Less Utility Allowance Schedule 1]]),0))</f>
        <v>0</v>
      </c>
      <c r="CY42" s="363">
        <f>MAX(UnitsTbl[[#This Row],[Gross Monthly Contract Rent]],UnitsTbl[[#This Row],[Net Monthly Contract Rent2]])</f>
        <v>0</v>
      </c>
      <c r="CZ42" s="553">
        <f>IF(UnitsTbl[[#This Row],[Number of Bedrooms]]="",0,VLOOKUP(County&amp;"0.6",TCACrentTbl[],UnitsTbl[[#This Row],[Number of Bedrooms]]+2,FALSE))-SUM(UnitsTbl[[#This Row],[Less Utility Allowance Schedule 2]],UnitsTbl[[#This Row],[Less Utility Allowance Schedule 1]])</f>
        <v>0</v>
      </c>
      <c r="DA42" s="78" t="b">
        <f>OR(AND($BA$7="USDA",UnitsTbl[[#This Row],[Gross Monthly Contract Rent]]&gt;0),AND($BF$7="USDA",UnitsTbl[[#This Row],[Net Monthly Contract Rent2]]&gt;0))</f>
        <v>0</v>
      </c>
      <c r="DB42" s="363">
        <f t="shared" si="10"/>
        <v>0</v>
      </c>
      <c r="DC42" s="363">
        <f t="shared" si="11"/>
        <v>0</v>
      </c>
      <c r="DD42" s="364">
        <f>UnitsTbl[[#This Row],[Total Units]]*DC42</f>
        <v>0</v>
      </c>
    </row>
    <row r="43" spans="1:108" ht="18" customHeight="1">
      <c r="A43" s="693"/>
      <c r="B43" s="1210"/>
      <c r="C43" s="1211"/>
      <c r="D43" s="1637"/>
      <c r="E43" s="1212"/>
      <c r="F43" s="1637"/>
      <c r="G43" s="1637"/>
      <c r="H43" s="1637"/>
      <c r="I43" s="1213"/>
      <c r="J43" s="1213"/>
      <c r="K43" s="1637"/>
      <c r="L43" s="1214"/>
      <c r="M43" s="1637"/>
      <c r="N43" s="1637"/>
      <c r="O43" s="1637"/>
      <c r="P43" s="1637"/>
      <c r="Q43" s="1637"/>
      <c r="R43" s="1637"/>
      <c r="S43" s="1637"/>
      <c r="T43" s="1637"/>
      <c r="U43" s="1637"/>
      <c r="V43" s="1637"/>
      <c r="W43" s="1637"/>
      <c r="X43" s="1637"/>
      <c r="Y43" s="1637"/>
      <c r="Z43" s="1637"/>
      <c r="AA43" s="1637"/>
      <c r="AB43" s="1637"/>
      <c r="AC43" s="1637"/>
      <c r="AD43" s="1215"/>
      <c r="AE43" s="1210"/>
      <c r="AF43" s="1637"/>
      <c r="AG43" s="1216"/>
      <c r="AH43" s="667"/>
      <c r="AI43"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43" s="1218" t="b">
        <f>IFERROR(IF(AND(IsSerna,OR(UnitsTbl[[#This Row],[VHHP
Assisted]]&gt;0,UnitsTbl[[#This Row],[HCD Program 5]]&gt;0)),0,IF(AND(IsSerna,$B$4="FWHG",UnitsTbl[[#This Row],[Restricted Income Level]]="Manager"),VLOOKUP(CONCATENATE(County," ",0.6),HCDLoanLimitTbl2[],BH43,FALSE)*UnitsTbl[[#This Row],[Total Units]],IF(UnitsTbl[[#This Row],[Restricted Income Level]]&gt;80%,0,IF(IsSerna,VLOOKUP(CONCATENATE(County," ",UnitsTbl[[#This Row],[Restricted Income Level]]),HCDLoanLimitTbl2[],UnitsTbl[[#This Row],[VLOOKUP Base]],FALSE)*UnitsTbl[[#This Row],[HCD Program2]])))),0)</f>
        <v>0</v>
      </c>
      <c r="AK43" s="1218" t="b">
        <f>IFERROR(IF(AND(IsTod,OR(UnitsTbl[[#This Row],[HCD Program 5]]&gt;0,UnitsTbl[[#This Row],[HCD Program2]]&gt;0,UnitsTbl[[#This Row],[HCD Program4]]&gt;0,UnitsTbl[[#This Row],[VHHP
Assisted]]&gt;0)),0,(IF(AND(IsTod,$B$4="TOD",UnitsTbl[[#This Row],[Restricted Income Level]]="Manager"),VLOOKUP(CONCATENATE(County," ",0.6),HCDLoanLimitTbl[],BH43,FALSE)*UnitsTbl[[#This Row],[Total Units]],IF(UnitsTbl[[#This Row],[Restricted Income Level]]&gt;60%,0,IF(IsTod,VLOOKUP(CONCATENATE(County," ",UnitsTbl[[#This Row],[Restricted Income Level]]),HCDLoanLimitTbl[],UnitsTbl[[#This Row],[VLOOKUP Base]],FALSE)*UnitsTbl[[#This Row],[HCD Program3]]))))),0)</f>
        <v>0</v>
      </c>
      <c r="AL43" s="1218" t="b">
        <f>IFERROR(IF(AND(IsShmhp,OR(UnitsTbl[[#This Row],[HCD Program 5]]&gt;0,UnitsTbl[[#This Row],[HCD Program2]]&gt;0,UnitsTbl[[#This Row],[HCD Program3]]&gt;0,UnitsTbl[[#This Row],[VHHP
Assisted]]&gt;0)),0,(IF(AND(IsShmhp,$B$4="SHMHP",UnitsTbl[[#This Row],[Restricted Income Level]]="Manager"),VLOOKUP(CONCATENATE(County," ",0.6),HCDLoanLimitTbl[],BH43,FALSE)*UnitsTbl[[#This Row],[Total Units]],IF(UnitsTbl[[#This Row],[Restricted Income Level]]&gt;60%,0,IF(IsShmhp,VLOOKUP(CONCATENATE(County," ",UnitsTbl[[#This Row],[Restricted Income Level]]),HCDLoanLimitTbl[],UnitsTbl[[#This Row],[VLOOKUP Base]],FALSE)*UnitsTbl[[#This Row],[HCD Program4]]))))),0)</f>
        <v>0</v>
      </c>
      <c r="AM43" s="1219" t="b">
        <f>IFERROR(IF(AND(IsVhhp,OR(UnitsTbl[[#This Row],[HCD Program 5]]&gt;0,UnitsTbl[[#This Row],[HCD Program2]]&gt;0,UnitsTbl[[#This Row],[HCD Program3]]&gt;0,UnitsTbl[[#This Row],[HCD Program4]]&gt;0)),0,(IF(AND(IsVhhp,$B$4="VHHP",UnitsTbl[[#This Row],[Restricted Income Level]]="Manager"),VLOOKUP(CONCATENATE(County," ",0.6),HCDLoanLimitTbl2[],BH43,FALSE)*UnitsTbl[[#This Row],[Total Units]],IF(UnitsTbl[[#This Row],[Restricted Income Level]]&gt;60%,0,IF(IsVhhp,VLOOKUP(CONCATENATE(County," ",UnitsTbl[[#This Row],[Restricted Income Level]]),HCDLoanLimitTbl2[],UnitsTbl[[#This Row],[VLOOKUP Base]],FALSE)*UnitsTbl[[#This Row],[VHHP
Assisted]]))))),0)</f>
        <v>0</v>
      </c>
      <c r="AN43"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",0.6),HCDLoanLimitTbl[],BH43,FALSE)*UnitsTbl[[#This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43" s="1221"/>
      <c r="AP43"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43" s="1223"/>
      <c r="AR43" s="1224"/>
      <c r="AS43" s="1225" t="str">
        <f>IFERROR(IF(UnitsTbl[[#This Row],[Max Gross Rent]]=0,"",UnitsTbl[[#This Row],[Max Gross Rent]]-UnitsTbl[[#This Row],[Less Utility Allowance Schedule 1]]-UnitsTbl[[#This Row],[Less Utility Allowance Schedule 2]]),"")</f>
        <v/>
      </c>
      <c r="AT43" s="1226"/>
      <c r="AU43" s="1225">
        <f>IF(UnitsTbl[[#This Row],[Proposed Net Rent ]]="",0,UnitsTbl[[#This Row],[Total Units]]*UnitsTbl[[#This Row],[Proposed Net Rent ]])</f>
        <v>0</v>
      </c>
      <c r="AV43" s="1227" t="str">
        <f>IF(UnitsTbl[[#This Row],[Proposed Net Rent ]]&gt;0,0,IFERROR(UnitsTbl[[#This Row],[Total Units]]*UnitsTbl[[#This Row],[Maximum Net Rent]],""))</f>
        <v/>
      </c>
      <c r="AW43" s="1228"/>
      <c r="AX43"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43" s="1637"/>
      <c r="AZ43" s="1637"/>
      <c r="BA43" s="1229" t="str">
        <f>IFERROR(IF(UnitsTbl[[#This Row],[Total Units]]="","",UnitsTbl[[#This Row],[Subsidy Payment Over  Gross Rent]]*UnitsTbl[[#This Row],[Total Units]])*NOT($BA$7=""),"")</f>
        <v/>
      </c>
      <c r="BB43" s="1228"/>
      <c r="BC43"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43" s="1230"/>
      <c r="BE43" s="1637"/>
      <c r="BF43" s="1227" t="str">
        <f>IFERROR(IF(UnitsTbl[[#This Row],[Total Units]]="","",UnitsTbl[[#This Row],[Subsidy Payment Over Gross Rent2]]*UnitsTbl[[#This Row],[Total Units]])*NOT($BF$7=""),"")</f>
        <v/>
      </c>
      <c r="BG43" s="1231">
        <f>IF(OR(UnitsTbl[[#This Row],[Special Needs?]]="Yes",UnitsTbl[[#This Row],[Special Needs2?]]="Yes"), 1,0)</f>
        <v>0</v>
      </c>
      <c r="BH43"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43"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43" s="969">
        <f>MIN(SUM(UnitsTbl[[#This Row],[Disability Homelessness]],UnitsTbl[[#This Row],[Chronic Homelessness]],UnitsTbl[[#This Row],[Other Homelessness]]),UnitsTbl[[#This Row],[Total restricted units]])</f>
        <v>0</v>
      </c>
      <c r="BK43" s="969">
        <f>(UnitsTbl[[#This Row],[Restricted Income Level]]&lt;=30%)*UnitsTbl[[#This Row],[Total restricted units]]</f>
        <v>0</v>
      </c>
      <c r="BL43" s="969">
        <f t="shared" si="8"/>
        <v>0</v>
      </c>
      <c r="BM43" s="307">
        <f>UnitsTbl[[#This Row],[Units being subsidized]]*SUM(UnitsTbl[[#This Row],[Less Utility Allowance Schedule 1]],UnitsTbl[[#This Row],[Less Utility Allowance Schedule 2]])</f>
        <v>0</v>
      </c>
      <c r="BN43" s="307">
        <f>UnitsTbl[[#This Row],[Units being subsidized2]]*SUM(UnitsTbl[[#This Row],[Less Utility Allowance Schedule 1]],UnitsTbl[[#This Row],[Less Utility Allowance Schedule 2]])</f>
        <v>0</v>
      </c>
      <c r="BO43" s="307"/>
      <c r="BP43" s="1232" t="str">
        <f>CONCATENATE(County," ",HCDLoanLimitTbl2[[#This Row],[AMI]])</f>
        <v xml:space="preserve"> 0.25</v>
      </c>
      <c r="BQ43" s="1721">
        <v>0.25</v>
      </c>
      <c r="BR43" s="1643" t="e">
        <f t="shared" si="30"/>
        <v>#VALUE!</v>
      </c>
      <c r="BS43" s="1643" t="e">
        <f t="shared" si="26"/>
        <v>#VALUE!</v>
      </c>
      <c r="BT43" s="1643" t="e">
        <f t="shared" si="27"/>
        <v>#VALUE!</v>
      </c>
      <c r="BU43" s="1643" t="e">
        <f t="shared" si="28"/>
        <v>#VALUE!</v>
      </c>
      <c r="BV43" s="1233" t="e">
        <f t="shared" si="29"/>
        <v>#VALUE!</v>
      </c>
      <c r="BX43" s="1129" t="s">
        <v>93</v>
      </c>
      <c r="BY43" s="811">
        <v>48650</v>
      </c>
      <c r="BZ43" s="1744">
        <v>55600</v>
      </c>
      <c r="CA43" s="1744">
        <v>62550</v>
      </c>
      <c r="CB43" s="1744">
        <v>69500</v>
      </c>
      <c r="CC43" s="1744">
        <v>75050</v>
      </c>
      <c r="CD43" s="1744">
        <v>80650</v>
      </c>
      <c r="CE43" s="1744">
        <v>86200</v>
      </c>
      <c r="CF43" s="1135">
        <v>91750</v>
      </c>
      <c r="CH43" s="386"/>
      <c r="CI43" s="971" t="str">
        <f>CONCATENATE(County,1)</f>
        <v>1</v>
      </c>
      <c r="CJ43" s="1126" t="e">
        <f t="shared" si="36"/>
        <v>#VALUE!</v>
      </c>
      <c r="CK43" s="1126" t="e">
        <f t="shared" si="31"/>
        <v>#VALUE!</v>
      </c>
      <c r="CL43" s="1126" t="e">
        <f t="shared" si="32"/>
        <v>#VALUE!</v>
      </c>
      <c r="CM43" s="1126" t="e">
        <f t="shared" si="33"/>
        <v>#VALUE!</v>
      </c>
      <c r="CN43" s="1126" t="e">
        <f t="shared" si="34"/>
        <v>#VALUE!</v>
      </c>
      <c r="CO43" s="1240" t="e">
        <f t="shared" si="35"/>
        <v>#VALUE!</v>
      </c>
      <c r="CP43" s="1681"/>
      <c r="CQ43" s="1682"/>
      <c r="CR43" s="386" t="b">
        <f>OR(AND(OR($BA$7="USDA",$BA$7="Other Federal"),UnitsTbl[[#This Row],[Gross Monthly Contract Rent]]&gt;0),AND(OR($BF$7="USDA",$BF$7="Other Federal"),UnitsTbl[[#This Row],[Net Monthly Contract Rent2]]&gt;0))</f>
        <v>0</v>
      </c>
      <c r="CS43" s="223">
        <f>IF(UnitsTbl[[#This Row],[Restricted Income Level]]="Manager",0,UnitsTbl[[#This Row],[Total Units]]*INDEX(SizeFactors,MATCH(MIN(UnitsTbl[[#This Row],[Number of Bedrooms]],4),Sizes,0)))</f>
        <v>0</v>
      </c>
      <c r="CT43" s="550">
        <f>IF(UnitsTbl[[#This Row],[Restricted Income Level]]="Manager",0,UnitsTbl[[#This Row],[Total Units]]-SUM(UnitsTbl[[#This Row],[Units being subsidized]]*($BA$7&lt;&gt;"Not Federal"),UnitsTbl[[#This Row],[Units being subsidized2]]*($BF$7&lt;&gt;"Not Federal")))</f>
        <v>0</v>
      </c>
      <c r="CU43" s="309">
        <f>IFERROR(IF(AND($CU$8,CR43=FALSE),40%,IF(UnitsTbl[[#This Row],[Restricted Income Level]]&lt;30%,30%,UnitsTbl[[#This Row],[Restricted Income Level]])),0)</f>
        <v>0.4</v>
      </c>
      <c r="CV43" s="1682"/>
      <c r="CW43" s="555">
        <f t="shared" si="9"/>
        <v>0.4</v>
      </c>
      <c r="CX43" s="553">
        <f>IF(UnitsTbl[[#This Row],[Rent Limit Calculation Formula]]="TCAC",VLOOKUP(County&amp;CW43,TCACrentTbl[],UnitsTbl[[#This Row],[Number of Bedrooms]]+2,FALSE)-SUM(UnitsTbl[[#This Row],[Less Utility Allowance Schedule 2]],UnitsTbl[[#This Row],[Less Utility Allowance Schedule 1]]),IF(UnitsTbl[[#This Row],[Rent Limit Calculation Formula]]="Other",VLOOKUP(County&amp;CW43,OtherRentLimitTbl[],UnitsTbl[[#This Row],[Number of Bedrooms]]+3,FALSE)-SUM(UnitsTbl[[#This Row],[Less Utility Allowance Schedule 2]],UnitsTbl[[#This Row],[Less Utility Allowance Schedule 1]]),0))</f>
        <v>0</v>
      </c>
      <c r="CY43" s="363">
        <f>MAX(UnitsTbl[[#This Row],[Gross Monthly Contract Rent]],UnitsTbl[[#This Row],[Net Monthly Contract Rent2]])</f>
        <v>0</v>
      </c>
      <c r="CZ43" s="553">
        <f>IF(UnitsTbl[[#This Row],[Number of Bedrooms]]="",0,VLOOKUP(County&amp;"0.6",TCACrentTbl[],UnitsTbl[[#This Row],[Number of Bedrooms]]+2,FALSE))-SUM(UnitsTbl[[#This Row],[Less Utility Allowance Schedule 2]],UnitsTbl[[#This Row],[Less Utility Allowance Schedule 1]])</f>
        <v>0</v>
      </c>
      <c r="DA43" s="78" t="b">
        <f>OR(AND($BA$7="USDA",UnitsTbl[[#This Row],[Gross Monthly Contract Rent]]&gt;0),AND($BF$7="USDA",UnitsTbl[[#This Row],[Net Monthly Contract Rent2]]&gt;0))</f>
        <v>0</v>
      </c>
      <c r="DB43" s="363">
        <f t="shared" si="10"/>
        <v>0</v>
      </c>
      <c r="DC43" s="363">
        <f t="shared" si="11"/>
        <v>0</v>
      </c>
      <c r="DD43" s="364">
        <f>UnitsTbl[[#This Row],[Total Units]]*DC43</f>
        <v>0</v>
      </c>
    </row>
    <row r="44" spans="1:108" ht="18" customHeight="1">
      <c r="A44" s="693"/>
      <c r="B44" s="1210"/>
      <c r="C44" s="1211"/>
      <c r="D44" s="1637"/>
      <c r="E44" s="1212"/>
      <c r="F44" s="1637"/>
      <c r="G44" s="1637"/>
      <c r="H44" s="1637"/>
      <c r="I44" s="1213"/>
      <c r="J44" s="1213"/>
      <c r="K44" s="1637"/>
      <c r="L44" s="1214"/>
      <c r="M44" s="1637"/>
      <c r="N44" s="1637"/>
      <c r="O44" s="1637"/>
      <c r="P44" s="1637"/>
      <c r="Q44" s="1637"/>
      <c r="R44" s="1637"/>
      <c r="S44" s="1637"/>
      <c r="T44" s="1637"/>
      <c r="U44" s="1637"/>
      <c r="V44" s="1637"/>
      <c r="W44" s="1637"/>
      <c r="X44" s="1637"/>
      <c r="Y44" s="1637"/>
      <c r="Z44" s="1637"/>
      <c r="AA44" s="1637"/>
      <c r="AB44" s="1637"/>
      <c r="AC44" s="1637"/>
      <c r="AD44" s="1215"/>
      <c r="AE44" s="1210"/>
      <c r="AF44" s="1637"/>
      <c r="AG44" s="1216"/>
      <c r="AH44" s="667"/>
      <c r="AI44"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44" s="1218" t="b">
        <f>IFERROR(IF(AND(IsSerna,OR(UnitsTbl[[#This Row],[VHHP
Assisted]]&gt;0,UnitsTbl[[#This Row],[HCD Program 5]]&gt;0)),0,IF(AND(IsSerna,$B$4="FWHG",UnitsTbl[[#This Row],[Restricted Income Level]]="Manager"),VLOOKUP(CONCATENATE(County," ",0.6),HCDLoanLimitTbl2[],BH44,FALSE)*UnitsTbl[[#This Row],[Total Units]],IF(UnitsTbl[[#This Row],[Restricted Income Level]]&gt;80%,0,IF(IsSerna,VLOOKUP(CONCATENATE(County," ",UnitsTbl[[#This Row],[Restricted Income Level]]),HCDLoanLimitTbl2[],UnitsTbl[[#This Row],[VLOOKUP Base]],FALSE)*UnitsTbl[[#This Row],[HCD Program2]])))),0)</f>
        <v>0</v>
      </c>
      <c r="AK44" s="1218" t="b">
        <f>IFERROR(IF(AND(IsTod,OR(UnitsTbl[[#This Row],[HCD Program 5]]&gt;0,UnitsTbl[[#This Row],[HCD Program2]]&gt;0,UnitsTbl[[#This Row],[HCD Program4]]&gt;0,UnitsTbl[[#This Row],[VHHP
Assisted]]&gt;0)),0,(IF(AND(IsTod,$B$4="TOD",UnitsTbl[[#This Row],[Restricted Income Level]]="Manager"),VLOOKUP(CONCATENATE(County," ",0.6),HCDLoanLimitTbl[],BH44,FALSE)*UnitsTbl[[#This Row],[Total Units]],IF(UnitsTbl[[#This Row],[Restricted Income Level]]&gt;60%,0,IF(IsTod,VLOOKUP(CONCATENATE(County," ",UnitsTbl[[#This Row],[Restricted Income Level]]),HCDLoanLimitTbl[],UnitsTbl[[#This Row],[VLOOKUP Base]],FALSE)*UnitsTbl[[#This Row],[HCD Program3]]))))),0)</f>
        <v>0</v>
      </c>
      <c r="AL44" s="1218" t="b">
        <f>IFERROR(IF(AND(IsShmhp,OR(UnitsTbl[[#This Row],[HCD Program 5]]&gt;0,UnitsTbl[[#This Row],[HCD Program2]]&gt;0,UnitsTbl[[#This Row],[HCD Program3]]&gt;0,UnitsTbl[[#This Row],[VHHP
Assisted]]&gt;0)),0,(IF(AND(IsShmhp,$B$4="SHMHP",UnitsTbl[[#This Row],[Restricted Income Level]]="Manager"),VLOOKUP(CONCATENATE(County," ",0.6),HCDLoanLimitTbl[],BH44,FALSE)*UnitsTbl[[#This Row],[Total Units]],IF(UnitsTbl[[#This Row],[Restricted Income Level]]&gt;60%,0,IF(IsShmhp,VLOOKUP(CONCATENATE(County," ",UnitsTbl[[#This Row],[Restricted Income Level]]),HCDLoanLimitTbl[],UnitsTbl[[#This Row],[VLOOKUP Base]],FALSE)*UnitsTbl[[#This Row],[HCD Program4]]))))),0)</f>
        <v>0</v>
      </c>
      <c r="AM44" s="1219" t="b">
        <f>IFERROR(IF(AND(IsVhhp,OR(UnitsTbl[[#This Row],[HCD Program 5]]&gt;0,UnitsTbl[[#This Row],[HCD Program2]]&gt;0,UnitsTbl[[#This Row],[HCD Program3]]&gt;0,UnitsTbl[[#This Row],[HCD Program4]]&gt;0)),0,(IF(AND(IsVhhp,$B$4="VHHP",UnitsTbl[[#This Row],[Restricted Income Level]]="Manager"),VLOOKUP(CONCATENATE(County," ",0.6),HCDLoanLimitTbl2[],BH44,FALSE)*UnitsTbl[[#This Row],[Total Units]],IF(UnitsTbl[[#This Row],[Restricted Income Level]]&gt;60%,0,IF(IsVhhp,VLOOKUP(CONCATENATE(County," ",UnitsTbl[[#This Row],[Restricted Income Level]]),HCDLoanLimitTbl2[],UnitsTbl[[#This Row],[VLOOKUP Base]],FALSE)*UnitsTbl[[#This Row],[VHHP
Assisted]]))))),0)</f>
        <v>0</v>
      </c>
      <c r="AN44"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",0.6),HCDLoanLimitTbl[],BH44,FALSE)*UnitsTbl[[#This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44" s="1221"/>
      <c r="AP44"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44" s="1223"/>
      <c r="AR44" s="1224"/>
      <c r="AS44" s="1225" t="str">
        <f>IFERROR(IF(UnitsTbl[[#This Row],[Max Gross Rent]]=0,"",UnitsTbl[[#This Row],[Max Gross Rent]]-UnitsTbl[[#This Row],[Less Utility Allowance Schedule 1]]-UnitsTbl[[#This Row],[Less Utility Allowance Schedule 2]]),"")</f>
        <v/>
      </c>
      <c r="AT44" s="1226"/>
      <c r="AU44" s="1225">
        <f>IF(UnitsTbl[[#This Row],[Proposed Net Rent ]]="",0,UnitsTbl[[#This Row],[Total Units]]*UnitsTbl[[#This Row],[Proposed Net Rent ]])</f>
        <v>0</v>
      </c>
      <c r="AV44" s="1227" t="str">
        <f>IF(UnitsTbl[[#This Row],[Proposed Net Rent ]]&gt;0,0,IFERROR(UnitsTbl[[#This Row],[Total Units]]*UnitsTbl[[#This Row],[Maximum Net Rent]],""))</f>
        <v/>
      </c>
      <c r="AW44" s="1228"/>
      <c r="AX44"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44" s="1637"/>
      <c r="AZ44" s="1637"/>
      <c r="BA44" s="1229" t="str">
        <f>IFERROR(IF(UnitsTbl[[#This Row],[Total Units]]="","",UnitsTbl[[#This Row],[Subsidy Payment Over  Gross Rent]]*UnitsTbl[[#This Row],[Total Units]])*NOT($BA$7=""),"")</f>
        <v/>
      </c>
      <c r="BB44" s="1228"/>
      <c r="BC44"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44" s="1230"/>
      <c r="BE44" s="1637"/>
      <c r="BF44" s="1227" t="str">
        <f>IFERROR(IF(UnitsTbl[[#This Row],[Total Units]]="","",UnitsTbl[[#This Row],[Subsidy Payment Over Gross Rent2]]*UnitsTbl[[#This Row],[Total Units]])*NOT($BF$7=""),"")</f>
        <v/>
      </c>
      <c r="BG44" s="1231">
        <f>IF(OR(UnitsTbl[[#This Row],[Special Needs?]]="Yes",UnitsTbl[[#This Row],[Special Needs2?]]="Yes"), 1,0)</f>
        <v>0</v>
      </c>
      <c r="BH44"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44"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44" s="969">
        <f>MIN(SUM(UnitsTbl[[#This Row],[Disability Homelessness]],UnitsTbl[[#This Row],[Chronic Homelessness]],UnitsTbl[[#This Row],[Other Homelessness]]),UnitsTbl[[#This Row],[Total restricted units]])</f>
        <v>0</v>
      </c>
      <c r="BK44" s="969">
        <f>(UnitsTbl[[#This Row],[Restricted Income Level]]&lt;=30%)*UnitsTbl[[#This Row],[Total restricted units]]</f>
        <v>0</v>
      </c>
      <c r="BL44" s="969">
        <f t="shared" si="8"/>
        <v>0</v>
      </c>
      <c r="BM44" s="307">
        <f>UnitsTbl[[#This Row],[Units being subsidized]]*SUM(UnitsTbl[[#This Row],[Less Utility Allowance Schedule 1]],UnitsTbl[[#This Row],[Less Utility Allowance Schedule 2]])</f>
        <v>0</v>
      </c>
      <c r="BN44" s="307">
        <f>UnitsTbl[[#This Row],[Units being subsidized2]]*SUM(UnitsTbl[[#This Row],[Less Utility Allowance Schedule 1]],UnitsTbl[[#This Row],[Less Utility Allowance Schedule 2]])</f>
        <v>0</v>
      </c>
      <c r="BO44" s="307"/>
      <c r="BP44" s="1232" t="str">
        <f>CONCATENATE(County," ",HCDLoanLimitTbl2[[#This Row],[AMI]])</f>
        <v xml:space="preserve"> 0.2</v>
      </c>
      <c r="BQ44" s="1721">
        <v>0.2</v>
      </c>
      <c r="BR44" s="1643" t="e">
        <f t="shared" si="30"/>
        <v>#VALUE!</v>
      </c>
      <c r="BS44" s="1643" t="e">
        <f t="shared" si="26"/>
        <v>#VALUE!</v>
      </c>
      <c r="BT44" s="1643" t="e">
        <f t="shared" si="27"/>
        <v>#VALUE!</v>
      </c>
      <c r="BU44" s="1643" t="e">
        <f t="shared" si="28"/>
        <v>#VALUE!</v>
      </c>
      <c r="BV44" s="1233" t="e">
        <f t="shared" si="29"/>
        <v>#VALUE!</v>
      </c>
      <c r="BX44" s="1129" t="s">
        <v>145</v>
      </c>
      <c r="BY44" s="812">
        <v>67700</v>
      </c>
      <c r="BZ44" s="813">
        <v>77400</v>
      </c>
      <c r="CA44" s="813">
        <v>87050</v>
      </c>
      <c r="CB44" s="813">
        <v>96700</v>
      </c>
      <c r="CC44" s="813">
        <v>104450</v>
      </c>
      <c r="CD44" s="813">
        <v>112200</v>
      </c>
      <c r="CE44" s="813">
        <v>119950</v>
      </c>
      <c r="CF44" s="1147">
        <v>127650</v>
      </c>
      <c r="CH44" s="386"/>
      <c r="CI44" s="971" t="str">
        <f>CONCATENATE(County,0.95)</f>
        <v>0.95</v>
      </c>
      <c r="CJ44" s="1126" t="e">
        <f t="shared" si="36"/>
        <v>#VALUE!</v>
      </c>
      <c r="CK44" s="1126" t="e">
        <f t="shared" si="31"/>
        <v>#VALUE!</v>
      </c>
      <c r="CL44" s="1126" t="e">
        <f t="shared" si="32"/>
        <v>#VALUE!</v>
      </c>
      <c r="CM44" s="1126" t="e">
        <f t="shared" si="33"/>
        <v>#VALUE!</v>
      </c>
      <c r="CN44" s="1126" t="e">
        <f t="shared" si="34"/>
        <v>#VALUE!</v>
      </c>
      <c r="CO44" s="1240" t="e">
        <f t="shared" si="35"/>
        <v>#VALUE!</v>
      </c>
      <c r="CP44" s="1681"/>
      <c r="CQ44" s="1682"/>
      <c r="CR44" s="386" t="b">
        <f>OR(AND(OR($BA$7="USDA",$BA$7="Other Federal"),UnitsTbl[[#This Row],[Gross Monthly Contract Rent]]&gt;0),AND(OR($BF$7="USDA",$BF$7="Other Federal"),UnitsTbl[[#This Row],[Net Monthly Contract Rent2]]&gt;0))</f>
        <v>0</v>
      </c>
      <c r="CS44" s="223">
        <f>IF(UnitsTbl[[#This Row],[Restricted Income Level]]="Manager",0,UnitsTbl[[#This Row],[Total Units]]*INDEX(SizeFactors,MATCH(MIN(UnitsTbl[[#This Row],[Number of Bedrooms]],4),Sizes,0)))</f>
        <v>0</v>
      </c>
      <c r="CT44" s="550">
        <f>IF(UnitsTbl[[#This Row],[Restricted Income Level]]="Manager",0,UnitsTbl[[#This Row],[Total Units]]-SUM(UnitsTbl[[#This Row],[Units being subsidized]]*($BA$7&lt;&gt;"Not Federal"),UnitsTbl[[#This Row],[Units being subsidized2]]*($BF$7&lt;&gt;"Not Federal")))</f>
        <v>0</v>
      </c>
      <c r="CU44" s="309">
        <f>IFERROR(IF(AND($CU$8,CR44=FALSE),40%,IF(UnitsTbl[[#This Row],[Restricted Income Level]]&lt;30%,30%,UnitsTbl[[#This Row],[Restricted Income Level]])),0)</f>
        <v>0.4</v>
      </c>
      <c r="CV44" s="1682"/>
      <c r="CW44" s="555">
        <f t="shared" si="9"/>
        <v>0.4</v>
      </c>
      <c r="CX44" s="553">
        <f>IF(UnitsTbl[[#This Row],[Rent Limit Calculation Formula]]="TCAC",VLOOKUP(County&amp;CW44,TCACrentTbl[],UnitsTbl[[#This Row],[Number of Bedrooms]]+2,FALSE)-SUM(UnitsTbl[[#This Row],[Less Utility Allowance Schedule 2]],UnitsTbl[[#This Row],[Less Utility Allowance Schedule 1]]),IF(UnitsTbl[[#This Row],[Rent Limit Calculation Formula]]="Other",VLOOKUP(County&amp;CW44,OtherRentLimitTbl[],UnitsTbl[[#This Row],[Number of Bedrooms]]+3,FALSE)-SUM(UnitsTbl[[#This Row],[Less Utility Allowance Schedule 2]],UnitsTbl[[#This Row],[Less Utility Allowance Schedule 1]]),0))</f>
        <v>0</v>
      </c>
      <c r="CY44" s="363">
        <f>MAX(UnitsTbl[[#This Row],[Gross Monthly Contract Rent]],UnitsTbl[[#This Row],[Net Monthly Contract Rent2]])</f>
        <v>0</v>
      </c>
      <c r="CZ44" s="553">
        <f>IF(UnitsTbl[[#This Row],[Number of Bedrooms]]="",0,VLOOKUP(County&amp;"0.6",TCACrentTbl[],UnitsTbl[[#This Row],[Number of Bedrooms]]+2,FALSE))-SUM(UnitsTbl[[#This Row],[Less Utility Allowance Schedule 2]],UnitsTbl[[#This Row],[Less Utility Allowance Schedule 1]])</f>
        <v>0</v>
      </c>
      <c r="DA44" s="78" t="b">
        <f>OR(AND($BA$7="USDA",UnitsTbl[[#This Row],[Gross Monthly Contract Rent]]&gt;0),AND($BF$7="USDA",UnitsTbl[[#This Row],[Net Monthly Contract Rent2]]&gt;0))</f>
        <v>0</v>
      </c>
      <c r="DB44" s="363">
        <f t="shared" si="10"/>
        <v>0</v>
      </c>
      <c r="DC44" s="363">
        <f t="shared" si="11"/>
        <v>0</v>
      </c>
      <c r="DD44" s="364">
        <f>UnitsTbl[[#This Row],[Total Units]]*DC44</f>
        <v>0</v>
      </c>
    </row>
    <row r="45" spans="1:108" ht="18" customHeight="1" thickBot="1">
      <c r="A45" s="693"/>
      <c r="B45" s="1210"/>
      <c r="C45" s="1211"/>
      <c r="D45" s="1637"/>
      <c r="E45" s="1212"/>
      <c r="F45" s="1637"/>
      <c r="G45" s="1637"/>
      <c r="H45" s="1637"/>
      <c r="I45" s="1213"/>
      <c r="J45" s="1213"/>
      <c r="K45" s="1637"/>
      <c r="L45" s="1214"/>
      <c r="M45" s="1637"/>
      <c r="N45" s="1637"/>
      <c r="O45" s="1637"/>
      <c r="P45" s="1637"/>
      <c r="Q45" s="1637"/>
      <c r="R45" s="1637"/>
      <c r="S45" s="1637"/>
      <c r="T45" s="1637"/>
      <c r="U45" s="1637"/>
      <c r="V45" s="1637"/>
      <c r="W45" s="1637"/>
      <c r="X45" s="1637"/>
      <c r="Y45" s="1637"/>
      <c r="Z45" s="1637"/>
      <c r="AA45" s="1637"/>
      <c r="AB45" s="1637"/>
      <c r="AC45" s="1637"/>
      <c r="AD45" s="1215"/>
      <c r="AE45" s="1210"/>
      <c r="AF45" s="1637"/>
      <c r="AG45" s="1216"/>
      <c r="AH45" s="667"/>
      <c r="AI45"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45" s="1218" t="b">
        <f>IFERROR(IF(AND(IsSerna,OR(UnitsTbl[[#This Row],[VHHP
Assisted]]&gt;0,UnitsTbl[[#This Row],[HCD Program 5]]&gt;0)),0,IF(AND(IsSerna,$B$4="FWHG",UnitsTbl[[#This Row],[Restricted Income Level]]="Manager"),VLOOKUP(CONCATENATE(County," ",0.6),HCDLoanLimitTbl2[],BH45,FALSE)*UnitsTbl[[#This Row],[Total Units]],IF(UnitsTbl[[#This Row],[Restricted Income Level]]&gt;80%,0,IF(IsSerna,VLOOKUP(CONCATENATE(County," ",UnitsTbl[[#This Row],[Restricted Income Level]]),HCDLoanLimitTbl2[],UnitsTbl[[#This Row],[VLOOKUP Base]],FALSE)*UnitsTbl[[#This Row],[HCD Program2]])))),0)</f>
        <v>0</v>
      </c>
      <c r="AK45" s="1218" t="b">
        <f>IFERROR(IF(AND(IsTod,OR(UnitsTbl[[#This Row],[HCD Program 5]]&gt;0,UnitsTbl[[#This Row],[HCD Program2]]&gt;0,UnitsTbl[[#This Row],[HCD Program4]]&gt;0,UnitsTbl[[#This Row],[VHHP
Assisted]]&gt;0)),0,(IF(AND(IsTod,$B$4="TOD",UnitsTbl[[#This Row],[Restricted Income Level]]="Manager"),VLOOKUP(CONCATENATE(County," ",0.6),HCDLoanLimitTbl[],BH45,FALSE)*UnitsTbl[[#This Row],[Total Units]],IF(UnitsTbl[[#This Row],[Restricted Income Level]]&gt;60%,0,IF(IsTod,VLOOKUP(CONCATENATE(County," ",UnitsTbl[[#This Row],[Restricted Income Level]]),HCDLoanLimitTbl[],UnitsTbl[[#This Row],[VLOOKUP Base]],FALSE)*UnitsTbl[[#This Row],[HCD Program3]]))))),0)</f>
        <v>0</v>
      </c>
      <c r="AL45" s="1218" t="b">
        <f>IFERROR(IF(AND(IsShmhp,OR(UnitsTbl[[#This Row],[HCD Program 5]]&gt;0,UnitsTbl[[#This Row],[HCD Program2]]&gt;0,UnitsTbl[[#This Row],[HCD Program3]]&gt;0,UnitsTbl[[#This Row],[VHHP
Assisted]]&gt;0)),0,(IF(AND(IsShmhp,$B$4="SHMHP",UnitsTbl[[#This Row],[Restricted Income Level]]="Manager"),VLOOKUP(CONCATENATE(County," ",0.6),HCDLoanLimitTbl[],BH45,FALSE)*UnitsTbl[[#This Row],[Total Units]],IF(UnitsTbl[[#This Row],[Restricted Income Level]]&gt;60%,0,IF(IsShmhp,VLOOKUP(CONCATENATE(County," ",UnitsTbl[[#This Row],[Restricted Income Level]]),HCDLoanLimitTbl[],UnitsTbl[[#This Row],[VLOOKUP Base]],FALSE)*UnitsTbl[[#This Row],[HCD Program4]]))))),0)</f>
        <v>0</v>
      </c>
      <c r="AM45" s="1219" t="b">
        <f>IFERROR(IF(AND(IsVhhp,OR(UnitsTbl[[#This Row],[HCD Program 5]]&gt;0,UnitsTbl[[#This Row],[HCD Program2]]&gt;0,UnitsTbl[[#This Row],[HCD Program3]]&gt;0,UnitsTbl[[#This Row],[HCD Program4]]&gt;0)),0,(IF(AND(IsVhhp,$B$4="VHHP",UnitsTbl[[#This Row],[Restricted Income Level]]="Manager"),VLOOKUP(CONCATENATE(County," ",0.6),HCDLoanLimitTbl2[],BH45,FALSE)*UnitsTbl[[#This Row],[Total Units]],IF(UnitsTbl[[#This Row],[Restricted Income Level]]&gt;60%,0,IF(IsVhhp,VLOOKUP(CONCATENATE(County," ",UnitsTbl[[#This Row],[Restricted Income Level]]),HCDLoanLimitTbl2[],UnitsTbl[[#This Row],[VLOOKUP Base]],FALSE)*UnitsTbl[[#This Row],[VHHP
Assisted]]))))),0)</f>
        <v>0</v>
      </c>
      <c r="AN45"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",0.6),HCDLoanLimitTbl[],BH45,FALSE)*UnitsTbl[[#This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45" s="1221"/>
      <c r="AP45"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45" s="1223"/>
      <c r="AR45" s="1224"/>
      <c r="AS45" s="1225" t="str">
        <f>IFERROR(IF(UnitsTbl[[#This Row],[Max Gross Rent]]=0,"",UnitsTbl[[#This Row],[Max Gross Rent]]-UnitsTbl[[#This Row],[Less Utility Allowance Schedule 1]]-UnitsTbl[[#This Row],[Less Utility Allowance Schedule 2]]),"")</f>
        <v/>
      </c>
      <c r="AT45" s="1226"/>
      <c r="AU45" s="1225">
        <f>IF(UnitsTbl[[#This Row],[Proposed Net Rent ]]="",0,UnitsTbl[[#This Row],[Total Units]]*UnitsTbl[[#This Row],[Proposed Net Rent ]])</f>
        <v>0</v>
      </c>
      <c r="AV45" s="1227" t="str">
        <f>IF(UnitsTbl[[#This Row],[Proposed Net Rent ]]&gt;0,0,IFERROR(UnitsTbl[[#This Row],[Total Units]]*UnitsTbl[[#This Row],[Maximum Net Rent]],""))</f>
        <v/>
      </c>
      <c r="AW45" s="1228"/>
      <c r="AX45"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45" s="1637"/>
      <c r="AZ45" s="1637"/>
      <c r="BA45" s="1229" t="str">
        <f>IFERROR(IF(UnitsTbl[[#This Row],[Total Units]]="","",UnitsTbl[[#This Row],[Subsidy Payment Over  Gross Rent]]*UnitsTbl[[#This Row],[Total Units]])*NOT($BA$7=""),"")</f>
        <v/>
      </c>
      <c r="BB45" s="1228"/>
      <c r="BC45"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45" s="1230"/>
      <c r="BE45" s="1637"/>
      <c r="BF45" s="1227" t="str">
        <f>IFERROR(IF(UnitsTbl[[#This Row],[Total Units]]="","",UnitsTbl[[#This Row],[Subsidy Payment Over Gross Rent2]]*UnitsTbl[[#This Row],[Total Units]])*NOT($BF$7=""),"")</f>
        <v/>
      </c>
      <c r="BG45" s="1231">
        <f>IF(OR(UnitsTbl[[#This Row],[Special Needs?]]="Yes",UnitsTbl[[#This Row],[Special Needs2?]]="Yes"), 1,0)</f>
        <v>0</v>
      </c>
      <c r="BH45"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45"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45" s="969">
        <f>MIN(SUM(UnitsTbl[[#This Row],[Disability Homelessness]],UnitsTbl[[#This Row],[Chronic Homelessness]],UnitsTbl[[#This Row],[Other Homelessness]]),UnitsTbl[[#This Row],[Total restricted units]])</f>
        <v>0</v>
      </c>
      <c r="BK45" s="969">
        <f>(UnitsTbl[[#This Row],[Restricted Income Level]]&lt;=30%)*UnitsTbl[[#This Row],[Total restricted units]]</f>
        <v>0</v>
      </c>
      <c r="BL45" s="969">
        <f t="shared" si="8"/>
        <v>0</v>
      </c>
      <c r="BM45" s="307">
        <f>UnitsTbl[[#This Row],[Units being subsidized]]*SUM(UnitsTbl[[#This Row],[Less Utility Allowance Schedule 1]],UnitsTbl[[#This Row],[Less Utility Allowance Schedule 2]])</f>
        <v>0</v>
      </c>
      <c r="BN45" s="307">
        <f>UnitsTbl[[#This Row],[Units being subsidized2]]*SUM(UnitsTbl[[#This Row],[Less Utility Allowance Schedule 1]],UnitsTbl[[#This Row],[Less Utility Allowance Schedule 2]])</f>
        <v>0</v>
      </c>
      <c r="BO45" s="307"/>
      <c r="BP45" s="1235" t="str">
        <f>CONCATENATE(County," ",HCDLoanLimitTbl2[[#This Row],[AMI]])</f>
        <v xml:space="preserve"> 0.15</v>
      </c>
      <c r="BQ45" s="1236">
        <v>0.15</v>
      </c>
      <c r="BR45" s="1643" t="e">
        <f t="shared" si="30"/>
        <v>#VALUE!</v>
      </c>
      <c r="BS45" s="1643" t="e">
        <f t="shared" si="26"/>
        <v>#VALUE!</v>
      </c>
      <c r="BT45" s="1643" t="e">
        <f t="shared" si="27"/>
        <v>#VALUE!</v>
      </c>
      <c r="BU45" s="1643" t="e">
        <f t="shared" si="28"/>
        <v>#VALUE!</v>
      </c>
      <c r="BV45" s="1233" t="e">
        <f t="shared" si="29"/>
        <v>#VALUE!</v>
      </c>
      <c r="BX45" s="1129" t="s">
        <v>65</v>
      </c>
      <c r="BY45" s="811">
        <v>61800</v>
      </c>
      <c r="BZ45" s="1744">
        <v>70600</v>
      </c>
      <c r="CA45" s="1744">
        <v>79450</v>
      </c>
      <c r="CB45" s="1744">
        <v>88250</v>
      </c>
      <c r="CC45" s="1744">
        <v>95350</v>
      </c>
      <c r="CD45" s="1744">
        <v>102400</v>
      </c>
      <c r="CE45" s="1744">
        <v>109450</v>
      </c>
      <c r="CF45" s="1135">
        <v>116500</v>
      </c>
      <c r="CH45" s="386"/>
      <c r="CI45" s="971" t="str">
        <f>CONCATENATE(County,0.9)</f>
        <v>0.9</v>
      </c>
      <c r="CJ45" s="1126" t="e">
        <f t="shared" si="36"/>
        <v>#VALUE!</v>
      </c>
      <c r="CK45" s="1126" t="e">
        <f t="shared" si="31"/>
        <v>#VALUE!</v>
      </c>
      <c r="CL45" s="1126" t="e">
        <f t="shared" si="32"/>
        <v>#VALUE!</v>
      </c>
      <c r="CM45" s="1126" t="e">
        <f t="shared" si="33"/>
        <v>#VALUE!</v>
      </c>
      <c r="CN45" s="1126" t="e">
        <f t="shared" si="34"/>
        <v>#VALUE!</v>
      </c>
      <c r="CO45" s="1240" t="e">
        <f t="shared" si="35"/>
        <v>#VALUE!</v>
      </c>
      <c r="CP45" s="1681"/>
      <c r="CQ45" s="1682"/>
      <c r="CR45" s="386" t="b">
        <f>OR(AND(OR($BA$7="USDA",$BA$7="Other Federal"),UnitsTbl[[#This Row],[Gross Monthly Contract Rent]]&gt;0),AND(OR($BF$7="USDA",$BF$7="Other Federal"),UnitsTbl[[#This Row],[Net Monthly Contract Rent2]]&gt;0))</f>
        <v>0</v>
      </c>
      <c r="CS45" s="223">
        <f>IF(UnitsTbl[[#This Row],[Restricted Income Level]]="Manager",0,UnitsTbl[[#This Row],[Total Units]]*INDEX(SizeFactors,MATCH(MIN(UnitsTbl[[#This Row],[Number of Bedrooms]],4),Sizes,0)))</f>
        <v>0</v>
      </c>
      <c r="CT45" s="550">
        <f>IF(UnitsTbl[[#This Row],[Restricted Income Level]]="Manager",0,UnitsTbl[[#This Row],[Total Units]]-SUM(UnitsTbl[[#This Row],[Units being subsidized]]*($BA$7&lt;&gt;"Not Federal"),UnitsTbl[[#This Row],[Units being subsidized2]]*($BF$7&lt;&gt;"Not Federal")))</f>
        <v>0</v>
      </c>
      <c r="CU45" s="309">
        <f>IFERROR(IF(AND($CU$8,CR45=FALSE),40%,IF(UnitsTbl[[#This Row],[Restricted Income Level]]&lt;30%,30%,UnitsTbl[[#This Row],[Restricted Income Level]])),0)</f>
        <v>0.4</v>
      </c>
      <c r="CV45" s="1682"/>
      <c r="CW45" s="555">
        <f t="shared" si="9"/>
        <v>0.4</v>
      </c>
      <c r="CX45" s="553">
        <f>IF(UnitsTbl[[#This Row],[Rent Limit Calculation Formula]]="TCAC",VLOOKUP(County&amp;CW45,TCACrentTbl[],UnitsTbl[[#This Row],[Number of Bedrooms]]+2,FALSE)-SUM(UnitsTbl[[#This Row],[Less Utility Allowance Schedule 2]],UnitsTbl[[#This Row],[Less Utility Allowance Schedule 1]]),IF(UnitsTbl[[#This Row],[Rent Limit Calculation Formula]]="Other",VLOOKUP(County&amp;CW45,OtherRentLimitTbl[],UnitsTbl[[#This Row],[Number of Bedrooms]]+3,FALSE)-SUM(UnitsTbl[[#This Row],[Less Utility Allowance Schedule 2]],UnitsTbl[[#This Row],[Less Utility Allowance Schedule 1]]),0))</f>
        <v>0</v>
      </c>
      <c r="CY45" s="363">
        <f>MAX(UnitsTbl[[#This Row],[Gross Monthly Contract Rent]],UnitsTbl[[#This Row],[Net Monthly Contract Rent2]])</f>
        <v>0</v>
      </c>
      <c r="CZ45" s="553">
        <f>IF(UnitsTbl[[#This Row],[Number of Bedrooms]]="",0,VLOOKUP(County&amp;"0.6",TCACrentTbl[],UnitsTbl[[#This Row],[Number of Bedrooms]]+2,FALSE))-SUM(UnitsTbl[[#This Row],[Less Utility Allowance Schedule 2]],UnitsTbl[[#This Row],[Less Utility Allowance Schedule 1]])</f>
        <v>0</v>
      </c>
      <c r="DA45" s="78" t="b">
        <f>OR(AND($BA$7="USDA",UnitsTbl[[#This Row],[Gross Monthly Contract Rent]]&gt;0),AND($BF$7="USDA",UnitsTbl[[#This Row],[Net Monthly Contract Rent2]]&gt;0))</f>
        <v>0</v>
      </c>
      <c r="DB45" s="363">
        <f t="shared" si="10"/>
        <v>0</v>
      </c>
      <c r="DC45" s="363">
        <f t="shared" si="11"/>
        <v>0</v>
      </c>
      <c r="DD45" s="364">
        <f>UnitsTbl[[#This Row],[Total Units]]*DC45</f>
        <v>0</v>
      </c>
    </row>
    <row r="46" spans="1:108" ht="18" customHeight="1">
      <c r="A46" s="693"/>
      <c r="B46" s="1210"/>
      <c r="C46" s="1211"/>
      <c r="D46" s="1637"/>
      <c r="E46" s="1212"/>
      <c r="F46" s="1637"/>
      <c r="G46" s="1637"/>
      <c r="H46" s="1637"/>
      <c r="I46" s="1213"/>
      <c r="J46" s="1213"/>
      <c r="K46" s="1637"/>
      <c r="L46" s="1214"/>
      <c r="M46" s="1637"/>
      <c r="N46" s="1637"/>
      <c r="O46" s="1637"/>
      <c r="P46" s="1637"/>
      <c r="Q46" s="1637"/>
      <c r="R46" s="1637"/>
      <c r="S46" s="1637"/>
      <c r="T46" s="1637"/>
      <c r="U46" s="1637"/>
      <c r="V46" s="1637"/>
      <c r="W46" s="1637"/>
      <c r="X46" s="1637"/>
      <c r="Y46" s="1637"/>
      <c r="Z46" s="1637"/>
      <c r="AA46" s="1637"/>
      <c r="AB46" s="1637"/>
      <c r="AC46" s="1637"/>
      <c r="AD46" s="1215"/>
      <c r="AE46" s="1210"/>
      <c r="AF46" s="1637"/>
      <c r="AG46" s="1216"/>
      <c r="AH46" s="667"/>
      <c r="AI46"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46" s="1218" t="b">
        <f>IFERROR(IF(AND(IsSerna,OR(UnitsTbl[[#This Row],[VHHP
Assisted]]&gt;0,UnitsTbl[[#This Row],[HCD Program 5]]&gt;0)),0,IF(AND(IsSerna,$B$4="FWHG",UnitsTbl[[#This Row],[Restricted Income Level]]="Manager"),VLOOKUP(CONCATENATE(County," ",0.6),HCDLoanLimitTbl2[],BH46,FALSE)*UnitsTbl[[#This Row],[Total Units]],IF(UnitsTbl[[#This Row],[Restricted Income Level]]&gt;80%,0,IF(IsSerna,VLOOKUP(CONCATENATE(County," ",UnitsTbl[[#This Row],[Restricted Income Level]]),HCDLoanLimitTbl2[],UnitsTbl[[#This Row],[VLOOKUP Base]],FALSE)*UnitsTbl[[#This Row],[HCD Program2]])))),0)</f>
        <v>0</v>
      </c>
      <c r="AK46" s="1218" t="b">
        <f>IFERROR(IF(AND(IsTod,OR(UnitsTbl[[#This Row],[HCD Program 5]]&gt;0,UnitsTbl[[#This Row],[HCD Program2]]&gt;0,UnitsTbl[[#This Row],[HCD Program4]]&gt;0,UnitsTbl[[#This Row],[VHHP
Assisted]]&gt;0)),0,(IF(AND(IsTod,$B$4="TOD",UnitsTbl[[#This Row],[Restricted Income Level]]="Manager"),VLOOKUP(CONCATENATE(County," ",0.6),HCDLoanLimitTbl[],BH46,FALSE)*UnitsTbl[[#This Row],[Total Units]],IF(UnitsTbl[[#This Row],[Restricted Income Level]]&gt;60%,0,IF(IsTod,VLOOKUP(CONCATENATE(County," ",UnitsTbl[[#This Row],[Restricted Income Level]]),HCDLoanLimitTbl[],UnitsTbl[[#This Row],[VLOOKUP Base]],FALSE)*UnitsTbl[[#This Row],[HCD Program3]]))))),0)</f>
        <v>0</v>
      </c>
      <c r="AL46" s="1218" t="b">
        <f>IFERROR(IF(AND(IsShmhp,OR(UnitsTbl[[#This Row],[HCD Program 5]]&gt;0,UnitsTbl[[#This Row],[HCD Program2]]&gt;0,UnitsTbl[[#This Row],[HCD Program3]]&gt;0,UnitsTbl[[#This Row],[VHHP
Assisted]]&gt;0)),0,(IF(AND(IsShmhp,$B$4="SHMHP",UnitsTbl[[#This Row],[Restricted Income Level]]="Manager"),VLOOKUP(CONCATENATE(County," ",0.6),HCDLoanLimitTbl[],BH46,FALSE)*UnitsTbl[[#This Row],[Total Units]],IF(UnitsTbl[[#This Row],[Restricted Income Level]]&gt;60%,0,IF(IsShmhp,VLOOKUP(CONCATENATE(County," ",UnitsTbl[[#This Row],[Restricted Income Level]]),HCDLoanLimitTbl[],UnitsTbl[[#This Row],[VLOOKUP Base]],FALSE)*UnitsTbl[[#This Row],[HCD Program4]]))))),0)</f>
        <v>0</v>
      </c>
      <c r="AM46" s="1219" t="b">
        <f>IFERROR(IF(AND(IsVhhp,OR(UnitsTbl[[#This Row],[HCD Program 5]]&gt;0,UnitsTbl[[#This Row],[HCD Program2]]&gt;0,UnitsTbl[[#This Row],[HCD Program3]]&gt;0,UnitsTbl[[#This Row],[HCD Program4]]&gt;0)),0,(IF(AND(IsVhhp,$B$4="VHHP",UnitsTbl[[#This Row],[Restricted Income Level]]="Manager"),VLOOKUP(CONCATENATE(County," ",0.6),HCDLoanLimitTbl2[],BH46,FALSE)*UnitsTbl[[#This Row],[Total Units]],IF(UnitsTbl[[#This Row],[Restricted Income Level]]&gt;60%,0,IF(IsVhhp,VLOOKUP(CONCATENATE(County," ",UnitsTbl[[#This Row],[Restricted Income Level]]),HCDLoanLimitTbl2[],UnitsTbl[[#This Row],[VLOOKUP Base]],FALSE)*UnitsTbl[[#This Row],[VHHP
Assisted]]))))),0)</f>
        <v>0</v>
      </c>
      <c r="AN46"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",0.6),HCDLoanLimitTbl[],BH46,FALSE)*UnitsTbl[[#This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46" s="1221"/>
      <c r="AP46"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46" s="1223"/>
      <c r="AR46" s="1224"/>
      <c r="AS46" s="1225" t="str">
        <f>IFERROR(IF(UnitsTbl[[#This Row],[Max Gross Rent]]=0,"",UnitsTbl[[#This Row],[Max Gross Rent]]-UnitsTbl[[#This Row],[Less Utility Allowance Schedule 1]]-UnitsTbl[[#This Row],[Less Utility Allowance Schedule 2]]),"")</f>
        <v/>
      </c>
      <c r="AT46" s="1226"/>
      <c r="AU46" s="1225">
        <f>IF(UnitsTbl[[#This Row],[Proposed Net Rent ]]="",0,UnitsTbl[[#This Row],[Total Units]]*UnitsTbl[[#This Row],[Proposed Net Rent ]])</f>
        <v>0</v>
      </c>
      <c r="AV46" s="1227" t="str">
        <f>IF(UnitsTbl[[#This Row],[Proposed Net Rent ]]&gt;0,0,IFERROR(UnitsTbl[[#This Row],[Total Units]]*UnitsTbl[[#This Row],[Maximum Net Rent]],""))</f>
        <v/>
      </c>
      <c r="AW46" s="1228"/>
      <c r="AX46"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46" s="1637"/>
      <c r="AZ46" s="1637"/>
      <c r="BA46" s="1229" t="str">
        <f>IFERROR(IF(UnitsTbl[[#This Row],[Total Units]]="","",UnitsTbl[[#This Row],[Subsidy Payment Over  Gross Rent]]*UnitsTbl[[#This Row],[Total Units]])*NOT($BA$7=""),"")</f>
        <v/>
      </c>
      <c r="BB46" s="1228"/>
      <c r="BC46"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46" s="1230"/>
      <c r="BE46" s="1637"/>
      <c r="BF46" s="1227" t="str">
        <f>IFERROR(IF(UnitsTbl[[#This Row],[Total Units]]="","",UnitsTbl[[#This Row],[Subsidy Payment Over Gross Rent2]]*UnitsTbl[[#This Row],[Total Units]])*NOT($BF$7=""),"")</f>
        <v/>
      </c>
      <c r="BG46" s="1231">
        <f>IF(OR(UnitsTbl[[#This Row],[Special Needs?]]="Yes",UnitsTbl[[#This Row],[Special Needs2?]]="Yes"), 1,0)</f>
        <v>0</v>
      </c>
      <c r="BH46"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46" s="976"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46" s="969">
        <f>MIN(SUM(UnitsTbl[[#This Row],[Disability Homelessness]],UnitsTbl[[#This Row],[Chronic Homelessness]],UnitsTbl[[#This Row],[Other Homelessness]]),UnitsTbl[[#This Row],[Total restricted units]])</f>
        <v>0</v>
      </c>
      <c r="BK46" s="969">
        <f>(UnitsTbl[[#This Row],[Restricted Income Level]]&lt;=30%)*UnitsTbl[[#This Row],[Total restricted units]]</f>
        <v>0</v>
      </c>
      <c r="BL46" s="969">
        <f t="shared" si="8"/>
        <v>0</v>
      </c>
      <c r="BM46" s="307">
        <f>UnitsTbl[[#This Row],[Units being subsidized]]*SUM(UnitsTbl[[#This Row],[Less Utility Allowance Schedule 1]],UnitsTbl[[#This Row],[Less Utility Allowance Schedule 2]])</f>
        <v>0</v>
      </c>
      <c r="BN46" s="307">
        <f>UnitsTbl[[#This Row],[Units being subsidized2]]*SUM(UnitsTbl[[#This Row],[Less Utility Allowance Schedule 1]],UnitsTbl[[#This Row],[Less Utility Allowance Schedule 2]])</f>
        <v>0</v>
      </c>
      <c r="BO46" s="307"/>
      <c r="BP46" s="1682"/>
      <c r="BQ46" s="410"/>
      <c r="BR46" s="407"/>
      <c r="BS46" s="407"/>
      <c r="BT46" s="407"/>
      <c r="BU46" s="407"/>
      <c r="BV46" s="407"/>
      <c r="BX46" s="1129" t="s">
        <v>150</v>
      </c>
      <c r="BY46" s="812">
        <v>70350</v>
      </c>
      <c r="BZ46" s="813">
        <v>80400</v>
      </c>
      <c r="CA46" s="813">
        <v>90450</v>
      </c>
      <c r="CB46" s="813">
        <v>100450</v>
      </c>
      <c r="CC46" s="813">
        <v>108500</v>
      </c>
      <c r="CD46" s="813">
        <v>116550</v>
      </c>
      <c r="CE46" s="813">
        <v>124600</v>
      </c>
      <c r="CF46" s="1147">
        <v>132600</v>
      </c>
      <c r="CH46" s="386"/>
      <c r="CI46" s="971" t="str">
        <f>CONCATENATE(County,0.85)</f>
        <v>0.85</v>
      </c>
      <c r="CJ46" s="1126" t="e">
        <f t="shared" si="36"/>
        <v>#VALUE!</v>
      </c>
      <c r="CK46" s="1126" t="e">
        <f t="shared" si="31"/>
        <v>#VALUE!</v>
      </c>
      <c r="CL46" s="1126" t="e">
        <f t="shared" si="32"/>
        <v>#VALUE!</v>
      </c>
      <c r="CM46" s="1126" t="e">
        <f t="shared" si="33"/>
        <v>#VALUE!</v>
      </c>
      <c r="CN46" s="1126" t="e">
        <f t="shared" si="34"/>
        <v>#VALUE!</v>
      </c>
      <c r="CO46" s="1240" t="e">
        <f t="shared" si="35"/>
        <v>#VALUE!</v>
      </c>
      <c r="CP46" s="1681"/>
      <c r="CQ46" s="1682"/>
      <c r="CR46" s="386" t="b">
        <f>OR(AND(OR($BA$7="USDA",$BA$7="Other Federal"),UnitsTbl[[#This Row],[Gross Monthly Contract Rent]]&gt;0),AND(OR($BF$7="USDA",$BF$7="Other Federal"),UnitsTbl[[#This Row],[Net Monthly Contract Rent2]]&gt;0))</f>
        <v>0</v>
      </c>
      <c r="CS46" s="223">
        <f>IF(UnitsTbl[[#This Row],[Restricted Income Level]]="Manager",0,UnitsTbl[[#This Row],[Total Units]]*INDEX(SizeFactors,MATCH(MIN(UnitsTbl[[#This Row],[Number of Bedrooms]],4),Sizes,0)))</f>
        <v>0</v>
      </c>
      <c r="CT46" s="550">
        <f>IF(UnitsTbl[[#This Row],[Restricted Income Level]]="Manager",0,UnitsTbl[[#This Row],[Total Units]]-SUM(UnitsTbl[[#This Row],[Units being subsidized]]*($BA$7&lt;&gt;"Not Federal"),UnitsTbl[[#This Row],[Units being subsidized2]]*($BF$7&lt;&gt;"Not Federal")))</f>
        <v>0</v>
      </c>
      <c r="CU46" s="309">
        <f>IFERROR(IF(AND($CU$8,CR46=FALSE),40%,IF(UnitsTbl[[#This Row],[Restricted Income Level]]&lt;30%,30%,UnitsTbl[[#This Row],[Restricted Income Level]])),0)</f>
        <v>0.4</v>
      </c>
      <c r="CV46" s="1682"/>
      <c r="CW46" s="555">
        <f t="shared" si="9"/>
        <v>0.4</v>
      </c>
      <c r="CX46" s="553">
        <f>IF(UnitsTbl[[#This Row],[Rent Limit Calculation Formula]]="TCAC",VLOOKUP(County&amp;CW46,TCACrentTbl[],UnitsTbl[[#This Row],[Number of Bedrooms]]+2,FALSE)-SUM(UnitsTbl[[#This Row],[Less Utility Allowance Schedule 2]],UnitsTbl[[#This Row],[Less Utility Allowance Schedule 1]]),IF(UnitsTbl[[#This Row],[Rent Limit Calculation Formula]]="Other",VLOOKUP(County&amp;CW46,OtherRentLimitTbl[],UnitsTbl[[#This Row],[Number of Bedrooms]]+3,FALSE)-SUM(UnitsTbl[[#This Row],[Less Utility Allowance Schedule 2]],UnitsTbl[[#This Row],[Less Utility Allowance Schedule 1]]),0))</f>
        <v>0</v>
      </c>
      <c r="CY46" s="363">
        <f>MAX(UnitsTbl[[#This Row],[Gross Monthly Contract Rent]],UnitsTbl[[#This Row],[Net Monthly Contract Rent2]])</f>
        <v>0</v>
      </c>
      <c r="CZ46" s="553">
        <f>IF(UnitsTbl[[#This Row],[Number of Bedrooms]]="",0,VLOOKUP(County&amp;"0.6",TCACrentTbl[],UnitsTbl[[#This Row],[Number of Bedrooms]]+2,FALSE))-SUM(UnitsTbl[[#This Row],[Less Utility Allowance Schedule 2]],UnitsTbl[[#This Row],[Less Utility Allowance Schedule 1]])</f>
        <v>0</v>
      </c>
      <c r="DA46" s="78" t="b">
        <f>OR(AND($BA$7="USDA",UnitsTbl[[#This Row],[Gross Monthly Contract Rent]]&gt;0),AND($BF$7="USDA",UnitsTbl[[#This Row],[Net Monthly Contract Rent2]]&gt;0))</f>
        <v>0</v>
      </c>
      <c r="DB46" s="363">
        <f t="shared" si="10"/>
        <v>0</v>
      </c>
      <c r="DC46" s="363">
        <f t="shared" si="11"/>
        <v>0</v>
      </c>
      <c r="DD46" s="364">
        <f>UnitsTbl[[#This Row],[Total Units]]*DC46</f>
        <v>0</v>
      </c>
    </row>
    <row r="47" spans="1:108" ht="18" customHeight="1">
      <c r="A47" s="693"/>
      <c r="B47" s="1210"/>
      <c r="C47" s="1211"/>
      <c r="D47" s="1637"/>
      <c r="E47" s="1212"/>
      <c r="F47" s="1637"/>
      <c r="G47" s="1637"/>
      <c r="H47" s="1637"/>
      <c r="I47" s="1213"/>
      <c r="J47" s="1213"/>
      <c r="K47" s="1637"/>
      <c r="L47" s="1214"/>
      <c r="M47" s="1637"/>
      <c r="N47" s="1637"/>
      <c r="O47" s="1637"/>
      <c r="P47" s="1637"/>
      <c r="Q47" s="1637"/>
      <c r="R47" s="1637"/>
      <c r="S47" s="1637"/>
      <c r="T47" s="1637"/>
      <c r="U47" s="1637"/>
      <c r="V47" s="1637"/>
      <c r="W47" s="1637"/>
      <c r="X47" s="1637"/>
      <c r="Y47" s="1637"/>
      <c r="Z47" s="1637"/>
      <c r="AA47" s="1637"/>
      <c r="AB47" s="1637"/>
      <c r="AC47" s="1637"/>
      <c r="AD47" s="1215"/>
      <c r="AE47" s="1210"/>
      <c r="AF47" s="1637"/>
      <c r="AG47" s="1216"/>
      <c r="AH47" s="667"/>
      <c r="AI47"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47" s="1218" t="b">
        <f>IFERROR(IF(AND(IsSerna,OR(UnitsTbl[[#This Row],[VHHP
Assisted]]&gt;0,UnitsTbl[[#This Row],[HCD Program 5]]&gt;0)),0,IF(AND(IsSerna,$B$4="FWHG",UnitsTbl[[#This Row],[Restricted Income Level]]="Manager"),VLOOKUP(CONCATENATE(County," ",0.6),HCDLoanLimitTbl2[],BH47,FALSE)*UnitsTbl[[#This Row],[Total Units]],IF(UnitsTbl[[#This Row],[Restricted Income Level]]&gt;80%,0,IF(IsSerna,VLOOKUP(CONCATENATE(County," ",UnitsTbl[[#This Row],[Restricted Income Level]]),HCDLoanLimitTbl2[],UnitsTbl[[#This Row],[VLOOKUP Base]],FALSE)*UnitsTbl[[#This Row],[HCD Program2]])))),0)</f>
        <v>0</v>
      </c>
      <c r="AK47" s="1218" t="b">
        <f>IFERROR(IF(AND(IsTod,OR(UnitsTbl[[#This Row],[HCD Program 5]]&gt;0,UnitsTbl[[#This Row],[HCD Program2]]&gt;0,UnitsTbl[[#This Row],[HCD Program4]]&gt;0,UnitsTbl[[#This Row],[VHHP
Assisted]]&gt;0)),0,(IF(AND(IsTod,$B$4="TOD",UnitsTbl[[#This Row],[Restricted Income Level]]="Manager"),VLOOKUP(CONCATENATE(County," ",0.6),HCDLoanLimitTbl[],BH47,FALSE)*UnitsTbl[[#This Row],[Total Units]],IF(UnitsTbl[[#This Row],[Restricted Income Level]]&gt;60%,0,IF(IsTod,VLOOKUP(CONCATENATE(County," ",UnitsTbl[[#This Row],[Restricted Income Level]]),HCDLoanLimitTbl[],UnitsTbl[[#This Row],[VLOOKUP Base]],FALSE)*UnitsTbl[[#This Row],[HCD Program3]]))))),0)</f>
        <v>0</v>
      </c>
      <c r="AL47" s="1218" t="b">
        <f>IFERROR(IF(AND(IsShmhp,OR(UnitsTbl[[#This Row],[HCD Program 5]]&gt;0,UnitsTbl[[#This Row],[HCD Program2]]&gt;0,UnitsTbl[[#This Row],[HCD Program3]]&gt;0,UnitsTbl[[#This Row],[VHHP
Assisted]]&gt;0)),0,(IF(AND(IsShmhp,$B$4="SHMHP",UnitsTbl[[#This Row],[Restricted Income Level]]="Manager"),VLOOKUP(CONCATENATE(County," ",0.6),HCDLoanLimitTbl[],BH47,FALSE)*UnitsTbl[[#This Row],[Total Units]],IF(UnitsTbl[[#This Row],[Restricted Income Level]]&gt;60%,0,IF(IsShmhp,VLOOKUP(CONCATENATE(County," ",UnitsTbl[[#This Row],[Restricted Income Level]]),HCDLoanLimitTbl[],UnitsTbl[[#This Row],[VLOOKUP Base]],FALSE)*UnitsTbl[[#This Row],[HCD Program4]]))))),0)</f>
        <v>0</v>
      </c>
      <c r="AM47" s="1219" t="b">
        <f>IFERROR(IF(AND(IsVhhp,OR(UnitsTbl[[#This Row],[HCD Program 5]]&gt;0,UnitsTbl[[#This Row],[HCD Program2]]&gt;0,UnitsTbl[[#This Row],[HCD Program3]]&gt;0,UnitsTbl[[#This Row],[HCD Program4]]&gt;0)),0,(IF(AND(IsVhhp,$B$4="VHHP",UnitsTbl[[#This Row],[Restricted Income Level]]="Manager"),VLOOKUP(CONCATENATE(County," ",0.6),HCDLoanLimitTbl2[],BH47,FALSE)*UnitsTbl[[#This Row],[Total Units]],IF(UnitsTbl[[#This Row],[Restricted Income Level]]&gt;60%,0,IF(IsVhhp,VLOOKUP(CONCATENATE(County," ",UnitsTbl[[#This Row],[Restricted Income Level]]),HCDLoanLimitTbl2[],UnitsTbl[[#This Row],[VLOOKUP Base]],FALSE)*UnitsTbl[[#This Row],[VHHP
Assisted]]))))),0)</f>
        <v>0</v>
      </c>
      <c r="AN47"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",0.6),HCDLoanLimitTbl[],BH47,FALSE)*UnitsTbl[[#This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47" s="1221"/>
      <c r="AP47"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47" s="1223"/>
      <c r="AR47" s="1224"/>
      <c r="AS47" s="1225" t="str">
        <f>IFERROR(IF(UnitsTbl[[#This Row],[Max Gross Rent]]=0,"",UnitsTbl[[#This Row],[Max Gross Rent]]-UnitsTbl[[#This Row],[Less Utility Allowance Schedule 1]]-UnitsTbl[[#This Row],[Less Utility Allowance Schedule 2]]),"")</f>
        <v/>
      </c>
      <c r="AT47" s="1226"/>
      <c r="AU47" s="1225">
        <f>IF(UnitsTbl[[#This Row],[Proposed Net Rent ]]="",0,UnitsTbl[[#This Row],[Total Units]]*UnitsTbl[[#This Row],[Proposed Net Rent ]])</f>
        <v>0</v>
      </c>
      <c r="AV47" s="1227" t="str">
        <f>IF(UnitsTbl[[#This Row],[Proposed Net Rent ]]&gt;0,0,IFERROR(UnitsTbl[[#This Row],[Total Units]]*UnitsTbl[[#This Row],[Maximum Net Rent]],""))</f>
        <v/>
      </c>
      <c r="AW47" s="1228"/>
      <c r="AX47"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47" s="1637"/>
      <c r="AZ47" s="1637"/>
      <c r="BA47" s="1229" t="str">
        <f>IFERROR(IF(UnitsTbl[[#This Row],[Total Units]]="","",UnitsTbl[[#This Row],[Subsidy Payment Over  Gross Rent]]*UnitsTbl[[#This Row],[Total Units]])*NOT($BA$7=""),"")</f>
        <v/>
      </c>
      <c r="BB47" s="1228"/>
      <c r="BC47"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47" s="1230"/>
      <c r="BE47" s="1637"/>
      <c r="BF47" s="1227" t="str">
        <f>IFERROR(IF(UnitsTbl[[#This Row],[Total Units]]="","",UnitsTbl[[#This Row],[Subsidy Payment Over Gross Rent2]]*UnitsTbl[[#This Row],[Total Units]])*NOT($BF$7=""),"")</f>
        <v/>
      </c>
      <c r="BG47" s="1231">
        <f>IF(OR(UnitsTbl[[#This Row],[Special Needs?]]="Yes",UnitsTbl[[#This Row],[Special Needs2?]]="Yes"), 1,0)</f>
        <v>0</v>
      </c>
      <c r="BH47"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47"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47" s="969">
        <f>MIN(SUM(UnitsTbl[[#This Row],[Disability Homelessness]],UnitsTbl[[#This Row],[Chronic Homelessness]],UnitsTbl[[#This Row],[Other Homelessness]]),UnitsTbl[[#This Row],[Total restricted units]])</f>
        <v>0</v>
      </c>
      <c r="BK47" s="969">
        <f>(UnitsTbl[[#This Row],[Restricted Income Level]]&lt;=30%)*UnitsTbl[[#This Row],[Total restricted units]]</f>
        <v>0</v>
      </c>
      <c r="BL47" s="969">
        <f t="shared" si="8"/>
        <v>0</v>
      </c>
      <c r="BM47" s="307">
        <f>UnitsTbl[[#This Row],[Units being subsidized]]*SUM(UnitsTbl[[#This Row],[Less Utility Allowance Schedule 1]],UnitsTbl[[#This Row],[Less Utility Allowance Schedule 2]])</f>
        <v>0</v>
      </c>
      <c r="BN47" s="307">
        <f>UnitsTbl[[#This Row],[Units being subsidized2]]*SUM(UnitsTbl[[#This Row],[Less Utility Allowance Schedule 1]],UnitsTbl[[#This Row],[Less Utility Allowance Schedule 2]])</f>
        <v>0</v>
      </c>
      <c r="BO47" s="307"/>
      <c r="BP47" s="1682"/>
      <c r="BQ47" s="476"/>
      <c r="BR47" s="408"/>
      <c r="BS47" s="408"/>
      <c r="BT47" s="408"/>
      <c r="BU47" s="408"/>
      <c r="BV47" s="408"/>
      <c r="BX47" s="1129" t="s">
        <v>98</v>
      </c>
      <c r="BY47" s="811">
        <v>69250</v>
      </c>
      <c r="BZ47" s="1744">
        <v>79100</v>
      </c>
      <c r="CA47" s="1744">
        <v>89000</v>
      </c>
      <c r="CB47" s="1744">
        <v>98900</v>
      </c>
      <c r="CC47" s="1744">
        <v>106800</v>
      </c>
      <c r="CD47" s="1744">
        <v>114700</v>
      </c>
      <c r="CE47" s="1744">
        <v>122650</v>
      </c>
      <c r="CF47" s="1135">
        <v>130550</v>
      </c>
      <c r="CH47" s="386"/>
      <c r="CI47" s="971" t="str">
        <f>CONCATENATE(County,0.8)</f>
        <v>0.8</v>
      </c>
      <c r="CJ47" s="1126" t="e">
        <f t="shared" si="36"/>
        <v>#VALUE!</v>
      </c>
      <c r="CK47" s="1126" t="e">
        <f t="shared" si="31"/>
        <v>#VALUE!</v>
      </c>
      <c r="CL47" s="1126" t="e">
        <f t="shared" si="32"/>
        <v>#VALUE!</v>
      </c>
      <c r="CM47" s="1126" t="e">
        <f t="shared" si="33"/>
        <v>#VALUE!</v>
      </c>
      <c r="CN47" s="1126" t="e">
        <f t="shared" si="34"/>
        <v>#VALUE!</v>
      </c>
      <c r="CO47" s="1240" t="e">
        <f t="shared" si="35"/>
        <v>#VALUE!</v>
      </c>
      <c r="CP47" s="1681"/>
      <c r="CQ47" s="1682"/>
      <c r="CR47" s="386" t="b">
        <f>OR(AND(OR($BA$7="USDA",$BA$7="Other Federal"),UnitsTbl[[#This Row],[Gross Monthly Contract Rent]]&gt;0),AND(OR($BF$7="USDA",$BF$7="Other Federal"),UnitsTbl[[#This Row],[Net Monthly Contract Rent2]]&gt;0))</f>
        <v>0</v>
      </c>
      <c r="CS47" s="223">
        <f>IF(UnitsTbl[[#This Row],[Restricted Income Level]]="Manager",0,UnitsTbl[[#This Row],[Total Units]]*INDEX(SizeFactors,MATCH(MIN(UnitsTbl[[#This Row],[Number of Bedrooms]],4),Sizes,0)))</f>
        <v>0</v>
      </c>
      <c r="CT47" s="550">
        <f>IF(UnitsTbl[[#This Row],[Restricted Income Level]]="Manager",0,UnitsTbl[[#This Row],[Total Units]]-SUM(UnitsTbl[[#This Row],[Units being subsidized]]*($BA$7&lt;&gt;"Not Federal"),UnitsTbl[[#This Row],[Units being subsidized2]]*($BF$7&lt;&gt;"Not Federal")))</f>
        <v>0</v>
      </c>
      <c r="CU47" s="309">
        <f>IFERROR(IF(AND($CU$8,CR47=FALSE),40%,IF(UnitsTbl[[#This Row],[Restricted Income Level]]&lt;30%,30%,UnitsTbl[[#This Row],[Restricted Income Level]])),0)</f>
        <v>0.4</v>
      </c>
      <c r="CV47" s="1682"/>
      <c r="CW47" s="555">
        <f t="shared" si="9"/>
        <v>0.4</v>
      </c>
      <c r="CX47" s="553">
        <f>IF(UnitsTbl[[#This Row],[Rent Limit Calculation Formula]]="TCAC",VLOOKUP(County&amp;CW47,TCACrentTbl[],UnitsTbl[[#This Row],[Number of Bedrooms]]+2,FALSE)-SUM(UnitsTbl[[#This Row],[Less Utility Allowance Schedule 2]],UnitsTbl[[#This Row],[Less Utility Allowance Schedule 1]]),IF(UnitsTbl[[#This Row],[Rent Limit Calculation Formula]]="Other",VLOOKUP(County&amp;CW47,OtherRentLimitTbl[],UnitsTbl[[#This Row],[Number of Bedrooms]]+3,FALSE)-SUM(UnitsTbl[[#This Row],[Less Utility Allowance Schedule 2]],UnitsTbl[[#This Row],[Less Utility Allowance Schedule 1]]),0))</f>
        <v>0</v>
      </c>
      <c r="CY47" s="363">
        <f>MAX(UnitsTbl[[#This Row],[Gross Monthly Contract Rent]],UnitsTbl[[#This Row],[Net Monthly Contract Rent2]])</f>
        <v>0</v>
      </c>
      <c r="CZ47" s="553">
        <f>IF(UnitsTbl[[#This Row],[Number of Bedrooms]]="",0,VLOOKUP(County&amp;"0.6",TCACrentTbl[],UnitsTbl[[#This Row],[Number of Bedrooms]]+2,FALSE))-SUM(UnitsTbl[[#This Row],[Less Utility Allowance Schedule 2]],UnitsTbl[[#This Row],[Less Utility Allowance Schedule 1]])</f>
        <v>0</v>
      </c>
      <c r="DA47" s="78" t="b">
        <f>OR(AND($BA$7="USDA",UnitsTbl[[#This Row],[Gross Monthly Contract Rent]]&gt;0),AND($BF$7="USDA",UnitsTbl[[#This Row],[Net Monthly Contract Rent2]]&gt;0))</f>
        <v>0</v>
      </c>
      <c r="DB47" s="363">
        <f t="shared" si="10"/>
        <v>0</v>
      </c>
      <c r="DC47" s="363">
        <f t="shared" si="11"/>
        <v>0</v>
      </c>
      <c r="DD47" s="364">
        <f>UnitsTbl[[#This Row],[Total Units]]*DC47</f>
        <v>0</v>
      </c>
    </row>
    <row r="48" spans="1:108" ht="18" customHeight="1">
      <c r="A48" s="693"/>
      <c r="B48" s="1210"/>
      <c r="C48" s="1211"/>
      <c r="D48" s="1637"/>
      <c r="E48" s="1212"/>
      <c r="F48" s="1637"/>
      <c r="G48" s="1637"/>
      <c r="H48" s="1637"/>
      <c r="I48" s="1213"/>
      <c r="J48" s="1213"/>
      <c r="K48" s="1637"/>
      <c r="L48" s="1214"/>
      <c r="M48" s="1637"/>
      <c r="N48" s="1637"/>
      <c r="O48" s="1637"/>
      <c r="P48" s="1637"/>
      <c r="Q48" s="1637"/>
      <c r="R48" s="1637"/>
      <c r="S48" s="1637"/>
      <c r="T48" s="1637"/>
      <c r="U48" s="1637"/>
      <c r="V48" s="1637"/>
      <c r="W48" s="1637"/>
      <c r="X48" s="1637"/>
      <c r="Y48" s="1637"/>
      <c r="Z48" s="1637"/>
      <c r="AA48" s="1637"/>
      <c r="AB48" s="1637"/>
      <c r="AC48" s="1637"/>
      <c r="AD48" s="1215"/>
      <c r="AE48" s="1210"/>
      <c r="AF48" s="1637"/>
      <c r="AG48" s="1216"/>
      <c r="AH48" s="667"/>
      <c r="AI48"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48" s="1218" t="b">
        <f>IFERROR(IF(AND(IsSerna,OR(UnitsTbl[[#This Row],[VHHP
Assisted]]&gt;0,UnitsTbl[[#This Row],[HCD Program 5]]&gt;0)),0,IF(AND(IsSerna,$B$4="FWHG",UnitsTbl[[#This Row],[Restricted Income Level]]="Manager"),VLOOKUP(CONCATENATE(County," ",0.6),HCDLoanLimitTbl2[],BH48,FALSE)*UnitsTbl[[#This Row],[Total Units]],IF(UnitsTbl[[#This Row],[Restricted Income Level]]&gt;80%,0,IF(IsSerna,VLOOKUP(CONCATENATE(County," ",UnitsTbl[[#This Row],[Restricted Income Level]]),HCDLoanLimitTbl2[],UnitsTbl[[#This Row],[VLOOKUP Base]],FALSE)*UnitsTbl[[#This Row],[HCD Program2]])))),0)</f>
        <v>0</v>
      </c>
      <c r="AK48" s="1218" t="b">
        <f>IFERROR(IF(AND(IsTod,OR(UnitsTbl[[#This Row],[HCD Program 5]]&gt;0,UnitsTbl[[#This Row],[HCD Program2]]&gt;0,UnitsTbl[[#This Row],[HCD Program4]]&gt;0,UnitsTbl[[#This Row],[VHHP
Assisted]]&gt;0)),0,(IF(AND(IsTod,$B$4="TOD",UnitsTbl[[#This Row],[Restricted Income Level]]="Manager"),VLOOKUP(CONCATENATE(County," ",0.6),HCDLoanLimitTbl[],BH48,FALSE)*UnitsTbl[[#This Row],[Total Units]],IF(UnitsTbl[[#This Row],[Restricted Income Level]]&gt;60%,0,IF(IsTod,VLOOKUP(CONCATENATE(County," ",UnitsTbl[[#This Row],[Restricted Income Level]]),HCDLoanLimitTbl[],UnitsTbl[[#This Row],[VLOOKUP Base]],FALSE)*UnitsTbl[[#This Row],[HCD Program3]]))))),0)</f>
        <v>0</v>
      </c>
      <c r="AL48" s="1218" t="b">
        <f>IFERROR(IF(AND(IsShmhp,OR(UnitsTbl[[#This Row],[HCD Program 5]]&gt;0,UnitsTbl[[#This Row],[HCD Program2]]&gt;0,UnitsTbl[[#This Row],[HCD Program3]]&gt;0,UnitsTbl[[#This Row],[VHHP
Assisted]]&gt;0)),0,(IF(AND(IsShmhp,$B$4="SHMHP",UnitsTbl[[#This Row],[Restricted Income Level]]="Manager"),VLOOKUP(CONCATENATE(County," ",0.6),HCDLoanLimitTbl[],BH48,FALSE)*UnitsTbl[[#This Row],[Total Units]],IF(UnitsTbl[[#This Row],[Restricted Income Level]]&gt;60%,0,IF(IsShmhp,VLOOKUP(CONCATENATE(County," ",UnitsTbl[[#This Row],[Restricted Income Level]]),HCDLoanLimitTbl[],UnitsTbl[[#This Row],[VLOOKUP Base]],FALSE)*UnitsTbl[[#This Row],[HCD Program4]]))))),0)</f>
        <v>0</v>
      </c>
      <c r="AM48" s="1219" t="b">
        <f>IFERROR(IF(AND(IsVhhp,OR(UnitsTbl[[#This Row],[HCD Program 5]]&gt;0,UnitsTbl[[#This Row],[HCD Program2]]&gt;0,UnitsTbl[[#This Row],[HCD Program3]]&gt;0,UnitsTbl[[#This Row],[HCD Program4]]&gt;0)),0,(IF(AND(IsVhhp,$B$4="VHHP",UnitsTbl[[#This Row],[Restricted Income Level]]="Manager"),VLOOKUP(CONCATENATE(County," ",0.6),HCDLoanLimitTbl2[],BH48,FALSE)*UnitsTbl[[#This Row],[Total Units]],IF(UnitsTbl[[#This Row],[Restricted Income Level]]&gt;60%,0,IF(IsVhhp,VLOOKUP(CONCATENATE(County," ",UnitsTbl[[#This Row],[Restricted Income Level]]),HCDLoanLimitTbl2[],UnitsTbl[[#This Row],[VLOOKUP Base]],FALSE)*UnitsTbl[[#This Row],[VHHP
Assisted]]))))),0)</f>
        <v>0</v>
      </c>
      <c r="AN48"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",0.6),HCDLoanLimitTbl[],BH48,FALSE)*UnitsTbl[[#This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48" s="1221"/>
      <c r="AP48"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48" s="1223"/>
      <c r="AR48" s="1224"/>
      <c r="AS48" s="1225" t="str">
        <f>IFERROR(IF(UnitsTbl[[#This Row],[Max Gross Rent]]=0,"",UnitsTbl[[#This Row],[Max Gross Rent]]-UnitsTbl[[#This Row],[Less Utility Allowance Schedule 1]]-UnitsTbl[[#This Row],[Less Utility Allowance Schedule 2]]),"")</f>
        <v/>
      </c>
      <c r="AT48" s="1226"/>
      <c r="AU48" s="1225">
        <f>IF(UnitsTbl[[#This Row],[Proposed Net Rent ]]="",0,UnitsTbl[[#This Row],[Total Units]]*UnitsTbl[[#This Row],[Proposed Net Rent ]])</f>
        <v>0</v>
      </c>
      <c r="AV48" s="1227" t="str">
        <f>IF(UnitsTbl[[#This Row],[Proposed Net Rent ]]&gt;0,0,IFERROR(UnitsTbl[[#This Row],[Total Units]]*UnitsTbl[[#This Row],[Maximum Net Rent]],""))</f>
        <v/>
      </c>
      <c r="AW48" s="1228"/>
      <c r="AX48"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48" s="1637"/>
      <c r="AZ48" s="1637"/>
      <c r="BA48" s="1229" t="str">
        <f>IFERROR(IF(UnitsTbl[[#This Row],[Total Units]]="","",UnitsTbl[[#This Row],[Subsidy Payment Over  Gross Rent]]*UnitsTbl[[#This Row],[Total Units]])*NOT($BA$7=""),"")</f>
        <v/>
      </c>
      <c r="BB48" s="1228"/>
      <c r="BC48"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48" s="1230"/>
      <c r="BE48" s="1637"/>
      <c r="BF48" s="1227" t="str">
        <f>IFERROR(IF(UnitsTbl[[#This Row],[Total Units]]="","",UnitsTbl[[#This Row],[Subsidy Payment Over Gross Rent2]]*UnitsTbl[[#This Row],[Total Units]])*NOT($BF$7=""),"")</f>
        <v/>
      </c>
      <c r="BG48" s="1231">
        <f>IF(OR(UnitsTbl[[#This Row],[Special Needs?]]="Yes",UnitsTbl[[#This Row],[Special Needs2?]]="Yes"), 1,0)</f>
        <v>0</v>
      </c>
      <c r="BH48"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48"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48" s="969">
        <f>MIN(SUM(UnitsTbl[[#This Row],[Disability Homelessness]],UnitsTbl[[#This Row],[Chronic Homelessness]],UnitsTbl[[#This Row],[Other Homelessness]]),UnitsTbl[[#This Row],[Total restricted units]])</f>
        <v>0</v>
      </c>
      <c r="BK48" s="969">
        <f>(UnitsTbl[[#This Row],[Restricted Income Level]]&lt;=30%)*UnitsTbl[[#This Row],[Total restricted units]]</f>
        <v>0</v>
      </c>
      <c r="BL48" s="969">
        <f t="shared" si="8"/>
        <v>0</v>
      </c>
      <c r="BM48" s="307">
        <f>UnitsTbl[[#This Row],[Units being subsidized]]*SUM(UnitsTbl[[#This Row],[Less Utility Allowance Schedule 1]],UnitsTbl[[#This Row],[Less Utility Allowance Schedule 2]])</f>
        <v>0</v>
      </c>
      <c r="BN48" s="307">
        <f>UnitsTbl[[#This Row],[Units being subsidized2]]*SUM(UnitsTbl[[#This Row],[Less Utility Allowance Schedule 1]],UnitsTbl[[#This Row],[Less Utility Allowance Schedule 2]])</f>
        <v>0</v>
      </c>
      <c r="BO48" s="307"/>
      <c r="BP48" s="1682"/>
      <c r="BQ48" s="476"/>
      <c r="BR48" s="408"/>
      <c r="BS48" s="408"/>
      <c r="BT48" s="408"/>
      <c r="BU48" s="408"/>
      <c r="BV48" s="408"/>
      <c r="BX48" s="1129" t="s">
        <v>154</v>
      </c>
      <c r="BY48" s="812">
        <v>34050</v>
      </c>
      <c r="BZ48" s="813">
        <v>38900</v>
      </c>
      <c r="CA48" s="813">
        <v>43800</v>
      </c>
      <c r="CB48" s="813">
        <v>48650</v>
      </c>
      <c r="CC48" s="813">
        <v>52550</v>
      </c>
      <c r="CD48" s="813">
        <v>56450</v>
      </c>
      <c r="CE48" s="813">
        <v>60350</v>
      </c>
      <c r="CF48" s="1147">
        <v>64250</v>
      </c>
      <c r="CH48" s="386"/>
      <c r="CI48" s="971" t="str">
        <f>CONCATENATE(County,0.75)</f>
        <v>0.75</v>
      </c>
      <c r="CJ48" s="1126" t="e">
        <f t="shared" si="36"/>
        <v>#VALUE!</v>
      </c>
      <c r="CK48" s="1126" t="e">
        <f t="shared" si="31"/>
        <v>#VALUE!</v>
      </c>
      <c r="CL48" s="1126" t="e">
        <f t="shared" si="32"/>
        <v>#VALUE!</v>
      </c>
      <c r="CM48" s="1126" t="e">
        <f t="shared" si="33"/>
        <v>#VALUE!</v>
      </c>
      <c r="CN48" s="1126" t="e">
        <f t="shared" si="34"/>
        <v>#VALUE!</v>
      </c>
      <c r="CO48" s="1240" t="e">
        <f t="shared" si="35"/>
        <v>#VALUE!</v>
      </c>
      <c r="CP48" s="1681"/>
      <c r="CQ48" s="1682"/>
      <c r="CR48" s="386" t="b">
        <f>OR(AND(OR($BA$7="USDA",$BA$7="Other Federal"),UnitsTbl[[#This Row],[Gross Monthly Contract Rent]]&gt;0),AND(OR($BF$7="USDA",$BF$7="Other Federal"),UnitsTbl[[#This Row],[Net Monthly Contract Rent2]]&gt;0))</f>
        <v>0</v>
      </c>
      <c r="CS48" s="223">
        <f>IF(UnitsTbl[[#This Row],[Restricted Income Level]]="Manager",0,UnitsTbl[[#This Row],[Total Units]]*INDEX(SizeFactors,MATCH(MIN(UnitsTbl[[#This Row],[Number of Bedrooms]],4),Sizes,0)))</f>
        <v>0</v>
      </c>
      <c r="CT48" s="550">
        <f>IF(UnitsTbl[[#This Row],[Restricted Income Level]]="Manager",0,UnitsTbl[[#This Row],[Total Units]]-SUM(UnitsTbl[[#This Row],[Units being subsidized]]*($BA$7&lt;&gt;"Not Federal"),UnitsTbl[[#This Row],[Units being subsidized2]]*($BF$7&lt;&gt;"Not Federal")))</f>
        <v>0</v>
      </c>
      <c r="CU48" s="309">
        <f>IFERROR(IF(AND($CU$8,CR48=FALSE),40%,IF(UnitsTbl[[#This Row],[Restricted Income Level]]&lt;30%,30%,UnitsTbl[[#This Row],[Restricted Income Level]])),0)</f>
        <v>0.4</v>
      </c>
      <c r="CV48" s="1682"/>
      <c r="CW48" s="555">
        <f t="shared" si="9"/>
        <v>0.4</v>
      </c>
      <c r="CX48" s="553">
        <f>IF(UnitsTbl[[#This Row],[Rent Limit Calculation Formula]]="TCAC",VLOOKUP(County&amp;CW48,TCACrentTbl[],UnitsTbl[[#This Row],[Number of Bedrooms]]+2,FALSE)-SUM(UnitsTbl[[#This Row],[Less Utility Allowance Schedule 2]],UnitsTbl[[#This Row],[Less Utility Allowance Schedule 1]]),IF(UnitsTbl[[#This Row],[Rent Limit Calculation Formula]]="Other",VLOOKUP(County&amp;CW48,OtherRentLimitTbl[],UnitsTbl[[#This Row],[Number of Bedrooms]]+3,FALSE)-SUM(UnitsTbl[[#This Row],[Less Utility Allowance Schedule 2]],UnitsTbl[[#This Row],[Less Utility Allowance Schedule 1]]),0))</f>
        <v>0</v>
      </c>
      <c r="CY48" s="363">
        <f>MAX(UnitsTbl[[#This Row],[Gross Monthly Contract Rent]],UnitsTbl[[#This Row],[Net Monthly Contract Rent2]])</f>
        <v>0</v>
      </c>
      <c r="CZ48" s="553">
        <f>IF(UnitsTbl[[#This Row],[Number of Bedrooms]]="",0,VLOOKUP(County&amp;"0.6",TCACrentTbl[],UnitsTbl[[#This Row],[Number of Bedrooms]]+2,FALSE))-SUM(UnitsTbl[[#This Row],[Less Utility Allowance Schedule 2]],UnitsTbl[[#This Row],[Less Utility Allowance Schedule 1]])</f>
        <v>0</v>
      </c>
      <c r="DA48" s="78" t="b">
        <f>OR(AND($BA$7="USDA",UnitsTbl[[#This Row],[Gross Monthly Contract Rent]]&gt;0),AND($BF$7="USDA",UnitsTbl[[#This Row],[Net Monthly Contract Rent2]]&gt;0))</f>
        <v>0</v>
      </c>
      <c r="DB48" s="363">
        <f t="shared" si="10"/>
        <v>0</v>
      </c>
      <c r="DC48" s="363">
        <f t="shared" si="11"/>
        <v>0</v>
      </c>
      <c r="DD48" s="364">
        <f>UnitsTbl[[#This Row],[Total Units]]*DC48</f>
        <v>0</v>
      </c>
    </row>
    <row r="49" spans="1:108" ht="18" customHeight="1">
      <c r="A49" s="693"/>
      <c r="B49" s="1210"/>
      <c r="C49" s="1211"/>
      <c r="D49" s="1637"/>
      <c r="E49" s="1212"/>
      <c r="F49" s="1637"/>
      <c r="G49" s="1637"/>
      <c r="H49" s="1637"/>
      <c r="I49" s="1213"/>
      <c r="J49" s="1213"/>
      <c r="K49" s="1637"/>
      <c r="L49" s="1214"/>
      <c r="M49" s="1637"/>
      <c r="N49" s="1637"/>
      <c r="O49" s="1637"/>
      <c r="P49" s="1637"/>
      <c r="Q49" s="1637"/>
      <c r="R49" s="1637"/>
      <c r="S49" s="1637"/>
      <c r="T49" s="1637"/>
      <c r="U49" s="1637"/>
      <c r="V49" s="1637"/>
      <c r="W49" s="1637"/>
      <c r="X49" s="1637"/>
      <c r="Y49" s="1637"/>
      <c r="Z49" s="1637"/>
      <c r="AA49" s="1637"/>
      <c r="AB49" s="1637"/>
      <c r="AC49" s="1637"/>
      <c r="AD49" s="1215"/>
      <c r="AE49" s="1210"/>
      <c r="AF49" s="1637"/>
      <c r="AG49" s="1216"/>
      <c r="AH49" s="667"/>
      <c r="AI49" s="1217">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49" s="1218" t="b">
        <f>IFERROR(IF(AND(IsSerna,OR(UnitsTbl[[#This Row],[VHHP
Assisted]]&gt;0,UnitsTbl[[#This Row],[HCD Program 5]]&gt;0)),0,IF(AND(IsSerna,$B$4="FWHG",UnitsTbl[[#This Row],[Restricted Income Level]]="Manager"),VLOOKUP(CONCATENATE(County," ",0.6),HCDLoanLimitTbl2[],BH49,FALSE)*UnitsTbl[[#This Row],[Total Units]],IF(UnitsTbl[[#This Row],[Restricted Income Level]]&gt;80%,0,IF(IsSerna,VLOOKUP(CONCATENATE(County," ",UnitsTbl[[#This Row],[Restricted Income Level]]),HCDLoanLimitTbl2[],UnitsTbl[[#This Row],[VLOOKUP Base]],FALSE)*UnitsTbl[[#This Row],[HCD Program2]])))),0)</f>
        <v>0</v>
      </c>
      <c r="AK49" s="1218" t="b">
        <f>IFERROR(IF(AND(IsTod,OR(UnitsTbl[[#This Row],[HCD Program 5]]&gt;0,UnitsTbl[[#This Row],[HCD Program2]]&gt;0,UnitsTbl[[#This Row],[HCD Program4]]&gt;0,UnitsTbl[[#This Row],[VHHP
Assisted]]&gt;0)),0,(IF(AND(IsTod,$B$4="TOD",UnitsTbl[[#This Row],[Restricted Income Level]]="Manager"),VLOOKUP(CONCATENATE(County," ",0.6),HCDLoanLimitTbl[],BH49,FALSE)*UnitsTbl[[#This Row],[Total Units]],IF(UnitsTbl[[#This Row],[Restricted Income Level]]&gt;60%,0,IF(IsTod,VLOOKUP(CONCATENATE(County," ",UnitsTbl[[#This Row],[Restricted Income Level]]),HCDLoanLimitTbl[],UnitsTbl[[#This Row],[VLOOKUP Base]],FALSE)*UnitsTbl[[#This Row],[HCD Program3]]))))),0)</f>
        <v>0</v>
      </c>
      <c r="AL49" s="1218" t="b">
        <f>IFERROR(IF(AND(IsShmhp,OR(UnitsTbl[[#This Row],[HCD Program 5]]&gt;0,UnitsTbl[[#This Row],[HCD Program2]]&gt;0,UnitsTbl[[#This Row],[HCD Program3]]&gt;0,UnitsTbl[[#This Row],[VHHP
Assisted]]&gt;0)),0,(IF(AND(IsShmhp,$B$4="SHMHP",UnitsTbl[[#This Row],[Restricted Income Level]]="Manager"),VLOOKUP(CONCATENATE(County," ",0.6),HCDLoanLimitTbl[],BH49,FALSE)*UnitsTbl[[#This Row],[Total Units]],IF(UnitsTbl[[#This Row],[Restricted Income Level]]&gt;60%,0,IF(IsShmhp,VLOOKUP(CONCATENATE(County," ",UnitsTbl[[#This Row],[Restricted Income Level]]),HCDLoanLimitTbl[],UnitsTbl[[#This Row],[VLOOKUP Base]],FALSE)*UnitsTbl[[#This Row],[HCD Program4]]))))),0)</f>
        <v>0</v>
      </c>
      <c r="AM49" s="1219" t="b">
        <f>IFERROR(IF(AND(IsVhhp,OR(UnitsTbl[[#This Row],[HCD Program 5]]&gt;0,UnitsTbl[[#This Row],[HCD Program2]]&gt;0,UnitsTbl[[#This Row],[HCD Program3]]&gt;0,UnitsTbl[[#This Row],[HCD Program4]]&gt;0)),0,(IF(AND(IsVhhp,$B$4="VHHP",UnitsTbl[[#This Row],[Restricted Income Level]]="Manager"),VLOOKUP(CONCATENATE(County," ",0.6),HCDLoanLimitTbl2[],BH49,FALSE)*UnitsTbl[[#This Row],[Total Units]],IF(UnitsTbl[[#This Row],[Restricted Income Level]]&gt;60%,0,IF(IsVhhp,VLOOKUP(CONCATENATE(County," ",UnitsTbl[[#This Row],[Restricted Income Level]]),HCDLoanLimitTbl2[],UnitsTbl[[#This Row],[VLOOKUP Base]],FALSE)*UnitsTbl[[#This Row],[VHHP
Assisted]]))))),0)</f>
        <v>0</v>
      </c>
      <c r="AN49" s="1220">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",0.6),HCDLoanLimitTbl[],BH49,FALSE)*UnitsTbl[[#This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49" s="1221"/>
      <c r="AP49" s="1222"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49" s="1223"/>
      <c r="AR49" s="1224"/>
      <c r="AS49" s="1225" t="str">
        <f>IFERROR(IF(UnitsTbl[[#This Row],[Max Gross Rent]]=0,"",UnitsTbl[[#This Row],[Max Gross Rent]]-UnitsTbl[[#This Row],[Less Utility Allowance Schedule 1]]-UnitsTbl[[#This Row],[Less Utility Allowance Schedule 2]]),"")</f>
        <v/>
      </c>
      <c r="AT49" s="1226"/>
      <c r="AU49" s="1225">
        <f>IF(UnitsTbl[[#This Row],[Proposed Net Rent ]]="",0,UnitsTbl[[#This Row],[Total Units]]*UnitsTbl[[#This Row],[Proposed Net Rent ]])</f>
        <v>0</v>
      </c>
      <c r="AV49" s="1227" t="str">
        <f>IF(UnitsTbl[[#This Row],[Proposed Net Rent ]]&gt;0,0,IFERROR(UnitsTbl[[#This Row],[Total Units]]*UnitsTbl[[#This Row],[Maximum Net Rent]],""))</f>
        <v/>
      </c>
      <c r="AW49" s="1228"/>
      <c r="AX49"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49" s="1637"/>
      <c r="AZ49" s="1637"/>
      <c r="BA49" s="1229" t="str">
        <f>IFERROR(IF(UnitsTbl[[#This Row],[Total Units]]="","",UnitsTbl[[#This Row],[Subsidy Payment Over  Gross Rent]]*UnitsTbl[[#This Row],[Total Units]])*NOT($BA$7=""),"")</f>
        <v/>
      </c>
      <c r="BB49" s="1228"/>
      <c r="BC49"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49" s="1230"/>
      <c r="BE49" s="1637"/>
      <c r="BF49" s="1227" t="str">
        <f>IFERROR(IF(UnitsTbl[[#This Row],[Total Units]]="","",UnitsTbl[[#This Row],[Subsidy Payment Over Gross Rent2]]*UnitsTbl[[#This Row],[Total Units]])*NOT($BF$7=""),"")</f>
        <v/>
      </c>
      <c r="BG49" s="1231">
        <f>IF(OR(UnitsTbl[[#This Row],[Special Needs?]]="Yes",UnitsTbl[[#This Row],[Special Needs2?]]="Yes"), 1,0)</f>
        <v>0</v>
      </c>
      <c r="BH49"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49"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49" s="969">
        <f>MIN(SUM(UnitsTbl[[#This Row],[Disability Homelessness]],UnitsTbl[[#This Row],[Chronic Homelessness]],UnitsTbl[[#This Row],[Other Homelessness]]),UnitsTbl[[#This Row],[Total restricted units]])</f>
        <v>0</v>
      </c>
      <c r="BK49" s="969">
        <f>(UnitsTbl[[#This Row],[Restricted Income Level]]&lt;=30%)*UnitsTbl[[#This Row],[Total restricted units]]</f>
        <v>0</v>
      </c>
      <c r="BL49" s="969">
        <f t="shared" si="8"/>
        <v>0</v>
      </c>
      <c r="BM49" s="307">
        <f>UnitsTbl[[#This Row],[Units being subsidized]]*SUM(UnitsTbl[[#This Row],[Less Utility Allowance Schedule 1]],UnitsTbl[[#This Row],[Less Utility Allowance Schedule 2]])</f>
        <v>0</v>
      </c>
      <c r="BN49" s="307">
        <f>UnitsTbl[[#This Row],[Units being subsidized2]]*SUM(UnitsTbl[[#This Row],[Less Utility Allowance Schedule 1]],UnitsTbl[[#This Row],[Less Utility Allowance Schedule 2]])</f>
        <v>0</v>
      </c>
      <c r="BO49" s="307"/>
      <c r="BP49" s="1682"/>
      <c r="BQ49" s="476"/>
      <c r="BR49" s="408"/>
      <c r="BS49" s="408"/>
      <c r="BT49" s="408"/>
      <c r="BU49" s="408"/>
      <c r="BV49" s="408"/>
      <c r="BX49" s="1129" t="s">
        <v>156</v>
      </c>
      <c r="BY49" s="811">
        <v>32900</v>
      </c>
      <c r="BZ49" s="1744">
        <v>37600</v>
      </c>
      <c r="CA49" s="1744">
        <v>42300</v>
      </c>
      <c r="CB49" s="1744">
        <v>46950</v>
      </c>
      <c r="CC49" s="1744">
        <v>50750</v>
      </c>
      <c r="CD49" s="1744">
        <v>54500</v>
      </c>
      <c r="CE49" s="1744">
        <v>58250</v>
      </c>
      <c r="CF49" s="1135">
        <v>62000</v>
      </c>
      <c r="CH49" s="386"/>
      <c r="CI49" s="971" t="str">
        <f>CONCATENATE(County,0.7)</f>
        <v>0.7</v>
      </c>
      <c r="CJ49" s="1126" t="e">
        <f t="shared" si="36"/>
        <v>#VALUE!</v>
      </c>
      <c r="CK49" s="1126" t="e">
        <f t="shared" si="31"/>
        <v>#VALUE!</v>
      </c>
      <c r="CL49" s="1126" t="e">
        <f t="shared" si="32"/>
        <v>#VALUE!</v>
      </c>
      <c r="CM49" s="1126" t="e">
        <f t="shared" si="33"/>
        <v>#VALUE!</v>
      </c>
      <c r="CN49" s="1126" t="e">
        <f t="shared" si="34"/>
        <v>#VALUE!</v>
      </c>
      <c r="CO49" s="1240" t="e">
        <f t="shared" si="35"/>
        <v>#VALUE!</v>
      </c>
      <c r="CP49" s="1681"/>
      <c r="CQ49" s="1682"/>
      <c r="CR49" s="386" t="b">
        <f>OR(AND(OR($BA$7="USDA",$BA$7="Other Federal"),UnitsTbl[[#This Row],[Gross Monthly Contract Rent]]&gt;0),AND(OR($BF$7="USDA",$BF$7="Other Federal"),UnitsTbl[[#This Row],[Net Monthly Contract Rent2]]&gt;0))</f>
        <v>0</v>
      </c>
      <c r="CS49" s="223">
        <f>IF(UnitsTbl[[#This Row],[Restricted Income Level]]="Manager",0,UnitsTbl[[#This Row],[Total Units]]*INDEX(SizeFactors,MATCH(MIN(UnitsTbl[[#This Row],[Number of Bedrooms]],4),Sizes,0)))</f>
        <v>0</v>
      </c>
      <c r="CT49" s="550">
        <f>IF(UnitsTbl[[#This Row],[Restricted Income Level]]="Manager",0,UnitsTbl[[#This Row],[Total Units]]-SUM(UnitsTbl[[#This Row],[Units being subsidized]]*($BA$7&lt;&gt;"Not Federal"),UnitsTbl[[#This Row],[Units being subsidized2]]*($BF$7&lt;&gt;"Not Federal")))</f>
        <v>0</v>
      </c>
      <c r="CU49" s="309">
        <f>IFERROR(IF(AND($CU$8,CR49=FALSE),40%,IF(UnitsTbl[[#This Row],[Restricted Income Level]]&lt;30%,30%,UnitsTbl[[#This Row],[Restricted Income Level]])),0)</f>
        <v>0.4</v>
      </c>
      <c r="CV49" s="1682"/>
      <c r="CW49" s="555">
        <f t="shared" si="9"/>
        <v>0.4</v>
      </c>
      <c r="CX49" s="553">
        <f>IF(UnitsTbl[[#This Row],[Rent Limit Calculation Formula]]="TCAC",VLOOKUP(County&amp;CW49,TCACrentTbl[],UnitsTbl[[#This Row],[Number of Bedrooms]]+2,FALSE)-SUM(UnitsTbl[[#This Row],[Less Utility Allowance Schedule 2]],UnitsTbl[[#This Row],[Less Utility Allowance Schedule 1]]),IF(UnitsTbl[[#This Row],[Rent Limit Calculation Formula]]="Other",VLOOKUP(County&amp;CW49,OtherRentLimitTbl[],UnitsTbl[[#This Row],[Number of Bedrooms]]+3,FALSE)-SUM(UnitsTbl[[#This Row],[Less Utility Allowance Schedule 2]],UnitsTbl[[#This Row],[Less Utility Allowance Schedule 1]]),0))</f>
        <v>0</v>
      </c>
      <c r="CY49" s="363">
        <f>MAX(UnitsTbl[[#This Row],[Gross Monthly Contract Rent]],UnitsTbl[[#This Row],[Net Monthly Contract Rent2]])</f>
        <v>0</v>
      </c>
      <c r="CZ49" s="553">
        <f>IF(UnitsTbl[[#This Row],[Number of Bedrooms]]="",0,VLOOKUP(County&amp;"0.6",TCACrentTbl[],UnitsTbl[[#This Row],[Number of Bedrooms]]+2,FALSE))-SUM(UnitsTbl[[#This Row],[Less Utility Allowance Schedule 2]],UnitsTbl[[#This Row],[Less Utility Allowance Schedule 1]])</f>
        <v>0</v>
      </c>
      <c r="DA49" s="78" t="b">
        <f>OR(AND($BA$7="USDA",UnitsTbl[[#This Row],[Gross Monthly Contract Rent]]&gt;0),AND($BF$7="USDA",UnitsTbl[[#This Row],[Net Monthly Contract Rent2]]&gt;0))</f>
        <v>0</v>
      </c>
      <c r="DB49" s="363">
        <f t="shared" si="10"/>
        <v>0</v>
      </c>
      <c r="DC49" s="363">
        <f t="shared" si="11"/>
        <v>0</v>
      </c>
      <c r="DD49" s="364">
        <f>UnitsTbl[[#This Row],[Total Units]]*DC49</f>
        <v>0</v>
      </c>
    </row>
    <row r="50" spans="1:108" ht="18" customHeight="1" thickBot="1">
      <c r="A50" s="693"/>
      <c r="B50" s="1210"/>
      <c r="C50" s="1211"/>
      <c r="D50" s="1637"/>
      <c r="E50" s="1242"/>
      <c r="F50" s="1637"/>
      <c r="G50" s="1243"/>
      <c r="H50" s="1243"/>
      <c r="I50" s="1213"/>
      <c r="J50" s="761"/>
      <c r="K50" s="1243"/>
      <c r="L50" s="1243"/>
      <c r="M50" s="1243"/>
      <c r="N50" s="1243"/>
      <c r="O50" s="1243"/>
      <c r="P50" s="1243"/>
      <c r="Q50" s="1243"/>
      <c r="R50" s="1243"/>
      <c r="S50" s="1243"/>
      <c r="T50" s="1243"/>
      <c r="U50" s="1243"/>
      <c r="V50" s="1243"/>
      <c r="W50" s="1243"/>
      <c r="X50" s="1243"/>
      <c r="Y50" s="1243"/>
      <c r="Z50" s="1243"/>
      <c r="AA50" s="1243"/>
      <c r="AB50" s="1243"/>
      <c r="AC50" s="1637"/>
      <c r="AD50" s="1215"/>
      <c r="AE50" s="1241"/>
      <c r="AF50" s="1243"/>
      <c r="AG50" s="666"/>
      <c r="AH50" s="668"/>
      <c r="AI50" s="1244">
        <f>IFERROR(IF(UnitsTbl[[#This Row],[Restricted Income Level]]="Manager",VLOOKUP($BP$59,IIGgrantTbl[],UnitsTbl[[#This Row],[VLOOKUP Base]],FALSE)*UnitsTbl[[#This Row],[Total Units]],IF(AND(UnitsTbl[[#This Row],[Restricted Income Level]]&lt;=60%,UnitsTbl[[#This Row],[Restricted Income Level]]&gt;50%),VLOOKUP($BP$60,IIGgrantTbl[],UnitsTbl[[#This Row],[VLOOKUP Base]],FALSE)*UnitsTbl[[#This Row],[HCD Program]],IF(AND(UnitsTbl[[#This Row],[Restricted Income Level]]&lt;=50%,UnitsTbl[[#This Row],[Restricted Income Level]]&gt;30%),VLOOKUP($BP$61,IIGgrantTbl[],UnitsTbl[[#This Row],[VLOOKUP Base]],FALSE)*UnitsTbl[[#This Row],[HCD Program]],IF(UnitsTbl[[#This Row],[Restricted Income Level]]&lt;=30%,VLOOKUP($BP$62,IIGgrantTbl[],UnitsTbl[[#This Row],[VLOOKUP Base]],FALSE)*UnitsTbl[[#This Row],[HCD Program]],IF(UnitsTbl[[#This Row],[Restricted Income Level]]&gt;30%,VLOOKUP($BP$59,IIGgrantTbl[],UnitsTbl[[#This Row],[VLOOKUP Base]],FALSE)*UnitsTbl[[#This Row],[Total Units]]))))),0)</f>
        <v>0</v>
      </c>
      <c r="AJ50" s="1245" t="b">
        <f>IFERROR(IF(AND(IsSerna,OR(UnitsTbl[[#This Row],[VHHP
Assisted]]&gt;0,UnitsTbl[[#This Row],[HCD Program 5]]&gt;0)),0,IF(AND(IsSerna,$B$4="FWHG",UnitsTbl[[#This Row],[Restricted Income Level]]="Manager"),VLOOKUP(CONCATENATE(County," ",0.6),HCDLoanLimitTbl2[],BH50,FALSE)*UnitsTbl[[#This Row],[Total Units]],IF(UnitsTbl[[#This Row],[Restricted Income Level]]&gt;80%,0,IF(IsSerna,VLOOKUP(CONCATENATE(County," ",UnitsTbl[[#This Row],[Restricted Income Level]]),HCDLoanLimitTbl2[],UnitsTbl[[#This Row],[VLOOKUP Base]],FALSE)*UnitsTbl[[#This Row],[HCD Program2]])))),0)</f>
        <v>0</v>
      </c>
      <c r="AK50" s="1245" t="b">
        <f>IFERROR(IF(AND(IsTod,OR(UnitsTbl[[#This Row],[HCD Program 5]]&gt;0,UnitsTbl[[#This Row],[HCD Program2]]&gt;0,UnitsTbl[[#This Row],[HCD Program4]]&gt;0,UnitsTbl[[#This Row],[VHHP
Assisted]]&gt;0)),0,(IF(AND(IsTod,$B$4="TOD",UnitsTbl[[#This Row],[Restricted Income Level]]="Manager"),VLOOKUP(CONCATENATE(County," ",0.6),HCDLoanLimitTbl[],BH50,FALSE)*UnitsTbl[[#This Row],[Total Units]],IF(UnitsTbl[[#This Row],[Restricted Income Level]]&gt;60%,0,IF(IsTod,VLOOKUP(CONCATENATE(County," ",UnitsTbl[[#This Row],[Restricted Income Level]]),HCDLoanLimitTbl[],UnitsTbl[[#This Row],[VLOOKUP Base]],FALSE)*UnitsTbl[[#This Row],[HCD Program3]]))))),0)</f>
        <v>0</v>
      </c>
      <c r="AL50" s="1245" t="b">
        <f>IFERROR(IF(AND(IsShmhp,OR(UnitsTbl[[#This Row],[HCD Program 5]]&gt;0,UnitsTbl[[#This Row],[HCD Program2]]&gt;0,UnitsTbl[[#This Row],[HCD Program3]]&gt;0,UnitsTbl[[#This Row],[VHHP
Assisted]]&gt;0)),0,(IF(AND(IsShmhp,$B$4="SHMHP",UnitsTbl[[#This Row],[Restricted Income Level]]="Manager"),VLOOKUP(CONCATENATE(County," ",0.6),HCDLoanLimitTbl[],BH50,FALSE)*UnitsTbl[[#This Row],[Total Units]],IF(UnitsTbl[[#This Row],[Restricted Income Level]]&gt;60%,0,IF(IsShmhp,VLOOKUP(CONCATENATE(County," ",UnitsTbl[[#This Row],[Restricted Income Level]]),HCDLoanLimitTbl[],UnitsTbl[[#This Row],[VLOOKUP Base]],FALSE)*UnitsTbl[[#This Row],[HCD Program4]]))))),0)</f>
        <v>0</v>
      </c>
      <c r="AM50" s="1246" t="b">
        <f>IFERROR(IF(AND(IsVhhp,OR(UnitsTbl[[#This Row],[HCD Program 5]]&gt;0,UnitsTbl[[#This Row],[HCD Program2]]&gt;0,UnitsTbl[[#This Row],[HCD Program3]]&gt;0,UnitsTbl[[#This Row],[HCD Program4]]&gt;0)),0,(IF(AND(IsVhhp,$B$4="VHHP",UnitsTbl[[#This Row],[Restricted Income Level]]="Manager"),VLOOKUP(CONCATENATE(County," ",0.6),HCDLoanLimitTbl2[],BH50,FALSE)*UnitsTbl[[#This Row],[Total Units]],IF(UnitsTbl[[#This Row],[Restricted Income Level]]&gt;60%,0,IF(IsVhhp,VLOOKUP(CONCATENATE(County," ",UnitsTbl[[#This Row],[Restricted Income Level]]),HCDLoanLimitTbl2[],UnitsTbl[[#This Row],[VLOOKUP Base]],FALSE)*UnitsTbl[[#This Row],[VHHP
Assisted]]))))),0)</f>
        <v>0</v>
      </c>
      <c r="AN50" s="1247">
        <f>IFERROR(IF(AND(UnitsTbl[[#This Row],[Ordinance Required?]]="Yes",OR(UnitsTbl[[#This Row],[7307
(d)(1)]]="No",UnitsTbl[[#This Row],[7307
(d)(1)]]="",),OR(UnitsTbl[[#This Row],[7307
(d)(2)]]="No",UnitsTbl[[#This Row],[7307
(d)(2)]]="")),0,IF(AND(IsMhp,OR(UnitsTbl[[#This Row],[VHHP
Assisted]]&gt;0,UnitsTbl[[#This Row],[HCD Program2]]&gt;0,UnitsTbl[[#This Row],[HCD Program3]]&gt;0,UnitsTbl[[#This Row],[HCD Program4]]&gt;0)),0,IF(AND(IsMhp,$B$4="MHP",UnitsTbl[[#This Row],[Restricted Income Level]]="Manager"),VLOOKUP(CONCATENATE(County," ",0.6),HCDLoanLimitTbl[],BH50,FALSE)*UnitsTbl[[#This Row],[Total Units]],IF(UnitsTbl[[#This Row],[Restricted Income Level]]&gt;60%,0,IF(IsMhp,VLOOKUP(CONCATENATE(County," ",UnitsTbl[[#This Row],[Restricted Income Level]]),HCDLoanLimitTbl[],UnitsTbl[[#This Row],[VLOOKUP Base]],FALSE)*SUM(UnitsTbl[[#This Row],[HCD Program 5]],UnitsTbl[[#This Row],[Other Restricted]])))))),0)+IF(AND(IsMhp,UnitsTbl[[#This Row],[HCD Program 5]]=UnitsTbl[[#This Row],[Medi-Cal Funded Supportive Services Units (ALW, HCBA, PACE)]]),UnitsTbl[[#This Row],[Medi-Cal Funded Supportive Services Units (ALW, HCBA, PACE)]]*25000,0)</f>
        <v>0</v>
      </c>
      <c r="AO50" s="1248"/>
      <c r="AP50" s="1249" t="str">
        <f>IFERROR(IF(OR(UnitsTbl[[#This Row],[Restricted Income Level]]="Market",UnitsTbl[[#This Row],[Restricted Income Level]]="Manager"),"",IF(UnitsTbl[[#This Row],[Rent Limit Calculation Formula]]="CalHFA",VLOOKUP(CONCATENATE('Max Loan and Grant Amounts'!$V$5,UnitsTbl[[#This Row],[Restricted Income Level]]),CalHFArent[],UnitsTbl[VLOOKUP Rents, Other Rents],FALSE),IF(UnitsTbl[[#This Row],[Rent Limit Calculation Formula]]="TCAC",VLOOKUP(CONCATENATE('Max Loan and Grant Amounts'!$V$5,UnitsTbl[[#This Row],[Restricted Income Level]]),TCACrentTbl[],UnitsTbl[VLOOKUP Rents, Other Rents],FALSE),IF(UnitsTbl[[#This Row],[Rent Limit Calculation Formula]]="Other",VLOOKUP(CONCATENATE('Max Loan and Grant Amounts'!$V$5,UnitsTbl[[#This Row],[Restricted Income Level]]),OtherRentLimitTbl[],UnitsTbl[[#This Row],[VLOOKUP Rents, Other Rents]]+1,FALSE),"")))),"")</f>
        <v/>
      </c>
      <c r="AQ50" s="1223"/>
      <c r="AR50" s="1250"/>
      <c r="AS50" s="1251" t="str">
        <f>IFERROR(IF(UnitsTbl[[#This Row],[Max Gross Rent]]=0,"",UnitsTbl[[#This Row],[Max Gross Rent]]-UnitsTbl[[#This Row],[Less Utility Allowance Schedule 1]]-UnitsTbl[[#This Row],[Less Utility Allowance Schedule 2]]),"")</f>
        <v/>
      </c>
      <c r="AT50" s="1252"/>
      <c r="AU50" s="1251">
        <f>IF(UnitsTbl[[#This Row],[Proposed Net Rent ]]="",0,UnitsTbl[[#This Row],[Total Units]]*UnitsTbl[[#This Row],[Proposed Net Rent ]])</f>
        <v>0</v>
      </c>
      <c r="AV50" s="1253" t="str">
        <f>IF(UnitsTbl[[#This Row],[Proposed Net Rent ]]&gt;0,0,IFERROR(UnitsTbl[[#This Row],[Total Units]]*UnitsTbl[[#This Row],[Maximum Net Rent]],""))</f>
        <v/>
      </c>
      <c r="AW50" s="1228"/>
      <c r="AX50" s="1225" t="str">
        <f>IFERROR(IF(OR(UnitsTbl[[#This Row],[Gross Monthly Contract Rent]]="",UnitsTbl[[#This Row],[Gross Monthly Contract Rent]]=0),"",IF($BD$3="Restricted",UnitsTbl[[#This Row],[Gross Monthly Contract Rent]]-UnitsTbl[[#This Row],[Max Gross Rent]],IF($BD$3="Proposed",UnitsTbl[[#This Row],[Gross Monthly Contract Rent]]-(UnitsTbl[[#This Row],[Proposed Net Rent ]]+UnitsTbl[[#This Row],[Less Utility Allowance Schedule 1]]),""))),"")</f>
        <v/>
      </c>
      <c r="AY50" s="1243"/>
      <c r="AZ50" s="1243"/>
      <c r="BA50" s="657" t="str">
        <f>IFERROR(IF(UnitsTbl[[#This Row],[Total Units]]="","",UnitsTbl[[#This Row],[Subsidy Payment Over  Gross Rent]]*UnitsTbl[[#This Row],[Total Units]])*NOT($BA$7=""),"")</f>
        <v/>
      </c>
      <c r="BB50" s="1254"/>
      <c r="BC50" s="1225" t="str">
        <f>IFERROR(IF(OR(UnitsTbl[[#This Row],[Net Monthly Contract Rent2]]="",UnitsTbl[[#This Row],[Net Monthly Contract Rent2]]=0),"",IF($BD$3="Restricted",UnitsTbl[[#This Row],[Net Monthly Contract Rent2]]-UnitsTbl[[#This Row],[Max Gross Rent]],IF($BD$3="Proposed",UnitsTbl[[#This Row],[Net Monthly Contract Rent2]]-(UnitsTbl[[#This Row],[Proposed Net Rent ]]+UnitsTbl[[#This Row],[Less Utility Allowance Schedule 1]]),""))),"")</f>
        <v/>
      </c>
      <c r="BD50" s="1255"/>
      <c r="BE50" s="1255"/>
      <c r="BF50" s="1253" t="str">
        <f>IFERROR(IF(UnitsTbl[[#This Row],[Total Units]]="","",UnitsTbl[[#This Row],[Subsidy Payment Over Gross Rent2]]*UnitsTbl[[#This Row],[Total Units]])*NOT($BF$7=""),"")</f>
        <v/>
      </c>
      <c r="BG50" s="1231">
        <f>IF(OR(UnitsTbl[[#This Row],[Special Needs?]]="Yes",UnitsTbl[[#This Row],[Special Needs2?]]="Yes"), 1,0)</f>
        <v>0</v>
      </c>
      <c r="BH50" s="973" t="str">
        <f>IF(UnitsTbl[[#This Row],[Number of Bedrooms]]="","",IF(UnitsTbl[[#This Row],[Number of Bedrooms]]=0,3,IF(UnitsTbl[[#This Row],[Number of Bedrooms]]=1,4,IF(UnitsTbl[[#This Row],[Number of Bedrooms]]=2,5,IF(UnitsTbl[[#This Row],[Number of Bedrooms]]=3,6,IF(UnitsTbl[[#This Row],[Number of Bedrooms]]=4,7,IF(UnitsTbl[[#This Row],[Number of Bedrooms]]&gt;4,7,"")))))))</f>
        <v/>
      </c>
      <c r="BI50" s="967" t="str">
        <f>IF(UnitsTbl[[#This Row],[Number of Bedrooms]]="","",IF(UnitsTbl[[#This Row],[Number of Bedrooms]]=0,2,IF(UnitsTbl[[#This Row],[Number of Bedrooms]]=1,3,IF(UnitsTbl[[#This Row],[Number of Bedrooms]]=2,4,IF(UnitsTbl[[#This Row],[Number of Bedrooms]]=3,5,IF(UnitsTbl[[#This Row],[Number of Bedrooms]]=4,6,IF(UnitsTbl[[#This Row],[Number of Bedrooms]]=5,6,"")))))))</f>
        <v/>
      </c>
      <c r="BJ50" s="969">
        <f>MIN(SUM(UnitsTbl[[#This Row],[Disability Homelessness]],UnitsTbl[[#This Row],[Chronic Homelessness]],UnitsTbl[[#This Row],[Other Homelessness]]),UnitsTbl[[#This Row],[Total restricted units]])</f>
        <v>0</v>
      </c>
      <c r="BK50" s="969">
        <f>(UnitsTbl[[#This Row],[Restricted Income Level]]&lt;=30%)*UnitsTbl[[#This Row],[Total restricted units]]</f>
        <v>0</v>
      </c>
      <c r="BL50" s="969">
        <f t="shared" si="8"/>
        <v>0</v>
      </c>
      <c r="BM50" s="307">
        <f>UnitsTbl[[#This Row],[Units being subsidized]]*SUM(UnitsTbl[[#This Row],[Less Utility Allowance Schedule 1]],UnitsTbl[[#This Row],[Less Utility Allowance Schedule 2]])</f>
        <v>0</v>
      </c>
      <c r="BN50" s="307">
        <f>UnitsTbl[[#This Row],[Units being subsidized2]]*SUM(UnitsTbl[[#This Row],[Less Utility Allowance Schedule 1]],UnitsTbl[[#This Row],[Less Utility Allowance Schedule 2]])</f>
        <v>0</v>
      </c>
      <c r="BO50" s="307"/>
      <c r="BP50" s="2581" t="s">
        <v>1606</v>
      </c>
      <c r="BQ50" s="2597"/>
      <c r="BR50" s="2597"/>
      <c r="BS50" s="2597"/>
      <c r="BT50" s="2597"/>
      <c r="BU50" s="2597"/>
      <c r="BV50" s="408"/>
      <c r="BX50" s="1129" t="s">
        <v>158</v>
      </c>
      <c r="BY50" s="812">
        <v>32900</v>
      </c>
      <c r="BZ50" s="813">
        <v>37600</v>
      </c>
      <c r="CA50" s="813">
        <v>42300</v>
      </c>
      <c r="CB50" s="813">
        <v>46950</v>
      </c>
      <c r="CC50" s="813">
        <v>50750</v>
      </c>
      <c r="CD50" s="813">
        <v>54500</v>
      </c>
      <c r="CE50" s="813">
        <v>58250</v>
      </c>
      <c r="CF50" s="1147">
        <v>62000</v>
      </c>
      <c r="CH50" s="386"/>
      <c r="CI50" s="971" t="str">
        <f>CONCATENATE(County,0.65)</f>
        <v>0.65</v>
      </c>
      <c r="CJ50" s="1126" t="e">
        <f t="shared" si="36"/>
        <v>#VALUE!</v>
      </c>
      <c r="CK50" s="1126" t="e">
        <f t="shared" si="31"/>
        <v>#VALUE!</v>
      </c>
      <c r="CL50" s="1126" t="e">
        <f t="shared" si="32"/>
        <v>#VALUE!</v>
      </c>
      <c r="CM50" s="1126" t="e">
        <f t="shared" si="33"/>
        <v>#VALUE!</v>
      </c>
      <c r="CN50" s="1126" t="e">
        <f t="shared" si="34"/>
        <v>#VALUE!</v>
      </c>
      <c r="CO50" s="1240" t="e">
        <f t="shared" si="35"/>
        <v>#VALUE!</v>
      </c>
      <c r="CP50" s="1681"/>
      <c r="CQ50" s="1682"/>
      <c r="CR50" s="365" t="b">
        <f>OR(AND(OR($BA$7="USDA",$BA$7="Other Federal"),UnitsTbl[[#This Row],[Gross Monthly Contract Rent]]&gt;0),AND(OR($BF$7="USDA",$BF$7="Other Federal"),UnitsTbl[[#This Row],[Net Monthly Contract Rent2]]&gt;0))</f>
        <v>0</v>
      </c>
      <c r="CS50" s="556">
        <f>IF(UnitsTbl[[#This Row],[Restricted Income Level]]="Manager",0,UnitsTbl[[#This Row],[Total Units]]*INDEX(SizeFactors,MATCH(MIN(UnitsTbl[[#This Row],[Number of Bedrooms]],4),Sizes,0)))</f>
        <v>0</v>
      </c>
      <c r="CT50" s="557">
        <f>IF(UnitsTbl[[#This Row],[Restricted Income Level]]="Manager",0,UnitsTbl[[#This Row],[Total Units]]-SUM(UnitsTbl[[#This Row],[Units being subsidized]]*($BA$7&lt;&gt;"Not Federal"),UnitsTbl[[#This Row],[Units being subsidized2]]*($BF$7&lt;&gt;"Not Federal")))</f>
        <v>0</v>
      </c>
      <c r="CU50" s="309">
        <f>IFERROR(IF(AND($CU$8,CR50=FALSE),40%,IF(UnitsTbl[[#This Row],[Restricted Income Level]]&lt;30%,30%,UnitsTbl[[#This Row],[Restricted Income Level]])),0)</f>
        <v>0.4</v>
      </c>
      <c r="CV50" s="1554"/>
      <c r="CW50" s="558">
        <f t="shared" si="9"/>
        <v>0.4</v>
      </c>
      <c r="CX50" s="559">
        <f>IF(UnitsTbl[[#This Row],[Rent Limit Calculation Formula]]="TCAC",VLOOKUP(County&amp;CW50,TCACrentTbl[],UnitsTbl[[#This Row],[Number of Bedrooms]]+2,FALSE)-SUM(UnitsTbl[[#This Row],[Less Utility Allowance Schedule 2]],UnitsTbl[[#This Row],[Less Utility Allowance Schedule 1]]),IF(UnitsTbl[[#This Row],[Rent Limit Calculation Formula]]="Other",VLOOKUP(County&amp;CW50,OtherRentLimitTbl[],UnitsTbl[[#This Row],[Number of Bedrooms]]+3,FALSE)-SUM(UnitsTbl[[#This Row],[Less Utility Allowance Schedule 2]],UnitsTbl[[#This Row],[Less Utility Allowance Schedule 1]]),0))</f>
        <v>0</v>
      </c>
      <c r="CY50" s="367">
        <f>MAX(UnitsTbl[[#This Row],[Gross Monthly Contract Rent]],UnitsTbl[[#This Row],[Net Monthly Contract Rent2]])</f>
        <v>0</v>
      </c>
      <c r="CZ50" s="559">
        <f>IF(UnitsTbl[[#This Row],[Number of Bedrooms]]="",0,VLOOKUP(County&amp;"0.6",TCACrentTbl[],UnitsTbl[[#This Row],[Number of Bedrooms]]+2,FALSE))-SUM(UnitsTbl[[#This Row],[Less Utility Allowance Schedule 2]],UnitsTbl[[#This Row],[Less Utility Allowance Schedule 1]])</f>
        <v>0</v>
      </c>
      <c r="DA50" s="366" t="b">
        <f>OR(AND($BA$7="USDA",UnitsTbl[[#This Row],[Gross Monthly Contract Rent]]&gt;0),AND($BF$7="USDA",UnitsTbl[[#This Row],[Net Monthly Contract Rent2]]&gt;0))</f>
        <v>0</v>
      </c>
      <c r="DB50" s="367">
        <f t="shared" si="10"/>
        <v>0</v>
      </c>
      <c r="DC50" s="367">
        <f t="shared" si="11"/>
        <v>0</v>
      </c>
      <c r="DD50" s="368">
        <f>UnitsTbl[[#This Row],[Total Units]]*DC50</f>
        <v>0</v>
      </c>
    </row>
    <row r="51" spans="1:108" ht="18" hidden="1" customHeight="1" thickBot="1">
      <c r="A51" s="354"/>
      <c r="B51" s="354"/>
      <c r="C51" s="354"/>
      <c r="D51" s="354"/>
      <c r="E51" s="354"/>
      <c r="F51" s="354"/>
      <c r="G51" s="354"/>
      <c r="H51" s="354"/>
      <c r="I51" s="354"/>
      <c r="J51" s="354"/>
      <c r="K51" s="354"/>
      <c r="L51" s="354"/>
      <c r="M51" s="354"/>
      <c r="N51" s="354"/>
      <c r="O51" s="354"/>
      <c r="P51" s="354"/>
      <c r="Q51" s="354"/>
      <c r="R51" s="354"/>
      <c r="S51" s="354"/>
      <c r="T51" s="354"/>
      <c r="U51" s="354"/>
      <c r="V51" s="354"/>
      <c r="W51" s="354"/>
      <c r="X51" s="354"/>
      <c r="Y51" s="354"/>
      <c r="Z51" s="354"/>
      <c r="AA51" s="354"/>
      <c r="AB51" s="354"/>
      <c r="AC51" s="354"/>
      <c r="AD51" s="354"/>
      <c r="AE51" s="354"/>
      <c r="AF51" s="354"/>
      <c r="AG51" s="354"/>
      <c r="AH51" s="354"/>
      <c r="AI51" s="354"/>
      <c r="AJ51" s="354"/>
      <c r="AK51" s="354"/>
      <c r="AL51" s="354"/>
      <c r="AM51" s="354"/>
      <c r="AN51" s="354"/>
      <c r="AO51" s="1682"/>
      <c r="AP51" s="1682"/>
      <c r="AQ51" s="1682"/>
      <c r="AR51" s="1682"/>
      <c r="AS51" s="1682"/>
      <c r="AT51" s="1682"/>
      <c r="AU51" s="1682"/>
      <c r="AV51" s="1682"/>
      <c r="AW51" s="1682"/>
      <c r="AX51" s="1682"/>
      <c r="AY51" s="1682"/>
      <c r="AZ51" s="1682"/>
      <c r="BA51" s="1682"/>
      <c r="BB51" s="1682"/>
      <c r="BC51" s="1682"/>
      <c r="BD51" s="1682"/>
      <c r="BE51" s="1682"/>
      <c r="BF51" s="1682"/>
      <c r="BG51" s="1682"/>
      <c r="BH51" s="354"/>
      <c r="BI51" s="354"/>
      <c r="BJ51" s="354"/>
      <c r="BK51" s="354"/>
      <c r="BL51" s="354"/>
      <c r="BM51" s="1682"/>
      <c r="BN51" s="1682"/>
      <c r="BO51" s="1682"/>
      <c r="BP51" s="81" t="s">
        <v>1607</v>
      </c>
      <c r="BQ51" s="81" t="s">
        <v>1135</v>
      </c>
      <c r="BR51" s="81" t="s">
        <v>1608</v>
      </c>
      <c r="BS51" s="81" t="s">
        <v>1609</v>
      </c>
      <c r="BT51" s="81" t="s">
        <v>1610</v>
      </c>
      <c r="BU51" s="81" t="s">
        <v>1611</v>
      </c>
      <c r="BV51" s="81" t="s">
        <v>1612</v>
      </c>
      <c r="BX51" s="1129" t="s">
        <v>160</v>
      </c>
      <c r="BY51" s="811">
        <v>48100</v>
      </c>
      <c r="BZ51" s="1744">
        <v>54950</v>
      </c>
      <c r="CA51" s="1744">
        <v>61850</v>
      </c>
      <c r="CB51" s="1744">
        <v>68700</v>
      </c>
      <c r="CC51" s="1744">
        <v>74200</v>
      </c>
      <c r="CD51" s="1744">
        <v>79700</v>
      </c>
      <c r="CE51" s="1744">
        <v>85200</v>
      </c>
      <c r="CF51" s="1135">
        <v>90700</v>
      </c>
      <c r="CH51" s="386"/>
      <c r="CI51" s="971" t="str">
        <f>CONCATENATE(County,0.6)</f>
        <v>0.6</v>
      </c>
      <c r="CJ51" s="1126" t="e">
        <f t="shared" si="36"/>
        <v>#VALUE!</v>
      </c>
      <c r="CK51" s="1126" t="e">
        <f t="shared" si="31"/>
        <v>#VALUE!</v>
      </c>
      <c r="CL51" s="1126" t="e">
        <f t="shared" si="32"/>
        <v>#VALUE!</v>
      </c>
      <c r="CM51" s="1126" t="e">
        <f t="shared" si="33"/>
        <v>#VALUE!</v>
      </c>
      <c r="CN51" s="1126" t="e">
        <f t="shared" si="34"/>
        <v>#VALUE!</v>
      </c>
      <c r="CO51" s="1240" t="e">
        <f t="shared" si="35"/>
        <v>#VALUE!</v>
      </c>
      <c r="CP51" s="1681"/>
      <c r="CQ51" s="1682"/>
      <c r="CR51" s="1682"/>
      <c r="CS51" s="78"/>
      <c r="CT51" s="309"/>
      <c r="CU51" s="1682"/>
      <c r="CV51" s="1682"/>
      <c r="CW51" s="309"/>
      <c r="CX51" s="1682"/>
      <c r="CY51" s="1682"/>
      <c r="CZ51" s="1682"/>
      <c r="DA51" s="1682"/>
      <c r="DB51" s="1682"/>
      <c r="DC51" s="1682"/>
      <c r="DD51" s="1682"/>
    </row>
    <row r="52" spans="1:108" ht="18" hidden="1" customHeight="1">
      <c r="A52" s="354"/>
      <c r="B52" s="354"/>
      <c r="C52" s="354"/>
      <c r="D52" s="354"/>
      <c r="E52" s="354"/>
      <c r="F52" s="354"/>
      <c r="G52" s="354"/>
      <c r="H52" s="354"/>
      <c r="I52" s="354"/>
      <c r="J52" s="354"/>
      <c r="K52" s="354"/>
      <c r="L52" s="354"/>
      <c r="M52" s="354"/>
      <c r="N52" s="354"/>
      <c r="O52" s="354"/>
      <c r="P52" s="354"/>
      <c r="Q52" s="354"/>
      <c r="R52" s="354"/>
      <c r="S52" s="354"/>
      <c r="T52" s="354"/>
      <c r="U52" s="354"/>
      <c r="V52" s="354"/>
      <c r="W52" s="354"/>
      <c r="X52" s="354"/>
      <c r="Y52" s="354"/>
      <c r="Z52" s="354"/>
      <c r="AA52" s="354"/>
      <c r="AB52" s="354"/>
      <c r="AC52" s="354"/>
      <c r="AD52" s="354"/>
      <c r="AE52" s="354"/>
      <c r="AF52" s="354"/>
      <c r="AG52" s="354"/>
      <c r="AH52" s="354"/>
      <c r="AI52" s="354"/>
      <c r="AJ52" s="354"/>
      <c r="AK52" s="354"/>
      <c r="AL52" s="354"/>
      <c r="AM52" s="354"/>
      <c r="AN52" s="354"/>
      <c r="AO52" s="2598" t="s">
        <v>1613</v>
      </c>
      <c r="AP52" s="1777"/>
      <c r="AQ52" s="1777"/>
      <c r="AR52" s="1777"/>
      <c r="AS52" s="1777"/>
      <c r="AT52" s="1777"/>
      <c r="AU52" s="1777"/>
      <c r="AV52" s="1778"/>
      <c r="AW52" s="1682"/>
      <c r="AX52" s="1682"/>
      <c r="AY52" s="2648" t="s">
        <v>1614</v>
      </c>
      <c r="AZ52" s="2455"/>
      <c r="BA52" s="2455"/>
      <c r="BB52" s="2455"/>
      <c r="BC52" s="2455"/>
      <c r="BD52" s="2455"/>
      <c r="BE52" s="2455"/>
      <c r="BF52" s="2649"/>
      <c r="BG52" s="78"/>
      <c r="BH52" s="354"/>
      <c r="BI52" s="354"/>
      <c r="BJ52" s="354"/>
      <c r="BK52" s="354"/>
      <c r="BL52" s="354"/>
      <c r="BM52" s="1682"/>
      <c r="BN52" s="1682"/>
      <c r="BO52" s="1682"/>
      <c r="BP52" s="1616" t="s">
        <v>1615</v>
      </c>
      <c r="BQ52" s="1555"/>
      <c r="BR52" s="1555">
        <v>4700</v>
      </c>
      <c r="BS52" s="1555">
        <v>9400</v>
      </c>
      <c r="BT52" s="1555">
        <v>14200</v>
      </c>
      <c r="BU52" s="1555">
        <v>18900</v>
      </c>
      <c r="BV52" s="1555">
        <v>23700</v>
      </c>
      <c r="BX52" s="1129" t="s">
        <v>104</v>
      </c>
      <c r="BY52" s="812">
        <v>52850</v>
      </c>
      <c r="BZ52" s="813">
        <v>60400</v>
      </c>
      <c r="CA52" s="813">
        <v>67950</v>
      </c>
      <c r="CB52" s="813">
        <v>75500</v>
      </c>
      <c r="CC52" s="813">
        <v>81550</v>
      </c>
      <c r="CD52" s="813">
        <v>87600</v>
      </c>
      <c r="CE52" s="813">
        <v>93650</v>
      </c>
      <c r="CF52" s="1147">
        <v>99700</v>
      </c>
      <c r="CH52" s="386"/>
      <c r="CI52" s="971" t="str">
        <f>CONCATENATE(County,0.55)</f>
        <v>0.55</v>
      </c>
      <c r="CJ52" s="1126" t="e">
        <f t="shared" si="36"/>
        <v>#VALUE!</v>
      </c>
      <c r="CK52" s="1126" t="e">
        <f t="shared" si="31"/>
        <v>#VALUE!</v>
      </c>
      <c r="CL52" s="1126" t="e">
        <f t="shared" si="32"/>
        <v>#VALUE!</v>
      </c>
      <c r="CM52" s="1126" t="e">
        <f t="shared" si="33"/>
        <v>#VALUE!</v>
      </c>
      <c r="CN52" s="1126" t="e">
        <f t="shared" si="34"/>
        <v>#VALUE!</v>
      </c>
      <c r="CO52" s="1240" t="e">
        <f t="shared" si="35"/>
        <v>#VALUE!</v>
      </c>
      <c r="CP52" s="1681"/>
      <c r="CQ52" s="1682"/>
      <c r="CR52" s="1682"/>
      <c r="CS52" s="78"/>
      <c r="CT52" s="309"/>
      <c r="CU52" s="1682"/>
      <c r="CV52" s="1682"/>
      <c r="CW52" s="309"/>
      <c r="CX52" s="1682"/>
      <c r="CY52" s="1682"/>
      <c r="CZ52" s="1682"/>
      <c r="DA52" s="1682"/>
      <c r="DB52" s="1682"/>
      <c r="DC52" s="1682"/>
      <c r="DD52" s="1682"/>
    </row>
    <row r="53" spans="1:108" ht="27.75" hidden="1" customHeight="1">
      <c r="A53" s="934">
        <f t="array" ref="A53">SUMPRODUCT(UnitsTbl[Total Units],IF(IF(UnitsTbl[Special Needs?]="Yes",1,0)+IF(UnitsTbl[Special Needs2?]="Yes",1,0)&gt;0,1,0))+SUM(UnitsTbl[Other Special Needs])</f>
        <v>0</v>
      </c>
      <c r="B53" s="1682"/>
      <c r="C53" s="354"/>
      <c r="D53" s="354"/>
      <c r="E53" s="354"/>
      <c r="F53" s="354"/>
      <c r="G53" s="354"/>
      <c r="H53" s="354"/>
      <c r="I53" s="354"/>
      <c r="J53" s="354"/>
      <c r="K53" s="354"/>
      <c r="L53" s="354"/>
      <c r="M53" s="354"/>
      <c r="N53" s="354"/>
      <c r="O53" s="354"/>
      <c r="P53" s="354"/>
      <c r="Q53" s="354"/>
      <c r="R53" s="354"/>
      <c r="S53" s="354"/>
      <c r="T53" s="354"/>
      <c r="U53" s="354"/>
      <c r="V53" s="354"/>
      <c r="W53" s="354"/>
      <c r="X53" s="354"/>
      <c r="Y53" s="354"/>
      <c r="Z53" s="354"/>
      <c r="AA53" s="354"/>
      <c r="AB53" s="354"/>
      <c r="AC53" s="354"/>
      <c r="AD53" s="354"/>
      <c r="AE53" s="354"/>
      <c r="AF53" s="354"/>
      <c r="AG53" s="354"/>
      <c r="AH53" s="354"/>
      <c r="AI53" s="354"/>
      <c r="AJ53" s="354"/>
      <c r="AK53" s="354"/>
      <c r="AL53" s="354"/>
      <c r="AM53" s="354"/>
      <c r="AN53" s="354"/>
      <c r="AO53" s="2604" t="s">
        <v>1616</v>
      </c>
      <c r="AP53" s="1953"/>
      <c r="AQ53" s="1953"/>
      <c r="AR53" s="1953"/>
      <c r="AS53" s="1953"/>
      <c r="AT53" s="1953"/>
      <c r="AU53" s="1953"/>
      <c r="AV53" s="1770"/>
      <c r="AW53" s="1682"/>
      <c r="AX53" s="1682"/>
      <c r="AY53" s="2583" t="s">
        <v>1617</v>
      </c>
      <c r="AZ53" s="1778"/>
      <c r="BA53" s="2585"/>
      <c r="BB53" s="1862"/>
      <c r="BC53" s="2585"/>
      <c r="BD53" s="1862"/>
      <c r="BE53" s="2643"/>
      <c r="BF53" s="2036"/>
      <c r="BG53" s="658"/>
      <c r="BH53" s="354"/>
      <c r="BI53" s="354"/>
      <c r="BJ53" s="354"/>
      <c r="BK53" s="354"/>
      <c r="BL53" s="354"/>
      <c r="BM53" s="1682"/>
      <c r="BN53" s="1682"/>
      <c r="BO53" s="1682"/>
      <c r="BP53" s="81" t="s">
        <v>1618</v>
      </c>
      <c r="BQ53" s="1556"/>
      <c r="BR53" s="1555">
        <v>4700</v>
      </c>
      <c r="BS53" s="1555">
        <v>9400</v>
      </c>
      <c r="BT53" s="1555">
        <v>14200</v>
      </c>
      <c r="BU53" s="1555">
        <v>18900</v>
      </c>
      <c r="BV53" s="1555">
        <v>23770</v>
      </c>
      <c r="BX53" s="1129" t="s">
        <v>110</v>
      </c>
      <c r="BY53" s="811">
        <v>34500</v>
      </c>
      <c r="BZ53" s="1744">
        <v>39400</v>
      </c>
      <c r="CA53" s="1744">
        <v>44350</v>
      </c>
      <c r="CB53" s="1744">
        <v>49250</v>
      </c>
      <c r="CC53" s="1744">
        <v>53200</v>
      </c>
      <c r="CD53" s="1744">
        <v>57150</v>
      </c>
      <c r="CE53" s="1744">
        <v>61100</v>
      </c>
      <c r="CF53" s="1135">
        <v>65050</v>
      </c>
      <c r="CH53" s="386"/>
      <c r="CI53" s="971" t="str">
        <f>CONCATENATE(County,0.5)</f>
        <v>0.5</v>
      </c>
      <c r="CJ53" s="1126" t="e">
        <f t="shared" si="36"/>
        <v>#VALUE!</v>
      </c>
      <c r="CK53" s="1126" t="e">
        <f t="shared" si="31"/>
        <v>#VALUE!</v>
      </c>
      <c r="CL53" s="1126" t="e">
        <f t="shared" si="32"/>
        <v>#VALUE!</v>
      </c>
      <c r="CM53" s="1126" t="e">
        <f t="shared" si="33"/>
        <v>#VALUE!</v>
      </c>
      <c r="CN53" s="1126" t="e">
        <f t="shared" si="34"/>
        <v>#VALUE!</v>
      </c>
      <c r="CO53" s="1240" t="e">
        <f t="shared" si="35"/>
        <v>#VALUE!</v>
      </c>
      <c r="CP53" s="1681"/>
      <c r="CQ53" s="1682"/>
      <c r="CR53" s="1682"/>
      <c r="CS53" s="78"/>
      <c r="CT53" s="309"/>
      <c r="CU53" s="1682"/>
      <c r="CV53" s="1682"/>
      <c r="CW53" s="309"/>
      <c r="CX53" s="1682"/>
      <c r="CY53" s="1682"/>
      <c r="CZ53" s="1682"/>
      <c r="DA53" s="1682"/>
      <c r="DB53" s="1682"/>
      <c r="DC53" s="1682"/>
      <c r="DD53" s="1682"/>
    </row>
    <row r="54" spans="1:108" ht="18" hidden="1" customHeight="1">
      <c r="A54" s="935" t="e" vm="1">
        <f t="array" ref="A54">SUM(_xlfn._xlws.FILTER(UnitsTbl[Total Units],(UnitsTbl[Special Needs?]="Yes")+(UnitsTbl[Special Needs2?]="Yes")),UnitsTbl[Other Special Needs])</f>
        <v>#VALUE!</v>
      </c>
      <c r="B54" s="1682"/>
      <c r="C54" s="354"/>
      <c r="D54" s="354"/>
      <c r="E54" s="354"/>
      <c r="F54" s="354"/>
      <c r="G54" s="354"/>
      <c r="H54" s="354"/>
      <c r="I54" s="354"/>
      <c r="J54" s="354"/>
      <c r="K54" s="354"/>
      <c r="L54" s="354"/>
      <c r="M54" s="354"/>
      <c r="N54" s="354"/>
      <c r="O54" s="354"/>
      <c r="P54" s="354"/>
      <c r="Q54" s="354"/>
      <c r="R54" s="354"/>
      <c r="S54" s="354"/>
      <c r="T54" s="354"/>
      <c r="U54" s="354"/>
      <c r="V54" s="354"/>
      <c r="W54" s="354"/>
      <c r="X54" s="354"/>
      <c r="Y54" s="354"/>
      <c r="Z54" s="354"/>
      <c r="AA54" s="354"/>
      <c r="AB54" s="354"/>
      <c r="AC54" s="354"/>
      <c r="AD54" s="354"/>
      <c r="AE54" s="354"/>
      <c r="AF54" s="354"/>
      <c r="AG54" s="354"/>
      <c r="AH54" s="354"/>
      <c r="AI54" s="354"/>
      <c r="AJ54" s="354"/>
      <c r="AK54" s="354"/>
      <c r="AL54" s="354"/>
      <c r="AM54" s="354"/>
      <c r="AN54" s="354"/>
      <c r="AO54" s="2479"/>
      <c r="AP54" s="1877"/>
      <c r="AQ54" s="1877"/>
      <c r="AR54" s="1877"/>
      <c r="AS54" s="1877"/>
      <c r="AT54" s="1877"/>
      <c r="AU54" s="1877"/>
      <c r="AV54" s="1772"/>
      <c r="AW54" s="1682"/>
      <c r="AX54" s="1682"/>
      <c r="AY54" s="2583" t="s">
        <v>1619</v>
      </c>
      <c r="AZ54" s="1770"/>
      <c r="BA54" s="2585"/>
      <c r="BB54" s="1865"/>
      <c r="BC54" s="2585"/>
      <c r="BD54" s="1865"/>
      <c r="BE54" s="2643"/>
      <c r="BF54" s="2576"/>
      <c r="BG54" s="658"/>
      <c r="BH54" s="354"/>
      <c r="BI54" s="354"/>
      <c r="BJ54" s="354"/>
      <c r="BK54" s="354"/>
      <c r="BL54" s="354"/>
      <c r="BM54" s="1682"/>
      <c r="BN54" s="1682"/>
      <c r="BO54" s="1682"/>
      <c r="BP54" s="81" t="s">
        <v>1620</v>
      </c>
      <c r="BQ54" s="1556"/>
      <c r="BR54" s="1555">
        <v>41000</v>
      </c>
      <c r="BS54" s="1555">
        <v>45800</v>
      </c>
      <c r="BT54" s="1555">
        <v>55300</v>
      </c>
      <c r="BU54" s="1555">
        <v>64700</v>
      </c>
      <c r="BV54" s="1555">
        <v>71100</v>
      </c>
      <c r="BX54" s="1129" t="s">
        <v>165</v>
      </c>
      <c r="BY54" s="812">
        <v>33600</v>
      </c>
      <c r="BZ54" s="813">
        <v>38400</v>
      </c>
      <c r="CA54" s="813">
        <v>43200</v>
      </c>
      <c r="CB54" s="813">
        <v>48000</v>
      </c>
      <c r="CC54" s="813">
        <v>51850</v>
      </c>
      <c r="CD54" s="813">
        <v>55700</v>
      </c>
      <c r="CE54" s="813">
        <v>59500</v>
      </c>
      <c r="CF54" s="1147">
        <v>63400</v>
      </c>
      <c r="CH54" s="386"/>
      <c r="CI54" s="971" t="str">
        <f>CONCATENATE(County,0.45)</f>
        <v>0.45</v>
      </c>
      <c r="CJ54" s="1126" t="e">
        <f t="shared" si="36"/>
        <v>#VALUE!</v>
      </c>
      <c r="CK54" s="1126" t="e">
        <f t="shared" si="31"/>
        <v>#VALUE!</v>
      </c>
      <c r="CL54" s="1126" t="e">
        <f t="shared" si="32"/>
        <v>#VALUE!</v>
      </c>
      <c r="CM54" s="1126" t="e">
        <f t="shared" si="33"/>
        <v>#VALUE!</v>
      </c>
      <c r="CN54" s="1126" t="e">
        <f t="shared" si="34"/>
        <v>#VALUE!</v>
      </c>
      <c r="CO54" s="1240" t="e">
        <f t="shared" si="35"/>
        <v>#VALUE!</v>
      </c>
      <c r="CP54" s="1681"/>
      <c r="CQ54" s="1682"/>
      <c r="CR54" s="1682"/>
      <c r="CS54" s="78"/>
      <c r="CT54" s="309"/>
      <c r="CU54" s="1682"/>
      <c r="CV54" s="1682"/>
      <c r="CW54" s="309"/>
      <c r="CX54" s="1682"/>
      <c r="CY54" s="1682"/>
      <c r="CZ54" s="1682"/>
      <c r="DA54" s="1682"/>
      <c r="DB54" s="1682"/>
      <c r="DC54" s="1682"/>
      <c r="DD54" s="1682"/>
    </row>
    <row r="55" spans="1:108" ht="18" hidden="1" customHeight="1">
      <c r="A55" s="354"/>
      <c r="B55" s="354"/>
      <c r="C55" s="354"/>
      <c r="D55" s="354"/>
      <c r="E55" s="354"/>
      <c r="F55" s="354"/>
      <c r="G55" s="354"/>
      <c r="H55" s="354"/>
      <c r="I55" s="354"/>
      <c r="J55" s="354"/>
      <c r="K55" s="354"/>
      <c r="L55" s="354"/>
      <c r="M55" s="354"/>
      <c r="N55" s="354"/>
      <c r="O55" s="354"/>
      <c r="P55" s="354"/>
      <c r="Q55" s="354"/>
      <c r="R55" s="354"/>
      <c r="S55" s="354"/>
      <c r="T55" s="354"/>
      <c r="U55" s="354"/>
      <c r="V55" s="354"/>
      <c r="W55" s="354"/>
      <c r="X55" s="354"/>
      <c r="Y55" s="354"/>
      <c r="Z55" s="354"/>
      <c r="AA55" s="354"/>
      <c r="AB55" s="354"/>
      <c r="AC55" s="354"/>
      <c r="AD55" s="354"/>
      <c r="AE55" s="354"/>
      <c r="AF55" s="354"/>
      <c r="AG55" s="354"/>
      <c r="AH55" s="354"/>
      <c r="AI55" s="354"/>
      <c r="AJ55" s="354"/>
      <c r="AK55" s="354"/>
      <c r="AL55" s="354"/>
      <c r="AM55" s="354"/>
      <c r="AN55" s="354"/>
      <c r="AO55" s="2608" t="s">
        <v>1621</v>
      </c>
      <c r="AP55" s="1770"/>
      <c r="AQ55" s="1773" t="s">
        <v>1622</v>
      </c>
      <c r="AR55" s="1953"/>
      <c r="AS55" s="1953"/>
      <c r="AT55" s="1953"/>
      <c r="AU55" s="1953"/>
      <c r="AV55" s="1770"/>
      <c r="AW55" s="1682"/>
      <c r="AX55" s="1682"/>
      <c r="AY55" s="2584"/>
      <c r="AZ55" s="1772"/>
      <c r="BA55" s="2574"/>
      <c r="BB55" s="1870"/>
      <c r="BC55" s="2574"/>
      <c r="BD55" s="1870"/>
      <c r="BE55" s="2574"/>
      <c r="BF55" s="2577"/>
      <c r="BG55" s="658"/>
      <c r="BH55" s="354"/>
      <c r="BI55" s="354"/>
      <c r="BJ55" s="354"/>
      <c r="BK55" s="354"/>
      <c r="BL55" s="354"/>
      <c r="BM55" s="1682"/>
      <c r="BN55" s="1682"/>
      <c r="BO55" s="1682"/>
      <c r="BP55" s="81" t="s">
        <v>1623</v>
      </c>
      <c r="BQ55" s="1556"/>
      <c r="BR55" s="1555">
        <v>47400</v>
      </c>
      <c r="BS55" s="1555">
        <v>53700</v>
      </c>
      <c r="BT55" s="1555">
        <v>61600</v>
      </c>
      <c r="BU55" s="1555">
        <v>74200</v>
      </c>
      <c r="BV55" s="1555">
        <v>79000</v>
      </c>
      <c r="BX55" s="1129" t="s">
        <v>167</v>
      </c>
      <c r="BY55" s="811">
        <v>32900</v>
      </c>
      <c r="BZ55" s="1744">
        <v>37600</v>
      </c>
      <c r="CA55" s="1744">
        <v>42300</v>
      </c>
      <c r="CB55" s="1744">
        <v>46950</v>
      </c>
      <c r="CC55" s="1744">
        <v>50750</v>
      </c>
      <c r="CD55" s="1744">
        <v>54500</v>
      </c>
      <c r="CE55" s="1744">
        <v>58250</v>
      </c>
      <c r="CF55" s="1135">
        <v>62000</v>
      </c>
      <c r="CH55" s="386"/>
      <c r="CI55" s="971" t="str">
        <f>CONCATENATE(County,0.4)</f>
        <v>0.4</v>
      </c>
      <c r="CJ55" s="1126" t="e">
        <f t="shared" si="36"/>
        <v>#VALUE!</v>
      </c>
      <c r="CK55" s="1126" t="e">
        <f t="shared" si="31"/>
        <v>#VALUE!</v>
      </c>
      <c r="CL55" s="1126" t="e">
        <f t="shared" si="32"/>
        <v>#VALUE!</v>
      </c>
      <c r="CM55" s="1126" t="e">
        <f t="shared" si="33"/>
        <v>#VALUE!</v>
      </c>
      <c r="CN55" s="1126" t="e">
        <f t="shared" si="34"/>
        <v>#VALUE!</v>
      </c>
      <c r="CO55" s="1240" t="e">
        <f t="shared" si="35"/>
        <v>#VALUE!</v>
      </c>
      <c r="CP55" s="1681"/>
      <c r="CQ55" s="1682"/>
      <c r="CR55" s="1682"/>
      <c r="CS55" s="78"/>
      <c r="CT55" s="309"/>
      <c r="CU55" s="1682"/>
      <c r="CV55" s="1682"/>
      <c r="CW55" s="309"/>
      <c r="CX55" s="1682"/>
      <c r="CY55" s="1682"/>
      <c r="CZ55" s="1682"/>
      <c r="DA55" s="1682"/>
      <c r="DB55" s="1682"/>
      <c r="DC55" s="1682"/>
      <c r="DD55" s="1682"/>
    </row>
    <row r="56" spans="1:108" ht="27.75" hidden="1" customHeight="1">
      <c r="A56" s="354"/>
      <c r="B56" s="354"/>
      <c r="C56" s="354"/>
      <c r="D56" s="354"/>
      <c r="E56" s="354"/>
      <c r="F56" s="354"/>
      <c r="G56" s="354"/>
      <c r="H56" s="354"/>
      <c r="I56" s="354"/>
      <c r="J56" s="354"/>
      <c r="K56" s="354"/>
      <c r="L56" s="354"/>
      <c r="M56" s="354"/>
      <c r="N56" s="354"/>
      <c r="O56" s="354"/>
      <c r="P56" s="354"/>
      <c r="Q56" s="354"/>
      <c r="R56" s="354"/>
      <c r="S56" s="354"/>
      <c r="T56" s="354"/>
      <c r="U56" s="354"/>
      <c r="V56" s="354"/>
      <c r="W56" s="354"/>
      <c r="X56" s="354"/>
      <c r="Y56" s="354"/>
      <c r="Z56" s="354"/>
      <c r="AA56" s="354"/>
      <c r="AB56" s="354"/>
      <c r="AC56" s="354"/>
      <c r="AD56" s="354"/>
      <c r="AE56" s="354"/>
      <c r="AF56" s="354"/>
      <c r="AG56" s="354"/>
      <c r="AH56" s="354"/>
      <c r="AI56" s="354"/>
      <c r="AJ56" s="354"/>
      <c r="AK56" s="354"/>
      <c r="AL56" s="354"/>
      <c r="AM56" s="354"/>
      <c r="AN56" s="354"/>
      <c r="AO56" s="1149" t="s">
        <v>1474</v>
      </c>
      <c r="AP56" s="1149" t="s">
        <v>1580</v>
      </c>
      <c r="AQ56" s="1149" t="s">
        <v>1624</v>
      </c>
      <c r="AR56" s="1149" t="s">
        <v>1625</v>
      </c>
      <c r="AS56" s="1149" t="s">
        <v>1626</v>
      </c>
      <c r="AT56" s="1149" t="s">
        <v>1627</v>
      </c>
      <c r="AU56" s="1149" t="s">
        <v>1628</v>
      </c>
      <c r="AV56" s="1149" t="s">
        <v>1629</v>
      </c>
      <c r="AW56" s="1682"/>
      <c r="AX56" s="1682"/>
      <c r="AY56" s="2583" t="s">
        <v>1630</v>
      </c>
      <c r="AZ56" s="1770"/>
      <c r="BA56" s="2573"/>
      <c r="BB56" s="1865"/>
      <c r="BC56" s="2573"/>
      <c r="BD56" s="1865"/>
      <c r="BE56" s="2575"/>
      <c r="BF56" s="2576"/>
      <c r="BG56" s="659"/>
      <c r="BH56" s="354"/>
      <c r="BI56" s="354"/>
      <c r="BJ56" s="354"/>
      <c r="BK56" s="354"/>
      <c r="BL56" s="354"/>
      <c r="BM56" s="1682"/>
      <c r="BN56" s="1682"/>
      <c r="BO56" s="1682"/>
      <c r="BP56" s="81" t="s">
        <v>1631</v>
      </c>
      <c r="BQ56" s="1557"/>
      <c r="BR56" s="1555">
        <v>55300</v>
      </c>
      <c r="BS56" s="1555">
        <v>58400</v>
      </c>
      <c r="BT56" s="1555">
        <v>66300</v>
      </c>
      <c r="BU56" s="1555">
        <v>85300</v>
      </c>
      <c r="BV56" s="1555">
        <v>90000</v>
      </c>
      <c r="BX56" s="1129" t="s">
        <v>169</v>
      </c>
      <c r="BY56" s="812">
        <v>32900</v>
      </c>
      <c r="BZ56" s="813">
        <v>37600</v>
      </c>
      <c r="CA56" s="813">
        <v>42300</v>
      </c>
      <c r="CB56" s="813">
        <v>46950</v>
      </c>
      <c r="CC56" s="813">
        <v>50750</v>
      </c>
      <c r="CD56" s="813">
        <v>54500</v>
      </c>
      <c r="CE56" s="813">
        <v>58250</v>
      </c>
      <c r="CF56" s="1147">
        <v>62000</v>
      </c>
      <c r="CH56" s="386"/>
      <c r="CI56" s="971" t="str">
        <f>CONCATENATE(County,0.35)</f>
        <v>0.35</v>
      </c>
      <c r="CJ56" s="1126" t="e">
        <f t="shared" si="36"/>
        <v>#VALUE!</v>
      </c>
      <c r="CK56" s="1126" t="e">
        <f t="shared" si="31"/>
        <v>#VALUE!</v>
      </c>
      <c r="CL56" s="1126" t="e">
        <f t="shared" si="32"/>
        <v>#VALUE!</v>
      </c>
      <c r="CM56" s="1126" t="e">
        <f t="shared" si="33"/>
        <v>#VALUE!</v>
      </c>
      <c r="CN56" s="1126" t="e">
        <f t="shared" si="34"/>
        <v>#VALUE!</v>
      </c>
      <c r="CO56" s="1240" t="e">
        <f t="shared" si="35"/>
        <v>#VALUE!</v>
      </c>
      <c r="CP56" s="1681"/>
      <c r="CQ56" s="1682"/>
      <c r="CR56" s="1682"/>
      <c r="CS56" s="78"/>
      <c r="CT56" s="309"/>
      <c r="CU56" s="1682"/>
      <c r="CV56" s="1682"/>
      <c r="CW56" s="309"/>
      <c r="CX56" s="1682"/>
      <c r="CY56" s="1682"/>
      <c r="CZ56" s="1682"/>
      <c r="DA56" s="1682"/>
      <c r="DB56" s="1682"/>
      <c r="DC56" s="1682"/>
      <c r="DD56" s="1682"/>
    </row>
    <row r="57" spans="1:108" ht="18" hidden="1" customHeight="1">
      <c r="A57" s="354"/>
      <c r="B57" s="354"/>
      <c r="C57" s="354"/>
      <c r="D57" s="354"/>
      <c r="E57" s="354"/>
      <c r="F57" s="354"/>
      <c r="G57" s="354"/>
      <c r="H57" s="354"/>
      <c r="I57" s="354"/>
      <c r="J57" s="354"/>
      <c r="K57" s="354"/>
      <c r="L57" s="354"/>
      <c r="M57" s="354"/>
      <c r="N57" s="354"/>
      <c r="O57" s="354"/>
      <c r="P57" s="354"/>
      <c r="Q57" s="354"/>
      <c r="R57" s="354"/>
      <c r="S57" s="354"/>
      <c r="T57" s="354"/>
      <c r="U57" s="354"/>
      <c r="V57" s="354"/>
      <c r="W57" s="354"/>
      <c r="X57" s="354"/>
      <c r="Y57" s="354"/>
      <c r="Z57" s="354"/>
      <c r="AA57" s="354"/>
      <c r="AB57" s="354"/>
      <c r="AC57" s="354"/>
      <c r="AD57" s="354"/>
      <c r="AE57" s="354"/>
      <c r="AF57" s="354"/>
      <c r="AG57" s="354"/>
      <c r="AH57" s="354"/>
      <c r="AI57" s="354"/>
      <c r="AJ57" s="354"/>
      <c r="AK57" s="354"/>
      <c r="AL57" s="354"/>
      <c r="AM57" s="354"/>
      <c r="AN57" s="354"/>
      <c r="AO57" s="665" t="str">
        <f>CONCATENATE('Max Loan and Grant Amounts'!$V$5,1.2)</f>
        <v>1.2</v>
      </c>
      <c r="AP57" s="1256">
        <v>1.2E-2</v>
      </c>
      <c r="AQ57" s="1257"/>
      <c r="AR57" s="1257"/>
      <c r="AS57" s="1257"/>
      <c r="AT57" s="1257"/>
      <c r="AU57" s="1257"/>
      <c r="AV57" s="1257"/>
      <c r="AW57" s="1682"/>
      <c r="AX57" s="1682"/>
      <c r="AY57" s="2584"/>
      <c r="AZ57" s="1772"/>
      <c r="BA57" s="2574"/>
      <c r="BB57" s="1870"/>
      <c r="BC57" s="2574"/>
      <c r="BD57" s="1870"/>
      <c r="BE57" s="2574"/>
      <c r="BF57" s="2577"/>
      <c r="BG57" s="659"/>
      <c r="BH57" s="354"/>
      <c r="BI57" s="354"/>
      <c r="BJ57" s="354"/>
      <c r="BK57" s="354"/>
      <c r="BL57" s="354"/>
      <c r="BM57" s="1682"/>
      <c r="BN57" s="1682"/>
      <c r="BO57" s="1682"/>
      <c r="BP57" s="81"/>
      <c r="BQ57" s="78"/>
      <c r="BR57" s="78"/>
      <c r="BS57" s="78"/>
      <c r="BT57" s="78"/>
      <c r="BU57" s="78"/>
      <c r="BV57" s="408"/>
      <c r="BX57" s="1129" t="s">
        <v>70</v>
      </c>
      <c r="BY57" s="811">
        <v>32900</v>
      </c>
      <c r="BZ57" s="1744">
        <v>37600</v>
      </c>
      <c r="CA57" s="1744">
        <v>42300</v>
      </c>
      <c r="CB57" s="1744">
        <v>46950</v>
      </c>
      <c r="CC57" s="1744">
        <v>50750</v>
      </c>
      <c r="CD57" s="1744">
        <v>54500</v>
      </c>
      <c r="CE57" s="1744">
        <v>58250</v>
      </c>
      <c r="CF57" s="1135">
        <v>62000</v>
      </c>
      <c r="CH57" s="386"/>
      <c r="CI57" s="971" t="str">
        <f>CONCATENATE(County,0.3)</f>
        <v>0.3</v>
      </c>
      <c r="CJ57" s="1126" t="e">
        <f t="shared" si="36"/>
        <v>#VALUE!</v>
      </c>
      <c r="CK57" s="1126" t="e">
        <f t="shared" si="31"/>
        <v>#VALUE!</v>
      </c>
      <c r="CL57" s="1126" t="e">
        <f t="shared" si="32"/>
        <v>#VALUE!</v>
      </c>
      <c r="CM57" s="1126" t="e">
        <f t="shared" si="33"/>
        <v>#VALUE!</v>
      </c>
      <c r="CN57" s="1126" t="e">
        <f t="shared" si="34"/>
        <v>#VALUE!</v>
      </c>
      <c r="CO57" s="1240" t="e">
        <f t="shared" si="35"/>
        <v>#VALUE!</v>
      </c>
      <c r="CP57" s="1681"/>
      <c r="CQ57" s="1682"/>
      <c r="CR57" s="1682"/>
      <c r="CS57" s="78"/>
      <c r="CT57" s="309"/>
      <c r="CU57" s="1682"/>
      <c r="CV57" s="1682"/>
      <c r="CW57" s="309"/>
      <c r="CX57" s="1682"/>
      <c r="CY57" s="1682"/>
      <c r="CZ57" s="1682"/>
      <c r="DA57" s="1682"/>
      <c r="DB57" s="1682"/>
      <c r="DC57" s="1682"/>
      <c r="DD57" s="1682"/>
    </row>
    <row r="58" spans="1:108" ht="18" hidden="1" customHeight="1">
      <c r="A58" s="354"/>
      <c r="B58" s="354"/>
      <c r="C58" s="354"/>
      <c r="D58" s="354"/>
      <c r="E58" s="354"/>
      <c r="F58" s="354"/>
      <c r="G58" s="354"/>
      <c r="H58" s="354"/>
      <c r="I58" s="354"/>
      <c r="J58" s="354"/>
      <c r="K58" s="354"/>
      <c r="L58" s="354"/>
      <c r="M58" s="354"/>
      <c r="N58" s="354"/>
      <c r="O58" s="354"/>
      <c r="P58" s="354"/>
      <c r="Q58" s="354"/>
      <c r="R58" s="354"/>
      <c r="S58" s="354"/>
      <c r="T58" s="354"/>
      <c r="U58" s="354"/>
      <c r="V58" s="354"/>
      <c r="W58" s="354"/>
      <c r="X58" s="354"/>
      <c r="Y58" s="354"/>
      <c r="Z58" s="354"/>
      <c r="AA58" s="354"/>
      <c r="AB58" s="354"/>
      <c r="AC58" s="354"/>
      <c r="AD58" s="354"/>
      <c r="AE58" s="354"/>
      <c r="AF58" s="354"/>
      <c r="AG58" s="354"/>
      <c r="AH58" s="354"/>
      <c r="AI58" s="354"/>
      <c r="AJ58" s="354"/>
      <c r="AK58" s="354"/>
      <c r="AL58" s="354"/>
      <c r="AM58" s="354"/>
      <c r="AN58" s="354"/>
      <c r="AO58" s="665" t="str">
        <f>CONCATENATE('Max Loan and Grant Amounts'!$V$5,1.1)</f>
        <v>1.1</v>
      </c>
      <c r="AP58" s="1258">
        <v>1.0999999999999999E-2</v>
      </c>
      <c r="AQ58" s="1259"/>
      <c r="AR58" s="1259"/>
      <c r="AS58" s="1259"/>
      <c r="AT58" s="1259"/>
      <c r="AU58" s="1259"/>
      <c r="AV58" s="1259"/>
      <c r="AW58" s="1682"/>
      <c r="AX58" s="1682"/>
      <c r="AY58" s="2583" t="s">
        <v>1632</v>
      </c>
      <c r="AZ58" s="1770"/>
      <c r="BA58" s="2578"/>
      <c r="BB58" s="1865"/>
      <c r="BC58" s="2578"/>
      <c r="BD58" s="1865"/>
      <c r="BE58" s="2635"/>
      <c r="BF58" s="2576"/>
      <c r="BG58" s="660"/>
      <c r="BH58" s="354"/>
      <c r="BI58" s="354"/>
      <c r="BJ58" s="354"/>
      <c r="BK58" s="354"/>
      <c r="BL58" s="354"/>
      <c r="BM58" s="1682"/>
      <c r="BN58" s="1682"/>
      <c r="BO58" s="1682"/>
      <c r="BP58" s="411" t="s">
        <v>1615</v>
      </c>
      <c r="BQ58" s="78"/>
      <c r="BR58" s="78"/>
      <c r="BS58" s="78"/>
      <c r="BT58" s="78"/>
      <c r="BU58" s="78"/>
      <c r="BV58" s="408"/>
      <c r="BX58" s="1129" t="s">
        <v>172</v>
      </c>
      <c r="BY58" s="812">
        <v>35600</v>
      </c>
      <c r="BZ58" s="813">
        <v>40650</v>
      </c>
      <c r="CA58" s="813">
        <v>45750</v>
      </c>
      <c r="CB58" s="813">
        <v>50800</v>
      </c>
      <c r="CC58" s="813">
        <v>54900</v>
      </c>
      <c r="CD58" s="813">
        <v>58950</v>
      </c>
      <c r="CE58" s="813">
        <v>63000</v>
      </c>
      <c r="CF58" s="1147">
        <v>67100</v>
      </c>
      <c r="CH58" s="386"/>
      <c r="CI58" s="971" t="str">
        <f>CONCATENATE(County,0.25)</f>
        <v>0.25</v>
      </c>
      <c r="CJ58" s="1126" t="e">
        <f t="shared" si="36"/>
        <v>#VALUE!</v>
      </c>
      <c r="CK58" s="1126" t="e">
        <f t="shared" si="31"/>
        <v>#VALUE!</v>
      </c>
      <c r="CL58" s="1126" t="e">
        <f t="shared" si="32"/>
        <v>#VALUE!</v>
      </c>
      <c r="CM58" s="1126" t="e">
        <f t="shared" si="33"/>
        <v>#VALUE!</v>
      </c>
      <c r="CN58" s="1126" t="e">
        <f t="shared" si="34"/>
        <v>#VALUE!</v>
      </c>
      <c r="CO58" s="1240" t="e">
        <f t="shared" si="35"/>
        <v>#VALUE!</v>
      </c>
      <c r="CP58" s="1681"/>
      <c r="CQ58" s="1682"/>
      <c r="CR58" s="1682"/>
      <c r="CS58" s="78"/>
      <c r="CT58" s="309"/>
      <c r="CU58" s="1682"/>
      <c r="CV58" s="1682"/>
      <c r="CW58" s="309"/>
      <c r="CX58" s="1682"/>
      <c r="CY58" s="1682"/>
      <c r="CZ58" s="1682"/>
      <c r="DA58" s="1682"/>
      <c r="DB58" s="1682"/>
      <c r="DC58" s="1682"/>
      <c r="DD58" s="1682"/>
    </row>
    <row r="59" spans="1:108" ht="18" hidden="1" customHeight="1">
      <c r="A59" s="354"/>
      <c r="B59" s="354"/>
      <c r="C59" s="354"/>
      <c r="D59" s="354"/>
      <c r="E59" s="354"/>
      <c r="F59" s="354"/>
      <c r="G59" s="354"/>
      <c r="H59" s="354"/>
      <c r="I59" s="354"/>
      <c r="J59" s="354"/>
      <c r="K59" s="354"/>
      <c r="L59" s="354"/>
      <c r="M59" s="354"/>
      <c r="N59" s="354"/>
      <c r="O59" s="354"/>
      <c r="P59" s="354"/>
      <c r="Q59" s="354"/>
      <c r="R59" s="354"/>
      <c r="S59" s="354"/>
      <c r="T59" s="354"/>
      <c r="U59" s="354"/>
      <c r="V59" s="354"/>
      <c r="W59" s="354"/>
      <c r="X59" s="354"/>
      <c r="Y59" s="354"/>
      <c r="Z59" s="354"/>
      <c r="AA59" s="354"/>
      <c r="AB59" s="354"/>
      <c r="AC59" s="354"/>
      <c r="AD59" s="354"/>
      <c r="AE59" s="354"/>
      <c r="AF59" s="354"/>
      <c r="AG59" s="354"/>
      <c r="AH59" s="354"/>
      <c r="AI59" s="354"/>
      <c r="AJ59" s="354"/>
      <c r="AK59" s="354"/>
      <c r="AL59" s="354"/>
      <c r="AM59" s="354"/>
      <c r="AN59" s="354"/>
      <c r="AO59" s="665" t="str">
        <f>CONCATENATE('Max Loan and Grant Amounts'!$V$5,1)</f>
        <v>1</v>
      </c>
      <c r="AP59" s="1260">
        <v>1</v>
      </c>
      <c r="AQ59" s="1259"/>
      <c r="AR59" s="1259"/>
      <c r="AS59" s="1259"/>
      <c r="AT59" s="1259"/>
      <c r="AU59" s="1259"/>
      <c r="AV59" s="1259"/>
      <c r="AW59" s="1682"/>
      <c r="AX59" s="1682"/>
      <c r="AY59" s="2443"/>
      <c r="AZ59" s="1889"/>
      <c r="BA59" s="2579"/>
      <c r="BB59" s="2023"/>
      <c r="BC59" s="2579"/>
      <c r="BD59" s="2023"/>
      <c r="BE59" s="2579"/>
      <c r="BF59" s="2591"/>
      <c r="BG59" s="660"/>
      <c r="BH59" s="354"/>
      <c r="BI59" s="354"/>
      <c r="BJ59" s="354"/>
      <c r="BK59" s="354"/>
      <c r="BL59" s="354"/>
      <c r="BM59" s="1682"/>
      <c r="BN59" s="1682"/>
      <c r="BO59" s="1682"/>
      <c r="BP59" s="412" t="s">
        <v>1618</v>
      </c>
      <c r="BQ59" s="78"/>
      <c r="BR59" s="78"/>
      <c r="BS59" s="78"/>
      <c r="BT59" s="78"/>
      <c r="BU59" s="78"/>
      <c r="BV59" s="408"/>
      <c r="BX59" s="1129" t="s">
        <v>74</v>
      </c>
      <c r="BY59" s="811">
        <v>52400</v>
      </c>
      <c r="BZ59" s="1744">
        <v>59900</v>
      </c>
      <c r="CA59" s="1744">
        <v>67400</v>
      </c>
      <c r="CB59" s="1744">
        <v>74850</v>
      </c>
      <c r="CC59" s="1744">
        <v>80850</v>
      </c>
      <c r="CD59" s="1744">
        <v>86850</v>
      </c>
      <c r="CE59" s="1744">
        <v>92850</v>
      </c>
      <c r="CF59" s="1135">
        <v>98850</v>
      </c>
      <c r="CH59" s="386"/>
      <c r="CI59" s="971" t="str">
        <f>CONCATENATE(County,0.2)</f>
        <v>0.2</v>
      </c>
      <c r="CJ59" s="1126" t="e">
        <f t="shared" si="36"/>
        <v>#VALUE!</v>
      </c>
      <c r="CK59" s="1126" t="e">
        <f t="shared" si="31"/>
        <v>#VALUE!</v>
      </c>
      <c r="CL59" s="1126" t="e">
        <f t="shared" si="32"/>
        <v>#VALUE!</v>
      </c>
      <c r="CM59" s="1126" t="e">
        <f t="shared" si="33"/>
        <v>#VALUE!</v>
      </c>
      <c r="CN59" s="1126" t="e">
        <f t="shared" si="34"/>
        <v>#VALUE!</v>
      </c>
      <c r="CO59" s="1240" t="e">
        <f t="shared" si="35"/>
        <v>#VALUE!</v>
      </c>
      <c r="CP59" s="1681"/>
      <c r="CQ59" s="1682"/>
      <c r="CR59" s="1682"/>
      <c r="CS59" s="78"/>
      <c r="CT59" s="309"/>
      <c r="CU59" s="1682"/>
      <c r="CV59" s="1682"/>
      <c r="CW59" s="309"/>
      <c r="CX59" s="1682"/>
      <c r="CY59" s="1682"/>
      <c r="CZ59" s="1682"/>
      <c r="DA59" s="1682"/>
      <c r="DB59" s="1682"/>
      <c r="DC59" s="1682"/>
      <c r="DD59" s="1682"/>
    </row>
    <row r="60" spans="1:108" ht="18" hidden="1" customHeight="1">
      <c r="A60" s="354"/>
      <c r="B60" s="354"/>
      <c r="C60" s="354"/>
      <c r="D60" s="354"/>
      <c r="E60" s="354"/>
      <c r="F60" s="354"/>
      <c r="G60" s="354"/>
      <c r="H60" s="354"/>
      <c r="I60" s="354"/>
      <c r="J60" s="354"/>
      <c r="K60" s="354"/>
      <c r="L60" s="354"/>
      <c r="M60" s="354"/>
      <c r="N60" s="354"/>
      <c r="O60" s="354"/>
      <c r="P60" s="354"/>
      <c r="Q60" s="354"/>
      <c r="R60" s="354"/>
      <c r="S60" s="354"/>
      <c r="T60" s="354"/>
      <c r="U60" s="354"/>
      <c r="V60" s="354"/>
      <c r="W60" s="354"/>
      <c r="X60" s="354"/>
      <c r="Y60" s="354"/>
      <c r="Z60" s="354"/>
      <c r="AA60" s="354"/>
      <c r="AB60" s="354"/>
      <c r="AC60" s="354"/>
      <c r="AD60" s="354"/>
      <c r="AE60" s="354"/>
      <c r="AF60" s="354"/>
      <c r="AG60" s="354"/>
      <c r="AH60" s="354"/>
      <c r="AI60" s="354"/>
      <c r="AJ60" s="354"/>
      <c r="AK60" s="354"/>
      <c r="AL60" s="354"/>
      <c r="AM60" s="354"/>
      <c r="AN60" s="354"/>
      <c r="AO60" s="665" t="str">
        <f>CONCATENATE('Max Loan and Grant Amounts'!$V$5,0.95)</f>
        <v>0.95</v>
      </c>
      <c r="AP60" s="1260">
        <v>0.95</v>
      </c>
      <c r="AQ60" s="1259"/>
      <c r="AR60" s="1259"/>
      <c r="AS60" s="1259"/>
      <c r="AT60" s="1259"/>
      <c r="AU60" s="1259"/>
      <c r="AV60" s="1259"/>
      <c r="AW60" s="1682"/>
      <c r="AX60" s="1682"/>
      <c r="AY60" s="2584"/>
      <c r="AZ60" s="1772"/>
      <c r="BA60" s="2574"/>
      <c r="BB60" s="1870"/>
      <c r="BC60" s="2574"/>
      <c r="BD60" s="1870"/>
      <c r="BE60" s="2574"/>
      <c r="BF60" s="2577"/>
      <c r="BG60" s="660"/>
      <c r="BH60" s="354"/>
      <c r="BI60" s="354"/>
      <c r="BJ60" s="354"/>
      <c r="BK60" s="354"/>
      <c r="BL60" s="354"/>
      <c r="BM60" s="1682"/>
      <c r="BN60" s="1682"/>
      <c r="BO60" s="1682"/>
      <c r="BP60" s="413" t="s">
        <v>1620</v>
      </c>
      <c r="BQ60" s="78"/>
      <c r="BR60" s="78"/>
      <c r="BS60" s="78"/>
      <c r="BT60" s="78"/>
      <c r="BU60" s="78"/>
      <c r="BV60" s="408"/>
      <c r="BX60" s="1129" t="s">
        <v>174</v>
      </c>
      <c r="BY60" s="812">
        <v>44100</v>
      </c>
      <c r="BZ60" s="813">
        <v>50400</v>
      </c>
      <c r="CA60" s="813">
        <v>56650</v>
      </c>
      <c r="CB60" s="813">
        <v>62950</v>
      </c>
      <c r="CC60" s="813">
        <v>68000</v>
      </c>
      <c r="CD60" s="813">
        <v>73050</v>
      </c>
      <c r="CE60" s="813">
        <v>78100</v>
      </c>
      <c r="CF60" s="1147">
        <v>83100</v>
      </c>
      <c r="CH60" s="386"/>
      <c r="CI60" s="971" t="str">
        <f>CONCATENATE(County,0.15)</f>
        <v>0.15</v>
      </c>
      <c r="CJ60" s="1261" t="e">
        <f t="shared" si="36"/>
        <v>#VALUE!</v>
      </c>
      <c r="CK60" s="1261" t="e">
        <f t="shared" si="31"/>
        <v>#VALUE!</v>
      </c>
      <c r="CL60" s="1261" t="e">
        <f t="shared" si="32"/>
        <v>#VALUE!</v>
      </c>
      <c r="CM60" s="1261" t="e">
        <f t="shared" si="33"/>
        <v>#VALUE!</v>
      </c>
      <c r="CN60" s="1261" t="e">
        <f t="shared" si="34"/>
        <v>#VALUE!</v>
      </c>
      <c r="CO60" s="312" t="e">
        <f t="shared" si="35"/>
        <v>#VALUE!</v>
      </c>
      <c r="CP60" s="1681"/>
      <c r="CQ60" s="1682"/>
      <c r="CR60" s="1682"/>
      <c r="CS60" s="1682"/>
      <c r="CT60" s="1682"/>
      <c r="CU60" s="1682"/>
      <c r="CV60" s="1682"/>
      <c r="CW60" s="309"/>
      <c r="CX60" s="1682"/>
      <c r="CY60" s="1682"/>
      <c r="CZ60" s="1682"/>
      <c r="DA60" s="1682"/>
      <c r="DB60" s="1682"/>
      <c r="DC60" s="1682"/>
      <c r="DD60" s="1682"/>
    </row>
    <row r="61" spans="1:108" ht="18" hidden="1" customHeight="1" thickBot="1">
      <c r="A61" s="354"/>
      <c r="B61" s="354"/>
      <c r="C61" s="354"/>
      <c r="D61" s="354"/>
      <c r="E61" s="354"/>
      <c r="F61" s="354"/>
      <c r="G61" s="354"/>
      <c r="H61" s="354"/>
      <c r="I61" s="354"/>
      <c r="J61" s="354"/>
      <c r="K61" s="354"/>
      <c r="L61" s="354"/>
      <c r="M61" s="354"/>
      <c r="N61" s="354"/>
      <c r="O61" s="354"/>
      <c r="P61" s="354"/>
      <c r="Q61" s="354"/>
      <c r="R61" s="354"/>
      <c r="S61" s="354"/>
      <c r="T61" s="354"/>
      <c r="U61" s="354"/>
      <c r="V61" s="354"/>
      <c r="W61" s="354"/>
      <c r="X61" s="354"/>
      <c r="Y61" s="354"/>
      <c r="Z61" s="354"/>
      <c r="AA61" s="354"/>
      <c r="AB61" s="354"/>
      <c r="AC61" s="354"/>
      <c r="AD61" s="354"/>
      <c r="AE61" s="354"/>
      <c r="AF61" s="354"/>
      <c r="AG61" s="354"/>
      <c r="AH61" s="354"/>
      <c r="AI61" s="354"/>
      <c r="AJ61" s="354"/>
      <c r="AK61" s="354"/>
      <c r="AL61" s="354"/>
      <c r="AM61" s="354"/>
      <c r="AN61" s="354"/>
      <c r="AO61" s="665" t="str">
        <f>CONCATENATE('Max Loan and Grant Amounts'!$V$5,0.9)</f>
        <v>0.9</v>
      </c>
      <c r="AP61" s="1260">
        <v>0.9</v>
      </c>
      <c r="AQ61" s="1259"/>
      <c r="AR61" s="1259"/>
      <c r="AS61" s="1259"/>
      <c r="AT61" s="1259"/>
      <c r="AU61" s="1259"/>
      <c r="AV61" s="1259"/>
      <c r="AW61" s="1682"/>
      <c r="AX61" s="1682"/>
      <c r="AY61" s="2639" t="s">
        <v>1633</v>
      </c>
      <c r="AZ61" s="1778"/>
      <c r="BA61" s="2578"/>
      <c r="BB61" s="1862"/>
      <c r="BC61" s="2578"/>
      <c r="BD61" s="1862"/>
      <c r="BE61" s="2635"/>
      <c r="BF61" s="2036"/>
      <c r="BG61" s="660"/>
      <c r="BH61" s="354"/>
      <c r="BI61" s="354"/>
      <c r="BJ61" s="354"/>
      <c r="BK61" s="354"/>
      <c r="BL61" s="354"/>
      <c r="BM61" s="1682"/>
      <c r="BN61" s="1682"/>
      <c r="BO61" s="1682"/>
      <c r="BP61" s="412" t="s">
        <v>1623</v>
      </c>
      <c r="BQ61" s="78"/>
      <c r="BR61" s="78"/>
      <c r="BS61" s="78"/>
      <c r="BT61" s="78"/>
      <c r="BU61" s="78"/>
      <c r="BV61" s="408"/>
      <c r="BX61" s="1262" t="s">
        <v>176</v>
      </c>
      <c r="BY61" s="1263">
        <v>33600</v>
      </c>
      <c r="BZ61" s="1264">
        <v>38400</v>
      </c>
      <c r="CA61" s="1264">
        <v>43200</v>
      </c>
      <c r="CB61" s="1264">
        <v>48000</v>
      </c>
      <c r="CC61" s="1264">
        <v>51850</v>
      </c>
      <c r="CD61" s="1264">
        <v>55700</v>
      </c>
      <c r="CE61" s="1264">
        <v>59500</v>
      </c>
      <c r="CF61" s="1469">
        <v>63400</v>
      </c>
      <c r="CH61" s="365"/>
      <c r="CI61" s="366"/>
      <c r="CJ61" s="366"/>
      <c r="CK61" s="366"/>
      <c r="CL61" s="366"/>
      <c r="CM61" s="366"/>
      <c r="CN61" s="366"/>
      <c r="CO61" s="366"/>
      <c r="CP61" s="375"/>
      <c r="CQ61" s="1682"/>
      <c r="CR61" s="1682"/>
      <c r="CS61" s="1682"/>
      <c r="CT61" s="1682"/>
      <c r="CU61" s="1682"/>
      <c r="CV61" s="1682"/>
      <c r="CW61" s="309"/>
      <c r="CX61" s="1682"/>
      <c r="CY61" s="1682"/>
      <c r="CZ61" s="1682"/>
      <c r="DA61" s="1682"/>
      <c r="DB61" s="1682"/>
      <c r="DC61" s="1682"/>
      <c r="DD61" s="1682"/>
    </row>
    <row r="62" spans="1:108" ht="18" hidden="1" customHeight="1">
      <c r="A62" s="354"/>
      <c r="B62" s="354"/>
      <c r="C62" s="354"/>
      <c r="D62" s="354"/>
      <c r="E62" s="354"/>
      <c r="F62" s="354"/>
      <c r="G62" s="354"/>
      <c r="H62" s="354"/>
      <c r="I62" s="354"/>
      <c r="J62" s="354"/>
      <c r="K62" s="354"/>
      <c r="L62" s="354"/>
      <c r="M62" s="354"/>
      <c r="N62" s="354"/>
      <c r="O62" s="354"/>
      <c r="P62" s="354"/>
      <c r="Q62" s="354"/>
      <c r="R62" s="354"/>
      <c r="S62" s="354"/>
      <c r="T62" s="354"/>
      <c r="U62" s="354"/>
      <c r="V62" s="354"/>
      <c r="W62" s="354"/>
      <c r="X62" s="354"/>
      <c r="Y62" s="354"/>
      <c r="Z62" s="354"/>
      <c r="AA62" s="354"/>
      <c r="AB62" s="354"/>
      <c r="AC62" s="354"/>
      <c r="AD62" s="354"/>
      <c r="AE62" s="354"/>
      <c r="AF62" s="354"/>
      <c r="AG62" s="354"/>
      <c r="AH62" s="354"/>
      <c r="AI62" s="354"/>
      <c r="AJ62" s="354"/>
      <c r="AK62" s="354"/>
      <c r="AL62" s="354"/>
      <c r="AM62" s="354"/>
      <c r="AN62" s="354"/>
      <c r="AO62" s="665" t="str">
        <f>CONCATENATE('Max Loan and Grant Amounts'!$V$5,0.85)</f>
        <v>0.85</v>
      </c>
      <c r="AP62" s="1260">
        <v>0.85</v>
      </c>
      <c r="AQ62" s="1259"/>
      <c r="AR62" s="1259"/>
      <c r="AS62" s="1259"/>
      <c r="AT62" s="1259"/>
      <c r="AU62" s="1259"/>
      <c r="AV62" s="1259"/>
      <c r="AW62" s="1682"/>
      <c r="AX62" s="1682"/>
      <c r="AY62" s="2639" t="s">
        <v>1634</v>
      </c>
      <c r="AZ62" s="1778"/>
      <c r="BA62" s="2663"/>
      <c r="BB62" s="1862"/>
      <c r="BC62" s="2663"/>
      <c r="BD62" s="1862"/>
      <c r="BE62" s="2666"/>
      <c r="BF62" s="2036"/>
      <c r="BG62" s="661"/>
      <c r="BH62" s="354"/>
      <c r="BI62" s="354"/>
      <c r="BJ62" s="354"/>
      <c r="BK62" s="354"/>
      <c r="BL62" s="354"/>
      <c r="BM62" s="1682"/>
      <c r="BN62" s="1682"/>
      <c r="BO62" s="1682"/>
      <c r="BP62" s="414" t="s">
        <v>1631</v>
      </c>
      <c r="BQ62" s="78"/>
      <c r="BR62" s="78"/>
      <c r="BS62" s="78"/>
      <c r="BT62" s="78"/>
      <c r="BU62" s="78"/>
      <c r="BV62" s="408"/>
      <c r="CQ62" s="1682"/>
      <c r="CR62" s="1682"/>
      <c r="CS62" s="1682"/>
      <c r="CT62" s="1682"/>
      <c r="CU62" s="1682"/>
      <c r="CV62" s="1682"/>
      <c r="CW62" s="309"/>
      <c r="CX62" s="1682"/>
      <c r="CY62" s="1682"/>
      <c r="CZ62" s="1682"/>
      <c r="DA62" s="1682"/>
      <c r="DB62" s="1682"/>
      <c r="DC62" s="1682"/>
      <c r="DD62" s="1682"/>
    </row>
    <row r="63" spans="1:108" ht="18" hidden="1" customHeight="1">
      <c r="A63" s="354"/>
      <c r="B63" s="354"/>
      <c r="C63" s="354"/>
      <c r="D63" s="354"/>
      <c r="E63" s="354"/>
      <c r="F63" s="354"/>
      <c r="G63" s="354"/>
      <c r="H63" s="354"/>
      <c r="I63" s="354"/>
      <c r="J63" s="354"/>
      <c r="K63" s="354"/>
      <c r="L63" s="354"/>
      <c r="M63" s="354"/>
      <c r="N63" s="354"/>
      <c r="O63" s="354"/>
      <c r="P63" s="354"/>
      <c r="Q63" s="354"/>
      <c r="R63" s="354"/>
      <c r="S63" s="354"/>
      <c r="T63" s="354"/>
      <c r="U63" s="354"/>
      <c r="V63" s="354"/>
      <c r="W63" s="354"/>
      <c r="X63" s="354"/>
      <c r="Y63" s="354"/>
      <c r="Z63" s="354"/>
      <c r="AA63" s="354"/>
      <c r="AB63" s="354"/>
      <c r="AC63" s="354"/>
      <c r="AD63" s="354"/>
      <c r="AE63" s="354"/>
      <c r="AF63" s="354"/>
      <c r="AG63" s="354"/>
      <c r="AH63" s="354"/>
      <c r="AI63" s="354"/>
      <c r="AJ63" s="354"/>
      <c r="AK63" s="354"/>
      <c r="AL63" s="354"/>
      <c r="AM63" s="354"/>
      <c r="AN63" s="354"/>
      <c r="AO63" s="665" t="str">
        <f>CONCATENATE('Max Loan and Grant Amounts'!$V$5,0.8)</f>
        <v>0.8</v>
      </c>
      <c r="AP63" s="1260">
        <v>0.8</v>
      </c>
      <c r="AQ63" s="1259"/>
      <c r="AR63" s="1259"/>
      <c r="AS63" s="1259"/>
      <c r="AT63" s="1259"/>
      <c r="AU63" s="1259"/>
      <c r="AV63" s="1259"/>
      <c r="AW63" s="1682"/>
      <c r="AX63" s="1682"/>
      <c r="AY63" s="2583" t="s">
        <v>1635</v>
      </c>
      <c r="AZ63" s="1770"/>
      <c r="BA63" s="2603"/>
      <c r="BB63" s="1865"/>
      <c r="BC63" s="2603"/>
      <c r="BD63" s="1865"/>
      <c r="BE63" s="2590"/>
      <c r="BF63" s="2576"/>
      <c r="BG63" s="662"/>
      <c r="BH63" s="354"/>
      <c r="BI63" s="354"/>
      <c r="BJ63" s="354"/>
      <c r="BK63" s="354"/>
      <c r="BL63" s="354"/>
      <c r="BM63" s="1682"/>
      <c r="BN63" s="1682"/>
      <c r="BO63" s="1682"/>
      <c r="BP63" s="1682"/>
      <c r="BQ63" s="409"/>
      <c r="BR63" s="408"/>
      <c r="BS63" s="408"/>
      <c r="BT63" s="408"/>
      <c r="BU63" s="408"/>
      <c r="BV63" s="408"/>
      <c r="BX63" s="2592"/>
      <c r="BY63" s="1953"/>
      <c r="BZ63" s="1953"/>
      <c r="CA63" s="977"/>
      <c r="CB63" s="313"/>
      <c r="CC63" s="314"/>
      <c r="CD63" s="314"/>
      <c r="CE63" s="314"/>
      <c r="CF63" s="314"/>
      <c r="CQ63" s="1682"/>
      <c r="CR63" s="1682"/>
      <c r="CS63" s="1682"/>
      <c r="CT63" s="1682"/>
      <c r="CU63" s="1682"/>
      <c r="CV63" s="1682"/>
      <c r="CW63" s="309"/>
      <c r="CX63" s="1682"/>
      <c r="CY63" s="1682"/>
      <c r="CZ63" s="1682"/>
      <c r="DA63" s="1682"/>
      <c r="DB63" s="1682"/>
      <c r="DC63" s="1682"/>
      <c r="DD63" s="1682"/>
    </row>
    <row r="64" spans="1:108" ht="18" hidden="1" customHeight="1">
      <c r="A64" s="354"/>
      <c r="B64" s="354"/>
      <c r="C64" s="354"/>
      <c r="D64" s="354"/>
      <c r="E64" s="354"/>
      <c r="F64" s="354"/>
      <c r="G64" s="354"/>
      <c r="H64" s="354"/>
      <c r="I64" s="354"/>
      <c r="J64" s="354"/>
      <c r="K64" s="354"/>
      <c r="L64" s="354"/>
      <c r="M64" s="354"/>
      <c r="N64" s="354"/>
      <c r="O64" s="354"/>
      <c r="P64" s="354"/>
      <c r="Q64" s="354"/>
      <c r="R64" s="354"/>
      <c r="S64" s="354"/>
      <c r="T64" s="354"/>
      <c r="U64" s="354"/>
      <c r="V64" s="354"/>
      <c r="W64" s="354"/>
      <c r="X64" s="354"/>
      <c r="Y64" s="354"/>
      <c r="Z64" s="354"/>
      <c r="AA64" s="354"/>
      <c r="AB64" s="354"/>
      <c r="AC64" s="354"/>
      <c r="AD64" s="354"/>
      <c r="AE64" s="354"/>
      <c r="AF64" s="354"/>
      <c r="AG64" s="354"/>
      <c r="AH64" s="354"/>
      <c r="AI64" s="354"/>
      <c r="AJ64" s="354"/>
      <c r="AK64" s="354"/>
      <c r="AL64" s="354"/>
      <c r="AM64" s="354"/>
      <c r="AN64" s="354"/>
      <c r="AO64" s="665" t="str">
        <f>CONCATENATE('Max Loan and Grant Amounts'!$V$5,0.75)</f>
        <v>0.75</v>
      </c>
      <c r="AP64" s="1260">
        <v>0.75</v>
      </c>
      <c r="AQ64" s="1259"/>
      <c r="AR64" s="1259"/>
      <c r="AS64" s="1259"/>
      <c r="AT64" s="1259"/>
      <c r="AU64" s="1259"/>
      <c r="AV64" s="1259"/>
      <c r="AW64" s="1682"/>
      <c r="AX64" s="1682"/>
      <c r="AY64" s="2443"/>
      <c r="AZ64" s="1889"/>
      <c r="BA64" s="2579"/>
      <c r="BB64" s="2023"/>
      <c r="BC64" s="2579"/>
      <c r="BD64" s="2023"/>
      <c r="BE64" s="2579"/>
      <c r="BF64" s="2591"/>
      <c r="BG64" s="662"/>
      <c r="BH64" s="354"/>
      <c r="BI64" s="354"/>
      <c r="BJ64" s="354"/>
      <c r="BK64" s="354"/>
      <c r="BL64" s="354"/>
      <c r="BM64" s="1682"/>
      <c r="BN64" s="1682"/>
      <c r="BO64" s="1682"/>
      <c r="BP64" s="1682"/>
      <c r="BQ64" s="476"/>
      <c r="BR64" s="408"/>
      <c r="BS64" s="408"/>
      <c r="BT64" s="408"/>
      <c r="BU64" s="408"/>
      <c r="BV64" s="408"/>
      <c r="BX64" s="336" t="s">
        <v>1580</v>
      </c>
      <c r="BY64" s="78" t="s">
        <v>856</v>
      </c>
      <c r="BZ64" s="78" t="s">
        <v>1636</v>
      </c>
      <c r="CA64" s="1149"/>
      <c r="CB64" s="313"/>
      <c r="CC64" s="314"/>
      <c r="CD64" s="314"/>
      <c r="CE64" s="314"/>
      <c r="CF64" s="314"/>
      <c r="CQ64" s="1682"/>
      <c r="CR64" s="1682"/>
      <c r="CS64" s="1682"/>
      <c r="CT64" s="1682"/>
      <c r="CU64" s="1682"/>
      <c r="CV64" s="1682"/>
      <c r="CW64" s="309"/>
      <c r="CX64" s="1682"/>
      <c r="CY64" s="1682"/>
      <c r="CZ64" s="1682"/>
      <c r="DA64" s="1682"/>
      <c r="DB64" s="1682"/>
      <c r="DC64" s="1682"/>
      <c r="DD64" s="1682"/>
    </row>
    <row r="65" spans="1:101" ht="18" hidden="1" customHeight="1">
      <c r="A65" s="354"/>
      <c r="B65" s="354"/>
      <c r="C65" s="354"/>
      <c r="D65" s="354"/>
      <c r="E65" s="354"/>
      <c r="F65" s="354"/>
      <c r="G65" s="354"/>
      <c r="H65" s="354"/>
      <c r="I65" s="354"/>
      <c r="J65" s="354"/>
      <c r="K65" s="354"/>
      <c r="L65" s="354"/>
      <c r="M65" s="354"/>
      <c r="N65" s="354"/>
      <c r="O65" s="354"/>
      <c r="P65" s="354"/>
      <c r="Q65" s="354"/>
      <c r="R65" s="354"/>
      <c r="S65" s="354"/>
      <c r="T65" s="354"/>
      <c r="U65" s="354"/>
      <c r="V65" s="354"/>
      <c r="W65" s="354"/>
      <c r="X65" s="354"/>
      <c r="Y65" s="354"/>
      <c r="Z65" s="354"/>
      <c r="AA65" s="354"/>
      <c r="AB65" s="354"/>
      <c r="AC65" s="354"/>
      <c r="AD65" s="354"/>
      <c r="AE65" s="354"/>
      <c r="AF65" s="354"/>
      <c r="AG65" s="354"/>
      <c r="AH65" s="354"/>
      <c r="AI65" s="354"/>
      <c r="AJ65" s="354"/>
      <c r="AK65" s="354"/>
      <c r="AL65" s="354"/>
      <c r="AM65" s="354"/>
      <c r="AN65" s="354"/>
      <c r="AO65" s="665" t="str">
        <f>CONCATENATE('Max Loan and Grant Amounts'!$V$5,0.7)</f>
        <v>0.7</v>
      </c>
      <c r="AP65" s="1260">
        <v>0.7</v>
      </c>
      <c r="AQ65" s="1259"/>
      <c r="AR65" s="1259"/>
      <c r="AS65" s="1259"/>
      <c r="AT65" s="1259"/>
      <c r="AU65" s="1259"/>
      <c r="AV65" s="1259"/>
      <c r="AW65" s="1682"/>
      <c r="AX65" s="1682"/>
      <c r="AY65" s="2584"/>
      <c r="AZ65" s="1772"/>
      <c r="BA65" s="2574"/>
      <c r="BB65" s="1870"/>
      <c r="BC65" s="2574"/>
      <c r="BD65" s="1870"/>
      <c r="BE65" s="2574"/>
      <c r="BF65" s="2577"/>
      <c r="BG65" s="662"/>
      <c r="BH65" s="354"/>
      <c r="BI65" s="354"/>
      <c r="BJ65" s="354"/>
      <c r="BK65" s="354"/>
      <c r="BL65" s="354"/>
      <c r="BM65" s="1682"/>
      <c r="BN65" s="1682"/>
      <c r="BO65" s="1682"/>
      <c r="BP65" s="1682"/>
      <c r="BQ65" s="476"/>
      <c r="BR65" s="408"/>
      <c r="BS65" s="408"/>
      <c r="BT65" s="408"/>
      <c r="BU65" s="408"/>
      <c r="BV65" s="408"/>
      <c r="BX65" s="523">
        <v>0.15</v>
      </c>
      <c r="BY65" s="437">
        <f>SUMIF(UnitsTbl[Restricted Income Level],BX65,UnitsTbl[Total restricted units])</f>
        <v>0</v>
      </c>
      <c r="BZ65" s="438">
        <f t="shared" ref="BZ65:BZ83" si="37">IFERROR(BY65/$BY$85,0)</f>
        <v>0</v>
      </c>
      <c r="CA65" s="1265">
        <f>BX65*SUM(CB65:CF65)</f>
        <v>0</v>
      </c>
      <c r="CB65" s="313"/>
      <c r="CC65" s="314"/>
      <c r="CD65" s="314"/>
      <c r="CE65" s="314"/>
      <c r="CF65" s="314"/>
      <c r="CQ65" s="1682"/>
      <c r="CR65" s="1682"/>
      <c r="CS65" s="1682"/>
      <c r="CT65" s="1682"/>
      <c r="CU65" s="1682"/>
      <c r="CV65" s="1682"/>
      <c r="CW65" s="309"/>
    </row>
    <row r="66" spans="1:101" ht="18" hidden="1" customHeight="1" thickBot="1">
      <c r="A66" s="354"/>
      <c r="B66" s="354"/>
      <c r="C66" s="354"/>
      <c r="D66" s="354"/>
      <c r="E66" s="354"/>
      <c r="F66" s="354"/>
      <c r="G66" s="354"/>
      <c r="H66" s="354"/>
      <c r="I66" s="354"/>
      <c r="J66" s="354"/>
      <c r="K66" s="354"/>
      <c r="L66" s="354"/>
      <c r="M66" s="354"/>
      <c r="N66" s="354"/>
      <c r="O66" s="354"/>
      <c r="P66" s="354"/>
      <c r="Q66" s="354"/>
      <c r="R66" s="354"/>
      <c r="S66" s="354"/>
      <c r="T66" s="354"/>
      <c r="U66" s="354"/>
      <c r="V66" s="354"/>
      <c r="W66" s="354"/>
      <c r="X66" s="354"/>
      <c r="Y66" s="354"/>
      <c r="Z66" s="354"/>
      <c r="AA66" s="354"/>
      <c r="AB66" s="354"/>
      <c r="AC66" s="354"/>
      <c r="AD66" s="354"/>
      <c r="AE66" s="354"/>
      <c r="AF66" s="354"/>
      <c r="AG66" s="354"/>
      <c r="AH66" s="354"/>
      <c r="AI66" s="354"/>
      <c r="AJ66" s="354"/>
      <c r="AK66" s="354"/>
      <c r="AL66" s="354"/>
      <c r="AM66" s="354"/>
      <c r="AN66" s="354"/>
      <c r="AO66" s="665" t="str">
        <f>CONCATENATE('Max Loan and Grant Amounts'!$V$5,0.65)</f>
        <v>0.65</v>
      </c>
      <c r="AP66" s="1260">
        <v>0.65</v>
      </c>
      <c r="AQ66" s="1259"/>
      <c r="AR66" s="1259"/>
      <c r="AS66" s="1259"/>
      <c r="AT66" s="1259"/>
      <c r="AU66" s="1259"/>
      <c r="AV66" s="1259"/>
      <c r="AW66" s="1682"/>
      <c r="AX66" s="1682"/>
      <c r="AY66" s="2611" t="s">
        <v>1637</v>
      </c>
      <c r="AZ66" s="1770"/>
      <c r="BA66" s="2619"/>
      <c r="BB66" s="1865"/>
      <c r="BC66" s="2619"/>
      <c r="BD66" s="1865"/>
      <c r="BE66" s="2605"/>
      <c r="BF66" s="2576"/>
      <c r="BG66" s="658"/>
      <c r="BH66" s="354"/>
      <c r="BI66" s="354"/>
      <c r="BJ66" s="354"/>
      <c r="BK66" s="354"/>
      <c r="BL66" s="354"/>
      <c r="BM66" s="1682"/>
      <c r="BN66" s="1682"/>
      <c r="BO66" s="1682"/>
      <c r="BP66" s="1682"/>
      <c r="BQ66" s="476"/>
      <c r="BR66" s="408"/>
      <c r="BS66" s="408"/>
      <c r="BT66" s="408"/>
      <c r="BU66" s="408"/>
      <c r="BV66" s="408"/>
      <c r="BX66" s="436">
        <f t="shared" ref="BX66:BX81" si="38">BX65+0.05</f>
        <v>0.2</v>
      </c>
      <c r="BY66" s="437">
        <f>SUMIF(UnitsTbl[Restricted Income Level],BX66,UnitsTbl[Total restricted units])</f>
        <v>0</v>
      </c>
      <c r="BZ66" s="438">
        <f t="shared" si="37"/>
        <v>0</v>
      </c>
      <c r="CA66" s="1265">
        <f t="shared" ref="CA66:CA81" si="39">BX66*BY66</f>
        <v>0</v>
      </c>
      <c r="CB66" s="554">
        <f>SUM(CA65,CA66)</f>
        <v>0</v>
      </c>
      <c r="CC66" s="314"/>
      <c r="CD66" s="314"/>
      <c r="CE66" s="314"/>
      <c r="CF66" s="314"/>
      <c r="CQ66" s="1682"/>
      <c r="CR66" s="1682"/>
      <c r="CS66" s="1682"/>
      <c r="CT66" s="1682"/>
      <c r="CU66" s="1682"/>
      <c r="CV66" s="1682"/>
      <c r="CW66" s="309"/>
    </row>
    <row r="67" spans="1:101" ht="18" hidden="1" customHeight="1">
      <c r="A67" s="354"/>
      <c r="B67" s="354"/>
      <c r="C67" s="354"/>
      <c r="D67" s="354"/>
      <c r="E67" s="354"/>
      <c r="F67" s="354"/>
      <c r="G67" s="354"/>
      <c r="H67" s="354"/>
      <c r="I67" s="354"/>
      <c r="J67" s="354"/>
      <c r="K67" s="354"/>
      <c r="L67" s="354"/>
      <c r="M67" s="354"/>
      <c r="N67" s="354"/>
      <c r="O67" s="354"/>
      <c r="P67" s="354"/>
      <c r="Q67" s="354"/>
      <c r="R67" s="354"/>
      <c r="S67" s="354"/>
      <c r="T67" s="354"/>
      <c r="U67" s="354"/>
      <c r="V67" s="354"/>
      <c r="W67" s="354"/>
      <c r="X67" s="354"/>
      <c r="Y67" s="354"/>
      <c r="Z67" s="354"/>
      <c r="AA67" s="354"/>
      <c r="AB67" s="354"/>
      <c r="AC67" s="354"/>
      <c r="AD67" s="354"/>
      <c r="AE67" s="354"/>
      <c r="AF67" s="354"/>
      <c r="AG67" s="354"/>
      <c r="AH67" s="354"/>
      <c r="AI67" s="354"/>
      <c r="AJ67" s="354"/>
      <c r="AK67" s="354"/>
      <c r="AL67" s="354"/>
      <c r="AM67" s="354"/>
      <c r="AN67" s="354"/>
      <c r="AO67" s="665" t="str">
        <f>CONCATENATE('Max Loan and Grant Amounts'!$V$5,0.6)</f>
        <v>0.6</v>
      </c>
      <c r="AP67" s="1260">
        <v>0.6</v>
      </c>
      <c r="AQ67" s="1259"/>
      <c r="AR67" s="1259"/>
      <c r="AS67" s="1259"/>
      <c r="AT67" s="1259"/>
      <c r="AU67" s="1259"/>
      <c r="AV67" s="1259"/>
      <c r="AW67" s="1682"/>
      <c r="AX67" s="1682"/>
      <c r="AY67" s="2443"/>
      <c r="AZ67" s="1889"/>
      <c r="BA67" s="2579"/>
      <c r="BB67" s="2023"/>
      <c r="BC67" s="2579"/>
      <c r="BD67" s="2023"/>
      <c r="BE67" s="2579"/>
      <c r="BF67" s="2591"/>
      <c r="BG67" s="658"/>
      <c r="BH67" s="354"/>
      <c r="BI67" s="354"/>
      <c r="BJ67" s="354"/>
      <c r="BK67" s="354"/>
      <c r="BL67" s="354"/>
      <c r="BM67" s="1682"/>
      <c r="BN67" s="1682"/>
      <c r="BO67" s="1682"/>
      <c r="BP67" s="1682"/>
      <c r="BQ67" s="476"/>
      <c r="BR67" s="408"/>
      <c r="BS67" s="408"/>
      <c r="BT67" s="408"/>
      <c r="BU67" s="408"/>
      <c r="BV67" s="408"/>
      <c r="BX67" s="436">
        <f t="shared" si="38"/>
        <v>0.25</v>
      </c>
      <c r="BY67" s="437">
        <f>SUMIF(UnitsTbl[Restricted Income Level],BX67,UnitsTbl[Total restricted units])</f>
        <v>0</v>
      </c>
      <c r="BZ67" s="438">
        <f t="shared" si="37"/>
        <v>0</v>
      </c>
      <c r="CA67" s="1265">
        <f t="shared" si="39"/>
        <v>0</v>
      </c>
      <c r="CB67" s="313"/>
      <c r="CC67" s="314"/>
      <c r="CD67" s="314"/>
      <c r="CE67" s="314"/>
      <c r="CF67" s="314"/>
      <c r="CQ67" s="1682"/>
      <c r="CR67" s="1682"/>
      <c r="CS67" s="1682"/>
      <c r="CT67" s="1682"/>
      <c r="CU67" s="1682"/>
      <c r="CV67" s="1682"/>
      <c r="CW67" s="309"/>
    </row>
    <row r="68" spans="1:101" ht="18" hidden="1" customHeight="1" thickBot="1">
      <c r="A68" s="354"/>
      <c r="B68" s="354"/>
      <c r="C68" s="354"/>
      <c r="D68" s="354"/>
      <c r="E68" s="354"/>
      <c r="F68" s="354"/>
      <c r="G68" s="354"/>
      <c r="H68" s="354"/>
      <c r="I68" s="354"/>
      <c r="J68" s="354"/>
      <c r="K68" s="354"/>
      <c r="L68" s="354"/>
      <c r="M68" s="354"/>
      <c r="N68" s="354"/>
      <c r="O68" s="354"/>
      <c r="P68" s="354"/>
      <c r="Q68" s="354"/>
      <c r="R68" s="354"/>
      <c r="S68" s="354"/>
      <c r="T68" s="354"/>
      <c r="U68" s="354"/>
      <c r="V68" s="354"/>
      <c r="W68" s="354"/>
      <c r="X68" s="354"/>
      <c r="Y68" s="354"/>
      <c r="Z68" s="354"/>
      <c r="AA68" s="354"/>
      <c r="AB68" s="354"/>
      <c r="AC68" s="354"/>
      <c r="AD68" s="354"/>
      <c r="AE68" s="354"/>
      <c r="AF68" s="354"/>
      <c r="AG68" s="354"/>
      <c r="AH68" s="354"/>
      <c r="AI68" s="354"/>
      <c r="AJ68" s="354"/>
      <c r="AK68" s="354"/>
      <c r="AL68" s="354"/>
      <c r="AM68" s="354"/>
      <c r="AN68" s="354"/>
      <c r="AO68" s="665" t="str">
        <f>CONCATENATE('Max Loan and Grant Amounts'!$V$5,0.55)</f>
        <v>0.55</v>
      </c>
      <c r="AP68" s="1260">
        <v>0.55000000000000004</v>
      </c>
      <c r="AQ68" s="1259"/>
      <c r="AR68" s="1259"/>
      <c r="AS68" s="1259"/>
      <c r="AT68" s="1259"/>
      <c r="AU68" s="1266"/>
      <c r="AV68" s="1259"/>
      <c r="AW68" s="1682"/>
      <c r="AX68" s="1682"/>
      <c r="AY68" s="2612"/>
      <c r="AZ68" s="2613"/>
      <c r="BA68" s="2606"/>
      <c r="BB68" s="2620"/>
      <c r="BC68" s="2606"/>
      <c r="BD68" s="2620"/>
      <c r="BE68" s="2606"/>
      <c r="BF68" s="2607"/>
      <c r="BG68" s="658"/>
      <c r="BH68" s="354"/>
      <c r="BI68" s="354"/>
      <c r="BJ68" s="354"/>
      <c r="BK68" s="354"/>
      <c r="BL68" s="354"/>
      <c r="BM68" s="1682"/>
      <c r="BN68" s="1682"/>
      <c r="BO68" s="1682"/>
      <c r="BP68" s="1682"/>
      <c r="BQ68" s="410"/>
      <c r="BR68" s="407"/>
      <c r="BS68" s="407"/>
      <c r="BT68" s="407"/>
      <c r="BU68" s="407"/>
      <c r="BV68" s="407"/>
      <c r="BX68" s="436">
        <f t="shared" si="38"/>
        <v>0.3</v>
      </c>
      <c r="BY68" s="437">
        <f>SUMIF(UnitsTbl[Restricted Income Level],BX68,UnitsTbl[Total restricted units])</f>
        <v>0</v>
      </c>
      <c r="BZ68" s="438">
        <f t="shared" si="37"/>
        <v>0</v>
      </c>
      <c r="CA68" s="1265">
        <f t="shared" si="39"/>
        <v>0</v>
      </c>
      <c r="CB68" s="313"/>
      <c r="CC68" s="314"/>
      <c r="CD68" s="314"/>
      <c r="CE68" s="314"/>
      <c r="CF68" s="314"/>
      <c r="CQ68" s="1682"/>
      <c r="CR68" s="1682"/>
      <c r="CS68" s="1682"/>
      <c r="CT68" s="1682"/>
      <c r="CU68" s="1682"/>
      <c r="CV68" s="1682"/>
      <c r="CW68" s="309"/>
    </row>
    <row r="69" spans="1:101" ht="18" hidden="1" customHeight="1">
      <c r="A69" s="354"/>
      <c r="B69" s="354"/>
      <c r="C69" s="354"/>
      <c r="D69" s="354"/>
      <c r="E69" s="354"/>
      <c r="F69" s="354"/>
      <c r="G69" s="354"/>
      <c r="H69" s="354"/>
      <c r="I69" s="354"/>
      <c r="J69" s="354"/>
      <c r="K69" s="354"/>
      <c r="L69" s="354"/>
      <c r="M69" s="354"/>
      <c r="N69" s="354"/>
      <c r="O69" s="354"/>
      <c r="P69" s="354"/>
      <c r="Q69" s="354"/>
      <c r="R69" s="354"/>
      <c r="S69" s="354"/>
      <c r="T69" s="354"/>
      <c r="U69" s="354"/>
      <c r="V69" s="354"/>
      <c r="W69" s="354"/>
      <c r="X69" s="354"/>
      <c r="Y69" s="354"/>
      <c r="Z69" s="354"/>
      <c r="AA69" s="354"/>
      <c r="AB69" s="354"/>
      <c r="AC69" s="354"/>
      <c r="AD69" s="354"/>
      <c r="AE69" s="354"/>
      <c r="AF69" s="354"/>
      <c r="AG69" s="354"/>
      <c r="AH69" s="354"/>
      <c r="AI69" s="354"/>
      <c r="AJ69" s="354"/>
      <c r="AK69" s="354"/>
      <c r="AL69" s="354"/>
      <c r="AM69" s="354"/>
      <c r="AN69" s="354"/>
      <c r="AO69" s="665" t="str">
        <f>CONCATENATE('Max Loan and Grant Amounts'!$V$5,0.5)</f>
        <v>0.5</v>
      </c>
      <c r="AP69" s="1260">
        <v>0.5</v>
      </c>
      <c r="AQ69" s="1259"/>
      <c r="AR69" s="1259"/>
      <c r="AS69" s="1259"/>
      <c r="AT69" s="1259"/>
      <c r="AU69" s="1266"/>
      <c r="AV69" s="1259"/>
      <c r="AW69" s="78"/>
      <c r="AX69" s="78"/>
      <c r="AY69" s="78"/>
      <c r="AZ69" s="78"/>
      <c r="BA69" s="78"/>
      <c r="BB69" s="78"/>
      <c r="BC69" s="78"/>
      <c r="BD69" s="78"/>
      <c r="BE69" s="78"/>
      <c r="BF69" s="78"/>
      <c r="BG69" s="78"/>
      <c r="BH69" s="354"/>
      <c r="BI69" s="354"/>
      <c r="BJ69" s="354"/>
      <c r="BK69" s="354"/>
      <c r="BL69" s="354"/>
      <c r="BM69" s="1682"/>
      <c r="BN69" s="1682"/>
      <c r="BO69" s="1682"/>
      <c r="BP69" s="1682"/>
      <c r="BQ69" s="476"/>
      <c r="BR69" s="408"/>
      <c r="BS69" s="408"/>
      <c r="BT69" s="408"/>
      <c r="BU69" s="408"/>
      <c r="BV69" s="408"/>
      <c r="BX69" s="436">
        <f t="shared" si="38"/>
        <v>0.35</v>
      </c>
      <c r="BY69" s="437">
        <f>SUMIF(UnitsTbl[Restricted Income Level],BX69,UnitsTbl[Total restricted units])</f>
        <v>0</v>
      </c>
      <c r="BZ69" s="438">
        <f t="shared" si="37"/>
        <v>0</v>
      </c>
      <c r="CA69" s="1265">
        <f t="shared" si="39"/>
        <v>0</v>
      </c>
      <c r="CB69" s="313"/>
      <c r="CC69" s="314"/>
      <c r="CD69" s="314"/>
      <c r="CE69" s="314"/>
      <c r="CF69" s="314"/>
      <c r="CQ69" s="1682"/>
      <c r="CR69" s="1682"/>
      <c r="CS69" s="1682"/>
      <c r="CT69" s="1682"/>
      <c r="CU69" s="1682"/>
      <c r="CV69" s="1682"/>
      <c r="CW69" s="309"/>
    </row>
    <row r="70" spans="1:101" ht="18" hidden="1" customHeight="1">
      <c r="A70" s="354"/>
      <c r="B70" s="354"/>
      <c r="C70" s="354"/>
      <c r="D70" s="354"/>
      <c r="E70" s="354"/>
      <c r="F70" s="354"/>
      <c r="G70" s="354"/>
      <c r="H70" s="354"/>
      <c r="I70" s="354"/>
      <c r="J70" s="354"/>
      <c r="K70" s="354"/>
      <c r="L70" s="354"/>
      <c r="M70" s="354"/>
      <c r="N70" s="354"/>
      <c r="O70" s="354"/>
      <c r="P70" s="354"/>
      <c r="Q70" s="354"/>
      <c r="R70" s="354"/>
      <c r="S70" s="354"/>
      <c r="T70" s="354"/>
      <c r="U70" s="354"/>
      <c r="V70" s="354"/>
      <c r="W70" s="354"/>
      <c r="X70" s="354"/>
      <c r="Y70" s="354"/>
      <c r="Z70" s="354"/>
      <c r="AA70" s="354"/>
      <c r="AB70" s="354"/>
      <c r="AC70" s="354"/>
      <c r="AD70" s="354"/>
      <c r="AE70" s="354"/>
      <c r="AF70" s="354"/>
      <c r="AG70" s="354"/>
      <c r="AH70" s="354"/>
      <c r="AI70" s="354"/>
      <c r="AJ70" s="354"/>
      <c r="AK70" s="354"/>
      <c r="AL70" s="354"/>
      <c r="AM70" s="354"/>
      <c r="AN70" s="354"/>
      <c r="AO70" s="665" t="str">
        <f>CONCATENATE('Max Loan and Grant Amounts'!$V$5,0.45)</f>
        <v>0.45</v>
      </c>
      <c r="AP70" s="1260">
        <v>0.45</v>
      </c>
      <c r="AQ70" s="1259"/>
      <c r="AR70" s="1259"/>
      <c r="AS70" s="1259"/>
      <c r="AT70" s="1259"/>
      <c r="AU70" s="1266"/>
      <c r="AV70" s="1259"/>
      <c r="AW70" s="78"/>
      <c r="AX70" s="78"/>
      <c r="AY70" s="78"/>
      <c r="AZ70" s="78"/>
      <c r="BA70" s="78"/>
      <c r="BB70" s="78"/>
      <c r="BC70" s="78"/>
      <c r="BD70" s="78"/>
      <c r="BE70" s="78"/>
      <c r="BF70" s="78"/>
      <c r="BG70" s="78"/>
      <c r="BH70" s="354"/>
      <c r="BI70" s="354"/>
      <c r="BJ70" s="354"/>
      <c r="BK70" s="354"/>
      <c r="BL70" s="354"/>
      <c r="BM70" s="1682"/>
      <c r="BN70" s="1682"/>
      <c r="BO70" s="1682"/>
      <c r="BP70" s="1682"/>
      <c r="BQ70" s="476"/>
      <c r="BR70" s="408"/>
      <c r="BS70" s="408"/>
      <c r="BT70" s="408"/>
      <c r="BU70" s="408"/>
      <c r="BV70" s="408"/>
      <c r="BX70" s="436">
        <f t="shared" si="38"/>
        <v>0.39999999999999997</v>
      </c>
      <c r="BY70" s="437">
        <f>SUMIF(UnitsTbl[Restricted Income Level],BX70,UnitsTbl[Total restricted units])</f>
        <v>0</v>
      </c>
      <c r="BZ70" s="438">
        <f t="shared" si="37"/>
        <v>0</v>
      </c>
      <c r="CA70" s="1265">
        <f t="shared" si="39"/>
        <v>0</v>
      </c>
      <c r="CB70" s="313"/>
      <c r="CC70" s="314"/>
      <c r="CD70" s="314"/>
      <c r="CE70" s="314"/>
      <c r="CF70" s="314"/>
      <c r="CQ70" s="1682"/>
      <c r="CR70" s="1682"/>
      <c r="CS70" s="1682"/>
      <c r="CT70" s="1682"/>
      <c r="CU70" s="1682"/>
      <c r="CV70" s="1682"/>
      <c r="CW70" s="309"/>
    </row>
    <row r="71" spans="1:101" ht="18" hidden="1" customHeight="1">
      <c r="A71" s="354"/>
      <c r="B71" s="354"/>
      <c r="C71" s="354"/>
      <c r="D71" s="354"/>
      <c r="E71" s="354"/>
      <c r="F71" s="354"/>
      <c r="G71" s="354"/>
      <c r="H71" s="354"/>
      <c r="I71" s="354"/>
      <c r="J71" s="354"/>
      <c r="K71" s="354"/>
      <c r="L71" s="354"/>
      <c r="M71" s="354"/>
      <c r="N71" s="354"/>
      <c r="O71" s="354"/>
      <c r="P71" s="354"/>
      <c r="Q71" s="354"/>
      <c r="R71" s="354"/>
      <c r="S71" s="354"/>
      <c r="T71" s="354"/>
      <c r="U71" s="354"/>
      <c r="V71" s="354"/>
      <c r="W71" s="354"/>
      <c r="X71" s="354"/>
      <c r="Y71" s="354"/>
      <c r="Z71" s="354"/>
      <c r="AA71" s="354"/>
      <c r="AB71" s="354"/>
      <c r="AC71" s="354"/>
      <c r="AD71" s="354"/>
      <c r="AE71" s="354"/>
      <c r="AF71" s="354"/>
      <c r="AG71" s="354"/>
      <c r="AH71" s="354"/>
      <c r="AI71" s="354"/>
      <c r="AJ71" s="354"/>
      <c r="AK71" s="354"/>
      <c r="AL71" s="354"/>
      <c r="AM71" s="354"/>
      <c r="AN71" s="354"/>
      <c r="AO71" s="665" t="str">
        <f>CONCATENATE('Max Loan and Grant Amounts'!$V$5,0.4)</f>
        <v>0.4</v>
      </c>
      <c r="AP71" s="1260">
        <v>0.4</v>
      </c>
      <c r="AQ71" s="1259"/>
      <c r="AR71" s="1259"/>
      <c r="AS71" s="1259"/>
      <c r="AT71" s="1259"/>
      <c r="AU71" s="1266"/>
      <c r="AV71" s="1259"/>
      <c r="AW71" s="78"/>
      <c r="AX71" s="78"/>
      <c r="AY71" s="78"/>
      <c r="AZ71" s="78"/>
      <c r="BA71" s="78"/>
      <c r="BB71" s="78"/>
      <c r="BC71" s="78"/>
      <c r="BD71" s="78"/>
      <c r="BE71" s="78"/>
      <c r="BF71" s="78"/>
      <c r="BG71" s="78"/>
      <c r="BH71" s="354"/>
      <c r="BI71" s="354"/>
      <c r="BJ71" s="354"/>
      <c r="BK71" s="354"/>
      <c r="BL71" s="354"/>
      <c r="BM71" s="1682"/>
      <c r="BN71" s="1682"/>
      <c r="BO71" s="1682"/>
      <c r="BP71" s="1682"/>
      <c r="BQ71" s="476"/>
      <c r="BR71" s="408"/>
      <c r="BS71" s="408"/>
      <c r="BT71" s="408"/>
      <c r="BU71" s="408"/>
      <c r="BV71" s="408"/>
      <c r="BX71" s="436">
        <f t="shared" si="38"/>
        <v>0.44999999999999996</v>
      </c>
      <c r="BY71" s="437">
        <f>SUMIF(UnitsTbl[Restricted Income Level],BX71,UnitsTbl[Total restricted units])</f>
        <v>0</v>
      </c>
      <c r="BZ71" s="438">
        <f t="shared" si="37"/>
        <v>0</v>
      </c>
      <c r="CA71" s="1265">
        <f t="shared" si="39"/>
        <v>0</v>
      </c>
      <c r="CB71" s="313"/>
      <c r="CC71" s="314"/>
      <c r="CD71" s="314"/>
      <c r="CE71" s="314"/>
      <c r="CF71" s="314"/>
      <c r="CQ71" s="1682"/>
      <c r="CR71" s="1682"/>
      <c r="CS71" s="1682"/>
      <c r="CT71" s="1682"/>
      <c r="CU71" s="1682"/>
      <c r="CV71" s="1682"/>
      <c r="CW71" s="309"/>
    </row>
    <row r="72" spans="1:101" ht="18" hidden="1" customHeight="1">
      <c r="A72" s="354"/>
      <c r="B72" s="354"/>
      <c r="C72" s="354"/>
      <c r="D72" s="354"/>
      <c r="E72" s="354"/>
      <c r="F72" s="354"/>
      <c r="G72" s="354"/>
      <c r="H72" s="354"/>
      <c r="I72" s="354"/>
      <c r="J72" s="354"/>
      <c r="K72" s="354"/>
      <c r="L72" s="354"/>
      <c r="M72" s="354"/>
      <c r="N72" s="354"/>
      <c r="O72" s="354"/>
      <c r="P72" s="354"/>
      <c r="Q72" s="354"/>
      <c r="R72" s="354"/>
      <c r="S72" s="354"/>
      <c r="T72" s="354"/>
      <c r="U72" s="354"/>
      <c r="V72" s="354"/>
      <c r="W72" s="354"/>
      <c r="X72" s="354"/>
      <c r="Y72" s="354"/>
      <c r="Z72" s="354"/>
      <c r="AA72" s="354"/>
      <c r="AB72" s="354"/>
      <c r="AC72" s="354"/>
      <c r="AD72" s="354"/>
      <c r="AE72" s="354"/>
      <c r="AF72" s="354"/>
      <c r="AG72" s="354"/>
      <c r="AH72" s="354"/>
      <c r="AI72" s="354"/>
      <c r="AJ72" s="354"/>
      <c r="AK72" s="354"/>
      <c r="AL72" s="354"/>
      <c r="AM72" s="354"/>
      <c r="AN72" s="354"/>
      <c r="AO72" s="665" t="str">
        <f>CONCATENATE('Max Loan and Grant Amounts'!$V$5,0.35)</f>
        <v>0.35</v>
      </c>
      <c r="AP72" s="1260">
        <v>0.35</v>
      </c>
      <c r="AQ72" s="1259"/>
      <c r="AR72" s="1259"/>
      <c r="AS72" s="1259"/>
      <c r="AT72" s="1259"/>
      <c r="AU72" s="1266"/>
      <c r="AV72" s="1259"/>
      <c r="AW72" s="78"/>
      <c r="AX72" s="78"/>
      <c r="AY72" s="78"/>
      <c r="AZ72" s="78"/>
      <c r="BA72" s="78"/>
      <c r="BB72" s="78"/>
      <c r="BC72" s="78"/>
      <c r="BD72" s="78"/>
      <c r="BE72" s="78"/>
      <c r="BF72" s="78"/>
      <c r="BG72" s="78"/>
      <c r="BH72" s="354"/>
      <c r="BI72" s="354"/>
      <c r="BJ72" s="354"/>
      <c r="BK72" s="354"/>
      <c r="BL72" s="354"/>
      <c r="BM72" s="1682"/>
      <c r="BN72" s="1682"/>
      <c r="BO72" s="1682"/>
      <c r="BP72" s="1682"/>
      <c r="BQ72" s="476"/>
      <c r="BR72" s="408"/>
      <c r="BS72" s="408"/>
      <c r="BT72" s="408"/>
      <c r="BU72" s="408"/>
      <c r="BV72" s="408"/>
      <c r="BX72" s="436">
        <f t="shared" si="38"/>
        <v>0.49999999999999994</v>
      </c>
      <c r="BY72" s="437">
        <f>SUMIF(UnitsTbl[Restricted Income Level],BX72,UnitsTbl[Total restricted units])</f>
        <v>0</v>
      </c>
      <c r="BZ72" s="438">
        <f t="shared" si="37"/>
        <v>0</v>
      </c>
      <c r="CA72" s="1265">
        <f t="shared" si="39"/>
        <v>0</v>
      </c>
      <c r="CB72" s="313"/>
      <c r="CC72" s="314"/>
      <c r="CD72" s="314"/>
      <c r="CE72" s="314"/>
      <c r="CF72" s="314"/>
      <c r="CQ72" s="1682"/>
      <c r="CR72" s="1682"/>
      <c r="CS72" s="1682"/>
      <c r="CT72" s="1682"/>
      <c r="CU72" s="1682"/>
      <c r="CV72" s="1682"/>
      <c r="CW72" s="309"/>
    </row>
    <row r="73" spans="1:101" ht="18" hidden="1" customHeight="1">
      <c r="A73" s="354"/>
      <c r="B73" s="354"/>
      <c r="C73" s="354"/>
      <c r="D73" s="354"/>
      <c r="E73" s="354"/>
      <c r="F73" s="354"/>
      <c r="G73" s="354"/>
      <c r="H73" s="354"/>
      <c r="I73" s="354"/>
      <c r="J73" s="354"/>
      <c r="K73" s="354"/>
      <c r="L73" s="354"/>
      <c r="M73" s="354"/>
      <c r="N73" s="354"/>
      <c r="O73" s="354"/>
      <c r="P73" s="354"/>
      <c r="Q73" s="354"/>
      <c r="R73" s="354"/>
      <c r="S73" s="354"/>
      <c r="T73" s="354"/>
      <c r="U73" s="354"/>
      <c r="V73" s="354"/>
      <c r="W73" s="354"/>
      <c r="X73" s="354"/>
      <c r="Y73" s="354"/>
      <c r="Z73" s="354"/>
      <c r="AA73" s="354"/>
      <c r="AB73" s="354"/>
      <c r="AC73" s="354"/>
      <c r="AD73" s="354"/>
      <c r="AE73" s="354"/>
      <c r="AF73" s="354"/>
      <c r="AG73" s="354"/>
      <c r="AH73" s="354"/>
      <c r="AI73" s="354"/>
      <c r="AJ73" s="354"/>
      <c r="AK73" s="354"/>
      <c r="AL73" s="354"/>
      <c r="AM73" s="354"/>
      <c r="AN73" s="354"/>
      <c r="AO73" s="665" t="str">
        <f>CONCATENATE('Max Loan and Grant Amounts'!$V$5,0.3)</f>
        <v>0.3</v>
      </c>
      <c r="AP73" s="1260">
        <v>0.3</v>
      </c>
      <c r="AQ73" s="1259"/>
      <c r="AR73" s="1259"/>
      <c r="AS73" s="1259"/>
      <c r="AT73" s="1259"/>
      <c r="AU73" s="1266"/>
      <c r="AV73" s="1259"/>
      <c r="AW73" s="78"/>
      <c r="AX73" s="78"/>
      <c r="AY73" s="78"/>
      <c r="AZ73" s="78"/>
      <c r="BA73" s="78"/>
      <c r="BB73" s="78"/>
      <c r="BC73" s="78"/>
      <c r="BD73" s="78"/>
      <c r="BE73" s="78"/>
      <c r="BF73" s="78"/>
      <c r="BG73" s="78"/>
      <c r="BH73" s="354"/>
      <c r="BI73" s="354"/>
      <c r="BJ73" s="354"/>
      <c r="BK73" s="354"/>
      <c r="BL73" s="354"/>
      <c r="BM73" s="1682"/>
      <c r="BN73" s="1682"/>
      <c r="BO73" s="1682"/>
      <c r="BP73" s="1682"/>
      <c r="BQ73" s="476"/>
      <c r="BR73" s="408"/>
      <c r="BS73" s="408"/>
      <c r="BT73" s="408"/>
      <c r="BU73" s="408"/>
      <c r="BV73" s="408"/>
      <c r="BX73" s="436">
        <f t="shared" si="38"/>
        <v>0.54999999999999993</v>
      </c>
      <c r="BY73" s="437">
        <f>SUMIF(UnitsTbl[Restricted Income Level],BX73,UnitsTbl[Total restricted units])</f>
        <v>0</v>
      </c>
      <c r="BZ73" s="438">
        <f t="shared" si="37"/>
        <v>0</v>
      </c>
      <c r="CA73" s="1265">
        <f t="shared" si="39"/>
        <v>0</v>
      </c>
      <c r="CB73" s="313"/>
      <c r="CC73" s="314"/>
      <c r="CD73" s="314"/>
      <c r="CE73" s="314"/>
      <c r="CF73" s="314"/>
      <c r="CQ73" s="1682"/>
      <c r="CR73" s="1682"/>
      <c r="CS73" s="1682"/>
      <c r="CT73" s="1682"/>
      <c r="CU73" s="1682"/>
      <c r="CV73" s="1682"/>
      <c r="CW73" s="309"/>
    </row>
    <row r="74" spans="1:101" ht="18" hidden="1" customHeight="1">
      <c r="A74" s="354"/>
      <c r="B74" s="354"/>
      <c r="C74" s="354"/>
      <c r="D74" s="354"/>
      <c r="E74" s="354"/>
      <c r="F74" s="354"/>
      <c r="G74" s="354"/>
      <c r="H74" s="354"/>
      <c r="I74" s="354"/>
      <c r="J74" s="354"/>
      <c r="K74" s="354"/>
      <c r="L74" s="354"/>
      <c r="M74" s="354"/>
      <c r="N74" s="354"/>
      <c r="O74" s="354"/>
      <c r="P74" s="354"/>
      <c r="Q74" s="354"/>
      <c r="R74" s="354"/>
      <c r="S74" s="354"/>
      <c r="T74" s="354"/>
      <c r="U74" s="354"/>
      <c r="V74" s="354"/>
      <c r="W74" s="354"/>
      <c r="X74" s="354"/>
      <c r="Y74" s="354"/>
      <c r="Z74" s="354"/>
      <c r="AA74" s="354"/>
      <c r="AB74" s="354"/>
      <c r="AC74" s="354"/>
      <c r="AD74" s="354"/>
      <c r="AE74" s="354"/>
      <c r="AF74" s="354"/>
      <c r="AG74" s="354"/>
      <c r="AH74" s="354"/>
      <c r="AI74" s="354"/>
      <c r="AJ74" s="354"/>
      <c r="AK74" s="354"/>
      <c r="AL74" s="354"/>
      <c r="AM74" s="354"/>
      <c r="AN74" s="354"/>
      <c r="AO74" s="665" t="str">
        <f>CONCATENATE('Max Loan and Grant Amounts'!$V$5,0.25)</f>
        <v>0.25</v>
      </c>
      <c r="AP74" s="1260">
        <v>0.25</v>
      </c>
      <c r="AQ74" s="1259"/>
      <c r="AR74" s="1259"/>
      <c r="AS74" s="1259"/>
      <c r="AT74" s="1259"/>
      <c r="AU74" s="1266"/>
      <c r="AV74" s="1259"/>
      <c r="AW74" s="78"/>
      <c r="AX74" s="78"/>
      <c r="AY74" s="78"/>
      <c r="AZ74" s="78"/>
      <c r="BA74" s="78"/>
      <c r="BB74" s="78"/>
      <c r="BC74" s="78"/>
      <c r="BD74" s="78"/>
      <c r="BE74" s="78"/>
      <c r="BF74" s="78"/>
      <c r="BG74" s="78"/>
      <c r="BH74" s="354"/>
      <c r="BI74" s="354"/>
      <c r="BJ74" s="354"/>
      <c r="BK74" s="354"/>
      <c r="BL74" s="354"/>
      <c r="BM74" s="1682"/>
      <c r="BN74" s="1682"/>
      <c r="BO74" s="1682"/>
      <c r="BP74" s="1682"/>
      <c r="BQ74" s="409"/>
      <c r="BR74" s="408"/>
      <c r="BS74" s="408"/>
      <c r="BT74" s="408"/>
      <c r="BU74" s="408"/>
      <c r="BV74" s="408"/>
      <c r="BX74" s="435">
        <f t="shared" si="38"/>
        <v>0.6</v>
      </c>
      <c r="BY74" s="78">
        <f>SUMIF(UnitsTbl[Restricted Income Level],BX74,UnitsTbl[Total restricted units])</f>
        <v>0</v>
      </c>
      <c r="BZ74" s="315">
        <f t="shared" si="37"/>
        <v>0</v>
      </c>
      <c r="CA74" s="1265">
        <f t="shared" si="39"/>
        <v>0</v>
      </c>
      <c r="CB74" s="547">
        <f>SUM(BY65:BY74)</f>
        <v>0</v>
      </c>
      <c r="CC74" s="221">
        <f>SUM(BY65:BY78)</f>
        <v>0</v>
      </c>
      <c r="CD74" s="314"/>
      <c r="CE74" s="314"/>
      <c r="CF74" s="314"/>
      <c r="CQ74" s="1682"/>
      <c r="CR74" s="1682"/>
      <c r="CS74" s="1682"/>
      <c r="CT74" s="1682"/>
      <c r="CU74" s="1682"/>
      <c r="CV74" s="1682"/>
      <c r="CW74" s="309"/>
    </row>
    <row r="75" spans="1:101" ht="18" hidden="1" customHeight="1">
      <c r="A75" s="354"/>
      <c r="B75" s="354"/>
      <c r="C75" s="354"/>
      <c r="D75" s="354"/>
      <c r="E75" s="354"/>
      <c r="F75" s="354"/>
      <c r="G75" s="354"/>
      <c r="H75" s="354"/>
      <c r="I75" s="354"/>
      <c r="J75" s="354"/>
      <c r="K75" s="354"/>
      <c r="L75" s="354"/>
      <c r="M75" s="354"/>
      <c r="N75" s="354"/>
      <c r="O75" s="354"/>
      <c r="P75" s="354"/>
      <c r="Q75" s="354"/>
      <c r="R75" s="354"/>
      <c r="S75" s="354"/>
      <c r="T75" s="354"/>
      <c r="U75" s="354"/>
      <c r="V75" s="354"/>
      <c r="W75" s="354"/>
      <c r="X75" s="354"/>
      <c r="Y75" s="354"/>
      <c r="Z75" s="354"/>
      <c r="AA75" s="354"/>
      <c r="AB75" s="354"/>
      <c r="AC75" s="354"/>
      <c r="AD75" s="354"/>
      <c r="AE75" s="354"/>
      <c r="AF75" s="354"/>
      <c r="AG75" s="354"/>
      <c r="AH75" s="354"/>
      <c r="AI75" s="354"/>
      <c r="AJ75" s="354"/>
      <c r="AK75" s="354"/>
      <c r="AL75" s="354"/>
      <c r="AM75" s="354"/>
      <c r="AN75" s="354"/>
      <c r="AO75" s="665" t="str">
        <f>CONCATENATE('Max Loan and Grant Amounts'!$V$5,0.2)</f>
        <v>0.2</v>
      </c>
      <c r="AP75" s="1260">
        <v>0.2</v>
      </c>
      <c r="AQ75" s="1259"/>
      <c r="AR75" s="1259"/>
      <c r="AS75" s="1259"/>
      <c r="AT75" s="1259"/>
      <c r="AU75" s="1266"/>
      <c r="AV75" s="1259"/>
      <c r="AW75" s="78"/>
      <c r="AX75" s="78"/>
      <c r="AY75" s="78"/>
      <c r="AZ75" s="78"/>
      <c r="BA75" s="78"/>
      <c r="BB75" s="78"/>
      <c r="BC75" s="78"/>
      <c r="BD75" s="78"/>
      <c r="BE75" s="78"/>
      <c r="BF75" s="78"/>
      <c r="BG75" s="78"/>
      <c r="BH75" s="354"/>
      <c r="BI75" s="354"/>
      <c r="BJ75" s="354"/>
      <c r="BK75" s="354"/>
      <c r="BL75" s="354"/>
      <c r="BM75" s="1682"/>
      <c r="BN75" s="1682"/>
      <c r="BO75" s="1682"/>
      <c r="BP75" s="1682"/>
      <c r="BQ75" s="476"/>
      <c r="BR75" s="408"/>
      <c r="BS75" s="408"/>
      <c r="BT75" s="408"/>
      <c r="BU75" s="408"/>
      <c r="BV75" s="408"/>
      <c r="BX75" s="435">
        <f t="shared" si="38"/>
        <v>0.65</v>
      </c>
      <c r="BY75" s="78">
        <f>SUMIF(UnitsTbl[Restricted Income Level],BX75,UnitsTbl[Total restricted units])</f>
        <v>0</v>
      </c>
      <c r="BZ75" s="315">
        <f t="shared" si="37"/>
        <v>0</v>
      </c>
      <c r="CA75" s="1265">
        <f t="shared" si="39"/>
        <v>0</v>
      </c>
      <c r="CB75" s="313"/>
      <c r="CC75" s="314"/>
      <c r="CD75" s="314"/>
      <c r="CE75" s="314"/>
      <c r="CF75" s="314"/>
      <c r="CQ75" s="1682"/>
      <c r="CR75" s="1682"/>
      <c r="CS75" s="1682"/>
      <c r="CT75" s="1682"/>
      <c r="CU75" s="1682"/>
      <c r="CV75" s="1682"/>
      <c r="CW75" s="309"/>
    </row>
    <row r="76" spans="1:101" ht="18" hidden="1" customHeight="1">
      <c r="A76" s="354"/>
      <c r="B76" s="354"/>
      <c r="C76" s="354"/>
      <c r="D76" s="354"/>
      <c r="E76" s="354"/>
      <c r="F76" s="354"/>
      <c r="G76" s="354"/>
      <c r="H76" s="354"/>
      <c r="I76" s="354"/>
      <c r="J76" s="354"/>
      <c r="K76" s="354"/>
      <c r="L76" s="354"/>
      <c r="M76" s="354"/>
      <c r="N76" s="354"/>
      <c r="O76" s="354"/>
      <c r="P76" s="354"/>
      <c r="Q76" s="354"/>
      <c r="R76" s="354"/>
      <c r="S76" s="354"/>
      <c r="T76" s="354"/>
      <c r="U76" s="354"/>
      <c r="V76" s="354"/>
      <c r="W76" s="354"/>
      <c r="X76" s="354"/>
      <c r="Y76" s="354"/>
      <c r="Z76" s="354"/>
      <c r="AA76" s="354"/>
      <c r="AB76" s="354"/>
      <c r="AC76" s="354"/>
      <c r="AD76" s="354"/>
      <c r="AE76" s="354"/>
      <c r="AF76" s="354"/>
      <c r="AG76" s="354"/>
      <c r="AH76" s="354"/>
      <c r="AI76" s="354"/>
      <c r="AJ76" s="354"/>
      <c r="AK76" s="354"/>
      <c r="AL76" s="354"/>
      <c r="AM76" s="354"/>
      <c r="AN76" s="354"/>
      <c r="AO76" s="665" t="str">
        <f>CONCATENATE('Max Loan and Grant Amounts'!$V$5,0.15)</f>
        <v>0.15</v>
      </c>
      <c r="AP76" s="1260">
        <v>0.15</v>
      </c>
      <c r="AQ76" s="1259"/>
      <c r="AR76" s="1259"/>
      <c r="AS76" s="1259"/>
      <c r="AT76" s="1259"/>
      <c r="AU76" s="1266"/>
      <c r="AV76" s="1267"/>
      <c r="AW76" s="78"/>
      <c r="AX76" s="78"/>
      <c r="AY76" s="78"/>
      <c r="AZ76" s="78"/>
      <c r="BA76" s="78"/>
      <c r="BB76" s="78"/>
      <c r="BC76" s="78"/>
      <c r="BD76" s="78"/>
      <c r="BE76" s="78"/>
      <c r="BF76" s="78"/>
      <c r="BG76" s="78"/>
      <c r="BH76" s="354"/>
      <c r="BI76" s="354"/>
      <c r="BJ76" s="354"/>
      <c r="BK76" s="354"/>
      <c r="BL76" s="354"/>
      <c r="BM76" s="1682"/>
      <c r="BN76" s="1682"/>
      <c r="BO76" s="1682"/>
      <c r="BP76" s="1682"/>
      <c r="BQ76" s="476"/>
      <c r="BR76" s="408"/>
      <c r="BS76" s="408"/>
      <c r="BT76" s="408"/>
      <c r="BU76" s="408"/>
      <c r="BV76" s="408"/>
      <c r="BX76" s="435">
        <f t="shared" si="38"/>
        <v>0.70000000000000007</v>
      </c>
      <c r="BY76" s="78">
        <f>SUMIF(UnitsTbl[Restricted Income Level],BX76,UnitsTbl[Total restricted units])</f>
        <v>0</v>
      </c>
      <c r="BZ76" s="315">
        <f t="shared" si="37"/>
        <v>0</v>
      </c>
      <c r="CA76" s="1265">
        <f t="shared" si="39"/>
        <v>0</v>
      </c>
      <c r="CB76" s="313"/>
      <c r="CC76" s="314"/>
      <c r="CD76" s="314"/>
      <c r="CE76" s="314"/>
      <c r="CF76" s="314"/>
      <c r="CQ76" s="1682"/>
      <c r="CR76" s="1682"/>
      <c r="CS76" s="1682"/>
      <c r="CT76" s="1682"/>
      <c r="CU76" s="1682"/>
      <c r="CV76" s="1682"/>
      <c r="CW76" s="309"/>
    </row>
    <row r="77" spans="1:101" ht="18" hidden="1" customHeight="1">
      <c r="A77" s="354"/>
      <c r="B77" s="354"/>
      <c r="C77" s="354"/>
      <c r="D77" s="354"/>
      <c r="E77" s="354"/>
      <c r="F77" s="354"/>
      <c r="G77" s="354"/>
      <c r="H77" s="354"/>
      <c r="I77" s="354"/>
      <c r="J77" s="354"/>
      <c r="K77" s="354"/>
      <c r="L77" s="354"/>
      <c r="M77" s="354"/>
      <c r="N77" s="354"/>
      <c r="O77" s="354"/>
      <c r="P77" s="354"/>
      <c r="Q77" s="354"/>
      <c r="R77" s="354"/>
      <c r="S77" s="354"/>
      <c r="T77" s="354"/>
      <c r="U77" s="354"/>
      <c r="V77" s="354"/>
      <c r="W77" s="354"/>
      <c r="X77" s="354"/>
      <c r="Y77" s="354"/>
      <c r="Z77" s="354"/>
      <c r="AA77" s="354"/>
      <c r="AB77" s="354"/>
      <c r="AC77" s="354"/>
      <c r="AD77" s="354"/>
      <c r="AE77" s="354"/>
      <c r="AF77" s="354"/>
      <c r="AG77" s="354"/>
      <c r="AH77" s="354"/>
      <c r="AI77" s="354"/>
      <c r="AJ77" s="354"/>
      <c r="AK77" s="354"/>
      <c r="AL77" s="354"/>
      <c r="AM77" s="354"/>
      <c r="AN77" s="354"/>
      <c r="AO77" s="2609" t="s">
        <v>1638</v>
      </c>
      <c r="AP77" s="1889"/>
      <c r="AQ77" s="2582"/>
      <c r="AR77" s="1864"/>
      <c r="AS77" s="1864"/>
      <c r="AT77" s="1864"/>
      <c r="AU77" s="1865"/>
      <c r="AV77" s="78"/>
      <c r="AW77" s="78"/>
      <c r="AX77" s="78"/>
      <c r="AY77" s="78"/>
      <c r="AZ77" s="78"/>
      <c r="BA77" s="78"/>
      <c r="BB77" s="78"/>
      <c r="BC77" s="78"/>
      <c r="BD77" s="78"/>
      <c r="BE77" s="78"/>
      <c r="BF77" s="78"/>
      <c r="BG77" s="78"/>
      <c r="BH77" s="354"/>
      <c r="BI77" s="354"/>
      <c r="BJ77" s="354"/>
      <c r="BK77" s="354"/>
      <c r="BL77" s="354"/>
      <c r="BM77" s="1682"/>
      <c r="BN77" s="1682"/>
      <c r="BO77" s="1682"/>
      <c r="BP77" s="1682"/>
      <c r="BQ77" s="476"/>
      <c r="BR77" s="408"/>
      <c r="BS77" s="408"/>
      <c r="BT77" s="408"/>
      <c r="BU77" s="408"/>
      <c r="BV77" s="408"/>
      <c r="BX77" s="435">
        <f t="shared" si="38"/>
        <v>0.75000000000000011</v>
      </c>
      <c r="BY77" s="78">
        <f>SUMIF(UnitsTbl[Restricted Income Level],BX77,UnitsTbl[Total restricted units])</f>
        <v>0</v>
      </c>
      <c r="BZ77" s="315">
        <f t="shared" si="37"/>
        <v>0</v>
      </c>
      <c r="CA77" s="1265">
        <f t="shared" si="39"/>
        <v>0</v>
      </c>
      <c r="CB77" s="313"/>
      <c r="CC77" s="314"/>
      <c r="CD77" s="314"/>
      <c r="CE77" s="314"/>
      <c r="CF77" s="314"/>
      <c r="CQ77" s="1682"/>
      <c r="CR77" s="1682"/>
      <c r="CS77" s="1682"/>
      <c r="CT77" s="1682"/>
      <c r="CU77" s="1682"/>
      <c r="CV77" s="1682"/>
      <c r="CW77" s="309"/>
    </row>
    <row r="78" spans="1:101" ht="18" hidden="1" customHeight="1">
      <c r="A78" s="354"/>
      <c r="B78" s="354"/>
      <c r="C78" s="354"/>
      <c r="D78" s="354"/>
      <c r="E78" s="354"/>
      <c r="F78" s="354"/>
      <c r="G78" s="354"/>
      <c r="H78" s="354"/>
      <c r="I78" s="354"/>
      <c r="J78" s="354"/>
      <c r="K78" s="354"/>
      <c r="L78" s="354"/>
      <c r="M78" s="354"/>
      <c r="N78" s="354"/>
      <c r="O78" s="354"/>
      <c r="P78" s="354"/>
      <c r="Q78" s="354"/>
      <c r="R78" s="354"/>
      <c r="S78" s="354"/>
      <c r="T78" s="354"/>
      <c r="U78" s="354"/>
      <c r="V78" s="354"/>
      <c r="W78" s="354"/>
      <c r="X78" s="354"/>
      <c r="Y78" s="354"/>
      <c r="Z78" s="354"/>
      <c r="AA78" s="354"/>
      <c r="AB78" s="354"/>
      <c r="AC78" s="354"/>
      <c r="AD78" s="354"/>
      <c r="AE78" s="354"/>
      <c r="AF78" s="354"/>
      <c r="AG78" s="354"/>
      <c r="AH78" s="354"/>
      <c r="AI78" s="354"/>
      <c r="AJ78" s="354"/>
      <c r="AK78" s="354"/>
      <c r="AL78" s="354"/>
      <c r="AM78" s="354"/>
      <c r="AN78" s="354"/>
      <c r="AO78" s="2479"/>
      <c r="AP78" s="1772"/>
      <c r="AQ78" s="2574"/>
      <c r="AR78" s="1869"/>
      <c r="AS78" s="1869"/>
      <c r="AT78" s="1869"/>
      <c r="AU78" s="1870"/>
      <c r="AV78" s="78"/>
      <c r="AW78" s="78"/>
      <c r="AX78" s="78"/>
      <c r="AY78" s="78"/>
      <c r="AZ78" s="78"/>
      <c r="BA78" s="78"/>
      <c r="BB78" s="78"/>
      <c r="BC78" s="78"/>
      <c r="BD78" s="78"/>
      <c r="BE78" s="78"/>
      <c r="BF78" s="78"/>
      <c r="BG78" s="78"/>
      <c r="BH78" s="354"/>
      <c r="BI78" s="354"/>
      <c r="BJ78" s="354"/>
      <c r="BK78" s="354"/>
      <c r="BL78" s="354"/>
      <c r="BM78" s="1682"/>
      <c r="BN78" s="1682"/>
      <c r="BO78" s="1682"/>
      <c r="BP78" s="1682"/>
      <c r="BQ78" s="476"/>
      <c r="BR78" s="408"/>
      <c r="BS78" s="408"/>
      <c r="BT78" s="408"/>
      <c r="BU78" s="408"/>
      <c r="BV78" s="408"/>
      <c r="BX78" s="435">
        <f t="shared" si="38"/>
        <v>0.80000000000000016</v>
      </c>
      <c r="BY78" s="78">
        <f>SUMIF(UnitsTbl[Restricted Income Level],BX78,UnitsTbl[Total restricted units])</f>
        <v>0</v>
      </c>
      <c r="BZ78" s="315">
        <f t="shared" si="37"/>
        <v>0</v>
      </c>
      <c r="CA78" s="1265">
        <f t="shared" si="39"/>
        <v>0</v>
      </c>
      <c r="CB78" s="313"/>
      <c r="CC78" s="314"/>
      <c r="CD78" s="314"/>
      <c r="CE78" s="314"/>
      <c r="CF78" s="314"/>
      <c r="CQ78" s="1682"/>
      <c r="CR78" s="1682"/>
      <c r="CS78" s="1682"/>
      <c r="CT78" s="1682"/>
      <c r="CU78" s="1682"/>
      <c r="CV78" s="1682"/>
      <c r="CW78" s="309"/>
    </row>
    <row r="79" spans="1:101" ht="18" hidden="1" customHeight="1">
      <c r="A79" s="354"/>
      <c r="B79" s="354"/>
      <c r="C79" s="354"/>
      <c r="D79" s="354"/>
      <c r="E79" s="354"/>
      <c r="F79" s="354"/>
      <c r="G79" s="354"/>
      <c r="H79" s="354"/>
      <c r="I79" s="354"/>
      <c r="J79" s="354"/>
      <c r="K79" s="354"/>
      <c r="L79" s="354"/>
      <c r="M79" s="354"/>
      <c r="N79" s="354"/>
      <c r="O79" s="354"/>
      <c r="P79" s="354"/>
      <c r="Q79" s="354"/>
      <c r="R79" s="354"/>
      <c r="S79" s="354"/>
      <c r="T79" s="354"/>
      <c r="U79" s="354"/>
      <c r="V79" s="354"/>
      <c r="W79" s="354"/>
      <c r="X79" s="354"/>
      <c r="Y79" s="354"/>
      <c r="Z79" s="354"/>
      <c r="AA79" s="354"/>
      <c r="AB79" s="354"/>
      <c r="AC79" s="354"/>
      <c r="AD79" s="354"/>
      <c r="AE79" s="354"/>
      <c r="AF79" s="354"/>
      <c r="AG79" s="354"/>
      <c r="AH79" s="354"/>
      <c r="AI79" s="354"/>
      <c r="AJ79" s="354"/>
      <c r="AK79" s="354"/>
      <c r="AL79" s="354"/>
      <c r="AM79" s="354"/>
      <c r="AN79" s="354"/>
      <c r="AO79" s="2624" t="s">
        <v>1639</v>
      </c>
      <c r="AP79" s="1777"/>
      <c r="AQ79" s="1777"/>
      <c r="AR79" s="1777"/>
      <c r="AS79" s="1777"/>
      <c r="AT79" s="1777"/>
      <c r="AU79" s="1778"/>
      <c r="AV79" s="78"/>
      <c r="AW79" s="78"/>
      <c r="AX79" s="78"/>
      <c r="AY79" s="78"/>
      <c r="AZ79" s="78"/>
      <c r="BA79" s="78"/>
      <c r="BB79" s="78"/>
      <c r="BC79" s="78"/>
      <c r="BD79" s="78"/>
      <c r="BE79" s="78"/>
      <c r="BF79" s="78"/>
      <c r="BG79" s="78"/>
      <c r="BH79" s="354"/>
      <c r="BI79" s="354"/>
      <c r="BJ79" s="354"/>
      <c r="BK79" s="354"/>
      <c r="BL79" s="354"/>
      <c r="BM79" s="1682"/>
      <c r="BN79" s="1682"/>
      <c r="BO79" s="1682"/>
      <c r="BP79" s="1682"/>
      <c r="BQ79" s="410"/>
      <c r="BR79" s="407"/>
      <c r="BS79" s="407"/>
      <c r="BT79" s="407"/>
      <c r="BU79" s="407"/>
      <c r="BV79" s="407"/>
      <c r="BX79" s="435">
        <f t="shared" si="38"/>
        <v>0.8500000000000002</v>
      </c>
      <c r="BY79" s="78">
        <f>SUMIF(UnitsTbl[Restricted Income Level],BX79,UnitsTbl[Total restricted units])</f>
        <v>0</v>
      </c>
      <c r="BZ79" s="315">
        <f t="shared" si="37"/>
        <v>0</v>
      </c>
      <c r="CA79" s="1265">
        <f t="shared" si="39"/>
        <v>0</v>
      </c>
      <c r="CB79" s="313"/>
      <c r="CC79" s="314"/>
      <c r="CD79" s="314"/>
      <c r="CE79" s="314"/>
      <c r="CF79" s="314"/>
      <c r="CQ79" s="1682"/>
      <c r="CR79" s="1682"/>
      <c r="CS79" s="1682"/>
      <c r="CT79" s="1682"/>
      <c r="CU79" s="1682"/>
      <c r="CV79" s="1682"/>
      <c r="CW79" s="309"/>
    </row>
    <row r="80" spans="1:101" ht="18" hidden="1" customHeight="1">
      <c r="A80" s="354"/>
      <c r="B80" s="354"/>
      <c r="C80" s="354"/>
      <c r="D80" s="354"/>
      <c r="E80" s="354"/>
      <c r="F80" s="354"/>
      <c r="G80" s="354"/>
      <c r="H80" s="354"/>
      <c r="I80" s="354"/>
      <c r="J80" s="354"/>
      <c r="K80" s="354"/>
      <c r="L80" s="354"/>
      <c r="M80" s="354"/>
      <c r="N80" s="354"/>
      <c r="O80" s="354"/>
      <c r="P80" s="354"/>
      <c r="Q80" s="354"/>
      <c r="R80" s="354"/>
      <c r="S80" s="354"/>
      <c r="T80" s="354"/>
      <c r="U80" s="354"/>
      <c r="V80" s="354"/>
      <c r="W80" s="354"/>
      <c r="X80" s="354"/>
      <c r="Y80" s="354"/>
      <c r="Z80" s="354"/>
      <c r="AA80" s="354"/>
      <c r="AB80" s="354"/>
      <c r="AC80" s="354"/>
      <c r="AD80" s="354"/>
      <c r="AE80" s="354"/>
      <c r="AF80" s="354"/>
      <c r="AG80" s="354"/>
      <c r="AH80" s="354"/>
      <c r="AI80" s="354"/>
      <c r="AJ80" s="354"/>
      <c r="AK80" s="354"/>
      <c r="AL80" s="354"/>
      <c r="AM80" s="354"/>
      <c r="AN80" s="354"/>
      <c r="AO80" s="1680"/>
      <c r="AP80" s="2661" t="s">
        <v>1640</v>
      </c>
      <c r="AQ80" s="2661" t="s">
        <v>856</v>
      </c>
      <c r="AR80" s="2633" t="s">
        <v>1641</v>
      </c>
      <c r="AS80" s="2633" t="s">
        <v>1642</v>
      </c>
      <c r="AT80" s="1770"/>
      <c r="AU80" s="1268"/>
      <c r="AV80" s="78"/>
      <c r="AW80" s="78"/>
      <c r="AX80" s="78"/>
      <c r="AY80" s="78"/>
      <c r="AZ80" s="78"/>
      <c r="BA80" s="78"/>
      <c r="BB80" s="78"/>
      <c r="BC80" s="78"/>
      <c r="BD80" s="78"/>
      <c r="BE80" s="78"/>
      <c r="BF80" s="78"/>
      <c r="BG80" s="78"/>
      <c r="BH80" s="354"/>
      <c r="BI80" s="354"/>
      <c r="BJ80" s="354"/>
      <c r="BK80" s="354"/>
      <c r="BL80" s="354"/>
      <c r="BM80" s="1682"/>
      <c r="BN80" s="1682"/>
      <c r="BO80" s="1682"/>
      <c r="BP80" s="1682"/>
      <c r="BQ80" s="476"/>
      <c r="BR80" s="408"/>
      <c r="BS80" s="408"/>
      <c r="BT80" s="408"/>
      <c r="BU80" s="408"/>
      <c r="BV80" s="408"/>
      <c r="BX80" s="435">
        <f t="shared" si="38"/>
        <v>0.90000000000000024</v>
      </c>
      <c r="BY80" s="78">
        <f>SUMIF(UnitsTbl[Restricted Income Level],BX80,UnitsTbl[Total restricted units])</f>
        <v>0</v>
      </c>
      <c r="BZ80" s="315">
        <f t="shared" si="37"/>
        <v>0</v>
      </c>
      <c r="CA80" s="1265">
        <f t="shared" si="39"/>
        <v>0</v>
      </c>
      <c r="CB80" s="313"/>
      <c r="CC80" s="314"/>
      <c r="CD80" s="314"/>
      <c r="CE80" s="314"/>
      <c r="CF80" s="314"/>
      <c r="CQ80" s="1682"/>
      <c r="CR80" s="1682"/>
      <c r="CS80" s="1682"/>
      <c r="CT80" s="1682"/>
      <c r="CU80" s="1682"/>
      <c r="CV80" s="1682"/>
      <c r="CW80" s="309"/>
    </row>
    <row r="81" spans="1:101" ht="18" hidden="1" customHeight="1">
      <c r="A81" s="354"/>
      <c r="B81" s="354"/>
      <c r="C81" s="354"/>
      <c r="D81" s="354"/>
      <c r="E81" s="354"/>
      <c r="F81" s="354"/>
      <c r="G81" s="354"/>
      <c r="H81" s="354"/>
      <c r="I81" s="354"/>
      <c r="J81" s="354"/>
      <c r="K81" s="354"/>
      <c r="L81" s="354"/>
      <c r="M81" s="354"/>
      <c r="N81" s="354"/>
      <c r="O81" s="354"/>
      <c r="P81" s="354"/>
      <c r="Q81" s="354"/>
      <c r="R81" s="354"/>
      <c r="S81" s="354"/>
      <c r="T81" s="354"/>
      <c r="U81" s="354"/>
      <c r="V81" s="354"/>
      <c r="W81" s="354"/>
      <c r="X81" s="354"/>
      <c r="Y81" s="354"/>
      <c r="Z81" s="354"/>
      <c r="AA81" s="354"/>
      <c r="AB81" s="354"/>
      <c r="AC81" s="354"/>
      <c r="AD81" s="354"/>
      <c r="AE81" s="354"/>
      <c r="AF81" s="354"/>
      <c r="AG81" s="354"/>
      <c r="AH81" s="354"/>
      <c r="AI81" s="354"/>
      <c r="AJ81" s="354"/>
      <c r="AK81" s="354"/>
      <c r="AL81" s="354"/>
      <c r="AM81" s="354"/>
      <c r="AN81" s="354"/>
      <c r="AO81" s="336"/>
      <c r="AP81" s="2465"/>
      <c r="AQ81" s="2465"/>
      <c r="AR81" s="2465"/>
      <c r="AS81" s="2479"/>
      <c r="AT81" s="1772"/>
      <c r="AU81" s="1269"/>
      <c r="AV81" s="78"/>
      <c r="AW81" s="78"/>
      <c r="AX81" s="78"/>
      <c r="AY81" s="78"/>
      <c r="AZ81" s="78"/>
      <c r="BA81" s="78"/>
      <c r="BB81" s="78"/>
      <c r="BC81" s="78"/>
      <c r="BD81" s="78"/>
      <c r="BE81" s="78"/>
      <c r="BF81" s="78"/>
      <c r="BG81" s="78"/>
      <c r="BH81" s="354"/>
      <c r="BI81" s="354"/>
      <c r="BJ81" s="354"/>
      <c r="BK81" s="354"/>
      <c r="BL81" s="354"/>
      <c r="BM81" s="1682"/>
      <c r="BN81" s="1682"/>
      <c r="BO81" s="1682"/>
      <c r="BP81" s="1682"/>
      <c r="BQ81" s="476"/>
      <c r="BR81" s="408"/>
      <c r="BS81" s="408"/>
      <c r="BT81" s="408"/>
      <c r="BU81" s="408"/>
      <c r="BV81" s="408"/>
      <c r="BX81" s="435">
        <f t="shared" si="38"/>
        <v>0.95000000000000029</v>
      </c>
      <c r="BY81" s="78">
        <f>SUMIF(UnitsTbl[Restricted Income Level],BX81,UnitsTbl[Total restricted units])</f>
        <v>0</v>
      </c>
      <c r="BZ81" s="315">
        <f t="shared" si="37"/>
        <v>0</v>
      </c>
      <c r="CA81" s="1265">
        <f t="shared" si="39"/>
        <v>0</v>
      </c>
      <c r="CB81" s="313"/>
      <c r="CC81" s="314"/>
      <c r="CD81" s="314"/>
      <c r="CE81" s="314"/>
      <c r="CF81" s="314"/>
      <c r="CQ81" s="1682"/>
      <c r="CR81" s="1682"/>
      <c r="CS81" s="1682"/>
      <c r="CT81" s="1682"/>
      <c r="CU81" s="1682"/>
      <c r="CV81" s="1682"/>
      <c r="CW81" s="309"/>
    </row>
    <row r="82" spans="1:101" ht="18" hidden="1" customHeight="1">
      <c r="A82" s="354"/>
      <c r="B82" s="354"/>
      <c r="C82" s="354"/>
      <c r="D82" s="354"/>
      <c r="E82" s="354"/>
      <c r="F82" s="354"/>
      <c r="G82" s="354"/>
      <c r="H82" s="354"/>
      <c r="I82" s="354"/>
      <c r="J82" s="354"/>
      <c r="K82" s="354"/>
      <c r="L82" s="354"/>
      <c r="M82" s="354"/>
      <c r="N82" s="354"/>
      <c r="O82" s="354"/>
      <c r="P82" s="354"/>
      <c r="Q82" s="354"/>
      <c r="R82" s="354"/>
      <c r="S82" s="354"/>
      <c r="T82" s="354"/>
      <c r="U82" s="354"/>
      <c r="V82" s="354"/>
      <c r="W82" s="354"/>
      <c r="X82" s="354"/>
      <c r="Y82" s="354"/>
      <c r="Z82" s="354"/>
      <c r="AA82" s="354"/>
      <c r="AB82" s="354"/>
      <c r="AC82" s="354"/>
      <c r="AD82" s="354"/>
      <c r="AE82" s="354"/>
      <c r="AF82" s="354"/>
      <c r="AG82" s="354"/>
      <c r="AH82" s="354"/>
      <c r="AI82" s="354"/>
      <c r="AJ82" s="354"/>
      <c r="AK82" s="354"/>
      <c r="AL82" s="354"/>
      <c r="AM82" s="354"/>
      <c r="AN82" s="354"/>
      <c r="AO82" s="1270" t="s">
        <v>1643</v>
      </c>
      <c r="AP82" s="1271"/>
      <c r="AQ82" s="1214"/>
      <c r="AR82" s="1259"/>
      <c r="AS82" s="2570">
        <f t="shared" ref="AS82:AS93" si="40">AQ82*AR82</f>
        <v>0</v>
      </c>
      <c r="AT82" s="1778"/>
      <c r="AU82" s="1269"/>
      <c r="AV82" s="78"/>
      <c r="AW82" s="78"/>
      <c r="AX82" s="78"/>
      <c r="AY82" s="78"/>
      <c r="AZ82" s="78"/>
      <c r="BA82" s="78"/>
      <c r="BB82" s="78"/>
      <c r="BC82" s="78"/>
      <c r="BD82" s="78"/>
      <c r="BE82" s="78"/>
      <c r="BF82" s="78"/>
      <c r="BG82" s="78"/>
      <c r="BH82" s="354"/>
      <c r="BI82" s="354"/>
      <c r="BJ82" s="354"/>
      <c r="BK82" s="354"/>
      <c r="BL82" s="354"/>
      <c r="BM82" s="1682"/>
      <c r="BN82" s="1682"/>
      <c r="BO82" s="1682"/>
      <c r="BP82" s="1682"/>
      <c r="BQ82" s="476"/>
      <c r="BR82" s="408"/>
      <c r="BS82" s="408"/>
      <c r="BT82" s="408"/>
      <c r="BU82" s="408"/>
      <c r="BV82" s="408"/>
      <c r="BX82" s="435" t="s">
        <v>99</v>
      </c>
      <c r="BY82" s="78">
        <f>SUMIF(UnitsTbl[Restricted Income Level],BX82,UnitsTbl[Total restricted units])</f>
        <v>0</v>
      </c>
      <c r="BZ82" s="315">
        <f t="shared" si="37"/>
        <v>0</v>
      </c>
      <c r="CA82" s="1272"/>
      <c r="CB82" s="313"/>
      <c r="CC82" s="314"/>
      <c r="CD82" s="314"/>
      <c r="CE82" s="314"/>
      <c r="CF82" s="314"/>
      <c r="CQ82" s="1682"/>
      <c r="CR82" s="1682"/>
      <c r="CS82" s="1682"/>
      <c r="CT82" s="1682"/>
      <c r="CU82" s="1682"/>
      <c r="CV82" s="1682"/>
      <c r="CW82" s="309"/>
    </row>
    <row r="83" spans="1:101" ht="18" hidden="1" customHeight="1">
      <c r="A83" s="354"/>
      <c r="B83" s="354"/>
      <c r="C83" s="354"/>
      <c r="D83" s="354"/>
      <c r="E83" s="354"/>
      <c r="F83" s="354"/>
      <c r="G83" s="354"/>
      <c r="H83" s="354"/>
      <c r="I83" s="354"/>
      <c r="J83" s="354"/>
      <c r="K83" s="354"/>
      <c r="L83" s="354"/>
      <c r="M83" s="354"/>
      <c r="N83" s="354"/>
      <c r="O83" s="354"/>
      <c r="P83" s="354"/>
      <c r="Q83" s="354"/>
      <c r="R83" s="354"/>
      <c r="S83" s="354"/>
      <c r="T83" s="354"/>
      <c r="U83" s="354"/>
      <c r="V83" s="354"/>
      <c r="W83" s="354"/>
      <c r="X83" s="354"/>
      <c r="Y83" s="354"/>
      <c r="Z83" s="354"/>
      <c r="AA83" s="354"/>
      <c r="AB83" s="354"/>
      <c r="AC83" s="354"/>
      <c r="AD83" s="354"/>
      <c r="AE83" s="354"/>
      <c r="AF83" s="354"/>
      <c r="AG83" s="354"/>
      <c r="AH83" s="354"/>
      <c r="AI83" s="354"/>
      <c r="AJ83" s="354"/>
      <c r="AK83" s="354"/>
      <c r="AL83" s="354"/>
      <c r="AM83" s="354"/>
      <c r="AN83" s="354"/>
      <c r="AO83" s="1270" t="s">
        <v>1643</v>
      </c>
      <c r="AP83" s="1214"/>
      <c r="AQ83" s="1214"/>
      <c r="AR83" s="1259"/>
      <c r="AS83" s="2570">
        <f t="shared" si="40"/>
        <v>0</v>
      </c>
      <c r="AT83" s="1778"/>
      <c r="AU83" s="1269"/>
      <c r="AV83" s="78"/>
      <c r="AW83" s="78"/>
      <c r="AX83" s="78"/>
      <c r="AY83" s="78"/>
      <c r="AZ83" s="78"/>
      <c r="BA83" s="78"/>
      <c r="BB83" s="78"/>
      <c r="BC83" s="78"/>
      <c r="BD83" s="78"/>
      <c r="BE83" s="78"/>
      <c r="BF83" s="78"/>
      <c r="BG83" s="78"/>
      <c r="BH83" s="354"/>
      <c r="BI83" s="354"/>
      <c r="BJ83" s="354"/>
      <c r="BK83" s="354"/>
      <c r="BL83" s="354"/>
      <c r="BM83" s="1682"/>
      <c r="BN83" s="1682"/>
      <c r="BO83" s="1682"/>
      <c r="BP83" s="1682"/>
      <c r="BQ83" s="476"/>
      <c r="BR83" s="408"/>
      <c r="BS83" s="408"/>
      <c r="BT83" s="408"/>
      <c r="BU83" s="408"/>
      <c r="BV83" s="408"/>
      <c r="BX83" s="435" t="s">
        <v>105</v>
      </c>
      <c r="BY83" s="78">
        <f>SUMIF(UnitsTbl[Restricted Income Level],BX83,UnitsTbl[Total restricted units])</f>
        <v>0</v>
      </c>
      <c r="BZ83" s="315">
        <f t="shared" si="37"/>
        <v>0</v>
      </c>
      <c r="CA83" s="1273"/>
      <c r="CB83" s="313"/>
      <c r="CC83" s="314"/>
      <c r="CD83" s="314"/>
      <c r="CE83" s="314"/>
      <c r="CF83" s="314"/>
      <c r="CQ83" s="1682"/>
      <c r="CR83" s="1682"/>
      <c r="CS83" s="1682"/>
      <c r="CT83" s="1682"/>
      <c r="CU83" s="1682"/>
      <c r="CV83" s="1682"/>
      <c r="CW83" s="309"/>
    </row>
    <row r="84" spans="1:101" ht="18" hidden="1" customHeight="1">
      <c r="A84" s="354"/>
      <c r="B84" s="354"/>
      <c r="C84" s="354"/>
      <c r="D84" s="354"/>
      <c r="E84" s="354"/>
      <c r="F84" s="354"/>
      <c r="G84" s="354"/>
      <c r="H84" s="354"/>
      <c r="I84" s="354"/>
      <c r="J84" s="354"/>
      <c r="K84" s="354"/>
      <c r="L84" s="354"/>
      <c r="M84" s="354"/>
      <c r="N84" s="354"/>
      <c r="O84" s="354"/>
      <c r="P84" s="354"/>
      <c r="Q84" s="354"/>
      <c r="R84" s="354"/>
      <c r="S84" s="354"/>
      <c r="T84" s="354"/>
      <c r="U84" s="354"/>
      <c r="V84" s="354"/>
      <c r="W84" s="354"/>
      <c r="X84" s="354"/>
      <c r="Y84" s="354"/>
      <c r="Z84" s="354"/>
      <c r="AA84" s="354"/>
      <c r="AB84" s="354"/>
      <c r="AC84" s="354"/>
      <c r="AD84" s="354"/>
      <c r="AE84" s="354"/>
      <c r="AF84" s="354"/>
      <c r="AG84" s="354"/>
      <c r="AH84" s="354"/>
      <c r="AI84" s="354"/>
      <c r="AJ84" s="354"/>
      <c r="AK84" s="354"/>
      <c r="AL84" s="354"/>
      <c r="AM84" s="354"/>
      <c r="AN84" s="354"/>
      <c r="AO84" s="1270" t="s">
        <v>1643</v>
      </c>
      <c r="AP84" s="1214"/>
      <c r="AQ84" s="1214"/>
      <c r="AR84" s="1259"/>
      <c r="AS84" s="2570">
        <f t="shared" si="40"/>
        <v>0</v>
      </c>
      <c r="AT84" s="1778"/>
      <c r="AU84" s="1269"/>
      <c r="AV84" s="78"/>
      <c r="AW84" s="78"/>
      <c r="AX84" s="78"/>
      <c r="AY84" s="78"/>
      <c r="AZ84" s="78"/>
      <c r="BA84" s="78"/>
      <c r="BB84" s="78"/>
      <c r="BC84" s="78"/>
      <c r="BD84" s="78"/>
      <c r="BE84" s="78"/>
      <c r="BF84" s="78"/>
      <c r="BG84" s="78"/>
      <c r="BH84" s="354"/>
      <c r="BI84" s="354"/>
      <c r="BJ84" s="354"/>
      <c r="BK84" s="354"/>
      <c r="BL84" s="354"/>
      <c r="BM84" s="1682"/>
      <c r="BN84" s="1682"/>
      <c r="BO84" s="1682"/>
      <c r="BP84" s="1682"/>
      <c r="BQ84" s="476"/>
      <c r="BR84" s="408"/>
      <c r="BS84" s="408"/>
      <c r="BT84" s="408"/>
      <c r="BU84" s="408"/>
      <c r="BV84" s="408"/>
      <c r="BX84" s="336"/>
      <c r="CA84" s="1274"/>
      <c r="CB84" s="313"/>
      <c r="CC84" s="314"/>
      <c r="CD84" s="314"/>
      <c r="CE84" s="314"/>
      <c r="CF84" s="314"/>
      <c r="CQ84" s="1682"/>
      <c r="CR84" s="1682"/>
      <c r="CS84" s="1682"/>
      <c r="CT84" s="1682"/>
      <c r="CU84" s="1682"/>
      <c r="CV84" s="1682"/>
      <c r="CW84" s="309"/>
    </row>
    <row r="85" spans="1:101" ht="29.25" hidden="1" customHeight="1">
      <c r="A85" s="354"/>
      <c r="B85" s="354"/>
      <c r="C85" s="354"/>
      <c r="D85" s="354"/>
      <c r="E85" s="354"/>
      <c r="F85" s="354"/>
      <c r="G85" s="354"/>
      <c r="H85" s="354"/>
      <c r="I85" s="354"/>
      <c r="J85" s="354"/>
      <c r="K85" s="354"/>
      <c r="L85" s="354"/>
      <c r="M85" s="354"/>
      <c r="N85" s="354"/>
      <c r="O85" s="354"/>
      <c r="P85" s="354"/>
      <c r="Q85" s="354"/>
      <c r="R85" s="354"/>
      <c r="S85" s="354"/>
      <c r="T85" s="354"/>
      <c r="U85" s="354"/>
      <c r="V85" s="354"/>
      <c r="W85" s="354"/>
      <c r="X85" s="354"/>
      <c r="Y85" s="354"/>
      <c r="Z85" s="354"/>
      <c r="AA85" s="354"/>
      <c r="AB85" s="354"/>
      <c r="AC85" s="354"/>
      <c r="AD85" s="354"/>
      <c r="AE85" s="354"/>
      <c r="AF85" s="354"/>
      <c r="AG85" s="354"/>
      <c r="AH85" s="354"/>
      <c r="AI85" s="354"/>
      <c r="AJ85" s="354"/>
      <c r="AK85" s="354"/>
      <c r="AL85" s="354"/>
      <c r="AM85" s="354"/>
      <c r="AN85" s="354"/>
      <c r="AO85" s="336"/>
      <c r="AP85" s="1214"/>
      <c r="AQ85" s="1214"/>
      <c r="AR85" s="1259"/>
      <c r="AS85" s="2570">
        <f t="shared" si="40"/>
        <v>0</v>
      </c>
      <c r="AT85" s="1778"/>
      <c r="AU85" s="1269"/>
      <c r="AV85" s="78"/>
      <c r="AW85" s="78"/>
      <c r="AX85" s="78"/>
      <c r="AY85" s="78"/>
      <c r="AZ85" s="78"/>
      <c r="BA85" s="78"/>
      <c r="BB85" s="78"/>
      <c r="BC85" s="78"/>
      <c r="BD85" s="78"/>
      <c r="BE85" s="78"/>
      <c r="BF85" s="78"/>
      <c r="BG85" s="78"/>
      <c r="BH85" s="354"/>
      <c r="BI85" s="354"/>
      <c r="BJ85" s="354"/>
      <c r="BK85" s="354"/>
      <c r="BL85" s="354"/>
      <c r="BM85" s="1682"/>
      <c r="BN85" s="1682"/>
      <c r="BO85" s="1682"/>
      <c r="BP85" s="1682"/>
      <c r="BQ85" s="409"/>
      <c r="BR85" s="408"/>
      <c r="BS85" s="408"/>
      <c r="BT85" s="408"/>
      <c r="BU85" s="408"/>
      <c r="BV85" s="408"/>
      <c r="BX85" s="795" t="s">
        <v>1644</v>
      </c>
      <c r="BY85" s="1133">
        <f>SUM(BY65:BY81)</f>
        <v>0</v>
      </c>
      <c r="BZ85" s="1275">
        <f>SUM(BZ65:BZ83)</f>
        <v>0</v>
      </c>
      <c r="CA85" s="1122">
        <f>SUM(CA65:CA81)</f>
        <v>0</v>
      </c>
      <c r="CB85" s="313"/>
      <c r="CC85" s="314"/>
      <c r="CD85" s="314"/>
      <c r="CE85" s="314"/>
      <c r="CF85" s="314"/>
      <c r="CQ85" s="1682"/>
      <c r="CR85" s="1682"/>
      <c r="CS85" s="1682"/>
      <c r="CT85" s="1682"/>
      <c r="CU85" s="1682"/>
      <c r="CV85" s="1682"/>
      <c r="CW85" s="309"/>
    </row>
    <row r="86" spans="1:101" ht="18" hidden="1" customHeight="1">
      <c r="A86" s="354"/>
      <c r="B86" s="354"/>
      <c r="C86" s="354"/>
      <c r="D86" s="354"/>
      <c r="E86" s="354"/>
      <c r="F86" s="354"/>
      <c r="G86" s="354"/>
      <c r="H86" s="354"/>
      <c r="I86" s="354"/>
      <c r="J86" s="354"/>
      <c r="K86" s="354"/>
      <c r="L86" s="354"/>
      <c r="M86" s="354"/>
      <c r="N86" s="354"/>
      <c r="O86" s="354"/>
      <c r="P86" s="354"/>
      <c r="Q86" s="354"/>
      <c r="R86" s="354"/>
      <c r="S86" s="354"/>
      <c r="T86" s="354"/>
      <c r="U86" s="354"/>
      <c r="V86" s="354"/>
      <c r="W86" s="354"/>
      <c r="X86" s="354"/>
      <c r="Y86" s="354"/>
      <c r="Z86" s="354"/>
      <c r="AA86" s="354"/>
      <c r="AB86" s="354"/>
      <c r="AC86" s="354"/>
      <c r="AD86" s="354"/>
      <c r="AE86" s="354"/>
      <c r="AF86" s="354"/>
      <c r="AG86" s="354"/>
      <c r="AH86" s="354"/>
      <c r="AI86" s="354"/>
      <c r="AJ86" s="354"/>
      <c r="AK86" s="354"/>
      <c r="AL86" s="354"/>
      <c r="AM86" s="354"/>
      <c r="AN86" s="354"/>
      <c r="AO86" s="336"/>
      <c r="AP86" s="1214"/>
      <c r="AQ86" s="1214"/>
      <c r="AR86" s="1259"/>
      <c r="AS86" s="2570">
        <f t="shared" si="40"/>
        <v>0</v>
      </c>
      <c r="AT86" s="1778"/>
      <c r="AU86" s="1269"/>
      <c r="AV86" s="78"/>
      <c r="AW86" s="78"/>
      <c r="AX86" s="78"/>
      <c r="AY86" s="78"/>
      <c r="AZ86" s="78"/>
      <c r="BA86" s="78"/>
      <c r="BB86" s="78"/>
      <c r="BC86" s="78"/>
      <c r="BD86" s="78"/>
      <c r="BE86" s="78"/>
      <c r="BF86" s="78"/>
      <c r="BG86" s="78"/>
      <c r="BH86" s="354"/>
      <c r="BI86" s="354"/>
      <c r="BJ86" s="354"/>
      <c r="BK86" s="354"/>
      <c r="BL86" s="354"/>
      <c r="BM86" s="1682"/>
      <c r="BN86" s="1682"/>
      <c r="BO86" s="1682"/>
      <c r="BP86" s="1682"/>
      <c r="BQ86" s="476"/>
      <c r="BR86" s="408"/>
      <c r="BS86" s="408"/>
      <c r="BT86" s="408"/>
      <c r="BU86" s="408"/>
      <c r="BV86" s="408"/>
      <c r="BX86" s="522" t="s">
        <v>1645</v>
      </c>
      <c r="CA86" s="315">
        <f>SUM($BZ$65,$BZ$66)</f>
        <v>0</v>
      </c>
      <c r="CQ86" s="1682"/>
      <c r="CR86" s="1682"/>
      <c r="CS86" s="1682"/>
      <c r="CT86" s="1682"/>
      <c r="CU86" s="1682"/>
      <c r="CV86" s="1682"/>
      <c r="CW86" s="309"/>
    </row>
    <row r="87" spans="1:101" ht="18" hidden="1" customHeight="1">
      <c r="A87" s="354"/>
      <c r="B87" s="354"/>
      <c r="C87" s="354"/>
      <c r="D87" s="354"/>
      <c r="E87" s="354"/>
      <c r="F87" s="354"/>
      <c r="G87" s="354"/>
      <c r="H87" s="354"/>
      <c r="I87" s="354"/>
      <c r="J87" s="354"/>
      <c r="K87" s="354"/>
      <c r="L87" s="354"/>
      <c r="M87" s="354"/>
      <c r="N87" s="354"/>
      <c r="O87" s="354"/>
      <c r="P87" s="354"/>
      <c r="Q87" s="354"/>
      <c r="R87" s="354"/>
      <c r="S87" s="354"/>
      <c r="T87" s="354"/>
      <c r="U87" s="354"/>
      <c r="V87" s="354"/>
      <c r="W87" s="354"/>
      <c r="X87" s="354"/>
      <c r="Y87" s="354"/>
      <c r="Z87" s="354"/>
      <c r="AA87" s="354"/>
      <c r="AB87" s="354"/>
      <c r="AC87" s="354"/>
      <c r="AD87" s="354"/>
      <c r="AE87" s="354"/>
      <c r="AF87" s="354"/>
      <c r="AG87" s="354"/>
      <c r="AH87" s="354"/>
      <c r="AI87" s="354"/>
      <c r="AJ87" s="354"/>
      <c r="AK87" s="354"/>
      <c r="AL87" s="354"/>
      <c r="AM87" s="354"/>
      <c r="AN87" s="354"/>
      <c r="AO87" s="336"/>
      <c r="AP87" s="1214"/>
      <c r="AQ87" s="1214"/>
      <c r="AR87" s="1259"/>
      <c r="AS87" s="2570">
        <f t="shared" si="40"/>
        <v>0</v>
      </c>
      <c r="AT87" s="1778"/>
      <c r="AU87" s="1269"/>
      <c r="AV87" s="78"/>
      <c r="AW87" s="78"/>
      <c r="AX87" s="78"/>
      <c r="AY87" s="78"/>
      <c r="AZ87" s="78"/>
      <c r="BA87" s="78"/>
      <c r="BB87" s="78"/>
      <c r="BC87" s="78"/>
      <c r="BD87" s="78"/>
      <c r="BE87" s="78"/>
      <c r="BF87" s="78"/>
      <c r="BG87" s="78"/>
      <c r="BH87" s="354"/>
      <c r="BI87" s="354"/>
      <c r="BJ87" s="354"/>
      <c r="BK87" s="354"/>
      <c r="BL87" s="354"/>
      <c r="BM87" s="1682"/>
      <c r="BN87" s="1682"/>
      <c r="BO87" s="1682"/>
      <c r="BP87" s="1682"/>
      <c r="BQ87" s="476"/>
      <c r="BR87" s="408"/>
      <c r="BS87" s="408"/>
      <c r="BT87" s="408"/>
      <c r="BU87" s="408"/>
      <c r="BV87" s="408"/>
      <c r="CD87" s="2581" t="s">
        <v>1646</v>
      </c>
      <c r="CE87" s="2581"/>
      <c r="CQ87" s="1682"/>
      <c r="CR87" s="1682"/>
      <c r="CS87" s="1682"/>
      <c r="CT87" s="1682"/>
      <c r="CU87" s="1682"/>
      <c r="CV87" s="1682"/>
      <c r="CW87" s="309"/>
    </row>
    <row r="88" spans="1:101" ht="18" hidden="1" customHeight="1">
      <c r="A88" s="354"/>
      <c r="B88" s="354"/>
      <c r="C88" s="354"/>
      <c r="D88" s="354"/>
      <c r="E88" s="354"/>
      <c r="F88" s="354"/>
      <c r="G88" s="354"/>
      <c r="H88" s="354"/>
      <c r="I88" s="354"/>
      <c r="J88" s="354"/>
      <c r="K88" s="354"/>
      <c r="L88" s="354"/>
      <c r="M88" s="354"/>
      <c r="N88" s="354"/>
      <c r="O88" s="354"/>
      <c r="P88" s="354"/>
      <c r="Q88" s="354"/>
      <c r="R88" s="354"/>
      <c r="S88" s="354"/>
      <c r="T88" s="354"/>
      <c r="U88" s="354"/>
      <c r="V88" s="354"/>
      <c r="W88" s="354"/>
      <c r="X88" s="354"/>
      <c r="Y88" s="354"/>
      <c r="Z88" s="354"/>
      <c r="AA88" s="354"/>
      <c r="AB88" s="354"/>
      <c r="AC88" s="354"/>
      <c r="AD88" s="354"/>
      <c r="AE88" s="354"/>
      <c r="AF88" s="354"/>
      <c r="AG88" s="354"/>
      <c r="AH88" s="354"/>
      <c r="AI88" s="354"/>
      <c r="AJ88" s="354"/>
      <c r="AK88" s="354"/>
      <c r="AL88" s="354"/>
      <c r="AM88" s="354"/>
      <c r="AN88" s="354"/>
      <c r="AO88" s="336"/>
      <c r="AP88" s="1214"/>
      <c r="AQ88" s="1214"/>
      <c r="AR88" s="1259"/>
      <c r="AS88" s="2570">
        <f t="shared" si="40"/>
        <v>0</v>
      </c>
      <c r="AT88" s="1778"/>
      <c r="AU88" s="1269"/>
      <c r="AV88" s="78"/>
      <c r="AW88" s="78"/>
      <c r="AX88" s="78"/>
      <c r="AY88" s="78"/>
      <c r="AZ88" s="78"/>
      <c r="BA88" s="78"/>
      <c r="BB88" s="78"/>
      <c r="BC88" s="78"/>
      <c r="BD88" s="78"/>
      <c r="BE88" s="78"/>
      <c r="BF88" s="78"/>
      <c r="BG88" s="78"/>
      <c r="BH88" s="354"/>
      <c r="BI88" s="354"/>
      <c r="BJ88" s="354"/>
      <c r="BK88" s="354"/>
      <c r="BL88" s="354"/>
      <c r="BM88" s="1682"/>
      <c r="BN88" s="1682"/>
      <c r="BO88" s="1682"/>
      <c r="BP88" s="1682"/>
      <c r="BQ88" s="476"/>
      <c r="BR88" s="408"/>
      <c r="BS88" s="408"/>
      <c r="BT88" s="408"/>
      <c r="BU88" s="408"/>
      <c r="BV88" s="408"/>
      <c r="CD88" s="2581" t="s">
        <v>1647</v>
      </c>
      <c r="CE88" s="2581"/>
      <c r="CQ88" s="1682"/>
      <c r="CR88" s="1682"/>
      <c r="CS88" s="1682"/>
      <c r="CT88" s="1682"/>
      <c r="CU88" s="1682"/>
      <c r="CV88" s="1682"/>
      <c r="CW88" s="309"/>
    </row>
    <row r="89" spans="1:101" ht="18" hidden="1" customHeight="1">
      <c r="A89" s="354"/>
      <c r="B89" s="354"/>
      <c r="C89" s="354"/>
      <c r="D89" s="354"/>
      <c r="E89" s="354"/>
      <c r="F89" s="354"/>
      <c r="G89" s="354"/>
      <c r="H89" s="354"/>
      <c r="I89" s="354"/>
      <c r="J89" s="354"/>
      <c r="K89" s="354"/>
      <c r="L89" s="354"/>
      <c r="M89" s="354"/>
      <c r="N89" s="354"/>
      <c r="O89" s="354"/>
      <c r="P89" s="354"/>
      <c r="Q89" s="354"/>
      <c r="R89" s="354"/>
      <c r="S89" s="354"/>
      <c r="T89" s="354"/>
      <c r="U89" s="354"/>
      <c r="V89" s="354"/>
      <c r="W89" s="354"/>
      <c r="X89" s="354"/>
      <c r="Y89" s="354"/>
      <c r="Z89" s="354"/>
      <c r="AA89" s="354"/>
      <c r="AB89" s="354"/>
      <c r="AC89" s="354"/>
      <c r="AD89" s="354"/>
      <c r="AE89" s="354"/>
      <c r="AF89" s="354"/>
      <c r="AG89" s="354"/>
      <c r="AH89" s="354"/>
      <c r="AI89" s="354"/>
      <c r="AJ89" s="354"/>
      <c r="AK89" s="354"/>
      <c r="AL89" s="354"/>
      <c r="AM89" s="354"/>
      <c r="AN89" s="354"/>
      <c r="AO89" s="336"/>
      <c r="AP89" s="1214"/>
      <c r="AQ89" s="1214"/>
      <c r="AR89" s="1259"/>
      <c r="AS89" s="2570">
        <f t="shared" si="40"/>
        <v>0</v>
      </c>
      <c r="AT89" s="1778"/>
      <c r="AU89" s="1269"/>
      <c r="AV89" s="78"/>
      <c r="AW89" s="78"/>
      <c r="AX89" s="78"/>
      <c r="AY89" s="78"/>
      <c r="AZ89" s="78"/>
      <c r="BA89" s="78"/>
      <c r="BB89" s="78"/>
      <c r="BC89" s="78"/>
      <c r="BD89" s="78"/>
      <c r="BE89" s="78"/>
      <c r="BF89" s="78"/>
      <c r="BG89" s="78"/>
      <c r="BH89" s="354"/>
      <c r="BI89" s="354"/>
      <c r="BJ89" s="354"/>
      <c r="BK89" s="354"/>
      <c r="BL89" s="354"/>
      <c r="BM89" s="1682"/>
      <c r="BN89" s="1682"/>
      <c r="BO89" s="1682"/>
      <c r="BP89" s="1682"/>
      <c r="BQ89" s="476"/>
      <c r="BR89" s="408"/>
      <c r="BS89" s="408"/>
      <c r="BT89" s="408"/>
      <c r="BU89" s="408"/>
      <c r="BV89" s="408"/>
      <c r="CD89" s="316">
        <v>1</v>
      </c>
      <c r="CE89" s="317">
        <v>0</v>
      </c>
      <c r="CQ89" s="1682"/>
      <c r="CR89" s="1682"/>
      <c r="CS89" s="1682"/>
      <c r="CT89" s="1682"/>
      <c r="CU89" s="1682"/>
      <c r="CV89" s="1682"/>
      <c r="CW89" s="309"/>
    </row>
    <row r="90" spans="1:101" ht="18" hidden="1" customHeight="1">
      <c r="A90" s="354"/>
      <c r="B90" s="354"/>
      <c r="C90" s="354"/>
      <c r="D90" s="354"/>
      <c r="E90" s="354"/>
      <c r="F90" s="354"/>
      <c r="G90" s="354"/>
      <c r="H90" s="354"/>
      <c r="I90" s="354"/>
      <c r="J90" s="354"/>
      <c r="K90" s="354"/>
      <c r="L90" s="354"/>
      <c r="M90" s="354"/>
      <c r="N90" s="354"/>
      <c r="O90" s="354"/>
      <c r="P90" s="354"/>
      <c r="Q90" s="354"/>
      <c r="R90" s="354"/>
      <c r="S90" s="354"/>
      <c r="T90" s="354"/>
      <c r="U90" s="354"/>
      <c r="V90" s="354"/>
      <c r="W90" s="354"/>
      <c r="X90" s="354"/>
      <c r="Y90" s="354"/>
      <c r="Z90" s="354"/>
      <c r="AA90" s="354"/>
      <c r="AB90" s="354"/>
      <c r="AC90" s="354"/>
      <c r="AD90" s="354"/>
      <c r="AE90" s="354"/>
      <c r="AF90" s="354"/>
      <c r="AG90" s="354"/>
      <c r="AH90" s="354"/>
      <c r="AI90" s="354"/>
      <c r="AJ90" s="354"/>
      <c r="AK90" s="354"/>
      <c r="AL90" s="354"/>
      <c r="AM90" s="354"/>
      <c r="AN90" s="354"/>
      <c r="AO90" s="336"/>
      <c r="AP90" s="1214"/>
      <c r="AQ90" s="1214"/>
      <c r="AR90" s="1259"/>
      <c r="AS90" s="2570">
        <f t="shared" si="40"/>
        <v>0</v>
      </c>
      <c r="AT90" s="1778"/>
      <c r="AU90" s="1269"/>
      <c r="AV90" s="78"/>
      <c r="AW90" s="78"/>
      <c r="AX90" s="78"/>
      <c r="AY90" s="78"/>
      <c r="AZ90" s="78"/>
      <c r="BA90" s="78"/>
      <c r="BB90" s="78"/>
      <c r="BC90" s="78"/>
      <c r="BD90" s="78"/>
      <c r="BE90" s="78"/>
      <c r="BF90" s="78"/>
      <c r="BG90" s="78"/>
      <c r="BH90" s="354"/>
      <c r="BI90" s="354"/>
      <c r="BJ90" s="354"/>
      <c r="BK90" s="354"/>
      <c r="BL90" s="354"/>
      <c r="BM90" s="1682"/>
      <c r="BN90" s="1682"/>
      <c r="BO90" s="1682"/>
      <c r="BP90" s="1682"/>
      <c r="BQ90" s="410"/>
      <c r="BR90" s="407"/>
      <c r="BS90" s="407"/>
      <c r="BT90" s="407"/>
      <c r="BU90" s="407"/>
      <c r="BV90" s="407"/>
      <c r="CD90" s="316">
        <v>1.04</v>
      </c>
      <c r="CE90" s="317">
        <v>45</v>
      </c>
      <c r="CQ90" s="1682"/>
      <c r="CR90" s="1682"/>
      <c r="CS90" s="1682"/>
      <c r="CT90" s="1682"/>
      <c r="CU90" s="1682"/>
      <c r="CV90" s="1682"/>
      <c r="CW90" s="309"/>
    </row>
    <row r="91" spans="1:101" ht="46.5" hidden="1" customHeight="1">
      <c r="A91" s="354"/>
      <c r="B91" s="354"/>
      <c r="C91" s="354"/>
      <c r="D91" s="354"/>
      <c r="E91" s="354"/>
      <c r="F91" s="354"/>
      <c r="G91" s="354"/>
      <c r="H91" s="354"/>
      <c r="I91" s="354"/>
      <c r="J91" s="354"/>
      <c r="K91" s="354"/>
      <c r="L91" s="354"/>
      <c r="M91" s="354"/>
      <c r="N91" s="354"/>
      <c r="O91" s="354"/>
      <c r="P91" s="354"/>
      <c r="Q91" s="354"/>
      <c r="R91" s="354"/>
      <c r="S91" s="354"/>
      <c r="T91" s="354"/>
      <c r="U91" s="354"/>
      <c r="V91" s="354"/>
      <c r="W91" s="354"/>
      <c r="X91" s="354"/>
      <c r="Y91" s="354"/>
      <c r="Z91" s="354"/>
      <c r="AA91" s="354"/>
      <c r="AB91" s="354"/>
      <c r="AC91" s="354"/>
      <c r="AD91" s="354"/>
      <c r="AE91" s="354"/>
      <c r="AF91" s="354"/>
      <c r="AG91" s="354"/>
      <c r="AH91" s="354"/>
      <c r="AI91" s="354"/>
      <c r="AJ91" s="354"/>
      <c r="AK91" s="354"/>
      <c r="AL91" s="354"/>
      <c r="AM91" s="354"/>
      <c r="AN91" s="354"/>
      <c r="AO91" s="336"/>
      <c r="AP91" s="1214"/>
      <c r="AQ91" s="1214"/>
      <c r="AR91" s="1259"/>
      <c r="AS91" s="2570">
        <f t="shared" si="40"/>
        <v>0</v>
      </c>
      <c r="AT91" s="1778"/>
      <c r="AU91" s="1269"/>
      <c r="AV91" s="78"/>
      <c r="AW91" s="78"/>
      <c r="AX91" s="78"/>
      <c r="AY91" s="78"/>
      <c r="AZ91" s="78"/>
      <c r="BA91" s="78"/>
      <c r="BB91" s="78"/>
      <c r="BC91" s="78"/>
      <c r="BD91" s="78"/>
      <c r="BE91" s="78"/>
      <c r="BF91" s="78"/>
      <c r="BG91" s="78"/>
      <c r="BH91" s="354"/>
      <c r="BI91" s="354"/>
      <c r="BJ91" s="354"/>
      <c r="BK91" s="354"/>
      <c r="BL91" s="354"/>
      <c r="BM91" s="1682"/>
      <c r="BN91" s="1682"/>
      <c r="BO91" s="1682"/>
      <c r="BP91" s="1682"/>
      <c r="BQ91" s="476"/>
      <c r="BR91" s="408"/>
      <c r="BS91" s="408"/>
      <c r="BT91" s="408"/>
      <c r="BU91" s="408"/>
      <c r="BV91" s="408"/>
      <c r="CD91" s="316">
        <v>1.08</v>
      </c>
      <c r="CE91" s="317">
        <v>50</v>
      </c>
      <c r="CQ91" s="1682"/>
      <c r="CR91" s="1682"/>
      <c r="CS91" s="1682"/>
      <c r="CT91" s="1682"/>
      <c r="CU91" s="1682"/>
      <c r="CV91" s="1682"/>
      <c r="CW91" s="1682"/>
    </row>
    <row r="92" spans="1:101" ht="18" hidden="1" customHeight="1">
      <c r="A92" s="354"/>
      <c r="B92" s="354"/>
      <c r="C92" s="354"/>
      <c r="D92" s="354"/>
      <c r="E92" s="354"/>
      <c r="F92" s="354"/>
      <c r="G92" s="354"/>
      <c r="H92" s="354"/>
      <c r="I92" s="354"/>
      <c r="J92" s="354"/>
      <c r="K92" s="354"/>
      <c r="L92" s="354"/>
      <c r="M92" s="354"/>
      <c r="N92" s="354"/>
      <c r="O92" s="354"/>
      <c r="P92" s="354"/>
      <c r="Q92" s="354"/>
      <c r="R92" s="354"/>
      <c r="S92" s="354"/>
      <c r="T92" s="354"/>
      <c r="U92" s="354"/>
      <c r="V92" s="354"/>
      <c r="W92" s="354"/>
      <c r="X92" s="354"/>
      <c r="Y92" s="354"/>
      <c r="Z92" s="354"/>
      <c r="AA92" s="354"/>
      <c r="AB92" s="354"/>
      <c r="AC92" s="354"/>
      <c r="AD92" s="354"/>
      <c r="AE92" s="354"/>
      <c r="AF92" s="354"/>
      <c r="AG92" s="354"/>
      <c r="AH92" s="354"/>
      <c r="AI92" s="354"/>
      <c r="AJ92" s="354"/>
      <c r="AK92" s="354"/>
      <c r="AL92" s="354"/>
      <c r="AM92" s="354"/>
      <c r="AN92" s="354"/>
      <c r="AO92" s="336"/>
      <c r="AP92" s="1214"/>
      <c r="AQ92" s="1214"/>
      <c r="AR92" s="1259"/>
      <c r="AS92" s="2570">
        <f t="shared" si="40"/>
        <v>0</v>
      </c>
      <c r="AT92" s="1778"/>
      <c r="AU92" s="1269"/>
      <c r="AV92" s="78"/>
      <c r="AW92" s="78"/>
      <c r="AX92" s="78"/>
      <c r="AY92" s="78"/>
      <c r="AZ92" s="78"/>
      <c r="BA92" s="78"/>
      <c r="BB92" s="78"/>
      <c r="BC92" s="78"/>
      <c r="BD92" s="78"/>
      <c r="BE92" s="78"/>
      <c r="BF92" s="78"/>
      <c r="BG92" s="78"/>
      <c r="BH92" s="354"/>
      <c r="BI92" s="354"/>
      <c r="BJ92" s="354"/>
      <c r="BK92" s="354"/>
      <c r="BL92" s="354"/>
      <c r="BM92" s="1682"/>
      <c r="BN92" s="1682"/>
      <c r="BO92" s="1682"/>
      <c r="BP92" s="1682"/>
      <c r="BQ92" s="476"/>
      <c r="BR92" s="408"/>
      <c r="BS92" s="408"/>
      <c r="BT92" s="408"/>
      <c r="BU92" s="408"/>
      <c r="BV92" s="408"/>
      <c r="CD92" s="316">
        <v>1.1200000000000001</v>
      </c>
      <c r="CE92" s="317">
        <v>55</v>
      </c>
      <c r="CQ92" s="1682"/>
      <c r="CR92" s="1682"/>
      <c r="CS92" s="1682"/>
      <c r="CT92" s="1682"/>
      <c r="CU92" s="1682"/>
      <c r="CV92" s="1682"/>
      <c r="CW92" s="1682"/>
    </row>
    <row r="93" spans="1:101" ht="18" hidden="1" customHeight="1">
      <c r="A93" s="354"/>
      <c r="B93" s="354"/>
      <c r="C93" s="354"/>
      <c r="D93" s="354"/>
      <c r="E93" s="354"/>
      <c r="F93" s="354"/>
      <c r="G93" s="354"/>
      <c r="H93" s="354"/>
      <c r="I93" s="354"/>
      <c r="J93" s="354"/>
      <c r="K93" s="354"/>
      <c r="L93" s="354"/>
      <c r="M93" s="354"/>
      <c r="N93" s="354"/>
      <c r="O93" s="354"/>
      <c r="P93" s="354"/>
      <c r="Q93" s="354"/>
      <c r="R93" s="354"/>
      <c r="S93" s="354"/>
      <c r="T93" s="354"/>
      <c r="U93" s="354"/>
      <c r="V93" s="354"/>
      <c r="W93" s="354"/>
      <c r="X93" s="354"/>
      <c r="Y93" s="354"/>
      <c r="Z93" s="354"/>
      <c r="AA93" s="354"/>
      <c r="AB93" s="354"/>
      <c r="AC93" s="354"/>
      <c r="AD93" s="354"/>
      <c r="AE93" s="354"/>
      <c r="AF93" s="354"/>
      <c r="AG93" s="354"/>
      <c r="AH93" s="354"/>
      <c r="AI93" s="354"/>
      <c r="AJ93" s="354"/>
      <c r="AK93" s="354"/>
      <c r="AL93" s="354"/>
      <c r="AM93" s="354"/>
      <c r="AN93" s="354"/>
      <c r="AO93" s="795"/>
      <c r="AP93" s="1214"/>
      <c r="AQ93" s="1214"/>
      <c r="AR93" s="1259"/>
      <c r="AS93" s="2570">
        <f t="shared" si="40"/>
        <v>0</v>
      </c>
      <c r="AT93" s="1778"/>
      <c r="AU93" s="1276"/>
      <c r="AV93" s="78"/>
      <c r="AW93" s="78"/>
      <c r="AX93" s="78"/>
      <c r="AY93" s="78"/>
      <c r="AZ93" s="78"/>
      <c r="BA93" s="78"/>
      <c r="BB93" s="78"/>
      <c r="BC93" s="78"/>
      <c r="BD93" s="78"/>
      <c r="BE93" s="78"/>
      <c r="BF93" s="78"/>
      <c r="BG93" s="78"/>
      <c r="BH93" s="354"/>
      <c r="BI93" s="354"/>
      <c r="BJ93" s="354"/>
      <c r="BK93" s="354"/>
      <c r="BL93" s="354"/>
      <c r="BM93" s="1682"/>
      <c r="BN93" s="1682"/>
      <c r="BO93" s="1682"/>
      <c r="BP93" s="1682"/>
      <c r="BQ93" s="476"/>
      <c r="BR93" s="408"/>
      <c r="BS93" s="408"/>
      <c r="BT93" s="408"/>
      <c r="BU93" s="408"/>
      <c r="BV93" s="408"/>
      <c r="CD93" s="316">
        <v>1.1599999999999999</v>
      </c>
      <c r="CE93" s="317">
        <v>60</v>
      </c>
      <c r="CQ93" s="1682"/>
      <c r="CR93" s="1682"/>
      <c r="CS93" s="1682"/>
      <c r="CT93" s="1682"/>
      <c r="CU93" s="1682"/>
      <c r="CV93" s="1682"/>
      <c r="CW93" s="1682"/>
    </row>
    <row r="94" spans="1:101" ht="18" customHeight="1">
      <c r="A94" s="354"/>
      <c r="B94" s="354"/>
      <c r="C94" s="354"/>
      <c r="D94" s="354"/>
      <c r="E94" s="354"/>
      <c r="F94" s="354"/>
      <c r="G94" s="354"/>
      <c r="H94" s="354"/>
      <c r="I94" s="354"/>
      <c r="J94" s="354"/>
      <c r="K94" s="354"/>
      <c r="L94" s="354"/>
      <c r="M94" s="354"/>
      <c r="N94" s="354"/>
      <c r="O94" s="354"/>
      <c r="P94" s="354"/>
      <c r="Q94" s="354"/>
      <c r="R94" s="354"/>
      <c r="S94" s="354"/>
      <c r="T94" s="354"/>
      <c r="U94" s="354"/>
      <c r="V94" s="354"/>
      <c r="W94" s="354"/>
      <c r="X94" s="354"/>
      <c r="Y94" s="354"/>
      <c r="Z94" s="354"/>
      <c r="AA94" s="354"/>
      <c r="AB94" s="354"/>
      <c r="AC94" s="354"/>
      <c r="AD94" s="354"/>
      <c r="AE94" s="354"/>
      <c r="AF94" s="354"/>
      <c r="AG94" s="354"/>
      <c r="AH94" s="354"/>
      <c r="AI94" s="354"/>
      <c r="AJ94" s="354"/>
      <c r="AK94" s="354"/>
      <c r="AL94" s="354"/>
      <c r="AM94" s="354"/>
      <c r="AN94" s="354"/>
      <c r="AO94" s="354"/>
      <c r="AP94" s="354"/>
      <c r="AQ94" s="354"/>
      <c r="AR94" s="354"/>
      <c r="AS94" s="354"/>
      <c r="AT94" s="354"/>
      <c r="AU94" s="354"/>
      <c r="AV94" s="354"/>
      <c r="AW94" s="78"/>
      <c r="AX94" s="78"/>
      <c r="AY94" s="78"/>
      <c r="AZ94" s="78"/>
      <c r="BA94" s="78"/>
      <c r="BB94" s="78"/>
      <c r="BC94" s="78"/>
      <c r="BD94" s="78"/>
      <c r="BE94" s="78"/>
      <c r="BF94" s="78"/>
      <c r="BG94" s="78"/>
      <c r="BH94" s="354"/>
      <c r="BI94" s="354"/>
      <c r="BJ94" s="354"/>
      <c r="BK94" s="354"/>
      <c r="BL94" s="354"/>
      <c r="BM94" s="1682"/>
      <c r="BN94" s="1682"/>
      <c r="BO94" s="1682"/>
      <c r="BP94" s="1682"/>
      <c r="BQ94" s="476"/>
      <c r="BR94" s="408"/>
      <c r="BS94" s="408"/>
      <c r="BT94" s="408"/>
      <c r="BU94" s="408"/>
      <c r="BV94" s="408"/>
      <c r="CD94" s="316">
        <v>1.2</v>
      </c>
      <c r="CE94" s="317">
        <v>65</v>
      </c>
      <c r="CQ94" s="1682"/>
      <c r="CR94" s="1682"/>
      <c r="CS94" s="1682"/>
      <c r="CT94" s="1682"/>
      <c r="CU94" s="1682"/>
      <c r="CV94" s="1682"/>
      <c r="CW94" s="1682"/>
    </row>
    <row r="95" spans="1:101" ht="18" customHeight="1">
      <c r="A95" s="354"/>
      <c r="B95" s="354"/>
      <c r="C95" s="354"/>
      <c r="D95" s="354"/>
      <c r="E95" s="354"/>
      <c r="F95" s="354"/>
      <c r="G95" s="354"/>
      <c r="H95" s="354"/>
      <c r="I95" s="354"/>
      <c r="J95" s="354"/>
      <c r="K95" s="354"/>
      <c r="L95" s="354"/>
      <c r="M95" s="354"/>
      <c r="N95" s="354"/>
      <c r="O95" s="354"/>
      <c r="P95" s="354"/>
      <c r="Q95" s="354"/>
      <c r="R95" s="354"/>
      <c r="S95" s="354"/>
      <c r="T95" s="354"/>
      <c r="U95" s="354"/>
      <c r="V95" s="354"/>
      <c r="W95" s="354"/>
      <c r="X95" s="354"/>
      <c r="Y95" s="354"/>
      <c r="Z95" s="354"/>
      <c r="AA95" s="354"/>
      <c r="AB95" s="354"/>
      <c r="AC95" s="354"/>
      <c r="AD95" s="354"/>
      <c r="AE95" s="354"/>
      <c r="AF95" s="354"/>
      <c r="AG95" s="354"/>
      <c r="AH95" s="354"/>
      <c r="AI95" s="354"/>
      <c r="AJ95" s="354"/>
      <c r="AK95" s="354"/>
      <c r="AL95" s="354"/>
      <c r="AM95" s="354"/>
      <c r="AN95" s="354"/>
      <c r="AO95" s="1682"/>
      <c r="AP95" s="1682"/>
      <c r="AQ95" s="1682"/>
      <c r="AR95" s="1682"/>
      <c r="AS95" s="1682"/>
      <c r="AT95" s="1682"/>
      <c r="AU95" s="1682"/>
      <c r="AV95" s="1682"/>
      <c r="AW95" s="354"/>
      <c r="AX95" s="354"/>
      <c r="AY95" s="354"/>
      <c r="AZ95" s="354"/>
      <c r="BA95" s="354"/>
      <c r="BB95" s="354"/>
      <c r="BC95" s="354"/>
      <c r="BD95" s="354"/>
      <c r="BE95" s="354"/>
      <c r="BF95" s="354"/>
      <c r="BG95" s="354"/>
      <c r="BH95" s="354"/>
      <c r="BI95" s="354"/>
      <c r="BJ95" s="354"/>
      <c r="BK95" s="354"/>
      <c r="BL95" s="354"/>
      <c r="BM95" s="1682"/>
      <c r="BN95" s="1682"/>
      <c r="BO95" s="1682"/>
      <c r="BP95" s="1682"/>
      <c r="BQ95" s="476"/>
      <c r="BR95" s="408"/>
      <c r="BS95" s="408"/>
      <c r="BT95" s="408"/>
      <c r="BU95" s="408"/>
      <c r="BV95" s="408"/>
      <c r="CD95" s="316">
        <v>1.24</v>
      </c>
      <c r="CE95" s="317">
        <v>70</v>
      </c>
      <c r="CQ95" s="1682"/>
      <c r="CR95" s="1682"/>
      <c r="CS95" s="1682"/>
      <c r="CT95" s="1682"/>
      <c r="CU95" s="1682"/>
      <c r="CV95" s="1682"/>
      <c r="CW95" s="1682"/>
    </row>
    <row r="96" spans="1:101" ht="18" customHeight="1">
      <c r="A96" s="354"/>
      <c r="B96" s="354"/>
      <c r="C96" s="354"/>
      <c r="D96" s="354"/>
      <c r="E96" s="354"/>
      <c r="F96" s="354"/>
      <c r="G96" s="354"/>
      <c r="H96" s="354"/>
      <c r="I96" s="354"/>
      <c r="J96" s="354"/>
      <c r="K96" s="354"/>
      <c r="L96" s="354"/>
      <c r="M96" s="354"/>
      <c r="N96" s="354"/>
      <c r="O96" s="354"/>
      <c r="P96" s="354"/>
      <c r="Q96" s="354"/>
      <c r="R96" s="354"/>
      <c r="S96" s="354"/>
      <c r="T96" s="354"/>
      <c r="U96" s="354"/>
      <c r="V96" s="354"/>
      <c r="W96" s="354"/>
      <c r="X96" s="354"/>
      <c r="Y96" s="354"/>
      <c r="Z96" s="354"/>
      <c r="AA96" s="354"/>
      <c r="AB96" s="354"/>
      <c r="AC96" s="354"/>
      <c r="AD96" s="354"/>
      <c r="AE96" s="354"/>
      <c r="AF96" s="354"/>
      <c r="AG96" s="354"/>
      <c r="AH96" s="354"/>
      <c r="AI96" s="354"/>
      <c r="AJ96" s="354"/>
      <c r="AK96" s="354"/>
      <c r="AL96" s="354"/>
      <c r="AM96" s="354"/>
      <c r="AN96" s="354"/>
      <c r="AO96" s="354"/>
      <c r="AP96" s="354"/>
      <c r="AQ96" s="354"/>
      <c r="AR96" s="354"/>
      <c r="AS96" s="354"/>
      <c r="AT96" s="354"/>
      <c r="AU96" s="354"/>
      <c r="AV96" s="354"/>
      <c r="AW96" s="1682"/>
      <c r="AX96" s="1682"/>
      <c r="AY96" s="1682"/>
      <c r="AZ96" s="1682"/>
      <c r="BA96" s="1682"/>
      <c r="BB96" s="1682"/>
      <c r="BC96" s="1682"/>
      <c r="BD96" s="1682"/>
      <c r="BE96" s="354"/>
      <c r="BF96" s="354"/>
      <c r="BG96" s="354"/>
      <c r="BH96" s="354"/>
      <c r="BI96" s="354"/>
      <c r="BJ96" s="354"/>
      <c r="BK96" s="354"/>
      <c r="BL96" s="354"/>
      <c r="BM96" s="1682"/>
      <c r="BN96" s="1682"/>
      <c r="BO96" s="1682"/>
      <c r="BP96" s="1682"/>
      <c r="BQ96" s="409"/>
      <c r="BR96" s="408"/>
      <c r="BS96" s="408"/>
      <c r="BT96" s="408"/>
      <c r="BU96" s="408"/>
      <c r="BV96" s="408"/>
      <c r="CD96" s="316">
        <v>1.28</v>
      </c>
      <c r="CE96" s="317">
        <v>75</v>
      </c>
      <c r="CQ96" s="1682"/>
      <c r="CR96" s="1682"/>
      <c r="CS96" s="1682"/>
      <c r="CT96" s="1682"/>
      <c r="CU96" s="1682"/>
      <c r="CV96" s="1682"/>
      <c r="CW96" s="1682"/>
    </row>
    <row r="97" spans="1:142" ht="29.25" customHeight="1">
      <c r="A97" s="354"/>
      <c r="B97" s="354"/>
      <c r="C97" s="354"/>
      <c r="D97" s="354"/>
      <c r="E97" s="354"/>
      <c r="F97" s="354"/>
      <c r="G97" s="354"/>
      <c r="H97" s="354"/>
      <c r="I97" s="354"/>
      <c r="J97" s="354"/>
      <c r="K97" s="354"/>
      <c r="L97" s="354"/>
      <c r="M97" s="354"/>
      <c r="N97" s="354"/>
      <c r="O97" s="354"/>
      <c r="P97" s="354"/>
      <c r="Q97" s="354"/>
      <c r="R97" s="354"/>
      <c r="S97" s="354"/>
      <c r="T97" s="354"/>
      <c r="U97" s="354"/>
      <c r="V97" s="354"/>
      <c r="W97" s="354"/>
      <c r="X97" s="354"/>
      <c r="Y97" s="354"/>
      <c r="Z97" s="354"/>
      <c r="AA97" s="354"/>
      <c r="AB97" s="354"/>
      <c r="AC97" s="354"/>
      <c r="AD97" s="354"/>
      <c r="AE97" s="354"/>
      <c r="AF97" s="354"/>
      <c r="AG97" s="354"/>
      <c r="AH97" s="354"/>
      <c r="AI97" s="354"/>
      <c r="AJ97" s="354"/>
      <c r="AK97" s="354"/>
      <c r="AL97" s="354"/>
      <c r="AM97" s="354"/>
      <c r="AN97" s="354"/>
      <c r="AO97" s="354"/>
      <c r="AP97" s="354"/>
      <c r="AQ97" s="354"/>
      <c r="AR97" s="354"/>
      <c r="AS97" s="354"/>
      <c r="AT97" s="354"/>
      <c r="AU97" s="354"/>
      <c r="AV97" s="354"/>
      <c r="AW97" s="1682"/>
      <c r="AX97" s="1682"/>
      <c r="AY97" s="1682"/>
      <c r="AZ97" s="1682"/>
      <c r="BA97" s="1682"/>
      <c r="BB97" s="1682"/>
      <c r="BC97" s="1682"/>
      <c r="BD97" s="1682"/>
      <c r="BE97" s="354"/>
      <c r="BF97" s="354"/>
      <c r="BG97" s="354"/>
      <c r="BH97" s="354"/>
      <c r="BI97" s="354"/>
      <c r="BJ97" s="354"/>
      <c r="BK97" s="354"/>
      <c r="BL97" s="354"/>
      <c r="BM97" s="1682"/>
      <c r="BN97" s="1682"/>
      <c r="BO97" s="1682"/>
      <c r="BP97" s="1682"/>
      <c r="BQ97" s="476"/>
      <c r="BR97" s="408"/>
      <c r="BS97" s="408"/>
      <c r="BT97" s="408"/>
      <c r="BU97" s="408"/>
      <c r="BV97" s="408"/>
      <c r="CD97" s="316">
        <v>1.32</v>
      </c>
      <c r="CE97" s="317">
        <v>80</v>
      </c>
      <c r="CQ97" s="1682"/>
      <c r="CR97" s="1682"/>
      <c r="CS97" s="1682"/>
      <c r="CT97" s="1682"/>
      <c r="CU97" s="1682"/>
      <c r="CV97" s="1682"/>
      <c r="CW97" s="1682"/>
      <c r="CX97" s="1682"/>
      <c r="CY97" s="1682"/>
      <c r="CZ97" s="1682"/>
      <c r="DA97" s="1682"/>
      <c r="DB97" s="1682"/>
      <c r="DC97" s="1682"/>
      <c r="DD97" s="1682"/>
      <c r="DE97" s="1682"/>
      <c r="DF97" s="1682"/>
      <c r="DG97" s="1682"/>
      <c r="DH97" s="1682"/>
      <c r="DI97" s="1682"/>
      <c r="DJ97" s="1682"/>
      <c r="DK97" s="1682"/>
      <c r="DL97" s="1682"/>
      <c r="DM97" s="1682"/>
      <c r="DN97" s="1682"/>
      <c r="DO97" s="1682"/>
      <c r="DP97" s="1682"/>
      <c r="DQ97" s="1682"/>
      <c r="DR97" s="1682"/>
      <c r="DS97" s="1682"/>
      <c r="DT97" s="1682"/>
      <c r="DU97" s="1682"/>
      <c r="DV97" s="1682"/>
      <c r="DW97" s="1682"/>
      <c r="DX97" s="1682"/>
      <c r="DY97" s="1682"/>
      <c r="DZ97" s="1682"/>
      <c r="EA97" s="1682"/>
      <c r="EB97" s="1682"/>
      <c r="EC97" s="1682"/>
      <c r="ED97" s="1682"/>
      <c r="EE97" s="1682"/>
      <c r="EF97" s="1682"/>
      <c r="EG97" s="1682"/>
      <c r="EH97" s="1682"/>
      <c r="EI97" s="1682"/>
      <c r="EJ97" s="1682"/>
      <c r="EK97" s="1682"/>
      <c r="EL97" s="1682"/>
    </row>
    <row r="98" spans="1:142" ht="18" customHeight="1">
      <c r="A98" s="354"/>
      <c r="B98" s="354"/>
      <c r="C98" s="354"/>
      <c r="D98" s="354"/>
      <c r="E98" s="354"/>
      <c r="F98" s="354"/>
      <c r="G98" s="354"/>
      <c r="H98" s="354"/>
      <c r="I98" s="354"/>
      <c r="J98" s="354"/>
      <c r="K98" s="354"/>
      <c r="L98" s="354"/>
      <c r="M98" s="354"/>
      <c r="N98" s="354"/>
      <c r="O98" s="354"/>
      <c r="P98" s="354"/>
      <c r="Q98" s="354"/>
      <c r="R98" s="354"/>
      <c r="S98" s="354"/>
      <c r="T98" s="354"/>
      <c r="U98" s="354"/>
      <c r="V98" s="354"/>
      <c r="W98" s="354"/>
      <c r="X98" s="354"/>
      <c r="Y98" s="354"/>
      <c r="Z98" s="354"/>
      <c r="AA98" s="354"/>
      <c r="AB98" s="354"/>
      <c r="AC98" s="354"/>
      <c r="AD98" s="354"/>
      <c r="AE98" s="354"/>
      <c r="AF98" s="354"/>
      <c r="AG98" s="354"/>
      <c r="AH98" s="354"/>
      <c r="AI98" s="354"/>
      <c r="AJ98" s="354"/>
      <c r="AK98" s="354"/>
      <c r="AL98" s="354"/>
      <c r="AM98" s="354"/>
      <c r="AN98" s="354"/>
      <c r="AO98" s="354"/>
      <c r="AP98" s="354"/>
      <c r="AQ98" s="354"/>
      <c r="AR98" s="354"/>
      <c r="AS98" s="354"/>
      <c r="AT98" s="354"/>
      <c r="AU98" s="354"/>
      <c r="AV98" s="354"/>
      <c r="AW98" s="1682"/>
      <c r="AX98" s="1682"/>
      <c r="AY98" s="1682"/>
      <c r="AZ98" s="1682"/>
      <c r="BA98" s="1682"/>
      <c r="BB98" s="1682"/>
      <c r="BC98" s="1682"/>
      <c r="BD98" s="1682"/>
      <c r="BE98" s="354"/>
      <c r="BF98" s="354"/>
      <c r="BG98" s="354"/>
      <c r="BH98" s="354"/>
      <c r="BI98" s="354"/>
      <c r="BJ98" s="354"/>
      <c r="BK98" s="354"/>
      <c r="BL98" s="354"/>
      <c r="BM98" s="1682"/>
      <c r="BN98" s="1682"/>
      <c r="BO98" s="1682"/>
      <c r="BP98" s="1682"/>
      <c r="BQ98" s="476"/>
      <c r="BR98" s="408"/>
      <c r="BS98" s="408"/>
      <c r="BT98" s="408"/>
      <c r="BU98" s="408"/>
      <c r="BV98" s="408"/>
      <c r="CD98" s="316">
        <v>1.36</v>
      </c>
      <c r="CE98" s="317">
        <v>85</v>
      </c>
      <c r="CQ98" s="1682"/>
      <c r="CR98" s="1682"/>
      <c r="CS98" s="1682"/>
      <c r="CT98" s="1682"/>
      <c r="CU98" s="1682"/>
      <c r="CV98" s="1682"/>
      <c r="CW98" s="1682"/>
      <c r="CX98" s="1682"/>
      <c r="CY98" s="1682"/>
      <c r="CZ98" s="1682"/>
      <c r="DA98" s="1682"/>
      <c r="DB98" s="1682"/>
      <c r="DC98" s="1682"/>
      <c r="DD98" s="1682"/>
      <c r="DE98" s="1682"/>
      <c r="DF98" s="1682"/>
      <c r="DG98" s="1682"/>
      <c r="DH98" s="1682"/>
      <c r="DI98" s="1682"/>
      <c r="DJ98" s="1682"/>
      <c r="DK98" s="1682"/>
      <c r="DL98" s="1682"/>
      <c r="DM98" s="1682"/>
      <c r="DN98" s="1682"/>
      <c r="DO98" s="1682"/>
      <c r="DP98" s="1682"/>
      <c r="DQ98" s="1682"/>
      <c r="DR98" s="1682"/>
      <c r="DS98" s="1682"/>
      <c r="DT98" s="1682"/>
      <c r="DU98" s="1682"/>
      <c r="DV98" s="1682"/>
      <c r="DW98" s="1682"/>
      <c r="DX98" s="1682"/>
      <c r="DY98" s="1682"/>
      <c r="DZ98" s="1682"/>
      <c r="EA98" s="1682"/>
      <c r="EB98" s="1682"/>
      <c r="EC98" s="1682"/>
      <c r="ED98" s="1682"/>
      <c r="EE98" s="1682"/>
      <c r="EF98" s="1682"/>
      <c r="EG98" s="1682"/>
      <c r="EH98" s="1682"/>
      <c r="EI98" s="1682"/>
      <c r="EJ98" s="1682"/>
      <c r="EK98" s="1682"/>
      <c r="EL98" s="1682"/>
    </row>
    <row r="99" spans="1:142" ht="18" customHeight="1">
      <c r="A99" s="354"/>
      <c r="B99" s="354"/>
      <c r="C99" s="354"/>
      <c r="D99" s="354"/>
      <c r="E99" s="354"/>
      <c r="F99" s="354"/>
      <c r="G99" s="354"/>
      <c r="H99" s="354"/>
      <c r="I99" s="354"/>
      <c r="J99" s="354"/>
      <c r="K99" s="354"/>
      <c r="L99" s="354"/>
      <c r="M99" s="354"/>
      <c r="N99" s="354"/>
      <c r="O99" s="354"/>
      <c r="P99" s="354"/>
      <c r="Q99" s="354"/>
      <c r="R99" s="354"/>
      <c r="S99" s="354"/>
      <c r="T99" s="354"/>
      <c r="U99" s="354"/>
      <c r="V99" s="354"/>
      <c r="W99" s="354"/>
      <c r="X99" s="354"/>
      <c r="Y99" s="354"/>
      <c r="Z99" s="354"/>
      <c r="AA99" s="354"/>
      <c r="AB99" s="354"/>
      <c r="AC99" s="354"/>
      <c r="AD99" s="354"/>
      <c r="AE99" s="354"/>
      <c r="AF99" s="354"/>
      <c r="AG99" s="354"/>
      <c r="AH99" s="354"/>
      <c r="AI99" s="354"/>
      <c r="AJ99" s="354"/>
      <c r="AK99" s="354"/>
      <c r="AL99" s="354"/>
      <c r="AM99" s="354"/>
      <c r="AN99" s="354"/>
      <c r="AO99" s="354"/>
      <c r="AP99" s="354"/>
      <c r="AQ99" s="354"/>
      <c r="AR99" s="354"/>
      <c r="AS99" s="354"/>
      <c r="AT99" s="354"/>
      <c r="AU99" s="354"/>
      <c r="AV99" s="354"/>
      <c r="AW99" s="1682"/>
      <c r="AX99" s="1682"/>
      <c r="AY99" s="1682"/>
      <c r="AZ99" s="1682"/>
      <c r="BA99" s="1682"/>
      <c r="BB99" s="1682"/>
      <c r="BC99" s="1682"/>
      <c r="BD99" s="1682"/>
      <c r="BE99" s="354"/>
      <c r="BF99" s="354"/>
      <c r="BG99" s="354"/>
      <c r="BH99" s="354"/>
      <c r="BI99" s="354"/>
      <c r="BJ99" s="354"/>
      <c r="BK99" s="354"/>
      <c r="BL99" s="354"/>
      <c r="BM99" s="1682"/>
      <c r="BN99" s="1682"/>
      <c r="BO99" s="1682"/>
      <c r="BP99" s="1682"/>
      <c r="BQ99" s="476"/>
      <c r="BR99" s="408"/>
      <c r="BS99" s="408"/>
      <c r="BT99" s="408"/>
      <c r="BU99" s="408"/>
      <c r="BV99" s="408"/>
      <c r="CD99" s="316">
        <v>1.4</v>
      </c>
      <c r="CE99" s="317">
        <v>90</v>
      </c>
      <c r="CQ99" s="1682"/>
      <c r="CR99" s="1682"/>
      <c r="CS99" s="1682"/>
      <c r="CT99" s="1682"/>
      <c r="CU99" s="1682"/>
      <c r="CV99" s="1682"/>
      <c r="CW99" s="1682"/>
      <c r="CX99" s="1682"/>
      <c r="CY99" s="1682"/>
      <c r="CZ99" s="1682"/>
      <c r="DA99" s="1682"/>
      <c r="DB99" s="1682"/>
      <c r="DC99" s="1682"/>
      <c r="DD99" s="1682"/>
      <c r="DE99" s="1682"/>
      <c r="DF99" s="1682"/>
      <c r="DG99" s="1682"/>
      <c r="DH99" s="1682"/>
      <c r="DI99" s="1682"/>
      <c r="DJ99" s="1682"/>
      <c r="DK99" s="1682"/>
      <c r="DL99" s="1682"/>
      <c r="DM99" s="1682"/>
      <c r="DN99" s="1682"/>
      <c r="DO99" s="1682"/>
      <c r="DP99" s="1682"/>
      <c r="DQ99" s="1682"/>
      <c r="DR99" s="1682"/>
      <c r="DS99" s="1682"/>
      <c r="DT99" s="1682"/>
      <c r="DU99" s="1682"/>
      <c r="DV99" s="1682"/>
      <c r="DW99" s="1682"/>
      <c r="DX99" s="1682"/>
      <c r="DY99" s="1682"/>
      <c r="DZ99" s="1682"/>
      <c r="EA99" s="1682"/>
      <c r="EB99" s="1682"/>
      <c r="EC99" s="1682"/>
      <c r="ED99" s="1682"/>
      <c r="EE99" s="1682"/>
      <c r="EF99" s="1682"/>
      <c r="EG99" s="1682"/>
      <c r="EH99" s="1682"/>
      <c r="EI99" s="1682"/>
      <c r="EJ99" s="1682"/>
      <c r="EK99" s="1682"/>
      <c r="EL99" s="1682"/>
    </row>
    <row r="100" spans="1:142" ht="18" customHeight="1">
      <c r="A100" s="354"/>
      <c r="B100" s="354"/>
      <c r="C100" s="354"/>
      <c r="D100" s="354"/>
      <c r="E100" s="354"/>
      <c r="F100" s="354"/>
      <c r="G100" s="354"/>
      <c r="H100" s="354"/>
      <c r="I100" s="354"/>
      <c r="J100" s="354"/>
      <c r="K100" s="354"/>
      <c r="L100" s="354"/>
      <c r="M100" s="354"/>
      <c r="N100" s="354"/>
      <c r="O100" s="354"/>
      <c r="P100" s="354"/>
      <c r="Q100" s="354"/>
      <c r="R100" s="354"/>
      <c r="S100" s="354"/>
      <c r="T100" s="354"/>
      <c r="U100" s="354"/>
      <c r="V100" s="354"/>
      <c r="W100" s="354"/>
      <c r="X100" s="354"/>
      <c r="Y100" s="354"/>
      <c r="Z100" s="354"/>
      <c r="AA100" s="354"/>
      <c r="AB100" s="354"/>
      <c r="AC100" s="354"/>
      <c r="AD100" s="354"/>
      <c r="AE100" s="354"/>
      <c r="AF100" s="354"/>
      <c r="AG100" s="354"/>
      <c r="AH100" s="354"/>
      <c r="AI100" s="354"/>
      <c r="AJ100" s="354"/>
      <c r="AK100" s="354"/>
      <c r="AL100" s="354"/>
      <c r="AM100" s="354"/>
      <c r="AN100" s="354"/>
      <c r="AO100" s="354"/>
      <c r="AP100" s="354"/>
      <c r="AQ100" s="354"/>
      <c r="AR100" s="354"/>
      <c r="AS100" s="354"/>
      <c r="AT100" s="354"/>
      <c r="AU100" s="354"/>
      <c r="AV100" s="354"/>
      <c r="AW100" s="1682"/>
      <c r="AX100" s="1682"/>
      <c r="AY100" s="1682"/>
      <c r="AZ100" s="1682"/>
      <c r="BA100" s="1682"/>
      <c r="BB100" s="1682"/>
      <c r="BC100" s="1682"/>
      <c r="BD100" s="1682"/>
      <c r="BE100" s="354"/>
      <c r="BF100" s="354"/>
      <c r="BG100" s="354"/>
      <c r="BH100" s="354"/>
      <c r="BI100" s="354"/>
      <c r="BJ100" s="354"/>
      <c r="BK100" s="354"/>
      <c r="BL100" s="354"/>
      <c r="BM100" s="1682"/>
      <c r="BN100" s="1682"/>
      <c r="BO100" s="1682"/>
      <c r="BP100" s="1682"/>
      <c r="BQ100" s="476"/>
      <c r="BR100" s="408"/>
      <c r="BS100" s="408"/>
      <c r="BT100" s="408"/>
      <c r="BU100" s="408"/>
      <c r="BV100" s="408"/>
      <c r="CD100" s="316">
        <v>1.44</v>
      </c>
      <c r="CE100" s="317">
        <v>95</v>
      </c>
      <c r="CQ100" s="1682"/>
      <c r="CR100" s="1682"/>
      <c r="CS100" s="1682"/>
      <c r="CT100" s="1682"/>
      <c r="CU100" s="1682"/>
      <c r="CV100" s="1682"/>
      <c r="CW100" s="1682"/>
      <c r="CX100" s="1682"/>
      <c r="CY100" s="1682"/>
      <c r="CZ100" s="1682"/>
      <c r="DA100" s="1682"/>
      <c r="DB100" s="1682"/>
      <c r="DC100" s="1682"/>
      <c r="DD100" s="1682"/>
      <c r="DE100" s="1682"/>
      <c r="DF100" s="1682"/>
      <c r="DG100" s="1682"/>
      <c r="DH100" s="1682"/>
      <c r="DI100" s="1682"/>
      <c r="DJ100" s="1682"/>
      <c r="DK100" s="1682"/>
      <c r="DL100" s="1682"/>
      <c r="DM100" s="1682"/>
      <c r="DN100" s="1682"/>
      <c r="DO100" s="1682"/>
      <c r="DP100" s="1682"/>
      <c r="DQ100" s="1682"/>
      <c r="DR100" s="1682"/>
      <c r="DS100" s="1682"/>
      <c r="DT100" s="1682"/>
      <c r="DU100" s="1682"/>
      <c r="DV100" s="1682"/>
      <c r="DW100" s="1682"/>
      <c r="DX100" s="1682"/>
      <c r="DY100" s="1682"/>
      <c r="DZ100" s="1682"/>
      <c r="EA100" s="1682"/>
      <c r="EB100" s="1682"/>
      <c r="EC100" s="1682"/>
      <c r="ED100" s="1682"/>
      <c r="EE100" s="1682"/>
      <c r="EF100" s="1682"/>
      <c r="EG100" s="1682"/>
      <c r="EH100" s="1682"/>
      <c r="EI100" s="1682"/>
      <c r="EJ100" s="1682"/>
      <c r="EK100" s="1682"/>
      <c r="EL100" s="1682"/>
    </row>
    <row r="101" spans="1:142" ht="18" customHeight="1">
      <c r="A101" s="354"/>
      <c r="B101" s="354"/>
      <c r="C101" s="354"/>
      <c r="D101" s="354"/>
      <c r="E101" s="354"/>
      <c r="F101" s="354"/>
      <c r="G101" s="354"/>
      <c r="H101" s="354"/>
      <c r="I101" s="354"/>
      <c r="J101" s="354"/>
      <c r="K101" s="354"/>
      <c r="L101" s="354"/>
      <c r="M101" s="354"/>
      <c r="N101" s="354"/>
      <c r="O101" s="354"/>
      <c r="P101" s="354"/>
      <c r="Q101" s="354"/>
      <c r="R101" s="354"/>
      <c r="S101" s="354"/>
      <c r="T101" s="354"/>
      <c r="U101" s="354"/>
      <c r="V101" s="354"/>
      <c r="W101" s="354"/>
      <c r="X101" s="354"/>
      <c r="Y101" s="354"/>
      <c r="Z101" s="354"/>
      <c r="AA101" s="354"/>
      <c r="AB101" s="354"/>
      <c r="AC101" s="354"/>
      <c r="AD101" s="354"/>
      <c r="AE101" s="354"/>
      <c r="AF101" s="354"/>
      <c r="AG101" s="354"/>
      <c r="AH101" s="354"/>
      <c r="AI101" s="354"/>
      <c r="AJ101" s="354"/>
      <c r="AK101" s="354"/>
      <c r="AL101" s="354"/>
      <c r="AM101" s="354"/>
      <c r="AN101" s="354"/>
      <c r="AO101" s="354"/>
      <c r="AP101" s="354"/>
      <c r="AQ101" s="354"/>
      <c r="AR101" s="354"/>
      <c r="AS101" s="354"/>
      <c r="AT101" s="354"/>
      <c r="AU101" s="354"/>
      <c r="AV101" s="354"/>
      <c r="AW101" s="1682"/>
      <c r="AX101" s="1682"/>
      <c r="AY101" s="1682"/>
      <c r="AZ101" s="1682"/>
      <c r="BA101" s="1682"/>
      <c r="BB101" s="1682"/>
      <c r="BC101" s="1682"/>
      <c r="BD101" s="1682"/>
      <c r="BE101" s="354"/>
      <c r="BF101" s="354"/>
      <c r="BG101" s="354"/>
      <c r="BH101" s="354"/>
      <c r="BI101" s="354"/>
      <c r="BJ101" s="354"/>
      <c r="BK101" s="354"/>
      <c r="BL101" s="354"/>
      <c r="BM101" s="1682"/>
      <c r="BN101" s="1682"/>
      <c r="BO101" s="1682"/>
      <c r="BP101" s="1682"/>
      <c r="BQ101" s="410"/>
      <c r="BR101" s="426"/>
      <c r="BS101" s="426"/>
      <c r="BT101" s="426"/>
      <c r="BU101" s="426"/>
      <c r="BV101" s="426"/>
      <c r="CD101" s="316">
        <v>1.48</v>
      </c>
      <c r="CE101" s="317">
        <v>100</v>
      </c>
      <c r="CQ101" s="1682"/>
      <c r="CR101" s="1682"/>
      <c r="CS101" s="1682"/>
      <c r="CT101" s="1682"/>
      <c r="CU101" s="1682"/>
      <c r="CV101" s="1682"/>
      <c r="CW101" s="1682"/>
      <c r="CX101" s="1682"/>
      <c r="CY101" s="1682"/>
      <c r="CZ101" s="1682"/>
      <c r="DA101" s="1682"/>
      <c r="DB101" s="1682"/>
      <c r="DC101" s="1682"/>
      <c r="DD101" s="1682"/>
      <c r="DE101" s="1682"/>
      <c r="DF101" s="1682"/>
      <c r="DG101" s="1682"/>
      <c r="DH101" s="1682"/>
      <c r="DI101" s="1682"/>
      <c r="DJ101" s="1682"/>
      <c r="DK101" s="1682"/>
      <c r="DL101" s="1682"/>
      <c r="DM101" s="1682"/>
      <c r="DN101" s="1682"/>
      <c r="DO101" s="1682"/>
      <c r="DP101" s="1682"/>
      <c r="DQ101" s="1682"/>
      <c r="DR101" s="1682"/>
      <c r="DS101" s="1682"/>
      <c r="DT101" s="1682"/>
      <c r="DU101" s="1682"/>
      <c r="DV101" s="1682"/>
      <c r="DW101" s="1682"/>
      <c r="DX101" s="1682"/>
      <c r="DY101" s="1682"/>
      <c r="DZ101" s="1682"/>
      <c r="EA101" s="1682"/>
      <c r="EB101" s="1682"/>
      <c r="EC101" s="1682"/>
      <c r="ED101" s="1682"/>
      <c r="EE101" s="1682"/>
      <c r="EF101" s="1682"/>
      <c r="EG101" s="1682"/>
      <c r="EH101" s="1682"/>
      <c r="EI101" s="1682"/>
      <c r="EJ101" s="1682"/>
      <c r="EK101" s="1682"/>
      <c r="EL101" s="1682"/>
    </row>
    <row r="102" spans="1:142" ht="18" customHeight="1">
      <c r="A102" s="354"/>
      <c r="B102" s="354"/>
      <c r="C102" s="354"/>
      <c r="D102" s="354"/>
      <c r="E102" s="354"/>
      <c r="F102" s="354"/>
      <c r="G102" s="354"/>
      <c r="H102" s="354"/>
      <c r="I102" s="354"/>
      <c r="J102" s="354"/>
      <c r="K102" s="354"/>
      <c r="L102" s="354"/>
      <c r="M102" s="354"/>
      <c r="N102" s="354"/>
      <c r="O102" s="354"/>
      <c r="P102" s="354"/>
      <c r="Q102" s="354"/>
      <c r="R102" s="354"/>
      <c r="S102" s="354"/>
      <c r="T102" s="354"/>
      <c r="U102" s="354"/>
      <c r="V102" s="354"/>
      <c r="W102" s="354"/>
      <c r="X102" s="354"/>
      <c r="Y102" s="354"/>
      <c r="Z102" s="354"/>
      <c r="AA102" s="354"/>
      <c r="AB102" s="354"/>
      <c r="AC102" s="354"/>
      <c r="AD102" s="354"/>
      <c r="AE102" s="354"/>
      <c r="AF102" s="354"/>
      <c r="AG102" s="354"/>
      <c r="AH102" s="354"/>
      <c r="AI102" s="354"/>
      <c r="AJ102" s="354"/>
      <c r="AK102" s="354"/>
      <c r="AL102" s="354"/>
      <c r="AM102" s="354"/>
      <c r="AN102" s="354"/>
      <c r="AO102" s="354"/>
      <c r="AP102" s="354"/>
      <c r="AQ102" s="354"/>
      <c r="AR102" s="354"/>
      <c r="AS102" s="354"/>
      <c r="AT102" s="354"/>
      <c r="AU102" s="354"/>
      <c r="AV102" s="354"/>
      <c r="AW102" s="1682"/>
      <c r="AX102" s="1682"/>
      <c r="AY102" s="1682"/>
      <c r="AZ102" s="1682"/>
      <c r="BA102" s="1682"/>
      <c r="BB102" s="1682"/>
      <c r="BC102" s="1682"/>
      <c r="BD102" s="1682"/>
      <c r="BE102" s="354"/>
      <c r="BF102" s="354"/>
      <c r="BG102" s="354"/>
      <c r="BH102" s="354"/>
      <c r="BI102" s="354"/>
      <c r="BJ102" s="354"/>
      <c r="BK102" s="354"/>
      <c r="BL102" s="354"/>
      <c r="BM102" s="1682"/>
      <c r="BN102" s="1682"/>
      <c r="BO102" s="1682"/>
      <c r="BP102" s="1682"/>
      <c r="BQ102" s="476"/>
      <c r="BR102" s="408"/>
      <c r="BS102" s="408"/>
      <c r="BT102" s="408"/>
      <c r="BU102" s="408"/>
      <c r="BV102" s="408"/>
      <c r="BX102" s="318"/>
      <c r="CD102" s="316">
        <v>1.52</v>
      </c>
      <c r="CE102" s="317">
        <v>105</v>
      </c>
      <c r="CQ102" s="1682"/>
      <c r="CR102" s="1682"/>
      <c r="CS102" s="1682"/>
      <c r="CT102" s="1682"/>
      <c r="CU102" s="1682"/>
      <c r="CV102" s="1682"/>
      <c r="CW102" s="1682"/>
      <c r="CX102" s="1682"/>
      <c r="CY102" s="1682"/>
      <c r="CZ102" s="1682"/>
      <c r="DA102" s="1682"/>
      <c r="DB102" s="1682"/>
      <c r="DC102" s="1682"/>
      <c r="DD102" s="1682"/>
      <c r="DE102" s="1682"/>
      <c r="DF102" s="1682"/>
      <c r="DG102" s="1682"/>
      <c r="DH102" s="1682"/>
      <c r="DI102" s="1682"/>
      <c r="DJ102" s="1682"/>
      <c r="DK102" s="1682"/>
      <c r="DL102" s="1682"/>
      <c r="DM102" s="1682"/>
      <c r="DN102" s="1682"/>
      <c r="DO102" s="1682"/>
      <c r="DP102" s="1682"/>
      <c r="DQ102" s="1682"/>
      <c r="DR102" s="1682"/>
      <c r="DS102" s="1682"/>
      <c r="DT102" s="1682"/>
      <c r="DU102" s="1682"/>
      <c r="DV102" s="1682"/>
      <c r="DW102" s="1682"/>
      <c r="DX102" s="1682"/>
      <c r="DY102" s="1682"/>
      <c r="DZ102" s="1682"/>
      <c r="EA102" s="1682"/>
      <c r="EB102" s="1682"/>
      <c r="EC102" s="1682"/>
      <c r="ED102" s="1682"/>
      <c r="EE102" s="1682"/>
      <c r="EF102" s="1682"/>
      <c r="EG102" s="1682"/>
      <c r="EH102" s="1682"/>
      <c r="EI102" s="1682"/>
      <c r="EJ102" s="1682"/>
      <c r="EK102" s="1682"/>
      <c r="EL102" s="1682"/>
    </row>
    <row r="103" spans="1:142" ht="18" customHeight="1">
      <c r="A103" s="354"/>
      <c r="B103" s="354"/>
      <c r="C103" s="354"/>
      <c r="D103" s="354"/>
      <c r="E103" s="354"/>
      <c r="F103" s="354"/>
      <c r="G103" s="354"/>
      <c r="H103" s="354"/>
      <c r="I103" s="354"/>
      <c r="J103" s="354"/>
      <c r="K103" s="354"/>
      <c r="L103" s="354"/>
      <c r="M103" s="354"/>
      <c r="N103" s="354"/>
      <c r="O103" s="354"/>
      <c r="P103" s="354"/>
      <c r="Q103" s="354"/>
      <c r="R103" s="354"/>
      <c r="S103" s="354"/>
      <c r="T103" s="354"/>
      <c r="U103" s="354"/>
      <c r="V103" s="354"/>
      <c r="W103" s="354"/>
      <c r="X103" s="354"/>
      <c r="Y103" s="354"/>
      <c r="Z103" s="354"/>
      <c r="AA103" s="354"/>
      <c r="AB103" s="354"/>
      <c r="AC103" s="354"/>
      <c r="AD103" s="354"/>
      <c r="AE103" s="354"/>
      <c r="AF103" s="354"/>
      <c r="AG103" s="354"/>
      <c r="AH103" s="354"/>
      <c r="AI103" s="354"/>
      <c r="AJ103" s="354"/>
      <c r="AK103" s="354"/>
      <c r="AL103" s="354"/>
      <c r="AM103" s="354"/>
      <c r="AN103" s="354"/>
      <c r="AO103" s="354"/>
      <c r="AP103" s="354"/>
      <c r="AQ103" s="354"/>
      <c r="AR103" s="354"/>
      <c r="AS103" s="354"/>
      <c r="AT103" s="354"/>
      <c r="AU103" s="354"/>
      <c r="AV103" s="354"/>
      <c r="AW103" s="1682"/>
      <c r="AX103" s="1682"/>
      <c r="AY103" s="1682"/>
      <c r="AZ103" s="1682"/>
      <c r="BA103" s="1682"/>
      <c r="BB103" s="1682"/>
      <c r="BC103" s="1682"/>
      <c r="BD103" s="1682"/>
      <c r="BE103" s="354"/>
      <c r="BF103" s="354"/>
      <c r="BG103" s="354"/>
      <c r="BH103" s="354"/>
      <c r="BI103" s="354"/>
      <c r="BJ103" s="354"/>
      <c r="BK103" s="354"/>
      <c r="BL103" s="354"/>
      <c r="BM103" s="1682"/>
      <c r="BN103" s="1682"/>
      <c r="BO103" s="1682"/>
      <c r="BP103" s="1682"/>
      <c r="BQ103" s="476"/>
      <c r="BR103" s="408"/>
      <c r="BS103" s="408"/>
      <c r="BT103" s="408"/>
      <c r="BU103" s="408"/>
      <c r="BV103" s="408"/>
      <c r="CQ103" s="1682"/>
      <c r="CR103" s="1682"/>
      <c r="CS103" s="1682"/>
      <c r="CT103" s="1682"/>
      <c r="CU103" s="1682"/>
      <c r="CV103" s="1682"/>
      <c r="CW103" s="1682"/>
      <c r="CX103" s="1682"/>
      <c r="CY103" s="1682"/>
      <c r="CZ103" s="1682"/>
      <c r="DA103" s="1682"/>
      <c r="DB103" s="1682"/>
      <c r="DC103" s="1682"/>
      <c r="DD103" s="1682"/>
      <c r="DE103" s="1682"/>
      <c r="DF103" s="1682"/>
      <c r="DG103" s="1682"/>
      <c r="DH103" s="1682"/>
      <c r="DI103" s="1682"/>
      <c r="DJ103" s="1682"/>
      <c r="DK103" s="1682"/>
      <c r="DL103" s="1682"/>
      <c r="DM103" s="1682"/>
      <c r="DN103" s="1682"/>
      <c r="DO103" s="1682"/>
      <c r="DP103" s="1682"/>
      <c r="DQ103" s="1682"/>
      <c r="DR103" s="1682"/>
      <c r="DS103" s="1682"/>
      <c r="DT103" s="1682"/>
      <c r="DU103" s="1682"/>
      <c r="DV103" s="1682"/>
      <c r="DW103" s="78"/>
      <c r="DX103" s="78"/>
      <c r="DY103" s="349">
        <f>SUM(AQ82:AQ93)</f>
        <v>0</v>
      </c>
      <c r="DZ103" s="78"/>
      <c r="EA103" s="78"/>
      <c r="EB103" s="78"/>
      <c r="EC103" s="78"/>
      <c r="ED103" s="78"/>
      <c r="EE103" s="78"/>
      <c r="EF103" s="78"/>
      <c r="EG103" s="78"/>
      <c r="EH103" s="78"/>
      <c r="EI103" s="78"/>
      <c r="EJ103" s="78"/>
      <c r="EK103" s="78"/>
      <c r="EL103" s="78"/>
    </row>
    <row r="104" spans="1:142" ht="18" customHeight="1">
      <c r="A104" s="354"/>
      <c r="B104" s="354"/>
      <c r="C104" s="354"/>
      <c r="D104" s="354"/>
      <c r="E104" s="354"/>
      <c r="F104" s="354"/>
      <c r="G104" s="354"/>
      <c r="H104" s="354"/>
      <c r="I104" s="354"/>
      <c r="J104" s="354"/>
      <c r="K104" s="354"/>
      <c r="L104" s="354"/>
      <c r="M104" s="354"/>
      <c r="N104" s="354"/>
      <c r="O104" s="354"/>
      <c r="P104" s="354"/>
      <c r="Q104" s="354"/>
      <c r="R104" s="354"/>
      <c r="S104" s="354"/>
      <c r="T104" s="354"/>
      <c r="U104" s="354"/>
      <c r="V104" s="354"/>
      <c r="W104" s="354"/>
      <c r="X104" s="354"/>
      <c r="Y104" s="354"/>
      <c r="Z104" s="354"/>
      <c r="AA104" s="354"/>
      <c r="AB104" s="354"/>
      <c r="AC104" s="354"/>
      <c r="AD104" s="354"/>
      <c r="AE104" s="354"/>
      <c r="AF104" s="354"/>
      <c r="AG104" s="354"/>
      <c r="AH104" s="354"/>
      <c r="AI104" s="354"/>
      <c r="AJ104" s="354"/>
      <c r="AK104" s="354"/>
      <c r="AL104" s="354"/>
      <c r="AM104" s="354"/>
      <c r="AN104" s="354"/>
      <c r="AO104" s="354"/>
      <c r="AP104" s="354"/>
      <c r="AQ104" s="354"/>
      <c r="AR104" s="354"/>
      <c r="AS104" s="354"/>
      <c r="AT104" s="354"/>
      <c r="AU104" s="354"/>
      <c r="AV104" s="354"/>
      <c r="AW104" s="1682"/>
      <c r="AX104" s="1682"/>
      <c r="AY104" s="1682"/>
      <c r="AZ104" s="1682"/>
      <c r="BA104" s="1682"/>
      <c r="BB104" s="1682"/>
      <c r="BC104" s="1682"/>
      <c r="BD104" s="1682"/>
      <c r="BE104" s="354"/>
      <c r="BF104" s="354"/>
      <c r="BG104" s="354"/>
      <c r="BH104" s="354"/>
      <c r="BI104" s="354"/>
      <c r="BJ104" s="354"/>
      <c r="BK104" s="354"/>
      <c r="BL104" s="354"/>
      <c r="BM104" s="1682"/>
      <c r="BN104" s="1682"/>
      <c r="BO104" s="1682"/>
      <c r="BP104" s="1682"/>
      <c r="BQ104" s="476"/>
      <c r="BR104" s="408"/>
      <c r="BS104" s="408"/>
      <c r="BT104" s="408"/>
      <c r="BU104" s="408"/>
      <c r="BV104" s="408"/>
      <c r="CQ104" s="1682"/>
      <c r="CR104" s="1682"/>
      <c r="CS104" s="1682"/>
      <c r="CT104" s="1682"/>
      <c r="CU104" s="1682"/>
      <c r="CV104" s="1682"/>
      <c r="CW104" s="1682"/>
      <c r="CX104" s="1682"/>
      <c r="CY104" s="1682"/>
      <c r="CZ104" s="1682"/>
      <c r="DA104" s="1682"/>
      <c r="DB104" s="1682"/>
      <c r="DC104" s="1682"/>
      <c r="DD104" s="1682"/>
      <c r="DE104" s="1682"/>
      <c r="DF104" s="1682"/>
      <c r="DG104" s="1682"/>
      <c r="DH104" s="1682"/>
      <c r="DI104" s="1682"/>
      <c r="DJ104" s="1682"/>
      <c r="DK104" s="1682"/>
      <c r="DL104" s="1682"/>
      <c r="DM104" s="1682"/>
      <c r="DN104" s="1682"/>
      <c r="DO104" s="1682"/>
      <c r="DP104" s="1682"/>
      <c r="DQ104" s="1682"/>
      <c r="DR104" s="1682"/>
      <c r="DS104" s="1682"/>
      <c r="DT104" s="1682"/>
      <c r="DU104" s="1682"/>
      <c r="DV104" s="1682"/>
      <c r="DW104" s="78"/>
      <c r="DX104" s="78"/>
      <c r="DY104" s="78"/>
      <c r="DZ104" s="78"/>
      <c r="EA104" s="78"/>
      <c r="EB104" s="78"/>
      <c r="EC104" s="78"/>
      <c r="ED104" s="78"/>
      <c r="EE104" s="1682"/>
      <c r="EF104" s="1682"/>
      <c r="EG104" s="1682"/>
      <c r="EH104" s="1682"/>
      <c r="EI104" s="1682"/>
      <c r="EJ104" s="1682"/>
      <c r="EK104" s="1682"/>
      <c r="EL104" s="1682"/>
    </row>
    <row r="105" spans="1:142" ht="18" customHeight="1">
      <c r="A105" s="354"/>
      <c r="B105" s="354"/>
      <c r="C105" s="354"/>
      <c r="D105" s="354"/>
      <c r="E105" s="354"/>
      <c r="F105" s="354"/>
      <c r="G105" s="354"/>
      <c r="H105" s="354"/>
      <c r="I105" s="354"/>
      <c r="J105" s="354"/>
      <c r="K105" s="354"/>
      <c r="L105" s="354"/>
      <c r="M105" s="354"/>
      <c r="N105" s="354"/>
      <c r="O105" s="354"/>
      <c r="P105" s="354"/>
      <c r="Q105" s="354"/>
      <c r="R105" s="354"/>
      <c r="S105" s="354"/>
      <c r="T105" s="354"/>
      <c r="U105" s="354"/>
      <c r="V105" s="354"/>
      <c r="W105" s="354"/>
      <c r="X105" s="354"/>
      <c r="Y105" s="354"/>
      <c r="Z105" s="354"/>
      <c r="AA105" s="354"/>
      <c r="AB105" s="354"/>
      <c r="AC105" s="354"/>
      <c r="AD105" s="354"/>
      <c r="AE105" s="354"/>
      <c r="AF105" s="354"/>
      <c r="AG105" s="354"/>
      <c r="AH105" s="354"/>
      <c r="AI105" s="354"/>
      <c r="AJ105" s="354"/>
      <c r="AK105" s="354"/>
      <c r="AL105" s="354"/>
      <c r="AM105" s="354"/>
      <c r="AN105" s="354"/>
      <c r="AO105" s="354"/>
      <c r="AP105" s="354"/>
      <c r="AQ105" s="354"/>
      <c r="AR105" s="354"/>
      <c r="AS105" s="354"/>
      <c r="AT105" s="354"/>
      <c r="AU105" s="354"/>
      <c r="AV105" s="354"/>
      <c r="AW105" s="1682"/>
      <c r="AX105" s="1682"/>
      <c r="AY105" s="1682"/>
      <c r="AZ105" s="1682"/>
      <c r="BA105" s="1682"/>
      <c r="BB105" s="1682"/>
      <c r="BC105" s="1682"/>
      <c r="BD105" s="1682"/>
      <c r="BE105" s="354"/>
      <c r="BF105" s="354"/>
      <c r="BG105" s="354"/>
      <c r="BH105" s="354"/>
      <c r="BI105" s="354"/>
      <c r="BJ105" s="354"/>
      <c r="BK105" s="354"/>
      <c r="BL105" s="354"/>
      <c r="BM105" s="1682"/>
      <c r="BN105" s="1682"/>
      <c r="BO105" s="1682"/>
      <c r="BP105" s="1682"/>
      <c r="BQ105" s="476"/>
      <c r="BR105" s="408"/>
      <c r="BS105" s="408"/>
      <c r="BT105" s="408"/>
      <c r="BU105" s="408"/>
      <c r="BV105" s="408"/>
      <c r="CQ105" s="1682"/>
      <c r="CR105" s="1682"/>
      <c r="CS105" s="1682"/>
      <c r="CT105" s="1682"/>
      <c r="CU105" s="1682"/>
      <c r="CV105" s="1682"/>
      <c r="CW105" s="1682"/>
      <c r="CX105" s="1682"/>
      <c r="CY105" s="1682"/>
      <c r="CZ105" s="1682"/>
      <c r="DA105" s="1682"/>
      <c r="DB105" s="1682"/>
      <c r="DC105" s="1682"/>
      <c r="DD105" s="1682"/>
      <c r="DE105" s="1682"/>
      <c r="DF105" s="1682"/>
      <c r="DG105" s="1682"/>
      <c r="DH105" s="1682"/>
      <c r="DI105" s="1682"/>
      <c r="DJ105" s="1682"/>
      <c r="DK105" s="1682"/>
      <c r="DL105" s="1682"/>
      <c r="DM105" s="1682"/>
      <c r="DN105" s="1682"/>
      <c r="DO105" s="1682"/>
      <c r="DP105" s="1682"/>
      <c r="DQ105" s="1682"/>
      <c r="DR105" s="1682"/>
      <c r="DS105" s="1682"/>
      <c r="DT105" s="1682"/>
      <c r="DU105" s="1682"/>
      <c r="DV105" s="1682"/>
      <c r="DW105" s="1682"/>
      <c r="DX105" s="1682"/>
      <c r="DY105" s="1682"/>
      <c r="DZ105" s="1682"/>
      <c r="EA105" s="1682"/>
      <c r="EB105" s="1682"/>
      <c r="EC105" s="1682"/>
      <c r="ED105" s="1682"/>
      <c r="EE105" s="1682"/>
      <c r="EF105" s="1682"/>
      <c r="EG105" s="1682"/>
      <c r="EH105" s="1682"/>
      <c r="EI105" s="1682"/>
      <c r="EJ105" s="1682"/>
      <c r="EK105" s="1682"/>
      <c r="EL105" s="1682"/>
    </row>
    <row r="106" spans="1:142" ht="18" customHeight="1">
      <c r="A106" s="354"/>
      <c r="B106" s="354"/>
      <c r="C106" s="354"/>
      <c r="D106" s="354"/>
      <c r="E106" s="354"/>
      <c r="F106" s="354"/>
      <c r="G106" s="354"/>
      <c r="H106" s="354"/>
      <c r="I106" s="354"/>
      <c r="J106" s="354"/>
      <c r="K106" s="354"/>
      <c r="L106" s="354"/>
      <c r="M106" s="354"/>
      <c r="N106" s="354"/>
      <c r="O106" s="354"/>
      <c r="P106" s="354"/>
      <c r="Q106" s="354"/>
      <c r="R106" s="354"/>
      <c r="S106" s="354"/>
      <c r="T106" s="354"/>
      <c r="U106" s="354"/>
      <c r="V106" s="354"/>
      <c r="W106" s="354"/>
      <c r="X106" s="354"/>
      <c r="Y106" s="354"/>
      <c r="Z106" s="354"/>
      <c r="AA106" s="354"/>
      <c r="AB106" s="354"/>
      <c r="AC106" s="354"/>
      <c r="AD106" s="354"/>
      <c r="AE106" s="354"/>
      <c r="AF106" s="354"/>
      <c r="AG106" s="354"/>
      <c r="AH106" s="354"/>
      <c r="AI106" s="354"/>
      <c r="AJ106" s="354"/>
      <c r="AK106" s="354"/>
      <c r="AL106" s="354"/>
      <c r="AM106" s="354"/>
      <c r="AN106" s="354"/>
      <c r="AO106" s="354"/>
      <c r="AP106" s="354"/>
      <c r="AQ106" s="354"/>
      <c r="AR106" s="354"/>
      <c r="AS106" s="354"/>
      <c r="AT106" s="354"/>
      <c r="AU106" s="354"/>
      <c r="AV106" s="354"/>
      <c r="AW106" s="1682"/>
      <c r="AX106" s="1682"/>
      <c r="AY106" s="1682"/>
      <c r="AZ106" s="1682"/>
      <c r="BA106" s="1682"/>
      <c r="BB106" s="1682"/>
      <c r="BC106" s="1682"/>
      <c r="BD106" s="1682"/>
      <c r="BE106" s="354"/>
      <c r="BF106" s="354"/>
      <c r="BG106" s="354"/>
      <c r="BH106" s="354"/>
      <c r="BI106" s="354"/>
      <c r="BJ106" s="354"/>
      <c r="BK106" s="354"/>
      <c r="BL106" s="354"/>
      <c r="BM106" s="1682"/>
      <c r="BN106" s="1682"/>
      <c r="BO106" s="1682"/>
      <c r="BP106" s="1682"/>
      <c r="BQ106" s="476"/>
      <c r="BR106" s="408"/>
      <c r="BS106" s="408"/>
      <c r="BT106" s="408"/>
      <c r="BU106" s="408"/>
      <c r="BV106" s="408"/>
      <c r="CQ106" s="1682"/>
      <c r="CR106" s="1682"/>
      <c r="CS106" s="1682"/>
      <c r="CT106" s="1682"/>
      <c r="CU106" s="1682"/>
      <c r="CV106" s="1682"/>
      <c r="CW106" s="1682"/>
      <c r="CX106" s="1682"/>
      <c r="CY106" s="1682"/>
      <c r="CZ106" s="1682"/>
      <c r="DA106" s="1682"/>
      <c r="DB106" s="1682"/>
      <c r="DC106" s="1682"/>
      <c r="DD106" s="1682"/>
      <c r="DE106" s="1682"/>
      <c r="DF106" s="1682"/>
      <c r="DG106" s="1682"/>
      <c r="DH106" s="1682"/>
      <c r="DI106" s="1682"/>
      <c r="DJ106" s="1682"/>
      <c r="DK106" s="1682"/>
      <c r="DL106" s="1682"/>
      <c r="DM106" s="1682"/>
      <c r="DN106" s="1682"/>
      <c r="DO106" s="1682"/>
      <c r="DP106" s="1682"/>
      <c r="DQ106" s="1682"/>
      <c r="DR106" s="1682"/>
      <c r="DS106" s="1682"/>
      <c r="DT106" s="1682"/>
      <c r="DU106" s="1682"/>
      <c r="DV106" s="1682"/>
      <c r="DW106" s="1682"/>
      <c r="DX106" s="1682"/>
      <c r="DY106" s="1682"/>
      <c r="DZ106" s="1682"/>
      <c r="EA106" s="1682"/>
      <c r="EB106" s="1682"/>
      <c r="EC106" s="1682"/>
      <c r="ED106" s="1682"/>
      <c r="EE106" s="1682"/>
      <c r="EF106" s="1682"/>
      <c r="EG106" s="1682"/>
      <c r="EH106" s="1682"/>
      <c r="EI106" s="1682"/>
      <c r="EJ106" s="1682"/>
      <c r="EK106" s="1682"/>
      <c r="EL106" s="1682"/>
    </row>
    <row r="107" spans="1:142" ht="39" customHeight="1">
      <c r="A107" s="354"/>
      <c r="B107" s="354"/>
      <c r="C107" s="354"/>
      <c r="D107" s="354"/>
      <c r="E107" s="354"/>
      <c r="F107" s="354"/>
      <c r="G107" s="354"/>
      <c r="H107" s="354"/>
      <c r="I107" s="354"/>
      <c r="J107" s="354"/>
      <c r="K107" s="354"/>
      <c r="L107" s="354"/>
      <c r="M107" s="354"/>
      <c r="N107" s="354"/>
      <c r="O107" s="354"/>
      <c r="P107" s="354"/>
      <c r="Q107" s="354"/>
      <c r="R107" s="354"/>
      <c r="S107" s="354"/>
      <c r="T107" s="354"/>
      <c r="U107" s="354"/>
      <c r="V107" s="354"/>
      <c r="W107" s="354"/>
      <c r="X107" s="354"/>
      <c r="Y107" s="354"/>
      <c r="Z107" s="354"/>
      <c r="AA107" s="354"/>
      <c r="AB107" s="354"/>
      <c r="AC107" s="354"/>
      <c r="AD107" s="354"/>
      <c r="AE107" s="354"/>
      <c r="AF107" s="354"/>
      <c r="AG107" s="354"/>
      <c r="AH107" s="354"/>
      <c r="AI107" s="354"/>
      <c r="AJ107" s="354"/>
      <c r="AK107" s="354"/>
      <c r="AL107" s="354"/>
      <c r="AM107" s="354"/>
      <c r="AN107" s="354"/>
      <c r="AO107" s="354"/>
      <c r="AP107" s="354"/>
      <c r="AQ107" s="354"/>
      <c r="AR107" s="354"/>
      <c r="AS107" s="354"/>
      <c r="AT107" s="354"/>
      <c r="AU107" s="354"/>
      <c r="AV107" s="354"/>
      <c r="AW107" s="1682"/>
      <c r="AX107" s="1682"/>
      <c r="AY107" s="1682"/>
      <c r="AZ107" s="1682"/>
      <c r="BA107" s="1682"/>
      <c r="BB107" s="1682"/>
      <c r="BC107" s="1682"/>
      <c r="BD107" s="1682"/>
      <c r="BE107" s="354"/>
      <c r="BF107" s="354"/>
      <c r="BG107" s="354"/>
      <c r="BH107" s="354"/>
      <c r="BI107" s="354"/>
      <c r="BJ107" s="354"/>
      <c r="BK107" s="354"/>
      <c r="BL107" s="354"/>
      <c r="BM107" s="1682"/>
      <c r="BN107" s="1682"/>
      <c r="BO107" s="1682"/>
      <c r="BP107" s="1682"/>
      <c r="BQ107" s="409"/>
      <c r="BR107" s="408"/>
      <c r="BS107" s="408"/>
      <c r="BT107" s="408"/>
      <c r="BU107" s="408"/>
      <c r="BV107" s="408"/>
      <c r="BX107" s="488" t="s">
        <v>1648</v>
      </c>
      <c r="BY107" s="489">
        <f>ROUNDUP(SUM(3700+(3700*7.05%)),-2)</f>
        <v>4000</v>
      </c>
      <c r="BZ107" s="489">
        <f>ROUNDUP(SUM(7400+(7400*7.05%)),-2)</f>
        <v>8000</v>
      </c>
      <c r="CA107" s="489">
        <f>ROUNDUP(SUM(11100+(11100*7.05%)),-2)</f>
        <v>11900</v>
      </c>
      <c r="CB107" s="489">
        <f>ROUNDUP(SUM(14800+(14800*7.05%)),-2)</f>
        <v>15900</v>
      </c>
      <c r="CC107" s="490">
        <f>ROUNDUP(SUM(18500+(18500*7.05%)),-2)</f>
        <v>19900</v>
      </c>
      <c r="CQ107" s="1682"/>
      <c r="CR107" s="1682"/>
      <c r="CS107" s="1682"/>
      <c r="CT107" s="1682"/>
      <c r="CU107" s="1682"/>
      <c r="CV107" s="1682"/>
      <c r="CW107" s="1682"/>
      <c r="CX107" s="1682"/>
      <c r="CY107" s="1682"/>
      <c r="CZ107" s="1682"/>
      <c r="DA107" s="1682"/>
      <c r="DB107" s="1682"/>
      <c r="DC107" s="1682"/>
      <c r="DD107" s="1682"/>
      <c r="DE107" s="1682"/>
      <c r="DF107" s="1682"/>
      <c r="DG107" s="1682"/>
      <c r="DH107" s="1682"/>
      <c r="DI107" s="1682"/>
      <c r="DJ107" s="1682"/>
      <c r="DK107" s="1682"/>
      <c r="DL107" s="1682"/>
      <c r="DM107" s="1682"/>
      <c r="DN107" s="1682"/>
      <c r="DO107" s="1682"/>
      <c r="DP107" s="1682"/>
      <c r="DQ107" s="1682"/>
      <c r="DR107" s="1682"/>
      <c r="DS107" s="1682"/>
      <c r="DT107" s="1682"/>
      <c r="DU107" s="1682"/>
      <c r="DV107" s="1682"/>
      <c r="DW107" s="1682"/>
      <c r="DX107" s="1682"/>
      <c r="DY107" s="1682"/>
      <c r="DZ107" s="1682"/>
      <c r="EA107" s="1682"/>
      <c r="EB107" s="1682"/>
      <c r="EC107" s="1682"/>
      <c r="ED107" s="1682"/>
      <c r="EE107" s="1682"/>
      <c r="EF107" s="1682"/>
      <c r="EG107" s="1682"/>
      <c r="EH107" s="1682"/>
      <c r="EI107" s="1682"/>
      <c r="EJ107" s="1682"/>
      <c r="EK107" s="1682"/>
      <c r="EL107" s="1682"/>
    </row>
    <row r="108" spans="1:142" ht="18" customHeight="1">
      <c r="A108" s="354"/>
      <c r="B108" s="354"/>
      <c r="C108" s="354"/>
      <c r="D108" s="354"/>
      <c r="E108" s="354"/>
      <c r="F108" s="354"/>
      <c r="G108" s="354"/>
      <c r="H108" s="354"/>
      <c r="I108" s="354"/>
      <c r="J108" s="354"/>
      <c r="K108" s="354"/>
      <c r="L108" s="354"/>
      <c r="M108" s="354"/>
      <c r="N108" s="354"/>
      <c r="O108" s="354"/>
      <c r="P108" s="354"/>
      <c r="Q108" s="354"/>
      <c r="R108" s="354"/>
      <c r="S108" s="354"/>
      <c r="T108" s="354"/>
      <c r="U108" s="354"/>
      <c r="V108" s="354"/>
      <c r="W108" s="354"/>
      <c r="X108" s="354"/>
      <c r="Y108" s="354"/>
      <c r="Z108" s="354"/>
      <c r="AA108" s="354"/>
      <c r="AB108" s="354"/>
      <c r="AC108" s="354"/>
      <c r="AD108" s="354"/>
      <c r="AE108" s="354"/>
      <c r="AF108" s="354"/>
      <c r="AG108" s="354"/>
      <c r="AH108" s="354"/>
      <c r="AI108" s="354"/>
      <c r="AJ108" s="354"/>
      <c r="AK108" s="354"/>
      <c r="AL108" s="354"/>
      <c r="AM108" s="354"/>
      <c r="AN108" s="354"/>
      <c r="AO108" s="354"/>
      <c r="AP108" s="354"/>
      <c r="AQ108" s="354"/>
      <c r="AR108" s="354"/>
      <c r="AS108" s="354"/>
      <c r="AT108" s="354"/>
      <c r="AU108" s="354"/>
      <c r="AV108" s="354"/>
      <c r="AW108" s="1682"/>
      <c r="AX108" s="1682"/>
      <c r="AY108" s="1682"/>
      <c r="AZ108" s="1682"/>
      <c r="BA108" s="1682"/>
      <c r="BB108" s="1682"/>
      <c r="BC108" s="1682"/>
      <c r="BD108" s="1682"/>
      <c r="BE108" s="354"/>
      <c r="BF108" s="354"/>
      <c r="BG108" s="354"/>
      <c r="BH108" s="354"/>
      <c r="BI108" s="354"/>
      <c r="BJ108" s="354"/>
      <c r="BK108" s="354"/>
      <c r="BL108" s="354"/>
      <c r="BM108" s="1682"/>
      <c r="BN108" s="1682"/>
      <c r="BO108" s="1682"/>
      <c r="BP108" s="1682"/>
      <c r="BQ108" s="476"/>
      <c r="BR108" s="408"/>
      <c r="BS108" s="408"/>
      <c r="BT108" s="408"/>
      <c r="BU108" s="408"/>
      <c r="BV108" s="408"/>
      <c r="BX108" s="491" t="s">
        <v>1618</v>
      </c>
      <c r="BY108" s="492">
        <f>ROUNDUP(SUM(24700+(24700*7.05%)),-2)</f>
        <v>26500</v>
      </c>
      <c r="BZ108" s="492">
        <f>ROUNDUP(SUM(28400+(28400*7.05%)),-2)</f>
        <v>30500</v>
      </c>
      <c r="CA108" s="492">
        <f>ROUNDUP(SUM(33000+(33000*7.05%)),-2)</f>
        <v>35400</v>
      </c>
      <c r="CB108" s="492">
        <f>ROUNDUP(SUM(40800+(40800*7.05%)),-2)</f>
        <v>43700</v>
      </c>
      <c r="CC108" s="493">
        <f>ROUNDUP(SUM(44500+(44500*7.05%)),-2)</f>
        <v>47700</v>
      </c>
      <c r="CQ108" s="1682"/>
      <c r="CR108" s="1682"/>
      <c r="CS108" s="1682"/>
      <c r="CT108" s="1682"/>
      <c r="CU108" s="1682"/>
      <c r="CV108" s="1682"/>
      <c r="CW108" s="1682"/>
      <c r="CX108" s="1682"/>
      <c r="CY108" s="1682"/>
      <c r="CZ108" s="1682"/>
      <c r="DA108" s="1682"/>
      <c r="DB108" s="1682"/>
      <c r="DC108" s="1682"/>
      <c r="DD108" s="1682"/>
      <c r="DE108" s="1682"/>
      <c r="DF108" s="1682"/>
      <c r="DG108" s="1682"/>
      <c r="DH108" s="1682"/>
      <c r="DI108" s="1682"/>
      <c r="DJ108" s="1682"/>
      <c r="DK108" s="1682"/>
      <c r="DL108" s="1682"/>
      <c r="DM108" s="1682"/>
      <c r="DN108" s="1682"/>
      <c r="DO108" s="1682"/>
      <c r="DP108" s="1682"/>
      <c r="DQ108" s="1682"/>
      <c r="DR108" s="1682"/>
      <c r="DS108" s="1682"/>
      <c r="DT108" s="1682"/>
      <c r="DU108" s="1682"/>
      <c r="DV108" s="1682"/>
      <c r="DW108" s="1682"/>
      <c r="DX108" s="1682"/>
      <c r="DY108" s="1682"/>
      <c r="DZ108" s="1682"/>
      <c r="EA108" s="1682"/>
      <c r="EB108" s="1682"/>
      <c r="EC108" s="1682"/>
      <c r="ED108" s="1682"/>
      <c r="EE108" s="1682"/>
      <c r="EF108" s="1682"/>
      <c r="EG108" s="1682"/>
      <c r="EH108" s="1682"/>
      <c r="EI108" s="1682"/>
      <c r="EJ108" s="1682"/>
      <c r="EK108" s="1682"/>
      <c r="EL108" s="1682"/>
    </row>
    <row r="109" spans="1:142" ht="18" customHeight="1">
      <c r="A109" s="354"/>
      <c r="B109" s="354"/>
      <c r="C109" s="354"/>
      <c r="D109" s="354"/>
      <c r="E109" s="354"/>
      <c r="F109" s="354"/>
      <c r="G109" s="354"/>
      <c r="H109" s="354"/>
      <c r="I109" s="354"/>
      <c r="J109" s="354"/>
      <c r="K109" s="354"/>
      <c r="L109" s="354"/>
      <c r="M109" s="354"/>
      <c r="N109" s="354"/>
      <c r="O109" s="354"/>
      <c r="P109" s="354"/>
      <c r="Q109" s="354"/>
      <c r="R109" s="354"/>
      <c r="S109" s="354"/>
      <c r="T109" s="354"/>
      <c r="U109" s="354"/>
      <c r="V109" s="354"/>
      <c r="W109" s="354"/>
      <c r="X109" s="354"/>
      <c r="Y109" s="354"/>
      <c r="Z109" s="354"/>
      <c r="AA109" s="354"/>
      <c r="AB109" s="354"/>
      <c r="AC109" s="354"/>
      <c r="AD109" s="354"/>
      <c r="AE109" s="354"/>
      <c r="AF109" s="354"/>
      <c r="AG109" s="354"/>
      <c r="AH109" s="354"/>
      <c r="AI109" s="354"/>
      <c r="AJ109" s="354"/>
      <c r="AK109" s="354"/>
      <c r="AL109" s="354"/>
      <c r="AM109" s="354"/>
      <c r="AN109" s="354"/>
      <c r="AO109" s="354"/>
      <c r="AP109" s="354"/>
      <c r="AQ109" s="354"/>
      <c r="AR109" s="354"/>
      <c r="AS109" s="354"/>
      <c r="AT109" s="354"/>
      <c r="AU109" s="354"/>
      <c r="AV109" s="354"/>
      <c r="AW109" s="1682"/>
      <c r="AX109" s="1682"/>
      <c r="AY109" s="1682"/>
      <c r="AZ109" s="1682"/>
      <c r="BA109" s="1682"/>
      <c r="BB109" s="1682"/>
      <c r="BC109" s="1682"/>
      <c r="BD109" s="1682"/>
      <c r="BE109" s="354"/>
      <c r="BF109" s="354"/>
      <c r="BG109" s="354"/>
      <c r="BH109" s="354"/>
      <c r="BI109" s="354"/>
      <c r="BJ109" s="354"/>
      <c r="BK109" s="354"/>
      <c r="BL109" s="354"/>
      <c r="BM109" s="1682"/>
      <c r="BN109" s="1682"/>
      <c r="BO109" s="1682"/>
      <c r="BP109" s="1682"/>
      <c r="BQ109" s="476"/>
      <c r="BR109" s="408"/>
      <c r="BS109" s="408"/>
      <c r="BT109" s="408"/>
      <c r="BU109" s="408"/>
      <c r="BV109" s="408"/>
      <c r="BX109" s="494" t="s">
        <v>1620</v>
      </c>
      <c r="BY109" s="495">
        <f>ROUNDUP(SUM(32100+(32100*7.05%)),-2)</f>
        <v>34400</v>
      </c>
      <c r="BZ109" s="495">
        <f>ROUNDUP(SUM(35800+(35800*7.05%)),-2)</f>
        <v>38400</v>
      </c>
      <c r="CA109" s="495">
        <f>ROUNDUP(SUM(43200+(43200*7.05%)),-2)</f>
        <v>46300</v>
      </c>
      <c r="CB109" s="495">
        <f>ROUNDUP(SUM(50600+(50600*7.05%)),-2)</f>
        <v>54200</v>
      </c>
      <c r="CC109" s="496">
        <f>ROUNDUP(SUM(55600+(55600*7.05%)),-2)</f>
        <v>59600</v>
      </c>
      <c r="CQ109" s="1682"/>
      <c r="CR109" s="1682"/>
      <c r="CS109" s="1682"/>
      <c r="CT109" s="1682"/>
      <c r="CU109" s="1682"/>
      <c r="CV109" s="1682"/>
      <c r="CW109" s="1682"/>
      <c r="CX109" s="1682"/>
      <c r="CY109" s="1682"/>
      <c r="CZ109" s="1682"/>
      <c r="DA109" s="1682"/>
      <c r="DB109" s="1682"/>
      <c r="DC109" s="1682"/>
      <c r="DD109" s="1682"/>
      <c r="DE109" s="1682"/>
      <c r="DF109" s="1682"/>
      <c r="DG109" s="1682"/>
      <c r="DH109" s="1682"/>
      <c r="DI109" s="1682"/>
      <c r="DJ109" s="1682"/>
      <c r="DK109" s="1682"/>
      <c r="DL109" s="1682"/>
      <c r="DM109" s="1682"/>
      <c r="DN109" s="1682"/>
      <c r="DO109" s="1682"/>
      <c r="DP109" s="1682"/>
      <c r="DQ109" s="1682"/>
      <c r="DR109" s="1682"/>
      <c r="DS109" s="1682"/>
      <c r="DT109" s="1682"/>
      <c r="DU109" s="1682"/>
      <c r="DV109" s="1682"/>
      <c r="DW109" s="1682"/>
      <c r="DX109" s="1682"/>
      <c r="DY109" s="1682"/>
      <c r="DZ109" s="1682"/>
      <c r="EA109" s="1682"/>
      <c r="EB109" s="1682"/>
      <c r="EC109" s="1682"/>
      <c r="ED109" s="1682"/>
      <c r="EE109" s="1682"/>
      <c r="EF109" s="1682"/>
      <c r="EG109" s="1682"/>
      <c r="EH109" s="1682"/>
      <c r="EI109" s="1682"/>
      <c r="EJ109" s="1682"/>
      <c r="EK109" s="1682"/>
      <c r="EL109" s="1682"/>
    </row>
    <row r="110" spans="1:142" ht="18" customHeight="1">
      <c r="A110" s="354"/>
      <c r="B110" s="354"/>
      <c r="C110" s="354"/>
      <c r="D110" s="354"/>
      <c r="E110" s="354"/>
      <c r="F110" s="354"/>
      <c r="G110" s="354"/>
      <c r="H110" s="354"/>
      <c r="I110" s="354"/>
      <c r="J110" s="354"/>
      <c r="K110" s="354"/>
      <c r="L110" s="354"/>
      <c r="M110" s="354"/>
      <c r="N110" s="354"/>
      <c r="O110" s="354"/>
      <c r="P110" s="354"/>
      <c r="Q110" s="354"/>
      <c r="R110" s="354"/>
      <c r="S110" s="354"/>
      <c r="T110" s="354"/>
      <c r="U110" s="354"/>
      <c r="V110" s="354"/>
      <c r="W110" s="354"/>
      <c r="X110" s="354"/>
      <c r="Y110" s="354"/>
      <c r="Z110" s="354"/>
      <c r="AA110" s="354"/>
      <c r="AB110" s="354"/>
      <c r="AC110" s="354"/>
      <c r="AD110" s="354"/>
      <c r="AE110" s="354"/>
      <c r="AF110" s="354"/>
      <c r="AG110" s="354"/>
      <c r="AH110" s="354"/>
      <c r="AI110" s="354"/>
      <c r="AJ110" s="354"/>
      <c r="AK110" s="354"/>
      <c r="AL110" s="354"/>
      <c r="AM110" s="354"/>
      <c r="AN110" s="354"/>
      <c r="AO110" s="354"/>
      <c r="AP110" s="354"/>
      <c r="AQ110" s="354"/>
      <c r="AR110" s="354"/>
      <c r="AS110" s="354"/>
      <c r="AT110" s="354"/>
      <c r="AU110" s="354"/>
      <c r="AV110" s="354"/>
      <c r="AW110" s="1682"/>
      <c r="AX110" s="1682"/>
      <c r="AY110" s="1682"/>
      <c r="AZ110" s="1682"/>
      <c r="BA110" s="1682"/>
      <c r="BB110" s="1682"/>
      <c r="BC110" s="1682"/>
      <c r="BD110" s="1682"/>
      <c r="BE110" s="354"/>
      <c r="BF110" s="354"/>
      <c r="BG110" s="354"/>
      <c r="BH110" s="354"/>
      <c r="BI110" s="354"/>
      <c r="BJ110" s="354"/>
      <c r="BK110" s="354"/>
      <c r="BL110" s="354"/>
      <c r="BM110" s="1682"/>
      <c r="BN110" s="1682"/>
      <c r="BO110" s="1682"/>
      <c r="BP110" s="1682"/>
      <c r="BQ110" s="476"/>
      <c r="BR110" s="408"/>
      <c r="BS110" s="408"/>
      <c r="BT110" s="408"/>
      <c r="BU110" s="408"/>
      <c r="BV110" s="408"/>
      <c r="BX110" s="491" t="s">
        <v>1623</v>
      </c>
      <c r="BY110" s="492">
        <f>ROUNDUP(SUM(37100+(37100*7.05%)),-2)</f>
        <v>39800</v>
      </c>
      <c r="BZ110" s="492">
        <f>ROUNDUP(SUM(42000+(42000*7.05%)),-2)</f>
        <v>45000</v>
      </c>
      <c r="CA110" s="492">
        <f>ROUNDUP(SUM(48200+(48200*7.05%)),-2)</f>
        <v>51600</v>
      </c>
      <c r="CB110" s="492">
        <f>ROUNDUP(SUM(58000+(58000*7.05%)),-2)</f>
        <v>62100</v>
      </c>
      <c r="CC110" s="493">
        <f>ROUNDUP(SUM(61800+(61800*7.05%)),-2)</f>
        <v>66200</v>
      </c>
      <c r="CQ110" s="1682"/>
      <c r="CR110" s="1682"/>
      <c r="CS110" s="1682"/>
      <c r="CT110" s="1682"/>
      <c r="CU110" s="1682"/>
      <c r="CV110" s="1682"/>
      <c r="CW110" s="1682"/>
      <c r="CX110" s="1682"/>
      <c r="CY110" s="1682"/>
      <c r="CZ110" s="1682"/>
      <c r="DA110" s="1682"/>
      <c r="DB110" s="1682"/>
      <c r="DC110" s="1682"/>
      <c r="DD110" s="1682"/>
      <c r="DE110" s="1682"/>
      <c r="DF110" s="1682"/>
      <c r="DG110" s="1682"/>
      <c r="DH110" s="1682"/>
      <c r="DI110" s="1682"/>
      <c r="DJ110" s="1682"/>
      <c r="DK110" s="1682"/>
      <c r="DL110" s="1682"/>
      <c r="DM110" s="1682"/>
      <c r="DN110" s="1682"/>
      <c r="DO110" s="1682"/>
      <c r="DP110" s="1682"/>
      <c r="DQ110" s="1682"/>
      <c r="DR110" s="1682"/>
      <c r="DS110" s="1682"/>
      <c r="DT110" s="1682"/>
      <c r="DU110" s="1682"/>
      <c r="DV110" s="1682"/>
      <c r="DW110" s="1682"/>
      <c r="DX110" s="1682"/>
      <c r="DY110" s="1682"/>
      <c r="DZ110" s="1682"/>
      <c r="EA110" s="1682"/>
      <c r="EB110" s="1682"/>
      <c r="EC110" s="1682"/>
      <c r="ED110" s="1682"/>
      <c r="EE110" s="1682"/>
      <c r="EF110" s="1682"/>
      <c r="EG110" s="1682"/>
      <c r="EH110" s="1682"/>
      <c r="EI110" s="1682"/>
      <c r="EJ110" s="1682"/>
      <c r="EK110" s="1682"/>
      <c r="EL110" s="1682"/>
    </row>
    <row r="111" spans="1:142" ht="18" customHeight="1">
      <c r="A111" s="354"/>
      <c r="B111" s="354"/>
      <c r="C111" s="354"/>
      <c r="D111" s="354"/>
      <c r="E111" s="354"/>
      <c r="F111" s="354"/>
      <c r="G111" s="354"/>
      <c r="H111" s="354"/>
      <c r="I111" s="354"/>
      <c r="J111" s="354"/>
      <c r="K111" s="354"/>
      <c r="L111" s="354"/>
      <c r="M111" s="354"/>
      <c r="N111" s="354"/>
      <c r="O111" s="354"/>
      <c r="P111" s="354"/>
      <c r="Q111" s="354"/>
      <c r="R111" s="354"/>
      <c r="S111" s="354"/>
      <c r="T111" s="354"/>
      <c r="U111" s="354"/>
      <c r="V111" s="354"/>
      <c r="W111" s="354"/>
      <c r="X111" s="354"/>
      <c r="Y111" s="354"/>
      <c r="Z111" s="354"/>
      <c r="AA111" s="354"/>
      <c r="AB111" s="354"/>
      <c r="AC111" s="354"/>
      <c r="AD111" s="354"/>
      <c r="AE111" s="354"/>
      <c r="AF111" s="354"/>
      <c r="AG111" s="354"/>
      <c r="AH111" s="354"/>
      <c r="AI111" s="354"/>
      <c r="AJ111" s="354"/>
      <c r="AK111" s="354"/>
      <c r="AL111" s="354"/>
      <c r="AM111" s="354"/>
      <c r="AN111" s="354"/>
      <c r="AO111" s="354"/>
      <c r="AP111" s="354"/>
      <c r="AQ111" s="354"/>
      <c r="AR111" s="354"/>
      <c r="AS111" s="354"/>
      <c r="AT111" s="354"/>
      <c r="AU111" s="354"/>
      <c r="AV111" s="354"/>
      <c r="AW111" s="1682"/>
      <c r="AX111" s="1682"/>
      <c r="AY111" s="1682"/>
      <c r="AZ111" s="1682"/>
      <c r="BA111" s="1682"/>
      <c r="BB111" s="1682"/>
      <c r="BC111" s="1682"/>
      <c r="BD111" s="1682"/>
      <c r="BE111" s="354"/>
      <c r="BF111" s="354"/>
      <c r="BG111" s="354"/>
      <c r="BH111" s="354"/>
      <c r="BI111" s="354"/>
      <c r="BJ111" s="354"/>
      <c r="BK111" s="354"/>
      <c r="BL111" s="354"/>
      <c r="BM111" s="1682"/>
      <c r="BN111" s="1682"/>
      <c r="BO111" s="1682"/>
      <c r="BP111" s="1682"/>
      <c r="BQ111" s="476"/>
      <c r="BR111" s="408"/>
      <c r="BS111" s="408"/>
      <c r="BT111" s="408"/>
      <c r="BU111" s="408"/>
      <c r="BV111" s="408"/>
      <c r="BX111" s="497" t="s">
        <v>1631</v>
      </c>
      <c r="BY111" s="498">
        <f>ROUNDUP(SUM(43200+(43200*7.05%)),-2)</f>
        <v>46300</v>
      </c>
      <c r="BZ111" s="498">
        <f>ROUNDUP(SUM(45700+(45700*7.05%)),-2)</f>
        <v>49000</v>
      </c>
      <c r="CA111" s="498">
        <f>ROUNDUP(SUM(51900+(51900*7.05%)),-2)</f>
        <v>55600</v>
      </c>
      <c r="CB111" s="498">
        <f>ROUNDUP(SUM(66700+(66700*7.05%)),-2)</f>
        <v>71500</v>
      </c>
      <c r="CC111" s="499">
        <f>ROUNDUP(SUM(66700+(66700*7.05%)),-2)</f>
        <v>71500</v>
      </c>
      <c r="CQ111" s="1682"/>
      <c r="CR111" s="1682"/>
      <c r="CS111" s="1682"/>
      <c r="CT111" s="1682"/>
      <c r="CU111" s="1682"/>
      <c r="CV111" s="1682"/>
      <c r="CW111" s="1682"/>
      <c r="CX111" s="1682"/>
      <c r="CY111" s="1682"/>
      <c r="CZ111" s="1682"/>
      <c r="DA111" s="1682"/>
      <c r="DB111" s="1682"/>
      <c r="DC111" s="1682"/>
      <c r="DD111" s="1682"/>
      <c r="DE111" s="1682"/>
      <c r="DF111" s="1682"/>
      <c r="DG111" s="1682"/>
      <c r="DH111" s="1682"/>
      <c r="DI111" s="1682"/>
      <c r="DJ111" s="1682"/>
      <c r="DK111" s="1682"/>
      <c r="DL111" s="1682"/>
      <c r="DM111" s="1682"/>
      <c r="DN111" s="1682"/>
      <c r="DO111" s="1682"/>
      <c r="DP111" s="1682"/>
      <c r="DQ111" s="1682"/>
      <c r="DR111" s="1682"/>
      <c r="DS111" s="1682"/>
      <c r="DT111" s="1682"/>
      <c r="DU111" s="1682"/>
      <c r="DV111" s="1682"/>
      <c r="DW111" s="1682"/>
      <c r="DX111" s="1682"/>
      <c r="DY111" s="1682"/>
      <c r="DZ111" s="1682"/>
      <c r="EA111" s="1682"/>
      <c r="EB111" s="1682"/>
      <c r="EC111" s="1682"/>
      <c r="ED111" s="1682"/>
      <c r="EE111" s="1682"/>
      <c r="EF111" s="1682"/>
      <c r="EG111" s="1682"/>
      <c r="EH111" s="1682"/>
      <c r="EI111" s="1682"/>
      <c r="EJ111" s="1682"/>
      <c r="EK111" s="1682"/>
      <c r="EL111" s="1682"/>
    </row>
    <row r="112" spans="1:142" ht="18" customHeight="1">
      <c r="A112" s="354"/>
      <c r="B112" s="354"/>
      <c r="C112" s="354"/>
      <c r="D112" s="354"/>
      <c r="E112" s="354"/>
      <c r="F112" s="354"/>
      <c r="G112" s="354"/>
      <c r="H112" s="354"/>
      <c r="I112" s="354"/>
      <c r="J112" s="354"/>
      <c r="K112" s="354"/>
      <c r="L112" s="354"/>
      <c r="M112" s="354"/>
      <c r="N112" s="354"/>
      <c r="O112" s="354"/>
      <c r="P112" s="354"/>
      <c r="Q112" s="354"/>
      <c r="R112" s="354"/>
      <c r="S112" s="354"/>
      <c r="T112" s="354"/>
      <c r="U112" s="354"/>
      <c r="V112" s="354"/>
      <c r="W112" s="354"/>
      <c r="X112" s="354"/>
      <c r="Y112" s="354"/>
      <c r="Z112" s="354"/>
      <c r="AA112" s="354"/>
      <c r="AB112" s="354"/>
      <c r="AC112" s="354"/>
      <c r="AD112" s="354"/>
      <c r="AE112" s="354"/>
      <c r="AF112" s="354"/>
      <c r="AG112" s="354"/>
      <c r="AH112" s="354"/>
      <c r="AI112" s="354"/>
      <c r="AJ112" s="354"/>
      <c r="AK112" s="354"/>
      <c r="AL112" s="354"/>
      <c r="AM112" s="354"/>
      <c r="AN112" s="354"/>
      <c r="AO112" s="354"/>
      <c r="AP112" s="354"/>
      <c r="AQ112" s="354"/>
      <c r="AR112" s="354"/>
      <c r="AS112" s="354"/>
      <c r="AT112" s="354"/>
      <c r="AU112" s="354"/>
      <c r="AV112" s="354"/>
      <c r="AW112" s="1682"/>
      <c r="AX112" s="1682"/>
      <c r="AY112" s="1682"/>
      <c r="AZ112" s="1682"/>
      <c r="BA112" s="1682"/>
      <c r="BB112" s="1682"/>
      <c r="BC112" s="1682"/>
      <c r="BD112" s="1682"/>
      <c r="BE112" s="354"/>
      <c r="BF112" s="354"/>
      <c r="BG112" s="354"/>
      <c r="BH112" s="354"/>
      <c r="BI112" s="354"/>
      <c r="BJ112" s="354"/>
      <c r="BK112" s="354"/>
      <c r="BL112" s="354"/>
      <c r="BM112" s="1682"/>
      <c r="BN112" s="1682"/>
      <c r="BO112" s="1682"/>
      <c r="BP112" s="1682"/>
      <c r="BQ112" s="410"/>
      <c r="BR112" s="407"/>
      <c r="BS112" s="407"/>
      <c r="BT112" s="407"/>
      <c r="BU112" s="407"/>
      <c r="BV112" s="407"/>
      <c r="BX112" s="427"/>
      <c r="BY112" s="1683"/>
      <c r="BZ112" s="1683"/>
      <c r="CA112" s="1683"/>
      <c r="CB112" s="1683"/>
      <c r="CC112" s="1277"/>
      <c r="CQ112" s="1682"/>
      <c r="CR112" s="1682"/>
      <c r="CS112" s="1682"/>
      <c r="CT112" s="1682"/>
      <c r="CU112" s="1682"/>
      <c r="CV112" s="1682"/>
      <c r="CW112" s="1682"/>
      <c r="CX112" s="1682"/>
      <c r="CY112" s="1682"/>
      <c r="CZ112" s="1682"/>
      <c r="DA112" s="1682"/>
      <c r="DB112" s="1682"/>
      <c r="DC112" s="1682"/>
      <c r="DD112" s="1682"/>
      <c r="DE112" s="1682"/>
      <c r="DF112" s="1682"/>
      <c r="DG112" s="1682"/>
      <c r="DH112" s="1682"/>
      <c r="DI112" s="1682"/>
      <c r="DJ112" s="1682"/>
      <c r="DK112" s="1682"/>
      <c r="DL112" s="1682"/>
      <c r="DM112" s="1682"/>
      <c r="DN112" s="1682"/>
      <c r="DO112" s="1682"/>
      <c r="DP112" s="1682"/>
      <c r="DQ112" s="1682"/>
      <c r="DR112" s="1682"/>
      <c r="DS112" s="1682"/>
      <c r="DT112" s="1682"/>
      <c r="DU112" s="1682"/>
      <c r="DV112" s="1682"/>
      <c r="DW112" s="1682"/>
      <c r="DX112" s="1682"/>
      <c r="DY112" s="1682"/>
      <c r="DZ112" s="1682"/>
      <c r="EA112" s="1682"/>
      <c r="EB112" s="1682"/>
      <c r="EC112" s="1682"/>
      <c r="ED112" s="1682"/>
      <c r="EE112" s="1682"/>
      <c r="EF112" s="1682"/>
      <c r="EG112" s="1682"/>
      <c r="EH112" s="1682"/>
      <c r="EI112" s="1682"/>
      <c r="EJ112" s="1682"/>
      <c r="EK112" s="1682"/>
      <c r="EL112" s="1682"/>
    </row>
    <row r="113" spans="1:81" ht="18" customHeight="1">
      <c r="A113" s="354"/>
      <c r="B113" s="354"/>
      <c r="C113" s="354"/>
      <c r="D113" s="354"/>
      <c r="E113" s="354"/>
      <c r="F113" s="354"/>
      <c r="G113" s="354"/>
      <c r="H113" s="354"/>
      <c r="I113" s="354"/>
      <c r="J113" s="354"/>
      <c r="K113" s="354"/>
      <c r="L113" s="354"/>
      <c r="M113" s="354"/>
      <c r="N113" s="354"/>
      <c r="O113" s="354"/>
      <c r="P113" s="354"/>
      <c r="Q113" s="354"/>
      <c r="R113" s="354"/>
      <c r="S113" s="354"/>
      <c r="T113" s="354"/>
      <c r="U113" s="354"/>
      <c r="V113" s="354"/>
      <c r="W113" s="354"/>
      <c r="X113" s="354"/>
      <c r="Y113" s="354"/>
      <c r="Z113" s="354"/>
      <c r="AA113" s="354"/>
      <c r="AB113" s="354"/>
      <c r="AC113" s="354"/>
      <c r="AD113" s="354"/>
      <c r="AE113" s="354"/>
      <c r="AF113" s="354"/>
      <c r="AG113" s="354"/>
      <c r="AH113" s="354"/>
      <c r="AI113" s="354"/>
      <c r="AJ113" s="354"/>
      <c r="AK113" s="354"/>
      <c r="AL113" s="354"/>
      <c r="AM113" s="354"/>
      <c r="AN113" s="354"/>
      <c r="AO113" s="354"/>
      <c r="AP113" s="354"/>
      <c r="AQ113" s="354"/>
      <c r="AR113" s="354"/>
      <c r="AS113" s="354"/>
      <c r="AT113" s="354"/>
      <c r="AU113" s="354"/>
      <c r="AV113" s="354"/>
      <c r="AW113" s="1682"/>
      <c r="AX113" s="1682"/>
      <c r="AY113" s="1682"/>
      <c r="AZ113" s="1682"/>
      <c r="BA113" s="1682"/>
      <c r="BB113" s="1682"/>
      <c r="BC113" s="1682"/>
      <c r="BD113" s="1682"/>
      <c r="BE113" s="354"/>
      <c r="BF113" s="354"/>
      <c r="BG113" s="354"/>
      <c r="BH113" s="354"/>
      <c r="BI113" s="354"/>
      <c r="BJ113" s="354"/>
      <c r="BK113" s="354"/>
      <c r="BL113" s="354"/>
      <c r="BM113" s="1682"/>
      <c r="BN113" s="1682"/>
      <c r="BO113" s="1682"/>
      <c r="BP113" s="1682"/>
      <c r="BQ113" s="476"/>
      <c r="BR113" s="408"/>
      <c r="BS113" s="408"/>
      <c r="BT113" s="408"/>
      <c r="BU113" s="408"/>
      <c r="BV113" s="408"/>
      <c r="BX113" s="427"/>
      <c r="BY113" s="428">
        <f>43200*7.05%</f>
        <v>3045.6</v>
      </c>
      <c r="BZ113" s="428">
        <f>45700*7.05%</f>
        <v>3221.85</v>
      </c>
      <c r="CA113" s="428">
        <f>51900*7.05%</f>
        <v>3658.95</v>
      </c>
      <c r="CB113" s="428">
        <f>66700*7.05%</f>
        <v>4702.3499999999995</v>
      </c>
      <c r="CC113" s="1278">
        <f>70400*7.05%</f>
        <v>4963.2</v>
      </c>
    </row>
    <row r="114" spans="1:81" ht="18" customHeight="1">
      <c r="A114" s="354"/>
      <c r="B114" s="354"/>
      <c r="C114" s="354"/>
      <c r="D114" s="354"/>
      <c r="E114" s="354"/>
      <c r="F114" s="354"/>
      <c r="G114" s="354"/>
      <c r="H114" s="354"/>
      <c r="I114" s="354"/>
      <c r="J114" s="354"/>
      <c r="K114" s="354"/>
      <c r="L114" s="354"/>
      <c r="M114" s="354"/>
      <c r="N114" s="354"/>
      <c r="O114" s="354"/>
      <c r="P114" s="354"/>
      <c r="Q114" s="354"/>
      <c r="R114" s="354"/>
      <c r="S114" s="354"/>
      <c r="T114" s="354"/>
      <c r="U114" s="354"/>
      <c r="V114" s="354"/>
      <c r="W114" s="354"/>
      <c r="X114" s="354"/>
      <c r="Y114" s="354"/>
      <c r="Z114" s="354"/>
      <c r="AA114" s="354"/>
      <c r="AB114" s="354"/>
      <c r="AC114" s="354"/>
      <c r="AD114" s="354"/>
      <c r="AE114" s="354"/>
      <c r="AF114" s="354"/>
      <c r="AG114" s="354"/>
      <c r="AH114" s="354"/>
      <c r="AI114" s="354"/>
      <c r="AJ114" s="354"/>
      <c r="AK114" s="354"/>
      <c r="AL114" s="354"/>
      <c r="AM114" s="354"/>
      <c r="AN114" s="354"/>
      <c r="AO114" s="354"/>
      <c r="AP114" s="354"/>
      <c r="AQ114" s="354"/>
      <c r="AR114" s="354"/>
      <c r="AS114" s="354"/>
      <c r="AT114" s="354"/>
      <c r="AU114" s="354"/>
      <c r="AV114" s="354"/>
      <c r="AW114" s="1682"/>
      <c r="AX114" s="1682"/>
      <c r="AY114" s="1682"/>
      <c r="AZ114" s="1682"/>
      <c r="BA114" s="1682"/>
      <c r="BB114" s="1682"/>
      <c r="BC114" s="1682"/>
      <c r="BD114" s="1682"/>
      <c r="BE114" s="354"/>
      <c r="BF114" s="354"/>
      <c r="BG114" s="354"/>
      <c r="BH114" s="354"/>
      <c r="BI114" s="354"/>
      <c r="BJ114" s="354"/>
      <c r="BK114" s="354"/>
      <c r="BL114" s="354"/>
      <c r="BM114" s="1682"/>
      <c r="BN114" s="1682"/>
      <c r="BO114" s="1682"/>
      <c r="BP114" s="1682"/>
      <c r="BQ114" s="476"/>
      <c r="BR114" s="408"/>
      <c r="BS114" s="408"/>
      <c r="BT114" s="408"/>
      <c r="BU114" s="408"/>
      <c r="BV114" s="408"/>
      <c r="BX114" s="427"/>
      <c r="BY114" s="428">
        <v>43200</v>
      </c>
      <c r="BZ114" s="428">
        <v>45700</v>
      </c>
      <c r="CA114" s="428">
        <v>51900</v>
      </c>
      <c r="CB114" s="428">
        <v>66700</v>
      </c>
      <c r="CC114" s="1278">
        <v>70400</v>
      </c>
    </row>
    <row r="115" spans="1:81" ht="18" customHeight="1">
      <c r="A115" s="354"/>
      <c r="B115" s="354"/>
      <c r="C115" s="354"/>
      <c r="D115" s="354"/>
      <c r="E115" s="354"/>
      <c r="F115" s="354"/>
      <c r="G115" s="354"/>
      <c r="H115" s="354"/>
      <c r="I115" s="354"/>
      <c r="J115" s="354"/>
      <c r="K115" s="354"/>
      <c r="L115" s="354"/>
      <c r="M115" s="354"/>
      <c r="N115" s="354"/>
      <c r="O115" s="354"/>
      <c r="P115" s="354"/>
      <c r="Q115" s="354"/>
      <c r="R115" s="354"/>
      <c r="S115" s="354"/>
      <c r="T115" s="354"/>
      <c r="U115" s="354"/>
      <c r="V115" s="354"/>
      <c r="W115" s="354"/>
      <c r="X115" s="354"/>
      <c r="Y115" s="354"/>
      <c r="Z115" s="354"/>
      <c r="AA115" s="354"/>
      <c r="AB115" s="354"/>
      <c r="AC115" s="354"/>
      <c r="AD115" s="354"/>
      <c r="AE115" s="354"/>
      <c r="AF115" s="354"/>
      <c r="AG115" s="354"/>
      <c r="AH115" s="354"/>
      <c r="AI115" s="354"/>
      <c r="AJ115" s="354"/>
      <c r="AK115" s="354"/>
      <c r="AL115" s="354"/>
      <c r="AM115" s="354"/>
      <c r="AN115" s="354"/>
      <c r="AO115" s="354"/>
      <c r="AP115" s="354"/>
      <c r="AQ115" s="354"/>
      <c r="AR115" s="354"/>
      <c r="AS115" s="354"/>
      <c r="AT115" s="354"/>
      <c r="AU115" s="354"/>
      <c r="AV115" s="354"/>
      <c r="AW115" s="1682"/>
      <c r="AX115" s="1682"/>
      <c r="AY115" s="1682"/>
      <c r="AZ115" s="1682"/>
      <c r="BA115" s="1682"/>
      <c r="BB115" s="1682"/>
      <c r="BC115" s="1682"/>
      <c r="BD115" s="1682"/>
      <c r="BE115" s="354"/>
      <c r="BF115" s="354"/>
      <c r="BG115" s="354"/>
      <c r="BH115" s="354"/>
      <c r="BI115" s="354"/>
      <c r="BJ115" s="354"/>
      <c r="BK115" s="354"/>
      <c r="BL115" s="354"/>
      <c r="BM115" s="1682"/>
      <c r="BN115" s="1682"/>
      <c r="BO115" s="1682"/>
      <c r="BP115" s="1682"/>
      <c r="BQ115" s="476"/>
      <c r="BR115" s="408"/>
      <c r="BS115" s="408"/>
      <c r="BT115" s="408"/>
      <c r="BU115" s="408"/>
      <c r="BV115" s="408"/>
      <c r="BX115" s="429"/>
      <c r="BY115" s="1279">
        <f>SUM(BY113:BY114)</f>
        <v>46245.599999999999</v>
      </c>
      <c r="BZ115" s="1279">
        <f>SUM(BZ113:BZ114)</f>
        <v>48921.85</v>
      </c>
      <c r="CA115" s="1279">
        <f>SUM(CA113:CA114)</f>
        <v>55558.95</v>
      </c>
      <c r="CB115" s="1279">
        <f>SUM(CB113:CB114)</f>
        <v>71402.350000000006</v>
      </c>
      <c r="CC115" s="1470">
        <f>SUM(CC113:CC114)</f>
        <v>75363.199999999997</v>
      </c>
    </row>
    <row r="116" spans="1:81" ht="18" customHeight="1">
      <c r="A116" s="354"/>
      <c r="B116" s="354"/>
      <c r="C116" s="354"/>
      <c r="D116" s="354"/>
      <c r="E116" s="354"/>
      <c r="F116" s="354"/>
      <c r="G116" s="354"/>
      <c r="H116" s="354"/>
      <c r="I116" s="354"/>
      <c r="J116" s="354"/>
      <c r="K116" s="354"/>
      <c r="L116" s="354"/>
      <c r="M116" s="354"/>
      <c r="N116" s="354"/>
      <c r="O116" s="354"/>
      <c r="P116" s="354"/>
      <c r="Q116" s="354"/>
      <c r="R116" s="354"/>
      <c r="S116" s="354"/>
      <c r="T116" s="354"/>
      <c r="U116" s="354"/>
      <c r="V116" s="354"/>
      <c r="W116" s="354"/>
      <c r="X116" s="354"/>
      <c r="Y116" s="354"/>
      <c r="Z116" s="354"/>
      <c r="AA116" s="354"/>
      <c r="AB116" s="354"/>
      <c r="AC116" s="354"/>
      <c r="AD116" s="354"/>
      <c r="AE116" s="354"/>
      <c r="AF116" s="354"/>
      <c r="AG116" s="354"/>
      <c r="AH116" s="354"/>
      <c r="AI116" s="354"/>
      <c r="AJ116" s="354"/>
      <c r="AK116" s="354"/>
      <c r="AL116" s="354"/>
      <c r="AM116" s="354"/>
      <c r="AN116" s="354"/>
      <c r="AO116" s="354"/>
      <c r="AP116" s="354"/>
      <c r="AQ116" s="354"/>
      <c r="AR116" s="354"/>
      <c r="AS116" s="354"/>
      <c r="AT116" s="354"/>
      <c r="AU116" s="354"/>
      <c r="AV116" s="354"/>
      <c r="AW116" s="1682"/>
      <c r="AX116" s="1682"/>
      <c r="AY116" s="1682"/>
      <c r="AZ116" s="1682"/>
      <c r="BA116" s="1682"/>
      <c r="BB116" s="1682"/>
      <c r="BC116" s="1682"/>
      <c r="BD116" s="1682"/>
      <c r="BE116" s="354"/>
      <c r="BF116" s="354"/>
      <c r="BG116" s="354"/>
      <c r="BH116" s="354"/>
      <c r="BI116" s="354"/>
      <c r="BJ116" s="354"/>
      <c r="BK116" s="354"/>
      <c r="BL116" s="354"/>
      <c r="BM116" s="1682"/>
      <c r="BN116" s="1682"/>
      <c r="BO116" s="1682"/>
      <c r="BP116" s="1682"/>
      <c r="BQ116" s="476"/>
      <c r="BR116" s="408"/>
      <c r="BS116" s="408"/>
      <c r="BT116" s="408"/>
      <c r="BU116" s="408"/>
      <c r="BV116" s="408"/>
    </row>
    <row r="117" spans="1:81" ht="18" customHeight="1">
      <c r="A117" s="354"/>
      <c r="B117" s="354"/>
      <c r="C117" s="354"/>
      <c r="D117" s="354"/>
      <c r="E117" s="354"/>
      <c r="F117" s="354"/>
      <c r="G117" s="354"/>
      <c r="H117" s="354"/>
      <c r="I117" s="354"/>
      <c r="J117" s="354"/>
      <c r="K117" s="354"/>
      <c r="L117" s="354"/>
      <c r="M117" s="354"/>
      <c r="N117" s="354"/>
      <c r="O117" s="354"/>
      <c r="P117" s="354"/>
      <c r="Q117" s="354"/>
      <c r="R117" s="354"/>
      <c r="S117" s="354"/>
      <c r="T117" s="354"/>
      <c r="U117" s="354"/>
      <c r="V117" s="354"/>
      <c r="W117" s="354"/>
      <c r="X117" s="354"/>
      <c r="Y117" s="354"/>
      <c r="Z117" s="354"/>
      <c r="AA117" s="354"/>
      <c r="AB117" s="354"/>
      <c r="AC117" s="354"/>
      <c r="AD117" s="354"/>
      <c r="AE117" s="354"/>
      <c r="AF117" s="354"/>
      <c r="AG117" s="354"/>
      <c r="AH117" s="354"/>
      <c r="AI117" s="354"/>
      <c r="AJ117" s="354"/>
      <c r="AK117" s="354"/>
      <c r="AL117" s="354"/>
      <c r="AM117" s="354"/>
      <c r="AN117" s="354"/>
      <c r="AO117" s="354"/>
      <c r="AP117" s="354"/>
      <c r="AQ117" s="354"/>
      <c r="AR117" s="354"/>
      <c r="AS117" s="354"/>
      <c r="AT117" s="354"/>
      <c r="AU117" s="354"/>
      <c r="AV117" s="354"/>
      <c r="AW117" s="1682"/>
      <c r="AX117" s="1682"/>
      <c r="AY117" s="1682"/>
      <c r="AZ117" s="1682"/>
      <c r="BA117" s="1682"/>
      <c r="BB117" s="1682"/>
      <c r="BC117" s="1682"/>
      <c r="BD117" s="1682"/>
      <c r="BE117" s="354"/>
      <c r="BF117" s="354"/>
      <c r="BG117" s="354"/>
      <c r="BH117" s="354"/>
      <c r="BI117" s="354"/>
      <c r="BJ117" s="354"/>
      <c r="BK117" s="354"/>
      <c r="BL117" s="354"/>
      <c r="BM117" s="1682"/>
      <c r="BN117" s="1682"/>
      <c r="BO117" s="1682"/>
      <c r="BP117" s="1682"/>
      <c r="BQ117" s="476"/>
      <c r="BR117" s="408"/>
      <c r="BS117" s="408"/>
      <c r="BT117" s="408"/>
      <c r="BU117" s="408"/>
      <c r="BV117" s="408"/>
    </row>
    <row r="118" spans="1:81" ht="18" customHeight="1">
      <c r="A118" s="354"/>
      <c r="B118" s="354"/>
      <c r="C118" s="354"/>
      <c r="D118" s="354"/>
      <c r="E118" s="354"/>
      <c r="F118" s="354"/>
      <c r="G118" s="354"/>
      <c r="H118" s="354"/>
      <c r="I118" s="354"/>
      <c r="J118" s="354"/>
      <c r="K118" s="354"/>
      <c r="L118" s="354"/>
      <c r="M118" s="354"/>
      <c r="N118" s="354"/>
      <c r="O118" s="354"/>
      <c r="P118" s="354"/>
      <c r="Q118" s="354"/>
      <c r="R118" s="354"/>
      <c r="S118" s="354"/>
      <c r="T118" s="354"/>
      <c r="U118" s="354"/>
      <c r="V118" s="354"/>
      <c r="W118" s="354"/>
      <c r="X118" s="354"/>
      <c r="Y118" s="354"/>
      <c r="Z118" s="354"/>
      <c r="AA118" s="354"/>
      <c r="AB118" s="354"/>
      <c r="AC118" s="354"/>
      <c r="AD118" s="354"/>
      <c r="AE118" s="354"/>
      <c r="AF118" s="354"/>
      <c r="AG118" s="354"/>
      <c r="AH118" s="354"/>
      <c r="AI118" s="354"/>
      <c r="AJ118" s="354"/>
      <c r="AK118" s="354"/>
      <c r="AL118" s="354"/>
      <c r="AM118" s="354"/>
      <c r="AN118" s="354"/>
      <c r="AO118" s="354"/>
      <c r="AP118" s="354"/>
      <c r="AQ118" s="354"/>
      <c r="AR118" s="354"/>
      <c r="AS118" s="354"/>
      <c r="AT118" s="354"/>
      <c r="AU118" s="354"/>
      <c r="AV118" s="354"/>
      <c r="AW118" s="1682"/>
      <c r="AX118" s="1682"/>
      <c r="AY118" s="1682"/>
      <c r="AZ118" s="1682"/>
      <c r="BA118" s="1682"/>
      <c r="BB118" s="1682"/>
      <c r="BC118" s="1682"/>
      <c r="BD118" s="1682"/>
      <c r="BE118" s="354"/>
      <c r="BF118" s="354"/>
      <c r="BG118" s="354"/>
      <c r="BH118" s="354"/>
      <c r="BI118" s="354"/>
      <c r="BJ118" s="354"/>
      <c r="BK118" s="354"/>
      <c r="BL118" s="354"/>
      <c r="BM118" s="1682"/>
      <c r="BN118" s="1682"/>
      <c r="BO118" s="1682"/>
      <c r="BP118" s="1682"/>
      <c r="BQ118" s="409"/>
      <c r="BR118" s="408"/>
      <c r="BS118" s="408"/>
      <c r="BT118" s="408"/>
      <c r="BU118" s="408"/>
      <c r="BV118" s="408"/>
    </row>
    <row r="119" spans="1:81" ht="18" customHeight="1">
      <c r="A119" s="354"/>
      <c r="B119" s="354"/>
      <c r="C119" s="354"/>
      <c r="D119" s="354"/>
      <c r="E119" s="354"/>
      <c r="F119" s="354"/>
      <c r="G119" s="354"/>
      <c r="H119" s="354"/>
      <c r="I119" s="354"/>
      <c r="J119" s="354"/>
      <c r="K119" s="354"/>
      <c r="L119" s="354"/>
      <c r="M119" s="354"/>
      <c r="N119" s="354"/>
      <c r="O119" s="354"/>
      <c r="P119" s="354"/>
      <c r="Q119" s="354"/>
      <c r="R119" s="354"/>
      <c r="S119" s="354"/>
      <c r="T119" s="354"/>
      <c r="U119" s="354"/>
      <c r="V119" s="354"/>
      <c r="W119" s="354"/>
      <c r="X119" s="354"/>
      <c r="Y119" s="354"/>
      <c r="Z119" s="354"/>
      <c r="AA119" s="354"/>
      <c r="AB119" s="354"/>
      <c r="AC119" s="354"/>
      <c r="AD119" s="354"/>
      <c r="AE119" s="354"/>
      <c r="AF119" s="354"/>
      <c r="AG119" s="354"/>
      <c r="AH119" s="354"/>
      <c r="AI119" s="354"/>
      <c r="AJ119" s="354"/>
      <c r="AK119" s="354"/>
      <c r="AL119" s="354"/>
      <c r="AM119" s="354"/>
      <c r="AN119" s="354"/>
      <c r="AO119" s="354"/>
      <c r="AP119" s="354"/>
      <c r="AQ119" s="354"/>
      <c r="AR119" s="354"/>
      <c r="AS119" s="354"/>
      <c r="AT119" s="354"/>
      <c r="AU119" s="354"/>
      <c r="AV119" s="354"/>
      <c r="AW119" s="1682"/>
      <c r="AX119" s="1682"/>
      <c r="AY119" s="1682"/>
      <c r="AZ119" s="1682"/>
      <c r="BA119" s="1682"/>
      <c r="BB119" s="1682"/>
      <c r="BC119" s="1682"/>
      <c r="BD119" s="1682"/>
      <c r="BE119" s="354"/>
      <c r="BF119" s="354"/>
      <c r="BG119" s="354"/>
      <c r="BH119" s="354"/>
      <c r="BI119" s="354"/>
      <c r="BJ119" s="354"/>
      <c r="BK119" s="354"/>
      <c r="BL119" s="354"/>
      <c r="BM119" s="1682"/>
      <c r="BN119" s="1682"/>
      <c r="BO119" s="1682"/>
      <c r="BP119" s="1682"/>
      <c r="BQ119" s="476"/>
      <c r="BR119" s="408"/>
      <c r="BS119" s="408"/>
      <c r="BT119" s="408"/>
      <c r="BU119" s="408"/>
      <c r="BV119" s="408"/>
    </row>
    <row r="120" spans="1:81" ht="18" customHeight="1">
      <c r="A120" s="354"/>
      <c r="B120" s="354"/>
      <c r="C120" s="354"/>
      <c r="D120" s="354"/>
      <c r="E120" s="354"/>
      <c r="F120" s="354"/>
      <c r="G120" s="354"/>
      <c r="H120" s="354"/>
      <c r="I120" s="354"/>
      <c r="J120" s="354"/>
      <c r="K120" s="354"/>
      <c r="L120" s="354"/>
      <c r="M120" s="354"/>
      <c r="N120" s="354"/>
      <c r="O120" s="354"/>
      <c r="P120" s="354"/>
      <c r="Q120" s="354"/>
      <c r="R120" s="354"/>
      <c r="S120" s="354"/>
      <c r="T120" s="354"/>
      <c r="U120" s="354"/>
      <c r="V120" s="354"/>
      <c r="W120" s="354"/>
      <c r="X120" s="354"/>
      <c r="Y120" s="354"/>
      <c r="Z120" s="354"/>
      <c r="AA120" s="354"/>
      <c r="AB120" s="354"/>
      <c r="AC120" s="354"/>
      <c r="AD120" s="354"/>
      <c r="AE120" s="354"/>
      <c r="AF120" s="354"/>
      <c r="AG120" s="354"/>
      <c r="AH120" s="354"/>
      <c r="AI120" s="354"/>
      <c r="AJ120" s="354"/>
      <c r="AK120" s="354"/>
      <c r="AL120" s="354"/>
      <c r="AM120" s="354"/>
      <c r="AN120" s="354"/>
      <c r="AO120" s="354"/>
      <c r="AP120" s="354"/>
      <c r="AQ120" s="354"/>
      <c r="AR120" s="354"/>
      <c r="AS120" s="354"/>
      <c r="AT120" s="354"/>
      <c r="AU120" s="354"/>
      <c r="AV120" s="354"/>
      <c r="AW120" s="1682"/>
      <c r="AX120" s="1682"/>
      <c r="AY120" s="1682"/>
      <c r="AZ120" s="1682"/>
      <c r="BA120" s="1682"/>
      <c r="BB120" s="1682"/>
      <c r="BC120" s="1682"/>
      <c r="BD120" s="1682"/>
      <c r="BE120" s="354"/>
      <c r="BF120" s="354"/>
      <c r="BG120" s="354"/>
      <c r="BH120" s="354"/>
      <c r="BI120" s="354"/>
      <c r="BJ120" s="354"/>
      <c r="BK120" s="354"/>
      <c r="BL120" s="354"/>
      <c r="BM120" s="1682"/>
      <c r="BN120" s="1682"/>
      <c r="BO120" s="1682"/>
      <c r="BP120" s="1682"/>
      <c r="BQ120" s="476"/>
      <c r="BR120" s="408"/>
      <c r="BS120" s="408"/>
      <c r="BT120" s="408"/>
      <c r="BU120" s="408"/>
      <c r="BV120" s="408"/>
    </row>
    <row r="121" spans="1:81" ht="18" customHeight="1">
      <c r="A121" s="354"/>
      <c r="B121" s="354"/>
      <c r="C121" s="354"/>
      <c r="D121" s="354"/>
      <c r="E121" s="354"/>
      <c r="F121" s="354"/>
      <c r="G121" s="354"/>
      <c r="H121" s="354"/>
      <c r="I121" s="354"/>
      <c r="J121" s="354"/>
      <c r="K121" s="354"/>
      <c r="L121" s="354"/>
      <c r="M121" s="354"/>
      <c r="N121" s="354"/>
      <c r="O121" s="354"/>
      <c r="P121" s="354"/>
      <c r="Q121" s="354"/>
      <c r="R121" s="354"/>
      <c r="S121" s="354"/>
      <c r="T121" s="354"/>
      <c r="U121" s="354"/>
      <c r="V121" s="354"/>
      <c r="W121" s="354"/>
      <c r="X121" s="354"/>
      <c r="Y121" s="354"/>
      <c r="Z121" s="354"/>
      <c r="AA121" s="354"/>
      <c r="AB121" s="354"/>
      <c r="AC121" s="354"/>
      <c r="AD121" s="354"/>
      <c r="AE121" s="354"/>
      <c r="AF121" s="354"/>
      <c r="AG121" s="354"/>
      <c r="AH121" s="354"/>
      <c r="AI121" s="354"/>
      <c r="AJ121" s="354"/>
      <c r="AK121" s="354"/>
      <c r="AL121" s="354"/>
      <c r="AM121" s="354"/>
      <c r="AN121" s="354"/>
      <c r="AO121" s="354"/>
      <c r="AP121" s="354"/>
      <c r="AQ121" s="354"/>
      <c r="AR121" s="354"/>
      <c r="AS121" s="354"/>
      <c r="AT121" s="354"/>
      <c r="AU121" s="354"/>
      <c r="AV121" s="354"/>
      <c r="AW121" s="1682"/>
      <c r="AX121" s="1682"/>
      <c r="AY121" s="1682"/>
      <c r="AZ121" s="1682"/>
      <c r="BA121" s="1682"/>
      <c r="BB121" s="1682"/>
      <c r="BC121" s="1682"/>
      <c r="BD121" s="1682"/>
      <c r="BE121" s="354"/>
      <c r="BF121" s="354"/>
      <c r="BG121" s="354"/>
      <c r="BH121" s="354"/>
      <c r="BI121" s="354"/>
      <c r="BJ121" s="354"/>
      <c r="BK121" s="354"/>
      <c r="BL121" s="354"/>
      <c r="BM121" s="1682"/>
      <c r="BN121" s="1682"/>
      <c r="BO121" s="1682"/>
      <c r="BP121" s="1682"/>
      <c r="BQ121" s="476"/>
      <c r="BR121" s="408"/>
      <c r="BS121" s="408"/>
      <c r="BT121" s="408"/>
      <c r="BU121" s="408"/>
      <c r="BV121" s="408"/>
    </row>
    <row r="122" spans="1:81" ht="18" customHeight="1">
      <c r="A122" s="354"/>
      <c r="B122" s="354"/>
      <c r="C122" s="354"/>
      <c r="D122" s="354"/>
      <c r="E122" s="354"/>
      <c r="F122" s="354"/>
      <c r="G122" s="354"/>
      <c r="H122" s="354"/>
      <c r="I122" s="354"/>
      <c r="J122" s="354"/>
      <c r="K122" s="354"/>
      <c r="L122" s="354"/>
      <c r="M122" s="354"/>
      <c r="N122" s="354"/>
      <c r="O122" s="354"/>
      <c r="P122" s="354"/>
      <c r="Q122" s="354"/>
      <c r="R122" s="354"/>
      <c r="S122" s="354"/>
      <c r="T122" s="354"/>
      <c r="U122" s="354"/>
      <c r="V122" s="354"/>
      <c r="W122" s="354"/>
      <c r="X122" s="354"/>
      <c r="Y122" s="354"/>
      <c r="Z122" s="354"/>
      <c r="AA122" s="354"/>
      <c r="AB122" s="354"/>
      <c r="AC122" s="354"/>
      <c r="AD122" s="354"/>
      <c r="AE122" s="354"/>
      <c r="AF122" s="354"/>
      <c r="AG122" s="354"/>
      <c r="AH122" s="354"/>
      <c r="AI122" s="354"/>
      <c r="AJ122" s="354"/>
      <c r="AK122" s="354"/>
      <c r="AL122" s="354"/>
      <c r="AM122" s="354"/>
      <c r="AN122" s="354"/>
      <c r="AO122" s="354"/>
      <c r="AP122" s="354"/>
      <c r="AQ122" s="354"/>
      <c r="AR122" s="354"/>
      <c r="AS122" s="354"/>
      <c r="AT122" s="354"/>
      <c r="AU122" s="354"/>
      <c r="AV122" s="354"/>
      <c r="AW122" s="1682"/>
      <c r="AX122" s="1682"/>
      <c r="AY122" s="1682"/>
      <c r="AZ122" s="1682"/>
      <c r="BA122" s="1682"/>
      <c r="BB122" s="1682"/>
      <c r="BC122" s="1682"/>
      <c r="BD122" s="1682"/>
      <c r="BE122" s="354"/>
      <c r="BF122" s="354"/>
      <c r="BG122" s="354"/>
      <c r="BH122" s="354"/>
      <c r="BI122" s="354"/>
      <c r="BJ122" s="354"/>
      <c r="BK122" s="354"/>
      <c r="BL122" s="354"/>
      <c r="BM122" s="1682"/>
      <c r="BN122" s="1682"/>
      <c r="BO122" s="1682"/>
      <c r="BP122" s="1682"/>
      <c r="BQ122" s="476"/>
      <c r="BR122" s="408"/>
      <c r="BS122" s="408"/>
      <c r="BT122" s="408"/>
      <c r="BU122" s="408"/>
      <c r="BV122" s="408"/>
    </row>
    <row r="123" spans="1:81" ht="18" customHeight="1">
      <c r="A123" s="354"/>
      <c r="B123" s="354"/>
      <c r="C123" s="354"/>
      <c r="D123" s="354"/>
      <c r="E123" s="354"/>
      <c r="F123" s="354"/>
      <c r="G123" s="354"/>
      <c r="H123" s="354"/>
      <c r="I123" s="354"/>
      <c r="J123" s="354"/>
      <c r="K123" s="354"/>
      <c r="L123" s="354"/>
      <c r="M123" s="354"/>
      <c r="N123" s="354"/>
      <c r="O123" s="354"/>
      <c r="P123" s="354"/>
      <c r="Q123" s="354"/>
      <c r="R123" s="354"/>
      <c r="S123" s="354"/>
      <c r="T123" s="354"/>
      <c r="U123" s="354"/>
      <c r="V123" s="354"/>
      <c r="W123" s="354"/>
      <c r="X123" s="354"/>
      <c r="Y123" s="354"/>
      <c r="Z123" s="354"/>
      <c r="AA123" s="354"/>
      <c r="AB123" s="354"/>
      <c r="AC123" s="354"/>
      <c r="AD123" s="354"/>
      <c r="AE123" s="354"/>
      <c r="AF123" s="354"/>
      <c r="AG123" s="354"/>
      <c r="AH123" s="354"/>
      <c r="AI123" s="354"/>
      <c r="AJ123" s="354"/>
      <c r="AK123" s="354"/>
      <c r="AL123" s="354"/>
      <c r="AM123" s="354"/>
      <c r="AN123" s="354"/>
      <c r="AO123" s="354"/>
      <c r="AP123" s="354"/>
      <c r="AQ123" s="354"/>
      <c r="AR123" s="354"/>
      <c r="AS123" s="354"/>
      <c r="AT123" s="354"/>
      <c r="AU123" s="354"/>
      <c r="AV123" s="354"/>
      <c r="AW123" s="1682"/>
      <c r="AX123" s="1682"/>
      <c r="AY123" s="1682"/>
      <c r="AZ123" s="1682"/>
      <c r="BA123" s="1682"/>
      <c r="BB123" s="1682"/>
      <c r="BC123" s="1682"/>
      <c r="BD123" s="1682"/>
      <c r="BE123" s="354"/>
      <c r="BF123" s="354"/>
      <c r="BG123" s="354"/>
      <c r="BH123" s="354"/>
      <c r="BI123" s="354"/>
      <c r="BJ123" s="354"/>
      <c r="BK123" s="354"/>
      <c r="BL123" s="354"/>
      <c r="BM123" s="1682"/>
      <c r="BN123" s="1682"/>
      <c r="BO123" s="1682"/>
      <c r="BP123" s="1682"/>
      <c r="BQ123" s="410"/>
      <c r="BR123" s="407"/>
      <c r="BS123" s="407"/>
      <c r="BT123" s="407"/>
      <c r="BU123" s="407"/>
      <c r="BV123" s="407"/>
    </row>
    <row r="124" spans="1:81" ht="18" customHeight="1">
      <c r="A124" s="354"/>
      <c r="B124" s="354"/>
      <c r="C124" s="354"/>
      <c r="D124" s="354"/>
      <c r="E124" s="354"/>
      <c r="F124" s="354"/>
      <c r="G124" s="354"/>
      <c r="H124" s="354"/>
      <c r="I124" s="354"/>
      <c r="J124" s="354"/>
      <c r="K124" s="354"/>
      <c r="L124" s="354"/>
      <c r="M124" s="354"/>
      <c r="N124" s="354"/>
      <c r="O124" s="354"/>
      <c r="P124" s="354"/>
      <c r="Q124" s="354"/>
      <c r="R124" s="354"/>
      <c r="S124" s="354"/>
      <c r="T124" s="354"/>
      <c r="U124" s="354"/>
      <c r="V124" s="354"/>
      <c r="W124" s="354"/>
      <c r="X124" s="354"/>
      <c r="Y124" s="354"/>
      <c r="Z124" s="354"/>
      <c r="AA124" s="354"/>
      <c r="AB124" s="354"/>
      <c r="AC124" s="354"/>
      <c r="AD124" s="354"/>
      <c r="AE124" s="354"/>
      <c r="AF124" s="354"/>
      <c r="AG124" s="354"/>
      <c r="AH124" s="354"/>
      <c r="AI124" s="354"/>
      <c r="AJ124" s="354"/>
      <c r="AK124" s="354"/>
      <c r="AL124" s="354"/>
      <c r="AM124" s="354"/>
      <c r="AN124" s="354"/>
      <c r="AO124" s="354"/>
      <c r="AP124" s="354"/>
      <c r="AQ124" s="354"/>
      <c r="AR124" s="354"/>
      <c r="AS124" s="354"/>
      <c r="AT124" s="354"/>
      <c r="AU124" s="354"/>
      <c r="AV124" s="354"/>
      <c r="AW124" s="1682"/>
      <c r="AX124" s="1682"/>
      <c r="AY124" s="1682"/>
      <c r="AZ124" s="1682"/>
      <c r="BA124" s="1682"/>
      <c r="BB124" s="1682"/>
      <c r="BC124" s="1682"/>
      <c r="BD124" s="1682"/>
      <c r="BE124" s="354"/>
      <c r="BF124" s="354"/>
      <c r="BG124" s="354"/>
      <c r="BH124" s="354"/>
      <c r="BI124" s="354"/>
      <c r="BJ124" s="354"/>
      <c r="BK124" s="354"/>
      <c r="BL124" s="354"/>
      <c r="BM124" s="1682"/>
      <c r="BN124" s="1682"/>
      <c r="BO124" s="1682"/>
      <c r="BP124" s="1682"/>
      <c r="BQ124" s="476"/>
      <c r="BR124" s="408"/>
      <c r="BS124" s="408"/>
      <c r="BT124" s="408"/>
      <c r="BU124" s="408"/>
      <c r="BV124" s="408"/>
    </row>
    <row r="125" spans="1:81" ht="18" customHeight="1">
      <c r="A125" s="354"/>
      <c r="B125" s="354"/>
      <c r="C125" s="354"/>
      <c r="D125" s="354"/>
      <c r="E125" s="354"/>
      <c r="F125" s="354"/>
      <c r="G125" s="354"/>
      <c r="H125" s="354"/>
      <c r="I125" s="354"/>
      <c r="J125" s="354"/>
      <c r="K125" s="354"/>
      <c r="L125" s="354"/>
      <c r="M125" s="354"/>
      <c r="N125" s="354"/>
      <c r="O125" s="354"/>
      <c r="P125" s="354"/>
      <c r="Q125" s="354"/>
      <c r="R125" s="354"/>
      <c r="S125" s="354"/>
      <c r="T125" s="354"/>
      <c r="U125" s="354"/>
      <c r="V125" s="354"/>
      <c r="W125" s="354"/>
      <c r="X125" s="354"/>
      <c r="Y125" s="354"/>
      <c r="Z125" s="354"/>
      <c r="AA125" s="354"/>
      <c r="AB125" s="354"/>
      <c r="AC125" s="354"/>
      <c r="AD125" s="354"/>
      <c r="AE125" s="354"/>
      <c r="AF125" s="354"/>
      <c r="AG125" s="354"/>
      <c r="AH125" s="354"/>
      <c r="AI125" s="354"/>
      <c r="AJ125" s="354"/>
      <c r="AK125" s="354"/>
      <c r="AL125" s="354"/>
      <c r="AM125" s="354"/>
      <c r="AN125" s="354"/>
      <c r="AO125" s="354"/>
      <c r="AP125" s="354"/>
      <c r="AQ125" s="354"/>
      <c r="AR125" s="354"/>
      <c r="AS125" s="354"/>
      <c r="AT125" s="354"/>
      <c r="AU125" s="354"/>
      <c r="AV125" s="354"/>
      <c r="AW125" s="1682"/>
      <c r="AX125" s="1682"/>
      <c r="AY125" s="1682"/>
      <c r="AZ125" s="1682"/>
      <c r="BA125" s="1682"/>
      <c r="BB125" s="1682"/>
      <c r="BC125" s="1682"/>
      <c r="BD125" s="1682"/>
      <c r="BE125" s="354"/>
      <c r="BF125" s="354"/>
      <c r="BG125" s="354"/>
      <c r="BH125" s="354"/>
      <c r="BI125" s="354"/>
      <c r="BJ125" s="354"/>
      <c r="BK125" s="354"/>
      <c r="BL125" s="354"/>
      <c r="BM125" s="1682"/>
      <c r="BN125" s="1682"/>
      <c r="BO125" s="1682"/>
      <c r="BP125" s="1682"/>
      <c r="BQ125" s="476"/>
      <c r="BR125" s="408"/>
      <c r="BS125" s="1682"/>
      <c r="BT125" s="1682"/>
      <c r="BU125" s="1682"/>
      <c r="BV125" s="1682"/>
    </row>
    <row r="126" spans="1:81" ht="18" customHeight="1">
      <c r="A126" s="354"/>
      <c r="B126" s="354"/>
      <c r="C126" s="354"/>
      <c r="D126" s="354"/>
      <c r="E126" s="354"/>
      <c r="F126" s="354"/>
      <c r="G126" s="354"/>
      <c r="H126" s="354"/>
      <c r="I126" s="354"/>
      <c r="J126" s="354"/>
      <c r="K126" s="354"/>
      <c r="L126" s="354"/>
      <c r="M126" s="354"/>
      <c r="N126" s="354"/>
      <c r="O126" s="354"/>
      <c r="P126" s="354"/>
      <c r="Q126" s="354"/>
      <c r="R126" s="354"/>
      <c r="S126" s="354"/>
      <c r="T126" s="354"/>
      <c r="U126" s="354"/>
      <c r="V126" s="354"/>
      <c r="W126" s="354"/>
      <c r="X126" s="354"/>
      <c r="Y126" s="354"/>
      <c r="Z126" s="354"/>
      <c r="AA126" s="354"/>
      <c r="AB126" s="354"/>
      <c r="AC126" s="354"/>
      <c r="AD126" s="354"/>
      <c r="AE126" s="354"/>
      <c r="AF126" s="354"/>
      <c r="AG126" s="354"/>
      <c r="AH126" s="354"/>
      <c r="AI126" s="354"/>
      <c r="AJ126" s="354"/>
      <c r="AK126" s="354"/>
      <c r="AL126" s="354"/>
      <c r="AM126" s="354"/>
      <c r="AN126" s="354"/>
      <c r="AO126" s="354"/>
      <c r="AP126" s="354"/>
      <c r="AQ126" s="354"/>
      <c r="AR126" s="354"/>
      <c r="AS126" s="354"/>
      <c r="AT126" s="354"/>
      <c r="AU126" s="354"/>
      <c r="AV126" s="354"/>
      <c r="AW126" s="1682"/>
      <c r="AX126" s="1682"/>
      <c r="AY126" s="1682"/>
      <c r="AZ126" s="1682"/>
      <c r="BA126" s="1682"/>
      <c r="BB126" s="1682"/>
      <c r="BC126" s="1682"/>
      <c r="BD126" s="1682"/>
      <c r="BE126" s="354"/>
      <c r="BF126" s="354"/>
      <c r="BG126" s="354"/>
      <c r="BH126" s="354"/>
      <c r="BI126" s="354"/>
      <c r="BJ126" s="354"/>
      <c r="BK126" s="354"/>
      <c r="BL126" s="354"/>
      <c r="BM126" s="1682"/>
      <c r="BN126" s="1682"/>
      <c r="BO126" s="1682"/>
      <c r="BP126" s="1682"/>
      <c r="BQ126" s="476"/>
      <c r="BR126" s="408"/>
      <c r="BS126" s="1682"/>
      <c r="BT126" s="1682"/>
      <c r="BU126" s="1682"/>
      <c r="BV126" s="1682"/>
    </row>
    <row r="127" spans="1:81" ht="18" customHeight="1">
      <c r="A127" s="354"/>
      <c r="B127" s="354"/>
      <c r="C127" s="354"/>
      <c r="D127" s="354"/>
      <c r="E127" s="354"/>
      <c r="F127" s="354"/>
      <c r="G127" s="354"/>
      <c r="H127" s="354"/>
      <c r="I127" s="354"/>
      <c r="J127" s="354"/>
      <c r="K127" s="354"/>
      <c r="L127" s="354"/>
      <c r="M127" s="354"/>
      <c r="N127" s="354"/>
      <c r="O127" s="354"/>
      <c r="P127" s="354"/>
      <c r="Q127" s="354"/>
      <c r="R127" s="354"/>
      <c r="S127" s="354"/>
      <c r="T127" s="354"/>
      <c r="U127" s="354"/>
      <c r="V127" s="354"/>
      <c r="W127" s="354"/>
      <c r="X127" s="354"/>
      <c r="Y127" s="354"/>
      <c r="Z127" s="354"/>
      <c r="AA127" s="354"/>
      <c r="AB127" s="354"/>
      <c r="AC127" s="354"/>
      <c r="AD127" s="354"/>
      <c r="AE127" s="354"/>
      <c r="AF127" s="354"/>
      <c r="AG127" s="354"/>
      <c r="AH127" s="354"/>
      <c r="AI127" s="354"/>
      <c r="AJ127" s="354"/>
      <c r="AK127" s="354"/>
      <c r="AL127" s="354"/>
      <c r="AM127" s="354"/>
      <c r="AN127" s="354"/>
      <c r="AO127" s="354"/>
      <c r="AP127" s="354"/>
      <c r="AQ127" s="354"/>
      <c r="AR127" s="354"/>
      <c r="AS127" s="354"/>
      <c r="AT127" s="354"/>
      <c r="AU127" s="354"/>
      <c r="AV127" s="354"/>
      <c r="AW127" s="1682"/>
      <c r="AX127" s="1682"/>
      <c r="AY127" s="1682"/>
      <c r="AZ127" s="1682"/>
      <c r="BA127" s="1682"/>
      <c r="BB127" s="1682"/>
      <c r="BC127" s="1682"/>
      <c r="BD127" s="1682"/>
      <c r="BE127" s="354"/>
      <c r="BF127" s="354"/>
      <c r="BG127" s="354"/>
      <c r="BH127" s="354"/>
      <c r="BI127" s="354"/>
      <c r="BJ127" s="354"/>
      <c r="BK127" s="354"/>
      <c r="BL127" s="354"/>
      <c r="BM127" s="1682"/>
      <c r="BN127" s="1682"/>
      <c r="BO127" s="1682"/>
      <c r="BP127" s="1682"/>
      <c r="BQ127" s="476"/>
      <c r="BR127" s="408"/>
      <c r="BS127" s="1682"/>
      <c r="BT127" s="1682"/>
      <c r="BU127" s="1682"/>
      <c r="BV127" s="1682"/>
    </row>
    <row r="128" spans="1:81" ht="18" customHeight="1">
      <c r="A128" s="354"/>
      <c r="B128" s="354"/>
      <c r="C128" s="354"/>
      <c r="D128" s="354"/>
      <c r="E128" s="354"/>
      <c r="F128" s="354"/>
      <c r="G128" s="354"/>
      <c r="H128" s="354"/>
      <c r="I128" s="354"/>
      <c r="J128" s="354"/>
      <c r="K128" s="354"/>
      <c r="L128" s="354"/>
      <c r="M128" s="354"/>
      <c r="N128" s="354"/>
      <c r="O128" s="354"/>
      <c r="P128" s="354"/>
      <c r="Q128" s="354"/>
      <c r="R128" s="354"/>
      <c r="S128" s="354"/>
      <c r="T128" s="354"/>
      <c r="U128" s="354"/>
      <c r="V128" s="354"/>
      <c r="W128" s="354"/>
      <c r="X128" s="354"/>
      <c r="Y128" s="354"/>
      <c r="Z128" s="354"/>
      <c r="AA128" s="354"/>
      <c r="AB128" s="354"/>
      <c r="AC128" s="354"/>
      <c r="AD128" s="354"/>
      <c r="AE128" s="354"/>
      <c r="AF128" s="354"/>
      <c r="AG128" s="354"/>
      <c r="AH128" s="354"/>
      <c r="AI128" s="354"/>
      <c r="AJ128" s="354"/>
      <c r="AK128" s="354"/>
      <c r="AL128" s="354"/>
      <c r="AM128" s="354"/>
      <c r="AN128" s="354"/>
      <c r="AO128" s="354"/>
      <c r="AP128" s="354"/>
      <c r="AQ128" s="354"/>
      <c r="AR128" s="354"/>
      <c r="AS128" s="354"/>
      <c r="AT128" s="354"/>
      <c r="AU128" s="354"/>
      <c r="AV128" s="354"/>
      <c r="AW128" s="1682"/>
      <c r="AX128" s="1682"/>
      <c r="AY128" s="1682"/>
      <c r="AZ128" s="1682"/>
      <c r="BA128" s="1682"/>
      <c r="BB128" s="1682"/>
      <c r="BC128" s="1682"/>
      <c r="BD128" s="1682"/>
      <c r="BE128" s="354"/>
      <c r="BF128" s="354"/>
      <c r="BG128" s="354"/>
      <c r="BH128" s="354"/>
      <c r="BI128" s="354"/>
      <c r="BJ128" s="354"/>
      <c r="BK128" s="354"/>
      <c r="BL128" s="354"/>
      <c r="BM128" s="1682"/>
      <c r="BN128" s="1682"/>
      <c r="BO128" s="1682"/>
      <c r="BP128" s="1682"/>
      <c r="BQ128" s="476"/>
      <c r="BR128" s="408"/>
      <c r="BS128" s="1682"/>
      <c r="BT128" s="1682"/>
      <c r="BU128" s="1682"/>
      <c r="BV128" s="1682"/>
    </row>
    <row r="129" spans="1:74" ht="18" customHeight="1">
      <c r="A129" s="354"/>
      <c r="B129" s="354"/>
      <c r="C129" s="354"/>
      <c r="D129" s="354"/>
      <c r="E129" s="354"/>
      <c r="F129" s="354"/>
      <c r="G129" s="354"/>
      <c r="H129" s="354"/>
      <c r="I129" s="354"/>
      <c r="J129" s="354"/>
      <c r="K129" s="354"/>
      <c r="L129" s="354"/>
      <c r="M129" s="354"/>
      <c r="N129" s="354"/>
      <c r="O129" s="354"/>
      <c r="P129" s="354"/>
      <c r="Q129" s="354"/>
      <c r="R129" s="354"/>
      <c r="S129" s="354"/>
      <c r="T129" s="354"/>
      <c r="U129" s="354"/>
      <c r="V129" s="354"/>
      <c r="W129" s="354"/>
      <c r="X129" s="354"/>
      <c r="Y129" s="354"/>
      <c r="Z129" s="354"/>
      <c r="AA129" s="354"/>
      <c r="AB129" s="354"/>
      <c r="AC129" s="354"/>
      <c r="AD129" s="354"/>
      <c r="AE129" s="354"/>
      <c r="AF129" s="354"/>
      <c r="AG129" s="354"/>
      <c r="AH129" s="354"/>
      <c r="AI129" s="354"/>
      <c r="AJ129" s="354"/>
      <c r="AK129" s="354"/>
      <c r="AL129" s="354"/>
      <c r="AM129" s="354"/>
      <c r="AN129" s="354"/>
      <c r="AO129" s="354"/>
      <c r="AP129" s="354"/>
      <c r="AQ129" s="354"/>
      <c r="AR129" s="354"/>
      <c r="AS129" s="354"/>
      <c r="AT129" s="354"/>
      <c r="AU129" s="354"/>
      <c r="AV129" s="354"/>
      <c r="AW129" s="1682"/>
      <c r="AX129" s="1682"/>
      <c r="AY129" s="1682"/>
      <c r="AZ129" s="1682"/>
      <c r="BA129" s="1682"/>
      <c r="BB129" s="1682"/>
      <c r="BC129" s="1682"/>
      <c r="BD129" s="1682"/>
      <c r="BE129" s="354"/>
      <c r="BF129" s="354"/>
      <c r="BG129" s="354"/>
      <c r="BH129" s="354"/>
      <c r="BI129" s="354"/>
      <c r="BJ129" s="354"/>
      <c r="BK129" s="354"/>
      <c r="BL129" s="354"/>
      <c r="BM129" s="1682"/>
      <c r="BN129" s="1682"/>
      <c r="BO129" s="1682"/>
      <c r="BP129" s="1682"/>
      <c r="BQ129" s="409"/>
      <c r="BR129" s="408"/>
      <c r="BS129" s="1682"/>
      <c r="BT129" s="1682"/>
      <c r="BU129" s="1682"/>
      <c r="BV129" s="1682"/>
    </row>
    <row r="130" spans="1:74" ht="18" customHeight="1">
      <c r="A130" s="354"/>
      <c r="B130" s="354"/>
      <c r="C130" s="354"/>
      <c r="D130" s="354"/>
      <c r="E130" s="354"/>
      <c r="F130" s="354"/>
      <c r="G130" s="354"/>
      <c r="H130" s="354"/>
      <c r="I130" s="354"/>
      <c r="J130" s="354"/>
      <c r="K130" s="354"/>
      <c r="L130" s="354"/>
      <c r="M130" s="354"/>
      <c r="N130" s="354"/>
      <c r="O130" s="354"/>
      <c r="P130" s="354"/>
      <c r="Q130" s="354"/>
      <c r="R130" s="354"/>
      <c r="S130" s="354"/>
      <c r="T130" s="354"/>
      <c r="U130" s="354"/>
      <c r="V130" s="354"/>
      <c r="W130" s="354"/>
      <c r="X130" s="354"/>
      <c r="Y130" s="354"/>
      <c r="Z130" s="354"/>
      <c r="AA130" s="354"/>
      <c r="AB130" s="354"/>
      <c r="AC130" s="354"/>
      <c r="AD130" s="354"/>
      <c r="AE130" s="354"/>
      <c r="AF130" s="354"/>
      <c r="AG130" s="354"/>
      <c r="AH130" s="354"/>
      <c r="AI130" s="354"/>
      <c r="AJ130" s="354"/>
      <c r="AK130" s="354"/>
      <c r="AL130" s="354"/>
      <c r="AM130" s="354"/>
      <c r="AN130" s="354"/>
      <c r="AO130" s="354"/>
      <c r="AP130" s="354"/>
      <c r="AQ130" s="354"/>
      <c r="AR130" s="354"/>
      <c r="AS130" s="354"/>
      <c r="AT130" s="354"/>
      <c r="AU130" s="354"/>
      <c r="AV130" s="354"/>
      <c r="AW130" s="1682"/>
      <c r="AX130" s="1682"/>
      <c r="AY130" s="1682"/>
      <c r="AZ130" s="1682"/>
      <c r="BA130" s="1682"/>
      <c r="BB130" s="1682"/>
      <c r="BC130" s="1682"/>
      <c r="BD130" s="1682"/>
      <c r="BE130" s="354"/>
      <c r="BF130" s="354"/>
      <c r="BG130" s="354"/>
      <c r="BH130" s="354"/>
      <c r="BI130" s="354"/>
      <c r="BJ130" s="354"/>
      <c r="BK130" s="354"/>
      <c r="BL130" s="354"/>
      <c r="BM130" s="1682"/>
      <c r="BN130" s="1682"/>
      <c r="BO130" s="1682"/>
      <c r="BP130" s="1682"/>
      <c r="BQ130" s="476"/>
      <c r="BR130" s="408"/>
      <c r="BS130" s="1682"/>
      <c r="BT130" s="1682"/>
      <c r="BU130" s="1682"/>
      <c r="BV130" s="1682"/>
    </row>
    <row r="131" spans="1:74" ht="18" customHeight="1">
      <c r="A131" s="354"/>
      <c r="B131" s="354"/>
      <c r="C131" s="354"/>
      <c r="D131" s="354"/>
      <c r="E131" s="354"/>
      <c r="F131" s="354"/>
      <c r="G131" s="354"/>
      <c r="H131" s="354"/>
      <c r="I131" s="354"/>
      <c r="J131" s="354"/>
      <c r="K131" s="354"/>
      <c r="L131" s="354"/>
      <c r="M131" s="354"/>
      <c r="N131" s="354"/>
      <c r="O131" s="354"/>
      <c r="P131" s="354"/>
      <c r="Q131" s="354"/>
      <c r="R131" s="354"/>
      <c r="S131" s="354"/>
      <c r="T131" s="354"/>
      <c r="U131" s="354"/>
      <c r="V131" s="354"/>
      <c r="W131" s="354"/>
      <c r="X131" s="354"/>
      <c r="Y131" s="354"/>
      <c r="Z131" s="354"/>
      <c r="AA131" s="354"/>
      <c r="AB131" s="354"/>
      <c r="AC131" s="354"/>
      <c r="AD131" s="354"/>
      <c r="AE131" s="354"/>
      <c r="AF131" s="354"/>
      <c r="AG131" s="354"/>
      <c r="AH131" s="354"/>
      <c r="AI131" s="354"/>
      <c r="AJ131" s="354"/>
      <c r="AK131" s="354"/>
      <c r="AL131" s="354"/>
      <c r="AM131" s="354"/>
      <c r="AN131" s="354"/>
      <c r="AO131" s="354"/>
      <c r="AP131" s="354"/>
      <c r="AQ131" s="354"/>
      <c r="AR131" s="354"/>
      <c r="AS131" s="354"/>
      <c r="AT131" s="354"/>
      <c r="AU131" s="354"/>
      <c r="AV131" s="354"/>
      <c r="AW131" s="1682"/>
      <c r="AX131" s="1682"/>
      <c r="AY131" s="1682"/>
      <c r="AZ131" s="1682"/>
      <c r="BA131" s="1682"/>
      <c r="BB131" s="1682"/>
      <c r="BC131" s="1682"/>
      <c r="BD131" s="1682"/>
      <c r="BE131" s="354"/>
      <c r="BF131" s="354"/>
      <c r="BG131" s="354"/>
      <c r="BH131" s="354"/>
      <c r="BI131" s="354"/>
      <c r="BJ131" s="354"/>
      <c r="BK131" s="354"/>
      <c r="BL131" s="354"/>
      <c r="BM131" s="1682"/>
      <c r="BN131" s="1682"/>
      <c r="BO131" s="1682"/>
      <c r="BP131" s="1682"/>
      <c r="BQ131" s="476"/>
      <c r="BR131" s="408"/>
      <c r="BS131" s="1682"/>
      <c r="BT131" s="1682"/>
      <c r="BU131" s="1682"/>
      <c r="BV131" s="1682"/>
    </row>
    <row r="132" spans="1:74" ht="18" customHeight="1">
      <c r="A132" s="354"/>
      <c r="B132" s="354"/>
      <c r="C132" s="354"/>
      <c r="D132" s="354"/>
      <c r="E132" s="354"/>
      <c r="F132" s="354"/>
      <c r="G132" s="354"/>
      <c r="H132" s="354"/>
      <c r="I132" s="354"/>
      <c r="J132" s="354"/>
      <c r="K132" s="354"/>
      <c r="L132" s="354"/>
      <c r="M132" s="354"/>
      <c r="N132" s="354"/>
      <c r="O132" s="354"/>
      <c r="P132" s="354"/>
      <c r="Q132" s="354"/>
      <c r="R132" s="354"/>
      <c r="S132" s="354"/>
      <c r="T132" s="354"/>
      <c r="U132" s="354"/>
      <c r="V132" s="354"/>
      <c r="W132" s="354"/>
      <c r="X132" s="354"/>
      <c r="Y132" s="354"/>
      <c r="Z132" s="354"/>
      <c r="AA132" s="354"/>
      <c r="AB132" s="354"/>
      <c r="AC132" s="354"/>
      <c r="AD132" s="354"/>
      <c r="AE132" s="354"/>
      <c r="AF132" s="354"/>
      <c r="AG132" s="354"/>
      <c r="AH132" s="354"/>
      <c r="AI132" s="354"/>
      <c r="AJ132" s="354"/>
      <c r="AK132" s="354"/>
      <c r="AL132" s="354"/>
      <c r="AM132" s="354"/>
      <c r="AN132" s="354"/>
      <c r="AO132" s="354"/>
      <c r="AP132" s="354"/>
      <c r="AQ132" s="354"/>
      <c r="AR132" s="354"/>
      <c r="AS132" s="354"/>
      <c r="AT132" s="354"/>
      <c r="AU132" s="354"/>
      <c r="AV132" s="354"/>
      <c r="AW132" s="1682"/>
      <c r="AX132" s="1682"/>
      <c r="AY132" s="1682"/>
      <c r="AZ132" s="1682"/>
      <c r="BA132" s="1682"/>
      <c r="BB132" s="1682"/>
      <c r="BC132" s="1682"/>
      <c r="BD132" s="1682"/>
      <c r="BE132" s="354"/>
      <c r="BF132" s="354"/>
      <c r="BG132" s="354"/>
      <c r="BH132" s="354"/>
      <c r="BI132" s="354"/>
      <c r="BJ132" s="354"/>
      <c r="BK132" s="354"/>
      <c r="BL132" s="354"/>
      <c r="BM132" s="1682"/>
      <c r="BN132" s="1682"/>
      <c r="BO132" s="1682"/>
      <c r="BP132" s="1682"/>
      <c r="BQ132" s="476"/>
      <c r="BR132" s="408"/>
      <c r="BS132" s="1682"/>
      <c r="BT132" s="1682"/>
      <c r="BU132" s="1682"/>
      <c r="BV132" s="1682"/>
    </row>
    <row r="133" spans="1:74" ht="18" customHeight="1">
      <c r="A133" s="354"/>
      <c r="B133" s="354"/>
      <c r="C133" s="354"/>
      <c r="D133" s="354"/>
      <c r="E133" s="354"/>
      <c r="F133" s="354"/>
      <c r="G133" s="354"/>
      <c r="H133" s="354"/>
      <c r="I133" s="354"/>
      <c r="J133" s="354"/>
      <c r="K133" s="354"/>
      <c r="L133" s="354"/>
      <c r="M133" s="354"/>
      <c r="N133" s="354"/>
      <c r="O133" s="354"/>
      <c r="P133" s="354"/>
      <c r="Q133" s="354"/>
      <c r="R133" s="354"/>
      <c r="S133" s="354"/>
      <c r="T133" s="354"/>
      <c r="U133" s="354"/>
      <c r="V133" s="354"/>
      <c r="W133" s="354"/>
      <c r="X133" s="354"/>
      <c r="Y133" s="354"/>
      <c r="Z133" s="354"/>
      <c r="AA133" s="354"/>
      <c r="AB133" s="354"/>
      <c r="AC133" s="354"/>
      <c r="AD133" s="354"/>
      <c r="AE133" s="354"/>
      <c r="AF133" s="354"/>
      <c r="AG133" s="354"/>
      <c r="AH133" s="354"/>
      <c r="AI133" s="354"/>
      <c r="AJ133" s="354"/>
      <c r="AK133" s="354"/>
      <c r="AL133" s="354"/>
      <c r="AM133" s="354"/>
      <c r="AN133" s="354"/>
      <c r="AO133" s="354"/>
      <c r="AP133" s="354"/>
      <c r="AQ133" s="354"/>
      <c r="AR133" s="354"/>
      <c r="AS133" s="354"/>
      <c r="AT133" s="354"/>
      <c r="AU133" s="354"/>
      <c r="AV133" s="354"/>
      <c r="AW133" s="1682"/>
      <c r="AX133" s="1682"/>
      <c r="AY133" s="1682"/>
      <c r="AZ133" s="1682"/>
      <c r="BA133" s="1682"/>
      <c r="BB133" s="1682"/>
      <c r="BC133" s="1682"/>
      <c r="BD133" s="1682"/>
      <c r="BE133" s="354"/>
      <c r="BF133" s="354"/>
      <c r="BG133" s="354"/>
      <c r="BH133" s="354"/>
      <c r="BI133" s="354"/>
      <c r="BJ133" s="354"/>
      <c r="BK133" s="354"/>
      <c r="BL133" s="354"/>
      <c r="BM133" s="1682"/>
      <c r="BN133" s="1682"/>
      <c r="BO133" s="1682"/>
      <c r="BP133" s="1682"/>
      <c r="BQ133" s="476"/>
      <c r="BR133" s="408"/>
      <c r="BS133" s="1682"/>
      <c r="BT133" s="1682"/>
      <c r="BU133" s="1682"/>
      <c r="BV133" s="1682"/>
    </row>
    <row r="134" spans="1:74" ht="18" customHeight="1">
      <c r="A134" s="354"/>
      <c r="B134" s="354"/>
      <c r="C134" s="354"/>
      <c r="D134" s="354"/>
      <c r="E134" s="354"/>
      <c r="F134" s="354"/>
      <c r="G134" s="354"/>
      <c r="H134" s="354"/>
      <c r="I134" s="354"/>
      <c r="J134" s="354"/>
      <c r="K134" s="354"/>
      <c r="L134" s="354"/>
      <c r="M134" s="354"/>
      <c r="N134" s="354"/>
      <c r="O134" s="354"/>
      <c r="P134" s="354"/>
      <c r="Q134" s="354"/>
      <c r="R134" s="354"/>
      <c r="S134" s="354"/>
      <c r="T134" s="354"/>
      <c r="U134" s="354"/>
      <c r="V134" s="354"/>
      <c r="W134" s="354"/>
      <c r="X134" s="354"/>
      <c r="Y134" s="354"/>
      <c r="Z134" s="354"/>
      <c r="AA134" s="354"/>
      <c r="AB134" s="354"/>
      <c r="AC134" s="354"/>
      <c r="AD134" s="354"/>
      <c r="AE134" s="354"/>
      <c r="AF134" s="354"/>
      <c r="AG134" s="354"/>
      <c r="AH134" s="354"/>
      <c r="AI134" s="354"/>
      <c r="AJ134" s="354"/>
      <c r="AK134" s="354"/>
      <c r="AL134" s="354"/>
      <c r="AM134" s="354"/>
      <c r="AN134" s="354"/>
      <c r="AO134" s="354"/>
      <c r="AP134" s="354"/>
      <c r="AQ134" s="354"/>
      <c r="AR134" s="354"/>
      <c r="AS134" s="354"/>
      <c r="AT134" s="354"/>
      <c r="AU134" s="354"/>
      <c r="AV134" s="354"/>
      <c r="AW134" s="1682"/>
      <c r="AX134" s="1682"/>
      <c r="AY134" s="1682"/>
      <c r="AZ134" s="1682"/>
      <c r="BA134" s="1682"/>
      <c r="BB134" s="1682"/>
      <c r="BC134" s="1682"/>
      <c r="BD134" s="1682"/>
      <c r="BE134" s="354"/>
      <c r="BF134" s="354"/>
      <c r="BG134" s="354"/>
      <c r="BH134" s="354"/>
      <c r="BI134" s="354"/>
      <c r="BJ134" s="354"/>
      <c r="BK134" s="354"/>
      <c r="BL134" s="354"/>
      <c r="BM134" s="1682"/>
      <c r="BN134" s="1682"/>
      <c r="BO134" s="1682"/>
      <c r="BP134" s="1682"/>
      <c r="BQ134" s="410"/>
      <c r="BR134" s="407"/>
      <c r="BS134" s="1682"/>
      <c r="BT134" s="1682"/>
      <c r="BU134" s="1682"/>
      <c r="BV134" s="1682"/>
    </row>
    <row r="135" spans="1:74" ht="18" customHeight="1">
      <c r="A135" s="354"/>
      <c r="B135" s="354"/>
      <c r="C135" s="354"/>
      <c r="D135" s="354"/>
      <c r="E135" s="354"/>
      <c r="F135" s="354"/>
      <c r="G135" s="354"/>
      <c r="H135" s="354"/>
      <c r="I135" s="354"/>
      <c r="J135" s="354"/>
      <c r="K135" s="354"/>
      <c r="L135" s="354"/>
      <c r="M135" s="354"/>
      <c r="N135" s="354"/>
      <c r="O135" s="354"/>
      <c r="P135" s="354"/>
      <c r="Q135" s="354"/>
      <c r="R135" s="354"/>
      <c r="S135" s="354"/>
      <c r="T135" s="354"/>
      <c r="U135" s="354"/>
      <c r="V135" s="354"/>
      <c r="W135" s="354"/>
      <c r="X135" s="354"/>
      <c r="Y135" s="354"/>
      <c r="Z135" s="354"/>
      <c r="AA135" s="354"/>
      <c r="AB135" s="354"/>
      <c r="AC135" s="354"/>
      <c r="AD135" s="354"/>
      <c r="AE135" s="354"/>
      <c r="AF135" s="354"/>
      <c r="AG135" s="354"/>
      <c r="AH135" s="354"/>
      <c r="AI135" s="354"/>
      <c r="AJ135" s="354"/>
      <c r="AK135" s="354"/>
      <c r="AL135" s="354"/>
      <c r="AM135" s="354"/>
      <c r="AN135" s="354"/>
      <c r="AO135" s="354"/>
      <c r="AP135" s="354"/>
      <c r="AQ135" s="354"/>
      <c r="AR135" s="354"/>
      <c r="AS135" s="354"/>
      <c r="AT135" s="354"/>
      <c r="AU135" s="354"/>
      <c r="AV135" s="354"/>
      <c r="AW135" s="1682"/>
      <c r="AX135" s="1682"/>
      <c r="AY135" s="1682"/>
      <c r="AZ135" s="1682"/>
      <c r="BA135" s="1682"/>
      <c r="BB135" s="1682"/>
      <c r="BC135" s="1682"/>
      <c r="BD135" s="1682"/>
      <c r="BE135" s="354"/>
      <c r="BF135" s="354"/>
      <c r="BG135" s="354"/>
      <c r="BH135" s="354"/>
      <c r="BI135" s="354"/>
      <c r="BJ135" s="354"/>
      <c r="BK135" s="354"/>
      <c r="BL135" s="354"/>
      <c r="BM135" s="1682"/>
      <c r="BN135" s="1682"/>
      <c r="BO135" s="1682"/>
      <c r="BP135" s="1682"/>
      <c r="BQ135" s="476"/>
      <c r="BR135" s="408"/>
      <c r="BS135" s="1682"/>
      <c r="BT135" s="1682"/>
      <c r="BU135" s="1682"/>
      <c r="BV135" s="1682"/>
    </row>
    <row r="136" spans="1:74" ht="18" customHeight="1">
      <c r="A136" s="354"/>
      <c r="B136" s="354"/>
      <c r="C136" s="354"/>
      <c r="D136" s="354"/>
      <c r="E136" s="354"/>
      <c r="F136" s="354"/>
      <c r="G136" s="354"/>
      <c r="H136" s="354"/>
      <c r="I136" s="354"/>
      <c r="J136" s="354"/>
      <c r="K136" s="354"/>
      <c r="L136" s="354"/>
      <c r="M136" s="354"/>
      <c r="N136" s="354"/>
      <c r="O136" s="354"/>
      <c r="P136" s="354"/>
      <c r="Q136" s="354"/>
      <c r="R136" s="354"/>
      <c r="S136" s="354"/>
      <c r="T136" s="354"/>
      <c r="U136" s="354"/>
      <c r="V136" s="354"/>
      <c r="W136" s="354"/>
      <c r="X136" s="354"/>
      <c r="Y136" s="354"/>
      <c r="Z136" s="354"/>
      <c r="AA136" s="354"/>
      <c r="AB136" s="354"/>
      <c r="AC136" s="354"/>
      <c r="AD136" s="354"/>
      <c r="AE136" s="354"/>
      <c r="AF136" s="354"/>
      <c r="AG136" s="354"/>
      <c r="AH136" s="354"/>
      <c r="AI136" s="354"/>
      <c r="AJ136" s="354"/>
      <c r="AK136" s="354"/>
      <c r="AL136" s="354"/>
      <c r="AM136" s="354"/>
      <c r="AN136" s="354"/>
      <c r="AO136" s="354"/>
      <c r="AP136" s="354"/>
      <c r="AQ136" s="354"/>
      <c r="AR136" s="354"/>
      <c r="AS136" s="354"/>
      <c r="AT136" s="354"/>
      <c r="AU136" s="354"/>
      <c r="AV136" s="354"/>
      <c r="AW136" s="1682"/>
      <c r="AX136" s="1682"/>
      <c r="AY136" s="1682"/>
      <c r="AZ136" s="1682"/>
      <c r="BA136" s="1682"/>
      <c r="BB136" s="1682"/>
      <c r="BC136" s="1682"/>
      <c r="BD136" s="1682"/>
      <c r="BE136" s="354"/>
      <c r="BF136" s="354"/>
      <c r="BG136" s="354"/>
      <c r="BH136" s="354"/>
      <c r="BI136" s="354"/>
      <c r="BJ136" s="354"/>
      <c r="BK136" s="354"/>
      <c r="BL136" s="354"/>
      <c r="BM136" s="1682"/>
      <c r="BN136" s="1682"/>
      <c r="BO136" s="1682"/>
      <c r="BP136" s="1682"/>
      <c r="BQ136" s="476"/>
      <c r="BR136" s="408"/>
      <c r="BS136" s="1682"/>
      <c r="BT136" s="1682"/>
      <c r="BU136" s="1682"/>
      <c r="BV136" s="1682"/>
    </row>
    <row r="137" spans="1:74" ht="18" customHeight="1">
      <c r="A137" s="354"/>
      <c r="B137" s="354"/>
      <c r="C137" s="354"/>
      <c r="D137" s="354"/>
      <c r="E137" s="354"/>
      <c r="F137" s="354"/>
      <c r="G137" s="354"/>
      <c r="H137" s="354"/>
      <c r="I137" s="354"/>
      <c r="J137" s="354"/>
      <c r="K137" s="354"/>
      <c r="L137" s="354"/>
      <c r="M137" s="354"/>
      <c r="N137" s="354"/>
      <c r="O137" s="354"/>
      <c r="P137" s="354"/>
      <c r="Q137" s="354"/>
      <c r="R137" s="354"/>
      <c r="S137" s="354"/>
      <c r="T137" s="354"/>
      <c r="U137" s="354"/>
      <c r="V137" s="354"/>
      <c r="W137" s="354"/>
      <c r="X137" s="354"/>
      <c r="Y137" s="354"/>
      <c r="Z137" s="354"/>
      <c r="AA137" s="354"/>
      <c r="AB137" s="354"/>
      <c r="AC137" s="354"/>
      <c r="AD137" s="354"/>
      <c r="AE137" s="354"/>
      <c r="AF137" s="354"/>
      <c r="AG137" s="354"/>
      <c r="AH137" s="354"/>
      <c r="AI137" s="354"/>
      <c r="AJ137" s="354"/>
      <c r="AK137" s="354"/>
      <c r="AL137" s="354"/>
      <c r="AM137" s="354"/>
      <c r="AN137" s="354"/>
      <c r="AO137" s="354"/>
      <c r="AP137" s="354"/>
      <c r="AQ137" s="354"/>
      <c r="AR137" s="354"/>
      <c r="AS137" s="354"/>
      <c r="AT137" s="354"/>
      <c r="AU137" s="354"/>
      <c r="AV137" s="354"/>
      <c r="AW137" s="1682"/>
      <c r="AX137" s="1682"/>
      <c r="AY137" s="1682"/>
      <c r="AZ137" s="1682"/>
      <c r="BA137" s="1682"/>
      <c r="BB137" s="1682"/>
      <c r="BC137" s="1682"/>
      <c r="BD137" s="1682"/>
      <c r="BE137" s="354"/>
      <c r="BF137" s="354"/>
      <c r="BG137" s="354"/>
      <c r="BH137" s="354"/>
      <c r="BI137" s="354"/>
      <c r="BJ137" s="354"/>
      <c r="BK137" s="354"/>
      <c r="BL137" s="354"/>
      <c r="BM137" s="1682"/>
      <c r="BN137" s="1682"/>
      <c r="BO137" s="1682"/>
      <c r="BP137" s="1682"/>
      <c r="BQ137" s="476"/>
      <c r="BR137" s="408"/>
      <c r="BS137" s="1682"/>
      <c r="BT137" s="1682"/>
      <c r="BU137" s="1682"/>
      <c r="BV137" s="1682"/>
    </row>
    <row r="138" spans="1:74" ht="18" customHeight="1">
      <c r="A138" s="354"/>
      <c r="B138" s="354"/>
      <c r="C138" s="354"/>
      <c r="D138" s="354"/>
      <c r="E138" s="354"/>
      <c r="F138" s="354"/>
      <c r="G138" s="354"/>
      <c r="H138" s="354"/>
      <c r="I138" s="354"/>
      <c r="J138" s="354"/>
      <c r="K138" s="354"/>
      <c r="L138" s="354"/>
      <c r="M138" s="354"/>
      <c r="N138" s="354"/>
      <c r="O138" s="354"/>
      <c r="P138" s="354"/>
      <c r="Q138" s="354"/>
      <c r="R138" s="354"/>
      <c r="S138" s="354"/>
      <c r="T138" s="354"/>
      <c r="U138" s="354"/>
      <c r="V138" s="354"/>
      <c r="W138" s="354"/>
      <c r="X138" s="354"/>
      <c r="Y138" s="354"/>
      <c r="Z138" s="354"/>
      <c r="AA138" s="354"/>
      <c r="AB138" s="354"/>
      <c r="AC138" s="354"/>
      <c r="AD138" s="354"/>
      <c r="AE138" s="354"/>
      <c r="AF138" s="354"/>
      <c r="AG138" s="354"/>
      <c r="AH138" s="354"/>
      <c r="AI138" s="354"/>
      <c r="AJ138" s="354"/>
      <c r="AK138" s="354"/>
      <c r="AL138" s="354"/>
      <c r="AM138" s="354"/>
      <c r="AN138" s="354"/>
      <c r="AO138" s="354"/>
      <c r="AP138" s="354"/>
      <c r="AQ138" s="354"/>
      <c r="AR138" s="354"/>
      <c r="AS138" s="354"/>
      <c r="AT138" s="354"/>
      <c r="AU138" s="354"/>
      <c r="AV138" s="354"/>
      <c r="AW138" s="1682"/>
      <c r="AX138" s="1682"/>
      <c r="AY138" s="1682"/>
      <c r="AZ138" s="1682"/>
      <c r="BA138" s="1682"/>
      <c r="BB138" s="1682"/>
      <c r="BC138" s="1682"/>
      <c r="BD138" s="1682"/>
      <c r="BE138" s="354"/>
      <c r="BF138" s="354"/>
      <c r="BG138" s="354"/>
      <c r="BH138" s="354"/>
      <c r="BI138" s="354"/>
      <c r="BJ138" s="354"/>
      <c r="BK138" s="354"/>
      <c r="BL138" s="354"/>
      <c r="BM138" s="1682"/>
      <c r="BN138" s="1682"/>
      <c r="BO138" s="1682"/>
      <c r="BP138" s="1682"/>
      <c r="BQ138" s="476"/>
      <c r="BR138" s="408"/>
      <c r="BS138" s="1682"/>
      <c r="BT138" s="1682"/>
      <c r="BU138" s="1682"/>
      <c r="BV138" s="1682"/>
    </row>
    <row r="139" spans="1:74" ht="18" customHeight="1">
      <c r="A139" s="354"/>
      <c r="B139" s="354"/>
      <c r="C139" s="354"/>
      <c r="D139" s="354"/>
      <c r="E139" s="354"/>
      <c r="F139" s="354"/>
      <c r="G139" s="354"/>
      <c r="H139" s="354"/>
      <c r="I139" s="354"/>
      <c r="J139" s="354"/>
      <c r="K139" s="354"/>
      <c r="L139" s="354"/>
      <c r="M139" s="354"/>
      <c r="N139" s="354"/>
      <c r="O139" s="354"/>
      <c r="P139" s="354"/>
      <c r="Q139" s="354"/>
      <c r="R139" s="354"/>
      <c r="S139" s="354"/>
      <c r="T139" s="354"/>
      <c r="U139" s="354"/>
      <c r="V139" s="354"/>
      <c r="W139" s="354"/>
      <c r="X139" s="354"/>
      <c r="Y139" s="354"/>
      <c r="Z139" s="354"/>
      <c r="AA139" s="354"/>
      <c r="AB139" s="354"/>
      <c r="AC139" s="354"/>
      <c r="AD139" s="354"/>
      <c r="AE139" s="354"/>
      <c r="AF139" s="354"/>
      <c r="AG139" s="354"/>
      <c r="AH139" s="354"/>
      <c r="AI139" s="354"/>
      <c r="AJ139" s="354"/>
      <c r="AK139" s="354"/>
      <c r="AL139" s="354"/>
      <c r="AM139" s="354"/>
      <c r="AN139" s="354"/>
      <c r="AO139" s="354"/>
      <c r="AP139" s="354"/>
      <c r="AQ139" s="354"/>
      <c r="AR139" s="354"/>
      <c r="AS139" s="354"/>
      <c r="AT139" s="354"/>
      <c r="AU139" s="354"/>
      <c r="AV139" s="354"/>
      <c r="AW139" s="354"/>
      <c r="AX139" s="354"/>
      <c r="AY139" s="354"/>
      <c r="AZ139" s="354"/>
      <c r="BA139" s="354"/>
      <c r="BB139" s="354"/>
      <c r="BC139" s="354"/>
      <c r="BD139" s="354"/>
      <c r="BE139" s="354"/>
      <c r="BF139" s="354"/>
      <c r="BG139" s="354"/>
      <c r="BH139" s="354"/>
      <c r="BI139" s="354"/>
      <c r="BJ139" s="354"/>
      <c r="BK139" s="354"/>
      <c r="BL139" s="354"/>
      <c r="BM139" s="1682"/>
      <c r="BN139" s="1682"/>
      <c r="BO139" s="1682"/>
      <c r="BP139" s="1682"/>
      <c r="BQ139" s="476"/>
      <c r="BR139" s="408"/>
      <c r="BS139" s="1682"/>
      <c r="BT139" s="1682"/>
      <c r="BU139" s="1682"/>
      <c r="BV139" s="1682"/>
    </row>
    <row r="140" spans="1:74" ht="18" customHeight="1">
      <c r="A140" s="354"/>
      <c r="B140" s="354"/>
      <c r="C140" s="354"/>
      <c r="D140" s="354"/>
      <c r="E140" s="354"/>
      <c r="F140" s="354"/>
      <c r="G140" s="354"/>
      <c r="H140" s="354"/>
      <c r="I140" s="354"/>
      <c r="J140" s="354"/>
      <c r="K140" s="354"/>
      <c r="L140" s="354"/>
      <c r="M140" s="354"/>
      <c r="N140" s="354"/>
      <c r="O140" s="354"/>
      <c r="P140" s="354"/>
      <c r="Q140" s="354"/>
      <c r="R140" s="354"/>
      <c r="S140" s="354"/>
      <c r="T140" s="354"/>
      <c r="U140" s="354"/>
      <c r="V140" s="354"/>
      <c r="W140" s="354"/>
      <c r="X140" s="354"/>
      <c r="Y140" s="354"/>
      <c r="Z140" s="354"/>
      <c r="AA140" s="354"/>
      <c r="AB140" s="354"/>
      <c r="AC140" s="354"/>
      <c r="AD140" s="354"/>
      <c r="AE140" s="354"/>
      <c r="AF140" s="354"/>
      <c r="AG140" s="354"/>
      <c r="AH140" s="354"/>
      <c r="AI140" s="354"/>
      <c r="AJ140" s="354"/>
      <c r="AK140" s="354"/>
      <c r="AL140" s="354"/>
      <c r="AM140" s="354"/>
      <c r="AN140" s="354"/>
      <c r="AO140" s="354"/>
      <c r="AP140" s="354"/>
      <c r="AQ140" s="354"/>
      <c r="AR140" s="354"/>
      <c r="AS140" s="354"/>
      <c r="AT140" s="354"/>
      <c r="AU140" s="354"/>
      <c r="AV140" s="354"/>
      <c r="AW140" s="354"/>
      <c r="AX140" s="354"/>
      <c r="AY140" s="354"/>
      <c r="AZ140" s="354"/>
      <c r="BA140" s="354"/>
      <c r="BB140" s="354"/>
      <c r="BC140" s="354"/>
      <c r="BD140" s="354"/>
      <c r="BE140" s="354"/>
      <c r="BF140" s="354"/>
      <c r="BG140" s="354"/>
      <c r="BH140" s="354"/>
      <c r="BI140" s="354"/>
      <c r="BJ140" s="354"/>
      <c r="BK140" s="354"/>
      <c r="BL140" s="354"/>
      <c r="BM140" s="1682"/>
      <c r="BN140" s="1682"/>
      <c r="BO140" s="1682"/>
      <c r="BP140" s="1682"/>
      <c r="BQ140" s="409"/>
      <c r="BR140" s="408"/>
      <c r="BS140" s="1682"/>
      <c r="BT140" s="1682"/>
      <c r="BU140" s="1682"/>
      <c r="BV140" s="1682"/>
    </row>
    <row r="141" spans="1:74" ht="18" customHeight="1">
      <c r="A141" s="354"/>
      <c r="B141" s="354"/>
      <c r="C141" s="354"/>
      <c r="D141" s="354"/>
      <c r="E141" s="354"/>
      <c r="F141" s="354"/>
      <c r="G141" s="354"/>
      <c r="H141" s="354"/>
      <c r="I141" s="354"/>
      <c r="J141" s="354"/>
      <c r="K141" s="354"/>
      <c r="L141" s="354"/>
      <c r="M141" s="354"/>
      <c r="N141" s="354"/>
      <c r="O141" s="354"/>
      <c r="P141" s="354"/>
      <c r="Q141" s="354"/>
      <c r="R141" s="354"/>
      <c r="S141" s="354"/>
      <c r="T141" s="354"/>
      <c r="U141" s="354"/>
      <c r="V141" s="354"/>
      <c r="W141" s="354"/>
      <c r="X141" s="354"/>
      <c r="Y141" s="354"/>
      <c r="Z141" s="354"/>
      <c r="AA141" s="354"/>
      <c r="AB141" s="354"/>
      <c r="AC141" s="354"/>
      <c r="AD141" s="354"/>
      <c r="AE141" s="354"/>
      <c r="AF141" s="354"/>
      <c r="AG141" s="354"/>
      <c r="AH141" s="354"/>
      <c r="AI141" s="354"/>
      <c r="AJ141" s="354"/>
      <c r="AK141" s="354"/>
      <c r="AL141" s="354"/>
      <c r="AM141" s="354"/>
      <c r="AN141" s="354"/>
      <c r="AO141" s="354"/>
      <c r="AP141" s="354"/>
      <c r="AQ141" s="354"/>
      <c r="AR141" s="354"/>
      <c r="AS141" s="354"/>
      <c r="AT141" s="354"/>
      <c r="AU141" s="354"/>
      <c r="AV141" s="354"/>
      <c r="AW141" s="354"/>
      <c r="AX141" s="354"/>
      <c r="AY141" s="354"/>
      <c r="AZ141" s="354"/>
      <c r="BA141" s="354"/>
      <c r="BB141" s="354"/>
      <c r="BC141" s="354"/>
      <c r="BD141" s="354"/>
      <c r="BE141" s="354"/>
      <c r="BF141" s="354"/>
      <c r="BG141" s="354"/>
      <c r="BH141" s="354"/>
      <c r="BI141" s="354"/>
      <c r="BJ141" s="354"/>
      <c r="BK141" s="354"/>
      <c r="BL141" s="354"/>
      <c r="BM141" s="1682"/>
      <c r="BN141" s="1682"/>
      <c r="BO141" s="1682"/>
      <c r="BP141" s="1682"/>
      <c r="BQ141" s="476"/>
      <c r="BR141" s="408"/>
      <c r="BS141" s="1682"/>
      <c r="BT141" s="1682"/>
      <c r="BU141" s="1682"/>
      <c r="BV141" s="1682"/>
    </row>
    <row r="142" spans="1:74" ht="18" customHeight="1">
      <c r="A142" s="354"/>
      <c r="B142" s="354"/>
      <c r="C142" s="354"/>
      <c r="D142" s="354"/>
      <c r="E142" s="354"/>
      <c r="F142" s="354"/>
      <c r="G142" s="354"/>
      <c r="H142" s="354"/>
      <c r="I142" s="354"/>
      <c r="J142" s="354"/>
      <c r="K142" s="354"/>
      <c r="L142" s="354"/>
      <c r="M142" s="354"/>
      <c r="N142" s="354"/>
      <c r="O142" s="354"/>
      <c r="P142" s="354"/>
      <c r="Q142" s="354"/>
      <c r="R142" s="354"/>
      <c r="S142" s="354"/>
      <c r="T142" s="354"/>
      <c r="U142" s="354"/>
      <c r="V142" s="354"/>
      <c r="W142" s="354"/>
      <c r="X142" s="354"/>
      <c r="Y142" s="354"/>
      <c r="Z142" s="354"/>
      <c r="AA142" s="354"/>
      <c r="AB142" s="354"/>
      <c r="AC142" s="354"/>
      <c r="AD142" s="354"/>
      <c r="AE142" s="354"/>
      <c r="AF142" s="354"/>
      <c r="AG142" s="354"/>
      <c r="AH142" s="354"/>
      <c r="AI142" s="354"/>
      <c r="AJ142" s="354"/>
      <c r="AK142" s="354"/>
      <c r="AL142" s="354"/>
      <c r="AM142" s="354"/>
      <c r="AN142" s="354"/>
      <c r="AO142" s="354"/>
      <c r="AP142" s="354"/>
      <c r="AQ142" s="354"/>
      <c r="AR142" s="354"/>
      <c r="AS142" s="354"/>
      <c r="AT142" s="354"/>
      <c r="AU142" s="354"/>
      <c r="AV142" s="354"/>
      <c r="AW142" s="354"/>
      <c r="AX142" s="354"/>
      <c r="AY142" s="354"/>
      <c r="AZ142" s="354"/>
      <c r="BA142" s="354"/>
      <c r="BB142" s="354"/>
      <c r="BC142" s="354"/>
      <c r="BD142" s="354"/>
      <c r="BE142" s="354"/>
      <c r="BF142" s="354"/>
      <c r="BG142" s="354"/>
      <c r="BH142" s="354"/>
      <c r="BI142" s="354"/>
      <c r="BJ142" s="354"/>
      <c r="BK142" s="354"/>
      <c r="BL142" s="354"/>
      <c r="BM142" s="1682"/>
      <c r="BN142" s="1682"/>
      <c r="BO142" s="1682"/>
      <c r="BP142" s="1682"/>
      <c r="BQ142" s="476"/>
      <c r="BR142" s="408"/>
      <c r="BS142" s="408"/>
      <c r="BT142" s="408"/>
      <c r="BU142" s="408"/>
      <c r="BV142" s="408"/>
    </row>
    <row r="143" spans="1:74" ht="18" customHeight="1">
      <c r="A143" s="354"/>
      <c r="B143" s="354"/>
      <c r="C143" s="354"/>
      <c r="D143" s="354"/>
      <c r="E143" s="354"/>
      <c r="F143" s="354"/>
      <c r="G143" s="354"/>
      <c r="H143" s="354"/>
      <c r="I143" s="354"/>
      <c r="J143" s="354"/>
      <c r="K143" s="354"/>
      <c r="L143" s="354"/>
      <c r="M143" s="354"/>
      <c r="N143" s="354"/>
      <c r="O143" s="354"/>
      <c r="P143" s="354"/>
      <c r="Q143" s="354"/>
      <c r="R143" s="354"/>
      <c r="S143" s="354"/>
      <c r="T143" s="354"/>
      <c r="U143" s="354"/>
      <c r="V143" s="354"/>
      <c r="W143" s="354"/>
      <c r="X143" s="354"/>
      <c r="Y143" s="354"/>
      <c r="Z143" s="354"/>
      <c r="AA143" s="354"/>
      <c r="AB143" s="354"/>
      <c r="AC143" s="354"/>
      <c r="AD143" s="354"/>
      <c r="AE143" s="354"/>
      <c r="AF143" s="354"/>
      <c r="AG143" s="354"/>
      <c r="AH143" s="354"/>
      <c r="AI143" s="354"/>
      <c r="AJ143" s="354"/>
      <c r="AK143" s="354"/>
      <c r="AL143" s="354"/>
      <c r="AM143" s="354"/>
      <c r="AN143" s="354"/>
      <c r="AO143" s="354"/>
      <c r="AP143" s="354"/>
      <c r="AQ143" s="354"/>
      <c r="AR143" s="354"/>
      <c r="AS143" s="354"/>
      <c r="AT143" s="354"/>
      <c r="AU143" s="354"/>
      <c r="AV143" s="354"/>
      <c r="AW143" s="354"/>
      <c r="AX143" s="354"/>
      <c r="AY143" s="354"/>
      <c r="AZ143" s="354"/>
      <c r="BA143" s="354"/>
      <c r="BB143" s="354"/>
      <c r="BC143" s="354"/>
      <c r="BD143" s="354"/>
      <c r="BE143" s="354"/>
      <c r="BF143" s="354"/>
      <c r="BG143" s="354"/>
      <c r="BH143" s="354"/>
      <c r="BI143" s="354"/>
      <c r="BJ143" s="354"/>
      <c r="BK143" s="354"/>
      <c r="BL143" s="354"/>
      <c r="BM143" s="1682"/>
      <c r="BN143" s="1682"/>
      <c r="BO143" s="1682"/>
      <c r="BP143" s="1682"/>
      <c r="BQ143" s="476"/>
      <c r="BR143" s="408"/>
      <c r="BS143" s="408"/>
      <c r="BT143" s="408"/>
      <c r="BU143" s="408"/>
      <c r="BV143" s="408"/>
    </row>
    <row r="144" spans="1:74" ht="18" customHeight="1">
      <c r="A144" s="354"/>
      <c r="B144" s="354"/>
      <c r="C144" s="354"/>
      <c r="D144" s="354"/>
      <c r="E144" s="354"/>
      <c r="F144" s="354"/>
      <c r="G144" s="354"/>
      <c r="H144" s="354"/>
      <c r="I144" s="354"/>
      <c r="J144" s="354"/>
      <c r="K144" s="354"/>
      <c r="L144" s="354"/>
      <c r="M144" s="354"/>
      <c r="N144" s="354"/>
      <c r="O144" s="354"/>
      <c r="P144" s="354"/>
      <c r="Q144" s="354"/>
      <c r="R144" s="354"/>
      <c r="S144" s="354"/>
      <c r="T144" s="354"/>
      <c r="U144" s="354"/>
      <c r="V144" s="354"/>
      <c r="W144" s="354"/>
      <c r="X144" s="354"/>
      <c r="Y144" s="354"/>
      <c r="Z144" s="354"/>
      <c r="AA144" s="354"/>
      <c r="AB144" s="354"/>
      <c r="AC144" s="354"/>
      <c r="AD144" s="354"/>
      <c r="AE144" s="354"/>
      <c r="AF144" s="354"/>
      <c r="AG144" s="354"/>
      <c r="AH144" s="354"/>
      <c r="AI144" s="354"/>
      <c r="AJ144" s="354"/>
      <c r="AK144" s="354"/>
      <c r="AL144" s="354"/>
      <c r="AM144" s="354"/>
      <c r="AN144" s="354"/>
      <c r="AO144" s="354"/>
      <c r="AP144" s="354"/>
      <c r="AQ144" s="354"/>
      <c r="AR144" s="354"/>
      <c r="AS144" s="354"/>
      <c r="AT144" s="354"/>
      <c r="AU144" s="354"/>
      <c r="AV144" s="354"/>
      <c r="AW144" s="354"/>
      <c r="AX144" s="354"/>
      <c r="AY144" s="354"/>
      <c r="AZ144" s="354"/>
      <c r="BA144" s="354"/>
      <c r="BB144" s="354"/>
      <c r="BC144" s="354"/>
      <c r="BD144" s="354"/>
      <c r="BE144" s="354"/>
      <c r="BF144" s="354"/>
      <c r="BG144" s="354"/>
      <c r="BH144" s="354"/>
      <c r="BI144" s="354"/>
      <c r="BJ144" s="354"/>
      <c r="BK144" s="354"/>
      <c r="BL144" s="354"/>
      <c r="BM144" s="1682"/>
      <c r="BN144" s="1682"/>
      <c r="BO144" s="1682"/>
      <c r="BP144" s="1682"/>
      <c r="BQ144" s="476"/>
      <c r="BR144" s="408"/>
      <c r="BS144" s="408"/>
      <c r="BT144" s="408"/>
      <c r="BU144" s="408"/>
      <c r="BV144" s="408"/>
    </row>
    <row r="145" spans="1:74" ht="18" customHeight="1">
      <c r="A145" s="354"/>
      <c r="B145" s="354"/>
      <c r="C145" s="354"/>
      <c r="D145" s="354"/>
      <c r="E145" s="354"/>
      <c r="F145" s="354"/>
      <c r="G145" s="354"/>
      <c r="H145" s="354"/>
      <c r="I145" s="354"/>
      <c r="J145" s="354"/>
      <c r="K145" s="354"/>
      <c r="L145" s="354"/>
      <c r="M145" s="354"/>
      <c r="N145" s="354"/>
      <c r="O145" s="354"/>
      <c r="P145" s="354"/>
      <c r="Q145" s="354"/>
      <c r="R145" s="354"/>
      <c r="S145" s="354"/>
      <c r="T145" s="354"/>
      <c r="U145" s="354"/>
      <c r="V145" s="354"/>
      <c r="W145" s="354"/>
      <c r="X145" s="354"/>
      <c r="Y145" s="354"/>
      <c r="Z145" s="354"/>
      <c r="AA145" s="354"/>
      <c r="AB145" s="354"/>
      <c r="AC145" s="354"/>
      <c r="AD145" s="354"/>
      <c r="AE145" s="354"/>
      <c r="AF145" s="354"/>
      <c r="AG145" s="354"/>
      <c r="AH145" s="354"/>
      <c r="AI145" s="354"/>
      <c r="AJ145" s="354"/>
      <c r="AK145" s="354"/>
      <c r="AL145" s="354"/>
      <c r="AM145" s="354"/>
      <c r="AN145" s="354"/>
      <c r="AO145" s="354"/>
      <c r="AP145" s="354"/>
      <c r="AQ145" s="354"/>
      <c r="AR145" s="354"/>
      <c r="AS145" s="354"/>
      <c r="AT145" s="354"/>
      <c r="AU145" s="354"/>
      <c r="AV145" s="354"/>
      <c r="AW145" s="354"/>
      <c r="AX145" s="354"/>
      <c r="AY145" s="354"/>
      <c r="AZ145" s="354"/>
      <c r="BA145" s="354"/>
      <c r="BB145" s="354"/>
      <c r="BC145" s="354"/>
      <c r="BD145" s="354"/>
      <c r="BE145" s="354"/>
      <c r="BF145" s="354"/>
      <c r="BG145" s="354"/>
      <c r="BH145" s="354"/>
      <c r="BI145" s="354"/>
      <c r="BJ145" s="354"/>
      <c r="BK145" s="354"/>
      <c r="BL145" s="354"/>
      <c r="BM145" s="1682"/>
      <c r="BN145" s="1682"/>
      <c r="BO145" s="1682"/>
      <c r="BP145" s="1682"/>
      <c r="BQ145" s="410"/>
      <c r="BR145" s="426"/>
      <c r="BS145" s="426"/>
      <c r="BT145" s="426"/>
      <c r="BU145" s="426"/>
      <c r="BV145" s="426"/>
    </row>
    <row r="146" spans="1:74" ht="18" customHeight="1">
      <c r="A146" s="354"/>
      <c r="B146" s="354"/>
      <c r="C146" s="354"/>
      <c r="D146" s="354"/>
      <c r="E146" s="354"/>
      <c r="F146" s="354"/>
      <c r="G146" s="354"/>
      <c r="H146" s="354"/>
      <c r="I146" s="354"/>
      <c r="J146" s="354"/>
      <c r="K146" s="354"/>
      <c r="L146" s="354"/>
      <c r="M146" s="354"/>
      <c r="N146" s="354"/>
      <c r="O146" s="354"/>
      <c r="P146" s="354"/>
      <c r="Q146" s="354"/>
      <c r="R146" s="354"/>
      <c r="S146" s="354"/>
      <c r="T146" s="354"/>
      <c r="U146" s="354"/>
      <c r="V146" s="354"/>
      <c r="W146" s="354"/>
      <c r="X146" s="354"/>
      <c r="Y146" s="354"/>
      <c r="Z146" s="354"/>
      <c r="AA146" s="354"/>
      <c r="AB146" s="354"/>
      <c r="AC146" s="354"/>
      <c r="AD146" s="354"/>
      <c r="AE146" s="354"/>
      <c r="AF146" s="354"/>
      <c r="AG146" s="354"/>
      <c r="AH146" s="354"/>
      <c r="AI146" s="354"/>
      <c r="AJ146" s="354"/>
      <c r="AK146" s="354"/>
      <c r="AL146" s="354"/>
      <c r="AM146" s="354"/>
      <c r="AN146" s="354"/>
      <c r="AO146" s="354"/>
      <c r="AP146" s="354"/>
      <c r="AQ146" s="354"/>
      <c r="AR146" s="354"/>
      <c r="AS146" s="354"/>
      <c r="AT146" s="354"/>
      <c r="AU146" s="354"/>
      <c r="AV146" s="354"/>
      <c r="AW146" s="354"/>
      <c r="AX146" s="354"/>
      <c r="AY146" s="354"/>
      <c r="AZ146" s="354"/>
      <c r="BA146" s="354"/>
      <c r="BB146" s="354"/>
      <c r="BC146" s="354"/>
      <c r="BD146" s="354"/>
      <c r="BE146" s="354"/>
      <c r="BF146" s="354"/>
      <c r="BG146" s="354"/>
      <c r="BH146" s="354"/>
      <c r="BI146" s="354"/>
      <c r="BJ146" s="354"/>
      <c r="BK146" s="354"/>
      <c r="BL146" s="354"/>
      <c r="BM146" s="1682"/>
      <c r="BN146" s="1682"/>
      <c r="BO146" s="1682"/>
      <c r="BP146" s="1682"/>
      <c r="BQ146" s="476"/>
      <c r="BR146" s="408"/>
      <c r="BS146" s="408"/>
      <c r="BT146" s="408"/>
      <c r="BU146" s="408"/>
      <c r="BV146" s="408"/>
    </row>
    <row r="147" spans="1:74" ht="18" customHeight="1">
      <c r="A147" s="354"/>
      <c r="B147" s="354"/>
      <c r="C147" s="354"/>
      <c r="D147" s="354"/>
      <c r="E147" s="354"/>
      <c r="F147" s="354"/>
      <c r="G147" s="354"/>
      <c r="H147" s="354"/>
      <c r="I147" s="354"/>
      <c r="J147" s="354"/>
      <c r="K147" s="354"/>
      <c r="L147" s="354"/>
      <c r="M147" s="354"/>
      <c r="N147" s="354"/>
      <c r="O147" s="354"/>
      <c r="P147" s="354"/>
      <c r="Q147" s="354"/>
      <c r="R147" s="354"/>
      <c r="S147" s="354"/>
      <c r="T147" s="354"/>
      <c r="U147" s="354"/>
      <c r="V147" s="354"/>
      <c r="W147" s="354"/>
      <c r="X147" s="354"/>
      <c r="Y147" s="354"/>
      <c r="Z147" s="354"/>
      <c r="AA147" s="354"/>
      <c r="AB147" s="354"/>
      <c r="AC147" s="354"/>
      <c r="AD147" s="354"/>
      <c r="AE147" s="354"/>
      <c r="AF147" s="354"/>
      <c r="AG147" s="354"/>
      <c r="AH147" s="354"/>
      <c r="AI147" s="354"/>
      <c r="AJ147" s="354"/>
      <c r="AK147" s="354"/>
      <c r="AL147" s="354"/>
      <c r="AM147" s="354"/>
      <c r="AN147" s="354"/>
      <c r="AO147" s="354"/>
      <c r="AP147" s="354"/>
      <c r="AQ147" s="354"/>
      <c r="AR147" s="354"/>
      <c r="AS147" s="354"/>
      <c r="AT147" s="354"/>
      <c r="AU147" s="354"/>
      <c r="AV147" s="354"/>
      <c r="AW147" s="354"/>
      <c r="AX147" s="354"/>
      <c r="AY147" s="354"/>
      <c r="AZ147" s="354"/>
      <c r="BA147" s="354"/>
      <c r="BB147" s="354"/>
      <c r="BC147" s="354"/>
      <c r="BD147" s="354"/>
      <c r="BE147" s="354"/>
      <c r="BF147" s="354"/>
      <c r="BG147" s="354"/>
      <c r="BH147" s="354"/>
      <c r="BI147" s="354"/>
      <c r="BJ147" s="354"/>
      <c r="BK147" s="354"/>
      <c r="BL147" s="354"/>
      <c r="BM147" s="1682"/>
      <c r="BN147" s="1682"/>
      <c r="BO147" s="1682"/>
      <c r="BP147" s="1682"/>
      <c r="BQ147" s="476"/>
      <c r="BR147" s="408"/>
      <c r="BS147" s="408"/>
      <c r="BT147" s="408"/>
      <c r="BU147" s="408"/>
      <c r="BV147" s="408"/>
    </row>
    <row r="148" spans="1:74" ht="18" customHeight="1">
      <c r="A148" s="354"/>
      <c r="B148" s="354"/>
      <c r="C148" s="354"/>
      <c r="D148" s="354"/>
      <c r="E148" s="354"/>
      <c r="F148" s="354"/>
      <c r="G148" s="354"/>
      <c r="H148" s="354"/>
      <c r="I148" s="354"/>
      <c r="J148" s="354"/>
      <c r="K148" s="354"/>
      <c r="L148" s="354"/>
      <c r="M148" s="354"/>
      <c r="N148" s="354"/>
      <c r="O148" s="354"/>
      <c r="P148" s="354"/>
      <c r="Q148" s="354"/>
      <c r="R148" s="354"/>
      <c r="S148" s="354"/>
      <c r="T148" s="354"/>
      <c r="U148" s="354"/>
      <c r="V148" s="354"/>
      <c r="W148" s="354"/>
      <c r="X148" s="354"/>
      <c r="Y148" s="354"/>
      <c r="Z148" s="354"/>
      <c r="AA148" s="354"/>
      <c r="AB148" s="354"/>
      <c r="AC148" s="354"/>
      <c r="AD148" s="354"/>
      <c r="AE148" s="354"/>
      <c r="AF148" s="354"/>
      <c r="AG148" s="354"/>
      <c r="AH148" s="354"/>
      <c r="AI148" s="354"/>
      <c r="AJ148" s="354"/>
      <c r="AK148" s="354"/>
      <c r="AL148" s="354"/>
      <c r="AM148" s="354"/>
      <c r="AN148" s="354"/>
      <c r="AO148" s="354"/>
      <c r="AP148" s="354"/>
      <c r="AQ148" s="354"/>
      <c r="AR148" s="354"/>
      <c r="AS148" s="354"/>
      <c r="AT148" s="354"/>
      <c r="AU148" s="354"/>
      <c r="AV148" s="354"/>
      <c r="AW148" s="354"/>
      <c r="AX148" s="354"/>
      <c r="AY148" s="354"/>
      <c r="AZ148" s="354"/>
      <c r="BA148" s="354"/>
      <c r="BB148" s="354"/>
      <c r="BC148" s="354"/>
      <c r="BD148" s="354"/>
      <c r="BE148" s="354"/>
      <c r="BF148" s="354"/>
      <c r="BG148" s="354"/>
      <c r="BH148" s="354"/>
      <c r="BI148" s="354"/>
      <c r="BJ148" s="354"/>
      <c r="BK148" s="354"/>
      <c r="BL148" s="354"/>
      <c r="BM148" s="1682"/>
      <c r="BN148" s="1682"/>
      <c r="BO148" s="1682"/>
      <c r="BP148" s="1682"/>
      <c r="BQ148" s="476"/>
      <c r="BR148" s="408"/>
      <c r="BS148" s="408"/>
      <c r="BT148" s="408"/>
      <c r="BU148" s="408"/>
      <c r="BV148" s="408"/>
    </row>
    <row r="149" spans="1:74" ht="18" customHeight="1">
      <c r="A149" s="354"/>
      <c r="B149" s="354"/>
      <c r="C149" s="354"/>
      <c r="D149" s="354"/>
      <c r="E149" s="354"/>
      <c r="F149" s="354"/>
      <c r="G149" s="354"/>
      <c r="H149" s="354"/>
      <c r="I149" s="354"/>
      <c r="J149" s="354"/>
      <c r="K149" s="354"/>
      <c r="L149" s="354"/>
      <c r="M149" s="354"/>
      <c r="N149" s="354"/>
      <c r="O149" s="354"/>
      <c r="P149" s="354"/>
      <c r="Q149" s="354"/>
      <c r="R149" s="354"/>
      <c r="S149" s="354"/>
      <c r="T149" s="354"/>
      <c r="U149" s="354"/>
      <c r="V149" s="354"/>
      <c r="W149" s="354"/>
      <c r="X149" s="354"/>
      <c r="Y149" s="354"/>
      <c r="Z149" s="354"/>
      <c r="AA149" s="354"/>
      <c r="AB149" s="354"/>
      <c r="AC149" s="354"/>
      <c r="AD149" s="354"/>
      <c r="AE149" s="354"/>
      <c r="AF149" s="354"/>
      <c r="AG149" s="354"/>
      <c r="AH149" s="354"/>
      <c r="AI149" s="354"/>
      <c r="AJ149" s="354"/>
      <c r="AK149" s="354"/>
      <c r="AL149" s="354"/>
      <c r="AM149" s="354"/>
      <c r="AN149" s="354"/>
      <c r="AO149" s="354"/>
      <c r="AP149" s="354"/>
      <c r="AQ149" s="354"/>
      <c r="AR149" s="354"/>
      <c r="AS149" s="354"/>
      <c r="AT149" s="354"/>
      <c r="AU149" s="354"/>
      <c r="AV149" s="354"/>
      <c r="AW149" s="354"/>
      <c r="AX149" s="354"/>
      <c r="AY149" s="354"/>
      <c r="AZ149" s="354"/>
      <c r="BA149" s="354"/>
      <c r="BB149" s="354"/>
      <c r="BC149" s="354"/>
      <c r="BD149" s="354"/>
      <c r="BE149" s="354"/>
      <c r="BF149" s="354"/>
      <c r="BG149" s="354"/>
      <c r="BH149" s="354"/>
      <c r="BI149" s="354"/>
      <c r="BJ149" s="354"/>
      <c r="BK149" s="354"/>
      <c r="BL149" s="354"/>
      <c r="BM149" s="1682"/>
      <c r="BN149" s="1682"/>
      <c r="BO149" s="1682"/>
      <c r="BP149" s="1682"/>
      <c r="BQ149" s="476"/>
      <c r="BR149" s="408"/>
      <c r="BS149" s="408"/>
      <c r="BT149" s="408"/>
      <c r="BU149" s="408"/>
      <c r="BV149" s="408"/>
    </row>
    <row r="150" spans="1:74" ht="18" customHeight="1">
      <c r="A150" s="354"/>
      <c r="B150" s="354"/>
      <c r="C150" s="354"/>
      <c r="D150" s="354"/>
      <c r="E150" s="354"/>
      <c r="F150" s="354"/>
      <c r="G150" s="354"/>
      <c r="H150" s="354"/>
      <c r="I150" s="354"/>
      <c r="J150" s="354"/>
      <c r="K150" s="354"/>
      <c r="L150" s="354"/>
      <c r="M150" s="354"/>
      <c r="N150" s="354"/>
      <c r="O150" s="354"/>
      <c r="P150" s="354"/>
      <c r="Q150" s="354"/>
      <c r="R150" s="354"/>
      <c r="S150" s="354"/>
      <c r="T150" s="354"/>
      <c r="U150" s="354"/>
      <c r="V150" s="354"/>
      <c r="W150" s="354"/>
      <c r="X150" s="354"/>
      <c r="Y150" s="354"/>
      <c r="Z150" s="354"/>
      <c r="AA150" s="354"/>
      <c r="AB150" s="354"/>
      <c r="AC150" s="354"/>
      <c r="AD150" s="354"/>
      <c r="AE150" s="354"/>
      <c r="AF150" s="354"/>
      <c r="AG150" s="354"/>
      <c r="AH150" s="354"/>
      <c r="AI150" s="354"/>
      <c r="AJ150" s="354"/>
      <c r="AK150" s="354"/>
      <c r="AL150" s="354"/>
      <c r="AM150" s="354"/>
      <c r="AN150" s="354"/>
      <c r="AO150" s="354"/>
      <c r="AP150" s="354"/>
      <c r="AQ150" s="354"/>
      <c r="AR150" s="354"/>
      <c r="AS150" s="354"/>
      <c r="AT150" s="354"/>
      <c r="AU150" s="354"/>
      <c r="AV150" s="354"/>
      <c r="AW150" s="354"/>
      <c r="AX150" s="354"/>
      <c r="AY150" s="354"/>
      <c r="AZ150" s="354"/>
      <c r="BA150" s="354"/>
      <c r="BB150" s="354"/>
      <c r="BC150" s="354"/>
      <c r="BD150" s="354"/>
      <c r="BE150" s="354"/>
      <c r="BF150" s="354"/>
      <c r="BG150" s="354"/>
      <c r="BH150" s="354"/>
      <c r="BI150" s="354"/>
      <c r="BJ150" s="354"/>
      <c r="BK150" s="354"/>
      <c r="BL150" s="354"/>
      <c r="BM150" s="1682"/>
      <c r="BN150" s="1682"/>
      <c r="BO150" s="1682"/>
      <c r="BP150" s="1682"/>
      <c r="BQ150" s="476"/>
      <c r="BR150" s="408"/>
      <c r="BS150" s="408"/>
      <c r="BT150" s="408"/>
      <c r="BU150" s="408"/>
      <c r="BV150" s="408"/>
    </row>
    <row r="151" spans="1:74" ht="18" customHeight="1">
      <c r="A151" s="354"/>
      <c r="B151" s="354"/>
      <c r="C151" s="354"/>
      <c r="D151" s="354"/>
      <c r="E151" s="354"/>
      <c r="F151" s="354"/>
      <c r="G151" s="354"/>
      <c r="H151" s="354"/>
      <c r="I151" s="354"/>
      <c r="J151" s="354"/>
      <c r="K151" s="354"/>
      <c r="L151" s="354"/>
      <c r="M151" s="354"/>
      <c r="N151" s="354"/>
      <c r="O151" s="354"/>
      <c r="P151" s="354"/>
      <c r="Q151" s="354"/>
      <c r="R151" s="354"/>
      <c r="S151" s="354"/>
      <c r="T151" s="354"/>
      <c r="U151" s="354"/>
      <c r="V151" s="354"/>
      <c r="W151" s="354"/>
      <c r="X151" s="354"/>
      <c r="Y151" s="354"/>
      <c r="Z151" s="354"/>
      <c r="AA151" s="354"/>
      <c r="AB151" s="354"/>
      <c r="AC151" s="354"/>
      <c r="AD151" s="354"/>
      <c r="AE151" s="354"/>
      <c r="AF151" s="354"/>
      <c r="AG151" s="354"/>
      <c r="AH151" s="354"/>
      <c r="AI151" s="354"/>
      <c r="AJ151" s="354"/>
      <c r="AK151" s="354"/>
      <c r="AL151" s="354"/>
      <c r="AM151" s="354"/>
      <c r="AN151" s="354"/>
      <c r="AO151" s="354"/>
      <c r="AP151" s="354"/>
      <c r="AQ151" s="354"/>
      <c r="AR151" s="354"/>
      <c r="AS151" s="354"/>
      <c r="AT151" s="354"/>
      <c r="AU151" s="354"/>
      <c r="AV151" s="354"/>
      <c r="AW151" s="354"/>
      <c r="AX151" s="354"/>
      <c r="AY151" s="354"/>
      <c r="AZ151" s="354"/>
      <c r="BA151" s="354"/>
      <c r="BB151" s="354"/>
      <c r="BC151" s="354"/>
      <c r="BD151" s="354"/>
      <c r="BE151" s="354"/>
      <c r="BF151" s="354"/>
      <c r="BG151" s="354"/>
      <c r="BH151" s="354"/>
      <c r="BI151" s="354"/>
      <c r="BJ151" s="354"/>
      <c r="BK151" s="354"/>
      <c r="BL151" s="354"/>
      <c r="BM151" s="1682"/>
      <c r="BN151" s="1682"/>
      <c r="BO151" s="1682"/>
      <c r="BP151" s="1682"/>
      <c r="BQ151" s="409"/>
      <c r="BR151" s="408"/>
      <c r="BS151" s="408"/>
      <c r="BT151" s="408"/>
      <c r="BU151" s="408"/>
      <c r="BV151" s="408"/>
    </row>
    <row r="152" spans="1:74" ht="18" customHeight="1">
      <c r="A152" s="354"/>
      <c r="B152" s="354"/>
      <c r="C152" s="354"/>
      <c r="D152" s="354"/>
      <c r="E152" s="354"/>
      <c r="F152" s="354"/>
      <c r="G152" s="354"/>
      <c r="H152" s="354"/>
      <c r="I152" s="354"/>
      <c r="J152" s="354"/>
      <c r="K152" s="354"/>
      <c r="L152" s="354"/>
      <c r="M152" s="354"/>
      <c r="N152" s="354"/>
      <c r="O152" s="354"/>
      <c r="P152" s="354"/>
      <c r="Q152" s="354"/>
      <c r="R152" s="354"/>
      <c r="S152" s="354"/>
      <c r="T152" s="354"/>
      <c r="U152" s="354"/>
      <c r="V152" s="354"/>
      <c r="W152" s="354"/>
      <c r="X152" s="354"/>
      <c r="Y152" s="354"/>
      <c r="Z152" s="354"/>
      <c r="AA152" s="354"/>
      <c r="AB152" s="354"/>
      <c r="AC152" s="354"/>
      <c r="AD152" s="354"/>
      <c r="AE152" s="354"/>
      <c r="AF152" s="354"/>
      <c r="AG152" s="354"/>
      <c r="AH152" s="354"/>
      <c r="AI152" s="354"/>
      <c r="AJ152" s="354"/>
      <c r="AK152" s="354"/>
      <c r="AL152" s="354"/>
      <c r="AM152" s="354"/>
      <c r="AN152" s="354"/>
      <c r="AO152" s="354"/>
      <c r="AP152" s="354"/>
      <c r="AQ152" s="354"/>
      <c r="AR152" s="354"/>
      <c r="AS152" s="354"/>
      <c r="AT152" s="354"/>
      <c r="AU152" s="354"/>
      <c r="AV152" s="354"/>
      <c r="AW152" s="354"/>
      <c r="AX152" s="354"/>
      <c r="AY152" s="354"/>
      <c r="AZ152" s="354"/>
      <c r="BA152" s="354"/>
      <c r="BB152" s="354"/>
      <c r="BC152" s="354"/>
      <c r="BD152" s="354"/>
      <c r="BE152" s="354"/>
      <c r="BF152" s="354"/>
      <c r="BG152" s="354"/>
      <c r="BH152" s="354"/>
      <c r="BI152" s="354"/>
      <c r="BJ152" s="354"/>
      <c r="BK152" s="354"/>
      <c r="BL152" s="354"/>
      <c r="BM152" s="1682"/>
      <c r="BN152" s="1682"/>
      <c r="BO152" s="1682"/>
      <c r="BP152" s="1682"/>
      <c r="BQ152" s="476"/>
      <c r="BR152" s="408"/>
      <c r="BS152" s="408"/>
      <c r="BT152" s="408"/>
      <c r="BU152" s="408"/>
      <c r="BV152" s="408"/>
    </row>
    <row r="153" spans="1:74" ht="18" customHeight="1">
      <c r="A153" s="354"/>
      <c r="B153" s="354"/>
      <c r="C153" s="354"/>
      <c r="D153" s="354"/>
      <c r="E153" s="354"/>
      <c r="F153" s="354"/>
      <c r="G153" s="354"/>
      <c r="H153" s="354"/>
      <c r="I153" s="354"/>
      <c r="J153" s="354"/>
      <c r="K153" s="354"/>
      <c r="L153" s="354"/>
      <c r="M153" s="354"/>
      <c r="N153" s="354"/>
      <c r="O153" s="354"/>
      <c r="P153" s="354"/>
      <c r="Q153" s="354"/>
      <c r="R153" s="354"/>
      <c r="S153" s="354"/>
      <c r="T153" s="354"/>
      <c r="U153" s="354"/>
      <c r="V153" s="354"/>
      <c r="W153" s="354"/>
      <c r="X153" s="354"/>
      <c r="Y153" s="354"/>
      <c r="Z153" s="354"/>
      <c r="AA153" s="354"/>
      <c r="AB153" s="354"/>
      <c r="AC153" s="354"/>
      <c r="AD153" s="354"/>
      <c r="AE153" s="354"/>
      <c r="AF153" s="354"/>
      <c r="AG153" s="354"/>
      <c r="AH153" s="354"/>
      <c r="AI153" s="354"/>
      <c r="AJ153" s="354"/>
      <c r="AK153" s="354"/>
      <c r="AL153" s="354"/>
      <c r="AM153" s="354"/>
      <c r="AN153" s="354"/>
      <c r="AO153" s="354"/>
      <c r="AP153" s="354"/>
      <c r="AQ153" s="354"/>
      <c r="AR153" s="354"/>
      <c r="AS153" s="354"/>
      <c r="AT153" s="354"/>
      <c r="AU153" s="354"/>
      <c r="AV153" s="354"/>
      <c r="AW153" s="354"/>
      <c r="AX153" s="354"/>
      <c r="AY153" s="354"/>
      <c r="AZ153" s="354"/>
      <c r="BA153" s="354"/>
      <c r="BB153" s="354"/>
      <c r="BC153" s="354"/>
      <c r="BD153" s="354"/>
      <c r="BE153" s="354"/>
      <c r="BF153" s="354"/>
      <c r="BG153" s="354"/>
      <c r="BH153" s="354"/>
      <c r="BI153" s="354"/>
      <c r="BJ153" s="354"/>
      <c r="BK153" s="354"/>
      <c r="BL153" s="354"/>
      <c r="BM153" s="1682"/>
      <c r="BN153" s="1682"/>
      <c r="BO153" s="1682"/>
      <c r="BP153" s="1682"/>
      <c r="BQ153" s="476"/>
      <c r="BR153" s="408"/>
      <c r="BS153" s="408"/>
      <c r="BT153" s="408"/>
      <c r="BU153" s="408"/>
      <c r="BV153" s="408"/>
    </row>
    <row r="154" spans="1:74" ht="18" customHeight="1">
      <c r="A154" s="354"/>
      <c r="B154" s="354"/>
      <c r="C154" s="354"/>
      <c r="D154" s="354"/>
      <c r="E154" s="354"/>
      <c r="F154" s="354"/>
      <c r="G154" s="354"/>
      <c r="H154" s="354"/>
      <c r="I154" s="354"/>
      <c r="J154" s="354"/>
      <c r="K154" s="354"/>
      <c r="L154" s="354"/>
      <c r="M154" s="354"/>
      <c r="N154" s="354"/>
      <c r="O154" s="354"/>
      <c r="P154" s="354"/>
      <c r="Q154" s="354"/>
      <c r="R154" s="354"/>
      <c r="S154" s="354"/>
      <c r="T154" s="354"/>
      <c r="U154" s="354"/>
      <c r="V154" s="354"/>
      <c r="W154" s="354"/>
      <c r="X154" s="354"/>
      <c r="Y154" s="354"/>
      <c r="Z154" s="354"/>
      <c r="AA154" s="354"/>
      <c r="AB154" s="354"/>
      <c r="AC154" s="354"/>
      <c r="AD154" s="354"/>
      <c r="AE154" s="354"/>
      <c r="AF154" s="354"/>
      <c r="AG154" s="354"/>
      <c r="AH154" s="354"/>
      <c r="AI154" s="354"/>
      <c r="AJ154" s="354"/>
      <c r="AK154" s="354"/>
      <c r="AL154" s="354"/>
      <c r="AM154" s="354"/>
      <c r="AN154" s="354"/>
      <c r="AO154" s="354"/>
      <c r="AP154" s="354"/>
      <c r="AQ154" s="354"/>
      <c r="AR154" s="354"/>
      <c r="AS154" s="354"/>
      <c r="AT154" s="354"/>
      <c r="AU154" s="354"/>
      <c r="AV154" s="354"/>
      <c r="AW154" s="354"/>
      <c r="AX154" s="354"/>
      <c r="AY154" s="354"/>
      <c r="AZ154" s="354"/>
      <c r="BA154" s="354"/>
      <c r="BB154" s="354"/>
      <c r="BC154" s="354"/>
      <c r="BD154" s="354"/>
      <c r="BE154" s="354"/>
      <c r="BF154" s="354"/>
      <c r="BG154" s="354"/>
      <c r="BH154" s="354"/>
      <c r="BI154" s="354"/>
      <c r="BJ154" s="354"/>
      <c r="BK154" s="354"/>
      <c r="BL154" s="354"/>
      <c r="BM154" s="1682"/>
      <c r="BN154" s="1682"/>
      <c r="BO154" s="1682"/>
      <c r="BP154" s="1682"/>
      <c r="BQ154" s="476"/>
      <c r="BR154" s="408"/>
      <c r="BS154" s="408"/>
      <c r="BT154" s="408"/>
      <c r="BU154" s="408"/>
      <c r="BV154" s="408"/>
    </row>
    <row r="155" spans="1:74" ht="18" customHeight="1">
      <c r="A155" s="354"/>
      <c r="B155" s="354"/>
      <c r="C155" s="354"/>
      <c r="D155" s="354"/>
      <c r="E155" s="354"/>
      <c r="F155" s="354"/>
      <c r="G155" s="354"/>
      <c r="H155" s="354"/>
      <c r="I155" s="354"/>
      <c r="J155" s="354"/>
      <c r="K155" s="354"/>
      <c r="L155" s="354"/>
      <c r="M155" s="354"/>
      <c r="N155" s="354"/>
      <c r="O155" s="354"/>
      <c r="P155" s="354"/>
      <c r="Q155" s="354"/>
      <c r="R155" s="354"/>
      <c r="S155" s="354"/>
      <c r="T155" s="354"/>
      <c r="U155" s="354"/>
      <c r="V155" s="354"/>
      <c r="W155" s="354"/>
      <c r="X155" s="354"/>
      <c r="Y155" s="354"/>
      <c r="Z155" s="354"/>
      <c r="AA155" s="354"/>
      <c r="AB155" s="354"/>
      <c r="AC155" s="354"/>
      <c r="AD155" s="354"/>
      <c r="AE155" s="354"/>
      <c r="AF155" s="354"/>
      <c r="AG155" s="354"/>
      <c r="AH155" s="354"/>
      <c r="AI155" s="354"/>
      <c r="AJ155" s="354"/>
      <c r="AK155" s="354"/>
      <c r="AL155" s="354"/>
      <c r="AM155" s="354"/>
      <c r="AN155" s="354"/>
      <c r="AO155" s="354"/>
      <c r="AP155" s="354"/>
      <c r="AQ155" s="354"/>
      <c r="AR155" s="354"/>
      <c r="AS155" s="354"/>
      <c r="AT155" s="354"/>
      <c r="AU155" s="354"/>
      <c r="AV155" s="354"/>
      <c r="AW155" s="354"/>
      <c r="AX155" s="354"/>
      <c r="AY155" s="354"/>
      <c r="AZ155" s="354"/>
      <c r="BA155" s="354"/>
      <c r="BB155" s="354"/>
      <c r="BC155" s="354"/>
      <c r="BD155" s="354"/>
      <c r="BE155" s="354"/>
      <c r="BF155" s="354"/>
      <c r="BG155" s="354"/>
      <c r="BH155" s="354"/>
      <c r="BI155" s="354"/>
      <c r="BJ155" s="354"/>
      <c r="BK155" s="354"/>
      <c r="BL155" s="354"/>
      <c r="BM155" s="1682"/>
      <c r="BN155" s="1682"/>
      <c r="BO155" s="1682"/>
      <c r="BP155" s="1682"/>
      <c r="BQ155" s="476"/>
      <c r="BR155" s="408"/>
      <c r="BS155" s="408"/>
      <c r="BT155" s="408"/>
      <c r="BU155" s="408"/>
      <c r="BV155" s="408"/>
    </row>
    <row r="156" spans="1:74" ht="18" customHeight="1">
      <c r="A156" s="354"/>
      <c r="B156" s="354"/>
      <c r="C156" s="354"/>
      <c r="D156" s="354"/>
      <c r="E156" s="354"/>
      <c r="F156" s="354"/>
      <c r="G156" s="354"/>
      <c r="H156" s="354"/>
      <c r="I156" s="354"/>
      <c r="J156" s="354"/>
      <c r="K156" s="354"/>
      <c r="L156" s="354"/>
      <c r="M156" s="354"/>
      <c r="N156" s="354"/>
      <c r="O156" s="354"/>
      <c r="P156" s="354"/>
      <c r="Q156" s="354"/>
      <c r="R156" s="354"/>
      <c r="S156" s="354"/>
      <c r="T156" s="354"/>
      <c r="U156" s="354"/>
      <c r="V156" s="354"/>
      <c r="W156" s="354"/>
      <c r="X156" s="354"/>
      <c r="Y156" s="354"/>
      <c r="Z156" s="354"/>
      <c r="AA156" s="354"/>
      <c r="AB156" s="354"/>
      <c r="AC156" s="354"/>
      <c r="AD156" s="354"/>
      <c r="AE156" s="354"/>
      <c r="AF156" s="354"/>
      <c r="AG156" s="354"/>
      <c r="AH156" s="354"/>
      <c r="AI156" s="354"/>
      <c r="AJ156" s="354"/>
      <c r="AK156" s="354"/>
      <c r="AL156" s="354"/>
      <c r="AM156" s="354"/>
      <c r="AN156" s="354"/>
      <c r="AO156" s="354"/>
      <c r="AP156" s="354"/>
      <c r="AQ156" s="354"/>
      <c r="AR156" s="354"/>
      <c r="AS156" s="354"/>
      <c r="AT156" s="354"/>
      <c r="AU156" s="354"/>
      <c r="AV156" s="354"/>
      <c r="AW156" s="354"/>
      <c r="AX156" s="354"/>
      <c r="AY156" s="354"/>
      <c r="AZ156" s="354"/>
      <c r="BA156" s="354"/>
      <c r="BB156" s="354"/>
      <c r="BC156" s="354"/>
      <c r="BD156" s="354"/>
      <c r="BE156" s="354"/>
      <c r="BF156" s="354"/>
      <c r="BG156" s="354"/>
      <c r="BH156" s="354"/>
      <c r="BI156" s="354"/>
      <c r="BJ156" s="354"/>
      <c r="BK156" s="354"/>
      <c r="BL156" s="354"/>
      <c r="BM156" s="1682"/>
      <c r="BN156" s="1682"/>
      <c r="BO156" s="1682"/>
      <c r="BP156" s="1682"/>
      <c r="BQ156" s="410"/>
      <c r="BR156" s="407"/>
      <c r="BS156" s="407"/>
      <c r="BT156" s="407"/>
      <c r="BU156" s="407"/>
      <c r="BV156" s="407"/>
    </row>
    <row r="157" spans="1:74" ht="18" customHeight="1">
      <c r="A157" s="354"/>
      <c r="B157" s="354"/>
      <c r="C157" s="354"/>
      <c r="D157" s="354"/>
      <c r="E157" s="354"/>
      <c r="F157" s="354"/>
      <c r="G157" s="354"/>
      <c r="H157" s="354"/>
      <c r="I157" s="354"/>
      <c r="J157" s="354"/>
      <c r="K157" s="354"/>
      <c r="L157" s="354"/>
      <c r="M157" s="354"/>
      <c r="N157" s="354"/>
      <c r="O157" s="354"/>
      <c r="P157" s="354"/>
      <c r="Q157" s="354"/>
      <c r="R157" s="354"/>
      <c r="S157" s="354"/>
      <c r="T157" s="354"/>
      <c r="U157" s="354"/>
      <c r="V157" s="354"/>
      <c r="W157" s="354"/>
      <c r="X157" s="354"/>
      <c r="Y157" s="354"/>
      <c r="Z157" s="354"/>
      <c r="AA157" s="354"/>
      <c r="AB157" s="354"/>
      <c r="AC157" s="354"/>
      <c r="AD157" s="354"/>
      <c r="AE157" s="354"/>
      <c r="AF157" s="354"/>
      <c r="AG157" s="354"/>
      <c r="AH157" s="354"/>
      <c r="AI157" s="354"/>
      <c r="AJ157" s="354"/>
      <c r="AK157" s="354"/>
      <c r="AL157" s="354"/>
      <c r="AM157" s="354"/>
      <c r="AN157" s="354"/>
      <c r="AO157" s="354"/>
      <c r="AP157" s="354"/>
      <c r="AQ157" s="354"/>
      <c r="AR157" s="354"/>
      <c r="AS157" s="354"/>
      <c r="AT157" s="354"/>
      <c r="AU157" s="354"/>
      <c r="AV157" s="354"/>
      <c r="AW157" s="354"/>
      <c r="AX157" s="354"/>
      <c r="AY157" s="354"/>
      <c r="AZ157" s="354"/>
      <c r="BA157" s="354"/>
      <c r="BB157" s="354"/>
      <c r="BC157" s="354"/>
      <c r="BD157" s="354"/>
      <c r="BE157" s="354"/>
      <c r="BF157" s="354"/>
      <c r="BG157" s="354"/>
      <c r="BH157" s="354"/>
      <c r="BI157" s="354"/>
      <c r="BJ157" s="354"/>
      <c r="BK157" s="354"/>
      <c r="BL157" s="354"/>
      <c r="BM157" s="1682"/>
      <c r="BN157" s="1682"/>
      <c r="BO157" s="1682"/>
      <c r="BP157" s="1682"/>
      <c r="BQ157" s="476"/>
      <c r="BR157" s="408"/>
      <c r="BS157" s="408"/>
      <c r="BT157" s="408"/>
      <c r="BU157" s="408"/>
      <c r="BV157" s="408"/>
    </row>
    <row r="158" spans="1:74" ht="18" customHeight="1">
      <c r="A158" s="354"/>
      <c r="B158" s="354"/>
      <c r="C158" s="354"/>
      <c r="D158" s="354"/>
      <c r="E158" s="354"/>
      <c r="F158" s="354"/>
      <c r="G158" s="354"/>
      <c r="H158" s="354"/>
      <c r="I158" s="354"/>
      <c r="J158" s="354"/>
      <c r="K158" s="354"/>
      <c r="L158" s="354"/>
      <c r="M158" s="354"/>
      <c r="N158" s="354"/>
      <c r="O158" s="354"/>
      <c r="P158" s="354"/>
      <c r="Q158" s="354"/>
      <c r="R158" s="354"/>
      <c r="S158" s="354"/>
      <c r="T158" s="354"/>
      <c r="U158" s="354"/>
      <c r="V158" s="354"/>
      <c r="W158" s="354"/>
      <c r="X158" s="354"/>
      <c r="Y158" s="354"/>
      <c r="Z158" s="354"/>
      <c r="AA158" s="354"/>
      <c r="AB158" s="354"/>
      <c r="AC158" s="354"/>
      <c r="AD158" s="354"/>
      <c r="AE158" s="354"/>
      <c r="AF158" s="354"/>
      <c r="AG158" s="354"/>
      <c r="AH158" s="354"/>
      <c r="AI158" s="354"/>
      <c r="AJ158" s="354"/>
      <c r="AK158" s="354"/>
      <c r="AL158" s="354"/>
      <c r="AM158" s="354"/>
      <c r="AN158" s="354"/>
      <c r="AO158" s="354"/>
      <c r="AP158" s="354"/>
      <c r="AQ158" s="354"/>
      <c r="AR158" s="354"/>
      <c r="AS158" s="354"/>
      <c r="AT158" s="354"/>
      <c r="AU158" s="354"/>
      <c r="AV158" s="354"/>
      <c r="AW158" s="354"/>
      <c r="AX158" s="354"/>
      <c r="AY158" s="354"/>
      <c r="AZ158" s="354"/>
      <c r="BA158" s="354"/>
      <c r="BB158" s="354"/>
      <c r="BC158" s="354"/>
      <c r="BD158" s="354"/>
      <c r="BE158" s="354"/>
      <c r="BF158" s="354"/>
      <c r="BG158" s="354"/>
      <c r="BH158" s="354"/>
      <c r="BI158" s="354"/>
      <c r="BJ158" s="354"/>
      <c r="BK158" s="354"/>
      <c r="BL158" s="354"/>
      <c r="BM158" s="1682"/>
      <c r="BN158" s="1682"/>
      <c r="BO158" s="1682"/>
      <c r="BP158" s="1682"/>
      <c r="BQ158" s="476"/>
      <c r="BR158" s="408"/>
      <c r="BS158" s="408"/>
      <c r="BT158" s="408"/>
      <c r="BU158" s="408"/>
      <c r="BV158" s="408"/>
    </row>
    <row r="159" spans="1:74" ht="18" customHeight="1">
      <c r="A159" s="354"/>
      <c r="B159" s="354"/>
      <c r="C159" s="354"/>
      <c r="D159" s="354"/>
      <c r="E159" s="354"/>
      <c r="F159" s="354"/>
      <c r="G159" s="354"/>
      <c r="H159" s="354"/>
      <c r="I159" s="354"/>
      <c r="J159" s="354"/>
      <c r="K159" s="354"/>
      <c r="L159" s="354"/>
      <c r="M159" s="354"/>
      <c r="N159" s="354"/>
      <c r="O159" s="354"/>
      <c r="P159" s="354"/>
      <c r="Q159" s="354"/>
      <c r="R159" s="354"/>
      <c r="S159" s="354"/>
      <c r="T159" s="354"/>
      <c r="U159" s="354"/>
      <c r="V159" s="354"/>
      <c r="W159" s="354"/>
      <c r="X159" s="354"/>
      <c r="Y159" s="354"/>
      <c r="Z159" s="354"/>
      <c r="AA159" s="354"/>
      <c r="AB159" s="354"/>
      <c r="AC159" s="354"/>
      <c r="AD159" s="354"/>
      <c r="AE159" s="354"/>
      <c r="AF159" s="354"/>
      <c r="AG159" s="354"/>
      <c r="AH159" s="354"/>
      <c r="AI159" s="354"/>
      <c r="AJ159" s="354"/>
      <c r="AK159" s="354"/>
      <c r="AL159" s="354"/>
      <c r="AM159" s="354"/>
      <c r="AN159" s="354"/>
      <c r="AO159" s="354"/>
      <c r="AP159" s="354"/>
      <c r="AQ159" s="354"/>
      <c r="AR159" s="354"/>
      <c r="AS159" s="354"/>
      <c r="AT159" s="354"/>
      <c r="AU159" s="354"/>
      <c r="AV159" s="354"/>
      <c r="AW159" s="354"/>
      <c r="AX159" s="354"/>
      <c r="AY159" s="354"/>
      <c r="AZ159" s="354"/>
      <c r="BA159" s="354"/>
      <c r="BB159" s="354"/>
      <c r="BC159" s="354"/>
      <c r="BD159" s="354"/>
      <c r="BE159" s="354"/>
      <c r="BF159" s="354"/>
      <c r="BG159" s="354"/>
      <c r="BH159" s="354"/>
      <c r="BI159" s="354"/>
      <c r="BJ159" s="354"/>
      <c r="BK159" s="354"/>
      <c r="BL159" s="354"/>
      <c r="BM159" s="1682"/>
      <c r="BN159" s="1682"/>
      <c r="BO159" s="1682"/>
      <c r="BP159" s="1682"/>
      <c r="BQ159" s="476"/>
      <c r="BR159" s="408"/>
      <c r="BS159" s="408"/>
      <c r="BT159" s="408"/>
      <c r="BU159" s="408"/>
      <c r="BV159" s="408"/>
    </row>
    <row r="160" spans="1:74" ht="18" customHeight="1">
      <c r="A160" s="354"/>
      <c r="B160" s="354"/>
      <c r="C160" s="354"/>
      <c r="D160" s="354"/>
      <c r="E160" s="354"/>
      <c r="F160" s="354"/>
      <c r="G160" s="354"/>
      <c r="H160" s="354"/>
      <c r="I160" s="354"/>
      <c r="J160" s="354"/>
      <c r="K160" s="354"/>
      <c r="L160" s="354"/>
      <c r="M160" s="354"/>
      <c r="N160" s="354"/>
      <c r="O160" s="354"/>
      <c r="P160" s="354"/>
      <c r="Q160" s="354"/>
      <c r="R160" s="354"/>
      <c r="S160" s="354"/>
      <c r="T160" s="354"/>
      <c r="U160" s="354"/>
      <c r="V160" s="354"/>
      <c r="W160" s="354"/>
      <c r="X160" s="354"/>
      <c r="Y160" s="354"/>
      <c r="Z160" s="354"/>
      <c r="AA160" s="354"/>
      <c r="AB160" s="354"/>
      <c r="AC160" s="354"/>
      <c r="AD160" s="354"/>
      <c r="AE160" s="354"/>
      <c r="AF160" s="354"/>
      <c r="AG160" s="354"/>
      <c r="AH160" s="354"/>
      <c r="AI160" s="354"/>
      <c r="AJ160" s="354"/>
      <c r="AK160" s="354"/>
      <c r="AL160" s="354"/>
      <c r="AM160" s="354"/>
      <c r="AN160" s="354"/>
      <c r="AO160" s="354"/>
      <c r="AP160" s="354"/>
      <c r="AQ160" s="354"/>
      <c r="AR160" s="354"/>
      <c r="AS160" s="354"/>
      <c r="AT160" s="354"/>
      <c r="AU160" s="354"/>
      <c r="AV160" s="354"/>
      <c r="AW160" s="354"/>
      <c r="AX160" s="354"/>
      <c r="AY160" s="354"/>
      <c r="AZ160" s="354"/>
      <c r="BA160" s="354"/>
      <c r="BB160" s="354"/>
      <c r="BC160" s="354"/>
      <c r="BD160" s="354"/>
      <c r="BE160" s="354"/>
      <c r="BF160" s="354"/>
      <c r="BG160" s="354"/>
      <c r="BH160" s="354"/>
      <c r="BI160" s="354"/>
      <c r="BJ160" s="354"/>
      <c r="BK160" s="354"/>
      <c r="BL160" s="354"/>
      <c r="BM160" s="1682"/>
      <c r="BN160" s="1682"/>
      <c r="BO160" s="1682"/>
      <c r="BP160" s="1682"/>
      <c r="BQ160" s="476"/>
      <c r="BR160" s="408"/>
      <c r="BS160" s="408"/>
      <c r="BT160" s="408"/>
      <c r="BU160" s="408"/>
      <c r="BV160" s="408"/>
    </row>
    <row r="161" spans="1:74" ht="18" customHeight="1">
      <c r="A161" s="354"/>
      <c r="B161" s="354"/>
      <c r="C161" s="354"/>
      <c r="D161" s="354"/>
      <c r="E161" s="354"/>
      <c r="F161" s="354"/>
      <c r="G161" s="354"/>
      <c r="H161" s="354"/>
      <c r="I161" s="354"/>
      <c r="J161" s="354"/>
      <c r="K161" s="354"/>
      <c r="L161" s="354"/>
      <c r="M161" s="354"/>
      <c r="N161" s="354"/>
      <c r="O161" s="354"/>
      <c r="P161" s="354"/>
      <c r="Q161" s="354"/>
      <c r="R161" s="354"/>
      <c r="S161" s="354"/>
      <c r="T161" s="354"/>
      <c r="U161" s="354"/>
      <c r="V161" s="354"/>
      <c r="W161" s="354"/>
      <c r="X161" s="354"/>
      <c r="Y161" s="354"/>
      <c r="Z161" s="354"/>
      <c r="AA161" s="354"/>
      <c r="AB161" s="354"/>
      <c r="AC161" s="354"/>
      <c r="AD161" s="354"/>
      <c r="AE161" s="354"/>
      <c r="AF161" s="354"/>
      <c r="AG161" s="354"/>
      <c r="AH161" s="354"/>
      <c r="AI161" s="354"/>
      <c r="AJ161" s="354"/>
      <c r="AK161" s="354"/>
      <c r="AL161" s="354"/>
      <c r="AM161" s="354"/>
      <c r="AN161" s="354"/>
      <c r="AO161" s="354"/>
      <c r="AP161" s="354"/>
      <c r="AQ161" s="354"/>
      <c r="AR161" s="354"/>
      <c r="AS161" s="354"/>
      <c r="AT161" s="354"/>
      <c r="AU161" s="354"/>
      <c r="AV161" s="354"/>
      <c r="AW161" s="354"/>
      <c r="AX161" s="354"/>
      <c r="AY161" s="354"/>
      <c r="AZ161" s="354"/>
      <c r="BA161" s="354"/>
      <c r="BB161" s="354"/>
      <c r="BC161" s="354"/>
      <c r="BD161" s="354"/>
      <c r="BE161" s="354"/>
      <c r="BF161" s="354"/>
      <c r="BG161" s="354"/>
      <c r="BH161" s="354"/>
      <c r="BI161" s="354"/>
      <c r="BJ161" s="354"/>
      <c r="BK161" s="354"/>
      <c r="BL161" s="354"/>
      <c r="BM161" s="1682"/>
      <c r="BN161" s="1682"/>
      <c r="BO161" s="1682"/>
      <c r="BP161" s="1682"/>
      <c r="BQ161" s="476"/>
      <c r="BR161" s="408"/>
      <c r="BS161" s="408"/>
      <c r="BT161" s="408"/>
      <c r="BU161" s="408"/>
      <c r="BV161" s="408"/>
    </row>
    <row r="162" spans="1:74" ht="18" customHeight="1">
      <c r="A162" s="354"/>
      <c r="B162" s="354"/>
      <c r="C162" s="354"/>
      <c r="D162" s="354"/>
      <c r="E162" s="354"/>
      <c r="F162" s="354"/>
      <c r="G162" s="354"/>
      <c r="H162" s="354"/>
      <c r="I162" s="354"/>
      <c r="J162" s="354"/>
      <c r="K162" s="354"/>
      <c r="L162" s="354"/>
      <c r="M162" s="354"/>
      <c r="N162" s="354"/>
      <c r="O162" s="354"/>
      <c r="P162" s="354"/>
      <c r="Q162" s="354"/>
      <c r="R162" s="354"/>
      <c r="S162" s="354"/>
      <c r="T162" s="354"/>
      <c r="U162" s="354"/>
      <c r="V162" s="354"/>
      <c r="W162" s="354"/>
      <c r="X162" s="354"/>
      <c r="Y162" s="354"/>
      <c r="Z162" s="354"/>
      <c r="AA162" s="354"/>
      <c r="AB162" s="354"/>
      <c r="AC162" s="354"/>
      <c r="AD162" s="354"/>
      <c r="AE162" s="354"/>
      <c r="AF162" s="354"/>
      <c r="AG162" s="354"/>
      <c r="AH162" s="354"/>
      <c r="AI162" s="354"/>
      <c r="AJ162" s="354"/>
      <c r="AK162" s="354"/>
      <c r="AL162" s="354"/>
      <c r="AM162" s="354"/>
      <c r="AN162" s="354"/>
      <c r="AO162" s="354"/>
      <c r="AP162" s="354"/>
      <c r="AQ162" s="354"/>
      <c r="AR162" s="354"/>
      <c r="AS162" s="354"/>
      <c r="AT162" s="354"/>
      <c r="AU162" s="354"/>
      <c r="AV162" s="354"/>
      <c r="AW162" s="354"/>
      <c r="AX162" s="354"/>
      <c r="AY162" s="354"/>
      <c r="AZ162" s="354"/>
      <c r="BA162" s="354"/>
      <c r="BB162" s="354"/>
      <c r="BC162" s="354"/>
      <c r="BD162" s="354"/>
      <c r="BE162" s="354"/>
      <c r="BF162" s="354"/>
      <c r="BG162" s="354"/>
      <c r="BH162" s="354"/>
      <c r="BI162" s="354"/>
      <c r="BJ162" s="354"/>
      <c r="BK162" s="354"/>
      <c r="BL162" s="354"/>
      <c r="BM162" s="1682"/>
      <c r="BN162" s="1682"/>
      <c r="BO162" s="1682"/>
      <c r="BP162" s="1682"/>
      <c r="BQ162" s="409"/>
      <c r="BR162" s="408"/>
      <c r="BS162" s="408"/>
      <c r="BT162" s="408"/>
      <c r="BU162" s="408"/>
      <c r="BV162" s="408"/>
    </row>
    <row r="163" spans="1:74" ht="18" customHeight="1">
      <c r="A163" s="354"/>
      <c r="B163" s="354"/>
      <c r="C163" s="354"/>
      <c r="D163" s="354"/>
      <c r="E163" s="354"/>
      <c r="F163" s="354"/>
      <c r="G163" s="354"/>
      <c r="H163" s="354"/>
      <c r="I163" s="354"/>
      <c r="J163" s="354"/>
      <c r="K163" s="354"/>
      <c r="L163" s="354"/>
      <c r="M163" s="354"/>
      <c r="N163" s="354"/>
      <c r="O163" s="354"/>
      <c r="P163" s="354"/>
      <c r="Q163" s="354"/>
      <c r="R163" s="354"/>
      <c r="S163" s="354"/>
      <c r="T163" s="354"/>
      <c r="U163" s="354"/>
      <c r="V163" s="354"/>
      <c r="W163" s="354"/>
      <c r="X163" s="354"/>
      <c r="Y163" s="354"/>
      <c r="Z163" s="354"/>
      <c r="AA163" s="354"/>
      <c r="AB163" s="354"/>
      <c r="AC163" s="354"/>
      <c r="AD163" s="354"/>
      <c r="AE163" s="354"/>
      <c r="AF163" s="354"/>
      <c r="AG163" s="354"/>
      <c r="AH163" s="354"/>
      <c r="AI163" s="354"/>
      <c r="AJ163" s="354"/>
      <c r="AK163" s="354"/>
      <c r="AL163" s="354"/>
      <c r="AM163" s="354"/>
      <c r="AN163" s="354"/>
      <c r="AO163" s="354"/>
      <c r="AP163" s="354"/>
      <c r="AQ163" s="354"/>
      <c r="AR163" s="354"/>
      <c r="AS163" s="354"/>
      <c r="AT163" s="354"/>
      <c r="AU163" s="354"/>
      <c r="AV163" s="354"/>
      <c r="AW163" s="354"/>
      <c r="AX163" s="354"/>
      <c r="AY163" s="354"/>
      <c r="AZ163" s="354"/>
      <c r="BA163" s="354"/>
      <c r="BB163" s="354"/>
      <c r="BC163" s="354"/>
      <c r="BD163" s="354"/>
      <c r="BE163" s="354"/>
      <c r="BF163" s="354"/>
      <c r="BG163" s="354"/>
      <c r="BH163" s="354"/>
      <c r="BI163" s="354"/>
      <c r="BJ163" s="354"/>
      <c r="BK163" s="354"/>
      <c r="BL163" s="354"/>
      <c r="BM163" s="1682"/>
      <c r="BN163" s="1682"/>
      <c r="BO163" s="1682"/>
      <c r="BP163" s="1682"/>
      <c r="BQ163" s="476"/>
      <c r="BR163" s="408"/>
      <c r="BS163" s="408"/>
      <c r="BT163" s="408"/>
      <c r="BU163" s="408"/>
      <c r="BV163" s="408"/>
    </row>
    <row r="164" spans="1:74" ht="18" customHeight="1">
      <c r="A164" s="354"/>
      <c r="B164" s="354"/>
      <c r="C164" s="354"/>
      <c r="D164" s="354"/>
      <c r="E164" s="354"/>
      <c r="F164" s="354"/>
      <c r="G164" s="354"/>
      <c r="H164" s="354"/>
      <c r="I164" s="354"/>
      <c r="J164" s="354"/>
      <c r="K164" s="354"/>
      <c r="L164" s="354"/>
      <c r="M164" s="354"/>
      <c r="N164" s="354"/>
      <c r="O164" s="354"/>
      <c r="P164" s="354"/>
      <c r="Q164" s="354"/>
      <c r="R164" s="354"/>
      <c r="S164" s="354"/>
      <c r="T164" s="354"/>
      <c r="U164" s="354"/>
      <c r="V164" s="354"/>
      <c r="W164" s="354"/>
      <c r="X164" s="354"/>
      <c r="Y164" s="354"/>
      <c r="Z164" s="354"/>
      <c r="AA164" s="354"/>
      <c r="AB164" s="354"/>
      <c r="AC164" s="354"/>
      <c r="AD164" s="354"/>
      <c r="AE164" s="354"/>
      <c r="AF164" s="354"/>
      <c r="AG164" s="354"/>
      <c r="AH164" s="354"/>
      <c r="AI164" s="354"/>
      <c r="AJ164" s="354"/>
      <c r="AK164" s="354"/>
      <c r="AL164" s="354"/>
      <c r="AM164" s="354"/>
      <c r="AN164" s="354"/>
      <c r="AO164" s="354"/>
      <c r="AP164" s="354"/>
      <c r="AQ164" s="354"/>
      <c r="AR164" s="354"/>
      <c r="AS164" s="354"/>
      <c r="AT164" s="354"/>
      <c r="AU164" s="354"/>
      <c r="AV164" s="354"/>
      <c r="AW164" s="354"/>
      <c r="AX164" s="354"/>
      <c r="AY164" s="354"/>
      <c r="AZ164" s="354"/>
      <c r="BA164" s="354"/>
      <c r="BB164" s="354"/>
      <c r="BC164" s="354"/>
      <c r="BD164" s="354"/>
      <c r="BE164" s="354"/>
      <c r="BF164" s="354"/>
      <c r="BG164" s="354"/>
      <c r="BH164" s="354"/>
      <c r="BI164" s="354"/>
      <c r="BJ164" s="354"/>
      <c r="BK164" s="354"/>
      <c r="BL164" s="354"/>
      <c r="BM164" s="1682"/>
      <c r="BN164" s="1682"/>
      <c r="BO164" s="1682"/>
      <c r="BP164" s="1682"/>
      <c r="BQ164" s="476"/>
      <c r="BR164" s="408"/>
      <c r="BS164" s="408"/>
      <c r="BT164" s="408"/>
      <c r="BU164" s="408"/>
      <c r="BV164" s="408"/>
    </row>
    <row r="165" spans="1:74" ht="18" customHeight="1">
      <c r="A165" s="354"/>
      <c r="B165" s="354"/>
      <c r="C165" s="354"/>
      <c r="D165" s="354"/>
      <c r="E165" s="354"/>
      <c r="F165" s="354"/>
      <c r="G165" s="354"/>
      <c r="H165" s="354"/>
      <c r="I165" s="354"/>
      <c r="J165" s="354"/>
      <c r="K165" s="354"/>
      <c r="L165" s="354"/>
      <c r="M165" s="354"/>
      <c r="N165" s="354"/>
      <c r="O165" s="354"/>
      <c r="P165" s="354"/>
      <c r="Q165" s="354"/>
      <c r="R165" s="354"/>
      <c r="S165" s="354"/>
      <c r="T165" s="354"/>
      <c r="U165" s="354"/>
      <c r="V165" s="354"/>
      <c r="W165" s="354"/>
      <c r="X165" s="354"/>
      <c r="Y165" s="354"/>
      <c r="Z165" s="354"/>
      <c r="AA165" s="354"/>
      <c r="AB165" s="354"/>
      <c r="AC165" s="354"/>
      <c r="AD165" s="354"/>
      <c r="AE165" s="354"/>
      <c r="AF165" s="354"/>
      <c r="AG165" s="354"/>
      <c r="AH165" s="354"/>
      <c r="AI165" s="354"/>
      <c r="AJ165" s="354"/>
      <c r="AK165" s="354"/>
      <c r="AL165" s="354"/>
      <c r="AM165" s="354"/>
      <c r="AN165" s="354"/>
      <c r="AO165" s="354"/>
      <c r="AP165" s="354"/>
      <c r="AQ165" s="354"/>
      <c r="AR165" s="354"/>
      <c r="AS165" s="354"/>
      <c r="AT165" s="354"/>
      <c r="AU165" s="354"/>
      <c r="AV165" s="354"/>
      <c r="AW165" s="354"/>
      <c r="AX165" s="354"/>
      <c r="AY165" s="354"/>
      <c r="AZ165" s="354"/>
      <c r="BA165" s="354"/>
      <c r="BB165" s="354"/>
      <c r="BC165" s="354"/>
      <c r="BD165" s="354"/>
      <c r="BE165" s="354"/>
      <c r="BF165" s="354"/>
      <c r="BG165" s="354"/>
      <c r="BH165" s="354"/>
      <c r="BI165" s="354"/>
      <c r="BJ165" s="354"/>
      <c r="BK165" s="354"/>
      <c r="BL165" s="354"/>
      <c r="BM165" s="1682"/>
      <c r="BN165" s="1682"/>
      <c r="BO165" s="1682"/>
      <c r="BP165" s="1682"/>
      <c r="BQ165" s="476"/>
      <c r="BR165" s="408"/>
      <c r="BS165" s="408"/>
      <c r="BT165" s="408"/>
      <c r="BU165" s="408"/>
      <c r="BV165" s="408"/>
    </row>
    <row r="166" spans="1:74" ht="18" customHeight="1">
      <c r="A166" s="354"/>
      <c r="B166" s="354"/>
      <c r="C166" s="354"/>
      <c r="D166" s="354"/>
      <c r="E166" s="354"/>
      <c r="F166" s="354"/>
      <c r="G166" s="354"/>
      <c r="H166" s="354"/>
      <c r="I166" s="354"/>
      <c r="J166" s="354"/>
      <c r="K166" s="354"/>
      <c r="L166" s="354"/>
      <c r="M166" s="354"/>
      <c r="N166" s="354"/>
      <c r="O166" s="354"/>
      <c r="P166" s="354"/>
      <c r="Q166" s="354"/>
      <c r="R166" s="354"/>
      <c r="S166" s="354"/>
      <c r="T166" s="354"/>
      <c r="U166" s="354"/>
      <c r="V166" s="354"/>
      <c r="W166" s="354"/>
      <c r="X166" s="354"/>
      <c r="Y166" s="354"/>
      <c r="Z166" s="354"/>
      <c r="AA166" s="354"/>
      <c r="AB166" s="354"/>
      <c r="AC166" s="354"/>
      <c r="AD166" s="354"/>
      <c r="AE166" s="354"/>
      <c r="AF166" s="354"/>
      <c r="AG166" s="354"/>
      <c r="AH166" s="354"/>
      <c r="AI166" s="354"/>
      <c r="AJ166" s="354"/>
      <c r="AK166" s="354"/>
      <c r="AL166" s="354"/>
      <c r="AM166" s="354"/>
      <c r="AN166" s="354"/>
      <c r="AO166" s="354"/>
      <c r="AP166" s="354"/>
      <c r="AQ166" s="354"/>
      <c r="AR166" s="354"/>
      <c r="AS166" s="354"/>
      <c r="AT166" s="354"/>
      <c r="AU166" s="354"/>
      <c r="AV166" s="354"/>
      <c r="AW166" s="354"/>
      <c r="AX166" s="354"/>
      <c r="AY166" s="354"/>
      <c r="AZ166" s="354"/>
      <c r="BA166" s="354"/>
      <c r="BB166" s="354"/>
      <c r="BC166" s="354"/>
      <c r="BD166" s="354"/>
      <c r="BE166" s="354"/>
      <c r="BF166" s="354"/>
      <c r="BG166" s="354"/>
      <c r="BH166" s="354"/>
      <c r="BI166" s="354"/>
      <c r="BJ166" s="354"/>
      <c r="BK166" s="354"/>
      <c r="BL166" s="354"/>
      <c r="BM166" s="1682"/>
      <c r="BN166" s="1682"/>
      <c r="BO166" s="1682"/>
      <c r="BP166" s="1682"/>
      <c r="BQ166" s="476"/>
      <c r="BR166" s="408"/>
      <c r="BS166" s="408"/>
      <c r="BT166" s="408"/>
      <c r="BU166" s="408"/>
      <c r="BV166" s="408"/>
    </row>
    <row r="167" spans="1:74" ht="18" customHeight="1">
      <c r="A167" s="354"/>
      <c r="B167" s="354"/>
      <c r="C167" s="354"/>
      <c r="D167" s="354"/>
      <c r="E167" s="354"/>
      <c r="F167" s="354"/>
      <c r="G167" s="354"/>
      <c r="H167" s="354"/>
      <c r="I167" s="354"/>
      <c r="J167" s="354"/>
      <c r="K167" s="354"/>
      <c r="L167" s="354"/>
      <c r="M167" s="354"/>
      <c r="N167" s="354"/>
      <c r="O167" s="354"/>
      <c r="P167" s="354"/>
      <c r="Q167" s="354"/>
      <c r="R167" s="354"/>
      <c r="S167" s="354"/>
      <c r="T167" s="354"/>
      <c r="U167" s="354"/>
      <c r="V167" s="354"/>
      <c r="W167" s="354"/>
      <c r="X167" s="354"/>
      <c r="Y167" s="354"/>
      <c r="Z167" s="354"/>
      <c r="AA167" s="354"/>
      <c r="AB167" s="354"/>
      <c r="AC167" s="354"/>
      <c r="AD167" s="354"/>
      <c r="AE167" s="354"/>
      <c r="AF167" s="354"/>
      <c r="AG167" s="354"/>
      <c r="AH167" s="354"/>
      <c r="AI167" s="354"/>
      <c r="AJ167" s="354"/>
      <c r="AK167" s="354"/>
      <c r="AL167" s="354"/>
      <c r="AM167" s="354"/>
      <c r="AN167" s="354"/>
      <c r="AO167" s="354"/>
      <c r="AP167" s="354"/>
      <c r="AQ167" s="354"/>
      <c r="AR167" s="354"/>
      <c r="AS167" s="354"/>
      <c r="AT167" s="354"/>
      <c r="AU167" s="354"/>
      <c r="AV167" s="354"/>
      <c r="AW167" s="354"/>
      <c r="AX167" s="354"/>
      <c r="AY167" s="354"/>
      <c r="AZ167" s="354"/>
      <c r="BA167" s="354"/>
      <c r="BB167" s="354"/>
      <c r="BC167" s="354"/>
      <c r="BD167" s="354"/>
      <c r="BE167" s="354"/>
      <c r="BF167" s="354"/>
      <c r="BG167" s="354"/>
      <c r="BH167" s="354"/>
      <c r="BI167" s="354"/>
      <c r="BJ167" s="354"/>
      <c r="BK167" s="354"/>
      <c r="BL167" s="354"/>
      <c r="BM167" s="1682"/>
      <c r="BN167" s="1682"/>
      <c r="BO167" s="1682"/>
      <c r="BP167" s="1682"/>
      <c r="BQ167" s="410"/>
      <c r="BR167" s="407"/>
      <c r="BS167" s="407"/>
      <c r="BT167" s="407"/>
      <c r="BU167" s="407"/>
      <c r="BV167" s="407"/>
    </row>
    <row r="168" spans="1:74" ht="18" customHeight="1">
      <c r="A168" s="354"/>
      <c r="B168" s="354"/>
      <c r="C168" s="354"/>
      <c r="D168" s="354"/>
      <c r="E168" s="354"/>
      <c r="F168" s="354"/>
      <c r="G168" s="354"/>
      <c r="H168" s="354"/>
      <c r="I168" s="354"/>
      <c r="J168" s="354"/>
      <c r="K168" s="354"/>
      <c r="L168" s="354"/>
      <c r="M168" s="354"/>
      <c r="N168" s="354"/>
      <c r="O168" s="354"/>
      <c r="P168" s="354"/>
      <c r="Q168" s="354"/>
      <c r="R168" s="354"/>
      <c r="S168" s="354"/>
      <c r="T168" s="354"/>
      <c r="U168" s="354"/>
      <c r="V168" s="354"/>
      <c r="W168" s="354"/>
      <c r="X168" s="354"/>
      <c r="Y168" s="354"/>
      <c r="Z168" s="354"/>
      <c r="AA168" s="354"/>
      <c r="AB168" s="354"/>
      <c r="AC168" s="354"/>
      <c r="AD168" s="354"/>
      <c r="AE168" s="354"/>
      <c r="AF168" s="354"/>
      <c r="AG168" s="354"/>
      <c r="AH168" s="354"/>
      <c r="AI168" s="354"/>
      <c r="AJ168" s="354"/>
      <c r="AK168" s="354"/>
      <c r="AL168" s="354"/>
      <c r="AM168" s="354"/>
      <c r="AN168" s="354"/>
      <c r="AO168" s="354"/>
      <c r="AP168" s="354"/>
      <c r="AQ168" s="354"/>
      <c r="AR168" s="354"/>
      <c r="AS168" s="354"/>
      <c r="AT168" s="354"/>
      <c r="AU168" s="354"/>
      <c r="AV168" s="354"/>
      <c r="AW168" s="354"/>
      <c r="AX168" s="354"/>
      <c r="AY168" s="354"/>
      <c r="AZ168" s="354"/>
      <c r="BA168" s="354"/>
      <c r="BB168" s="354"/>
      <c r="BC168" s="354"/>
      <c r="BD168" s="354"/>
      <c r="BE168" s="354"/>
      <c r="BF168" s="354"/>
      <c r="BG168" s="354"/>
      <c r="BH168" s="354"/>
      <c r="BI168" s="354"/>
      <c r="BJ168" s="354"/>
      <c r="BK168" s="354"/>
      <c r="BL168" s="354"/>
      <c r="BM168" s="1682"/>
      <c r="BN168" s="1682"/>
      <c r="BO168" s="1682"/>
      <c r="BP168" s="1682"/>
      <c r="BQ168" s="476"/>
      <c r="BR168" s="408"/>
      <c r="BS168" s="408"/>
      <c r="BT168" s="408"/>
      <c r="BU168" s="408"/>
      <c r="BV168" s="408"/>
    </row>
    <row r="169" spans="1:74" ht="18" customHeight="1">
      <c r="A169" s="354"/>
      <c r="B169" s="354"/>
      <c r="C169" s="354"/>
      <c r="D169" s="354"/>
      <c r="E169" s="354"/>
      <c r="F169" s="354"/>
      <c r="G169" s="354"/>
      <c r="H169" s="354"/>
      <c r="I169" s="354"/>
      <c r="J169" s="354"/>
      <c r="K169" s="354"/>
      <c r="L169" s="354"/>
      <c r="M169" s="354"/>
      <c r="N169" s="354"/>
      <c r="O169" s="354"/>
      <c r="P169" s="354"/>
      <c r="Q169" s="354"/>
      <c r="R169" s="354"/>
      <c r="S169" s="354"/>
      <c r="T169" s="354"/>
      <c r="U169" s="354"/>
      <c r="V169" s="354"/>
      <c r="W169" s="354"/>
      <c r="X169" s="354"/>
      <c r="Y169" s="354"/>
      <c r="Z169" s="354"/>
      <c r="AA169" s="354"/>
      <c r="AB169" s="354"/>
      <c r="AC169" s="354"/>
      <c r="AD169" s="354"/>
      <c r="AE169" s="354"/>
      <c r="AF169" s="354"/>
      <c r="AG169" s="354"/>
      <c r="AH169" s="354"/>
      <c r="AI169" s="354"/>
      <c r="AJ169" s="354"/>
      <c r="AK169" s="354"/>
      <c r="AL169" s="354"/>
      <c r="AM169" s="354"/>
      <c r="AN169" s="354"/>
      <c r="AO169" s="354"/>
      <c r="AP169" s="354"/>
      <c r="AQ169" s="354"/>
      <c r="AR169" s="354"/>
      <c r="AS169" s="354"/>
      <c r="AT169" s="354"/>
      <c r="AU169" s="354"/>
      <c r="AV169" s="354"/>
      <c r="AW169" s="354"/>
      <c r="AX169" s="354"/>
      <c r="AY169" s="354"/>
      <c r="AZ169" s="354"/>
      <c r="BA169" s="354"/>
      <c r="BB169" s="354"/>
      <c r="BC169" s="354"/>
      <c r="BD169" s="354"/>
      <c r="BE169" s="354"/>
      <c r="BF169" s="354"/>
      <c r="BG169" s="354"/>
      <c r="BH169" s="354"/>
      <c r="BI169" s="354"/>
      <c r="BJ169" s="354"/>
      <c r="BK169" s="354"/>
      <c r="BL169" s="354"/>
      <c r="BM169" s="1682"/>
      <c r="BN169" s="1682"/>
      <c r="BO169" s="1682"/>
      <c r="BP169" s="1682"/>
      <c r="BQ169" s="476"/>
      <c r="BR169" s="408"/>
      <c r="BS169" s="408"/>
      <c r="BT169" s="408"/>
      <c r="BU169" s="408"/>
      <c r="BV169" s="408"/>
    </row>
    <row r="170" spans="1:74" ht="18" customHeight="1">
      <c r="A170" s="354"/>
      <c r="B170" s="354"/>
      <c r="C170" s="354"/>
      <c r="D170" s="354"/>
      <c r="E170" s="354"/>
      <c r="F170" s="354"/>
      <c r="G170" s="354"/>
      <c r="H170" s="354"/>
      <c r="I170" s="354"/>
      <c r="J170" s="354"/>
      <c r="K170" s="354"/>
      <c r="L170" s="354"/>
      <c r="M170" s="354"/>
      <c r="N170" s="354"/>
      <c r="O170" s="354"/>
      <c r="P170" s="354"/>
      <c r="Q170" s="354"/>
      <c r="R170" s="354"/>
      <c r="S170" s="354"/>
      <c r="T170" s="354"/>
      <c r="U170" s="354"/>
      <c r="V170" s="354"/>
      <c r="W170" s="354"/>
      <c r="X170" s="354"/>
      <c r="Y170" s="354"/>
      <c r="Z170" s="354"/>
      <c r="AA170" s="354"/>
      <c r="AB170" s="354"/>
      <c r="AC170" s="354"/>
      <c r="AD170" s="354"/>
      <c r="AE170" s="354"/>
      <c r="AF170" s="354"/>
      <c r="AG170" s="354"/>
      <c r="AH170" s="354"/>
      <c r="AI170" s="354"/>
      <c r="AJ170" s="354"/>
      <c r="AK170" s="354"/>
      <c r="AL170" s="354"/>
      <c r="AM170" s="354"/>
      <c r="AN170" s="354"/>
      <c r="AO170" s="354"/>
      <c r="AP170" s="354"/>
      <c r="AQ170" s="354"/>
      <c r="AR170" s="354"/>
      <c r="AS170" s="354"/>
      <c r="AT170" s="354"/>
      <c r="AU170" s="354"/>
      <c r="AV170" s="354"/>
      <c r="AW170" s="354"/>
      <c r="AX170" s="354"/>
      <c r="AY170" s="354"/>
      <c r="AZ170" s="354"/>
      <c r="BA170" s="354"/>
      <c r="BB170" s="354"/>
      <c r="BC170" s="354"/>
      <c r="BD170" s="354"/>
      <c r="BE170" s="354"/>
      <c r="BF170" s="354"/>
      <c r="BG170" s="354"/>
      <c r="BH170" s="354"/>
      <c r="BI170" s="354"/>
      <c r="BJ170" s="354"/>
      <c r="BK170" s="354"/>
      <c r="BL170" s="354"/>
      <c r="BM170" s="1682"/>
      <c r="BN170" s="1682"/>
      <c r="BO170" s="1682"/>
      <c r="BP170" s="1682"/>
      <c r="BQ170" s="476"/>
      <c r="BR170" s="408"/>
      <c r="BS170" s="408"/>
      <c r="BT170" s="408"/>
      <c r="BU170" s="408"/>
      <c r="BV170" s="408"/>
    </row>
    <row r="171" spans="1:74" ht="18" customHeight="1">
      <c r="A171" s="354"/>
      <c r="B171" s="354"/>
      <c r="C171" s="354"/>
      <c r="D171" s="354"/>
      <c r="E171" s="354"/>
      <c r="F171" s="354"/>
      <c r="G171" s="354"/>
      <c r="H171" s="354"/>
      <c r="I171" s="354"/>
      <c r="J171" s="354"/>
      <c r="K171" s="354"/>
      <c r="L171" s="354"/>
      <c r="M171" s="354"/>
      <c r="N171" s="354"/>
      <c r="O171" s="354"/>
      <c r="P171" s="354"/>
      <c r="Q171" s="354"/>
      <c r="R171" s="354"/>
      <c r="S171" s="354"/>
      <c r="T171" s="354"/>
      <c r="U171" s="354"/>
      <c r="V171" s="354"/>
      <c r="W171" s="354"/>
      <c r="X171" s="354"/>
      <c r="Y171" s="354"/>
      <c r="Z171" s="354"/>
      <c r="AA171" s="354"/>
      <c r="AB171" s="354"/>
      <c r="AC171" s="354"/>
      <c r="AD171" s="354"/>
      <c r="AE171" s="354"/>
      <c r="AF171" s="354"/>
      <c r="AG171" s="354"/>
      <c r="AH171" s="354"/>
      <c r="AI171" s="354"/>
      <c r="AJ171" s="354"/>
      <c r="AK171" s="354"/>
      <c r="AL171" s="354"/>
      <c r="AM171" s="354"/>
      <c r="AN171" s="354"/>
      <c r="AO171" s="354"/>
      <c r="AP171" s="354"/>
      <c r="AQ171" s="354"/>
      <c r="AR171" s="354"/>
      <c r="AS171" s="354"/>
      <c r="AT171" s="354"/>
      <c r="AU171" s="354"/>
      <c r="AV171" s="354"/>
      <c r="AW171" s="354"/>
      <c r="AX171" s="354"/>
      <c r="AY171" s="354"/>
      <c r="AZ171" s="354"/>
      <c r="BA171" s="354"/>
      <c r="BB171" s="354"/>
      <c r="BC171" s="354"/>
      <c r="BD171" s="354"/>
      <c r="BE171" s="354"/>
      <c r="BF171" s="354"/>
      <c r="BG171" s="354"/>
      <c r="BH171" s="354"/>
      <c r="BI171" s="354"/>
      <c r="BJ171" s="354"/>
      <c r="BK171" s="354"/>
      <c r="BL171" s="354"/>
      <c r="BM171" s="1682"/>
      <c r="BN171" s="1682"/>
      <c r="BO171" s="1682"/>
      <c r="BP171" s="1682"/>
      <c r="BQ171" s="476"/>
      <c r="BR171" s="408"/>
      <c r="BS171" s="408"/>
      <c r="BT171" s="408"/>
      <c r="BU171" s="408"/>
      <c r="BV171" s="408"/>
    </row>
    <row r="172" spans="1:74" ht="18" customHeight="1">
      <c r="A172" s="354"/>
      <c r="B172" s="354"/>
      <c r="C172" s="354"/>
      <c r="D172" s="354"/>
      <c r="E172" s="354"/>
      <c r="F172" s="354"/>
      <c r="G172" s="354"/>
      <c r="H172" s="354"/>
      <c r="I172" s="354"/>
      <c r="J172" s="354"/>
      <c r="K172" s="354"/>
      <c r="L172" s="354"/>
      <c r="M172" s="354"/>
      <c r="N172" s="354"/>
      <c r="O172" s="354"/>
      <c r="P172" s="354"/>
      <c r="Q172" s="354"/>
      <c r="R172" s="354"/>
      <c r="S172" s="354"/>
      <c r="T172" s="354"/>
      <c r="U172" s="354"/>
      <c r="V172" s="354"/>
      <c r="W172" s="354"/>
      <c r="X172" s="354"/>
      <c r="Y172" s="354"/>
      <c r="Z172" s="354"/>
      <c r="AA172" s="354"/>
      <c r="AB172" s="354"/>
      <c r="AC172" s="354"/>
      <c r="AD172" s="354"/>
      <c r="AE172" s="354"/>
      <c r="AF172" s="354"/>
      <c r="AG172" s="354"/>
      <c r="AH172" s="354"/>
      <c r="AI172" s="354"/>
      <c r="AJ172" s="354"/>
      <c r="AK172" s="354"/>
      <c r="AL172" s="354"/>
      <c r="AM172" s="354"/>
      <c r="AN172" s="354"/>
      <c r="AO172" s="354"/>
      <c r="AP172" s="354"/>
      <c r="AQ172" s="354"/>
      <c r="AR172" s="354"/>
      <c r="AS172" s="354"/>
      <c r="AT172" s="354"/>
      <c r="AU172" s="354"/>
      <c r="AV172" s="354"/>
      <c r="AW172" s="354"/>
      <c r="AX172" s="354"/>
      <c r="AY172" s="354"/>
      <c r="AZ172" s="354"/>
      <c r="BA172" s="354"/>
      <c r="BB172" s="354"/>
      <c r="BC172" s="354"/>
      <c r="BD172" s="354"/>
      <c r="BE172" s="354"/>
      <c r="BF172" s="354"/>
      <c r="BG172" s="354"/>
      <c r="BH172" s="354"/>
      <c r="BI172" s="354"/>
      <c r="BJ172" s="354"/>
      <c r="BK172" s="354"/>
      <c r="BL172" s="354"/>
      <c r="BM172" s="1682"/>
      <c r="BN172" s="1682"/>
      <c r="BO172" s="1682"/>
      <c r="BP172" s="1682"/>
      <c r="BQ172" s="476"/>
      <c r="BR172" s="408"/>
      <c r="BS172" s="408"/>
      <c r="BT172" s="408"/>
      <c r="BU172" s="408"/>
      <c r="BV172" s="408"/>
    </row>
    <row r="173" spans="1:74" ht="18" customHeight="1">
      <c r="A173" s="354"/>
      <c r="B173" s="354"/>
      <c r="C173" s="354"/>
      <c r="D173" s="354"/>
      <c r="E173" s="354"/>
      <c r="F173" s="354"/>
      <c r="G173" s="354"/>
      <c r="H173" s="354"/>
      <c r="I173" s="354"/>
      <c r="J173" s="354"/>
      <c r="K173" s="354"/>
      <c r="L173" s="354"/>
      <c r="M173" s="354"/>
      <c r="N173" s="354"/>
      <c r="O173" s="354"/>
      <c r="P173" s="354"/>
      <c r="Q173" s="354"/>
      <c r="R173" s="354"/>
      <c r="S173" s="354"/>
      <c r="T173" s="354"/>
      <c r="U173" s="354"/>
      <c r="V173" s="354"/>
      <c r="W173" s="354"/>
      <c r="X173" s="354"/>
      <c r="Y173" s="354"/>
      <c r="Z173" s="354"/>
      <c r="AA173" s="354"/>
      <c r="AB173" s="354"/>
      <c r="AC173" s="354"/>
      <c r="AD173" s="354"/>
      <c r="AE173" s="354"/>
      <c r="AF173" s="354"/>
      <c r="AG173" s="354"/>
      <c r="AH173" s="354"/>
      <c r="AI173" s="354"/>
      <c r="AJ173" s="354"/>
      <c r="AK173" s="354"/>
      <c r="AL173" s="354"/>
      <c r="AM173" s="354"/>
      <c r="AN173" s="354"/>
      <c r="AO173" s="354"/>
      <c r="AP173" s="354"/>
      <c r="AQ173" s="354"/>
      <c r="AR173" s="354"/>
      <c r="AS173" s="354"/>
      <c r="AT173" s="354"/>
      <c r="AU173" s="354"/>
      <c r="AV173" s="354"/>
      <c r="AW173" s="354"/>
      <c r="AX173" s="354"/>
      <c r="AY173" s="354"/>
      <c r="AZ173" s="354"/>
      <c r="BA173" s="354"/>
      <c r="BB173" s="354"/>
      <c r="BC173" s="354"/>
      <c r="BD173" s="354"/>
      <c r="BE173" s="354"/>
      <c r="BF173" s="354"/>
      <c r="BG173" s="354"/>
      <c r="BH173" s="354"/>
      <c r="BI173" s="354"/>
      <c r="BJ173" s="354"/>
      <c r="BK173" s="354"/>
      <c r="BL173" s="354"/>
      <c r="BM173" s="1682"/>
      <c r="BN173" s="1682"/>
      <c r="BO173" s="1682"/>
      <c r="BP173" s="1682"/>
      <c r="BQ173" s="409"/>
      <c r="BR173" s="408"/>
      <c r="BS173" s="408"/>
      <c r="BT173" s="408"/>
      <c r="BU173" s="408"/>
      <c r="BV173" s="408"/>
    </row>
    <row r="174" spans="1:74" ht="18" customHeight="1">
      <c r="A174" s="354"/>
      <c r="B174" s="354"/>
      <c r="C174" s="354"/>
      <c r="D174" s="354"/>
      <c r="E174" s="354"/>
      <c r="F174" s="354"/>
      <c r="G174" s="354"/>
      <c r="H174" s="354"/>
      <c r="I174" s="354"/>
      <c r="J174" s="354"/>
      <c r="K174" s="354"/>
      <c r="L174" s="354"/>
      <c r="M174" s="354"/>
      <c r="N174" s="354"/>
      <c r="O174" s="354"/>
      <c r="P174" s="354"/>
      <c r="Q174" s="354"/>
      <c r="R174" s="354"/>
      <c r="S174" s="354"/>
      <c r="T174" s="354"/>
      <c r="U174" s="354"/>
      <c r="V174" s="354"/>
      <c r="W174" s="354"/>
      <c r="X174" s="354"/>
      <c r="Y174" s="354"/>
      <c r="Z174" s="354"/>
      <c r="AA174" s="354"/>
      <c r="AB174" s="354"/>
      <c r="AC174" s="354"/>
      <c r="AD174" s="354"/>
      <c r="AE174" s="354"/>
      <c r="AF174" s="354"/>
      <c r="AG174" s="354"/>
      <c r="AH174" s="354"/>
      <c r="AI174" s="354"/>
      <c r="AJ174" s="354"/>
      <c r="AK174" s="354"/>
      <c r="AL174" s="354"/>
      <c r="AM174" s="354"/>
      <c r="AN174" s="354"/>
      <c r="AO174" s="354"/>
      <c r="AP174" s="354"/>
      <c r="AQ174" s="354"/>
      <c r="AR174" s="354"/>
      <c r="AS174" s="354"/>
      <c r="AT174" s="354"/>
      <c r="AU174" s="354"/>
      <c r="AV174" s="354"/>
      <c r="AW174" s="354"/>
      <c r="AX174" s="354"/>
      <c r="AY174" s="354"/>
      <c r="AZ174" s="354"/>
      <c r="BA174" s="354"/>
      <c r="BB174" s="354"/>
      <c r="BC174" s="354"/>
      <c r="BD174" s="354"/>
      <c r="BE174" s="354"/>
      <c r="BF174" s="354"/>
      <c r="BG174" s="354"/>
      <c r="BH174" s="354"/>
      <c r="BI174" s="354"/>
      <c r="BJ174" s="354"/>
      <c r="BK174" s="354"/>
      <c r="BL174" s="354"/>
      <c r="BM174" s="1682"/>
      <c r="BN174" s="1682"/>
      <c r="BO174" s="1682"/>
      <c r="BP174" s="1682"/>
      <c r="BQ174" s="476"/>
      <c r="BR174" s="408"/>
      <c r="BS174" s="408"/>
      <c r="BT174" s="408"/>
      <c r="BU174" s="408"/>
      <c r="BV174" s="408"/>
    </row>
    <row r="175" spans="1:74" ht="18" customHeight="1">
      <c r="A175" s="354"/>
      <c r="B175" s="354"/>
      <c r="C175" s="354"/>
      <c r="D175" s="354"/>
      <c r="E175" s="354"/>
      <c r="F175" s="354"/>
      <c r="G175" s="354"/>
      <c r="H175" s="354"/>
      <c r="I175" s="354"/>
      <c r="J175" s="354"/>
      <c r="K175" s="354"/>
      <c r="L175" s="354"/>
      <c r="M175" s="354"/>
      <c r="N175" s="354"/>
      <c r="O175" s="354"/>
      <c r="P175" s="354"/>
      <c r="Q175" s="354"/>
      <c r="R175" s="354"/>
      <c r="S175" s="354"/>
      <c r="T175" s="354"/>
      <c r="U175" s="354"/>
      <c r="V175" s="354"/>
      <c r="W175" s="354"/>
      <c r="X175" s="354"/>
      <c r="Y175" s="354"/>
      <c r="Z175" s="354"/>
      <c r="AA175" s="354"/>
      <c r="AB175" s="354"/>
      <c r="AC175" s="354"/>
      <c r="AD175" s="354"/>
      <c r="AE175" s="354"/>
      <c r="AF175" s="354"/>
      <c r="AG175" s="354"/>
      <c r="AH175" s="354"/>
      <c r="AI175" s="354"/>
      <c r="AJ175" s="354"/>
      <c r="AK175" s="354"/>
      <c r="AL175" s="354"/>
      <c r="AM175" s="354"/>
      <c r="AN175" s="354"/>
      <c r="AO175" s="354"/>
      <c r="AP175" s="354"/>
      <c r="AQ175" s="354"/>
      <c r="AR175" s="354"/>
      <c r="AS175" s="354"/>
      <c r="AT175" s="354"/>
      <c r="AU175" s="354"/>
      <c r="AV175" s="354"/>
      <c r="AW175" s="354"/>
      <c r="AX175" s="354"/>
      <c r="AY175" s="354"/>
      <c r="AZ175" s="354"/>
      <c r="BA175" s="354"/>
      <c r="BB175" s="354"/>
      <c r="BC175" s="354"/>
      <c r="BD175" s="354"/>
      <c r="BE175" s="354"/>
      <c r="BF175" s="354"/>
      <c r="BG175" s="354"/>
      <c r="BH175" s="354"/>
      <c r="BI175" s="354"/>
      <c r="BJ175" s="354"/>
      <c r="BK175" s="354"/>
      <c r="BL175" s="354"/>
      <c r="BM175" s="1682"/>
      <c r="BN175" s="1682"/>
      <c r="BO175" s="1682"/>
      <c r="BP175" s="1682"/>
      <c r="BQ175" s="476"/>
      <c r="BR175" s="408"/>
      <c r="BS175" s="408"/>
      <c r="BT175" s="408"/>
      <c r="BU175" s="408"/>
      <c r="BV175" s="408"/>
    </row>
    <row r="176" spans="1:74" ht="18" customHeight="1">
      <c r="A176" s="354"/>
      <c r="B176" s="354"/>
      <c r="C176" s="354"/>
      <c r="D176" s="354"/>
      <c r="E176" s="354"/>
      <c r="F176" s="354"/>
      <c r="G176" s="354"/>
      <c r="H176" s="354"/>
      <c r="I176" s="354"/>
      <c r="J176" s="354"/>
      <c r="K176" s="354"/>
      <c r="L176" s="354"/>
      <c r="M176" s="354"/>
      <c r="N176" s="354"/>
      <c r="O176" s="354"/>
      <c r="P176" s="354"/>
      <c r="Q176" s="354"/>
      <c r="R176" s="354"/>
      <c r="S176" s="354"/>
      <c r="T176" s="354"/>
      <c r="U176" s="354"/>
      <c r="V176" s="354"/>
      <c r="W176" s="354"/>
      <c r="X176" s="354"/>
      <c r="Y176" s="354"/>
      <c r="Z176" s="354"/>
      <c r="AA176" s="354"/>
      <c r="AB176" s="354"/>
      <c r="AC176" s="354"/>
      <c r="AD176" s="354"/>
      <c r="AE176" s="354"/>
      <c r="AF176" s="354"/>
      <c r="AG176" s="354"/>
      <c r="AH176" s="354"/>
      <c r="AI176" s="354"/>
      <c r="AJ176" s="354"/>
      <c r="AK176" s="354"/>
      <c r="AL176" s="354"/>
      <c r="AM176" s="354"/>
      <c r="AN176" s="354"/>
      <c r="AO176" s="354"/>
      <c r="AP176" s="354"/>
      <c r="AQ176" s="354"/>
      <c r="AR176" s="354"/>
      <c r="AS176" s="354"/>
      <c r="AT176" s="354"/>
      <c r="AU176" s="354"/>
      <c r="AV176" s="354"/>
      <c r="AW176" s="354"/>
      <c r="AX176" s="354"/>
      <c r="AY176" s="354"/>
      <c r="AZ176" s="354"/>
      <c r="BA176" s="354"/>
      <c r="BB176" s="354"/>
      <c r="BC176" s="354"/>
      <c r="BD176" s="354"/>
      <c r="BE176" s="354"/>
      <c r="BF176" s="354"/>
      <c r="BG176" s="354"/>
      <c r="BH176" s="354"/>
      <c r="BI176" s="354"/>
      <c r="BJ176" s="354"/>
      <c r="BK176" s="354"/>
      <c r="BL176" s="354"/>
      <c r="BM176" s="1682"/>
      <c r="BN176" s="1682"/>
      <c r="BO176" s="1682"/>
      <c r="BP176" s="1682"/>
      <c r="BQ176" s="476"/>
      <c r="BR176" s="408"/>
      <c r="BS176" s="408"/>
      <c r="BT176" s="408"/>
      <c r="BU176" s="408"/>
      <c r="BV176" s="408"/>
    </row>
    <row r="177" spans="1:74" ht="18" customHeight="1">
      <c r="A177" s="354"/>
      <c r="B177" s="354"/>
      <c r="C177" s="354"/>
      <c r="D177" s="354"/>
      <c r="E177" s="354"/>
      <c r="F177" s="354"/>
      <c r="G177" s="354"/>
      <c r="H177" s="354"/>
      <c r="I177" s="354"/>
      <c r="J177" s="354"/>
      <c r="K177" s="354"/>
      <c r="L177" s="354"/>
      <c r="M177" s="354"/>
      <c r="N177" s="354"/>
      <c r="O177" s="354"/>
      <c r="P177" s="354"/>
      <c r="Q177" s="354"/>
      <c r="R177" s="354"/>
      <c r="S177" s="354"/>
      <c r="T177" s="354"/>
      <c r="U177" s="354"/>
      <c r="V177" s="354"/>
      <c r="W177" s="354"/>
      <c r="X177" s="354"/>
      <c r="Y177" s="354"/>
      <c r="Z177" s="354"/>
      <c r="AA177" s="354"/>
      <c r="AB177" s="354"/>
      <c r="AC177" s="354"/>
      <c r="AD177" s="354"/>
      <c r="AE177" s="354"/>
      <c r="AF177" s="354"/>
      <c r="AG177" s="354"/>
      <c r="AH177" s="354"/>
      <c r="AI177" s="354"/>
      <c r="AJ177" s="354"/>
      <c r="AK177" s="354"/>
      <c r="AL177" s="354"/>
      <c r="AM177" s="354"/>
      <c r="AN177" s="354"/>
      <c r="AO177" s="354"/>
      <c r="AP177" s="354"/>
      <c r="AQ177" s="354"/>
      <c r="AR177" s="354"/>
      <c r="AS177" s="354"/>
      <c r="AT177" s="354"/>
      <c r="AU177" s="354"/>
      <c r="AV177" s="354"/>
      <c r="AW177" s="354"/>
      <c r="AX177" s="354"/>
      <c r="AY177" s="354"/>
      <c r="AZ177" s="354"/>
      <c r="BA177" s="354"/>
      <c r="BB177" s="354"/>
      <c r="BC177" s="354"/>
      <c r="BD177" s="354"/>
      <c r="BE177" s="354"/>
      <c r="BF177" s="354"/>
      <c r="BG177" s="354"/>
      <c r="BH177" s="354"/>
      <c r="BI177" s="354"/>
      <c r="BJ177" s="354"/>
      <c r="BK177" s="354"/>
      <c r="BL177" s="354"/>
      <c r="BM177" s="1682"/>
      <c r="BN177" s="1682"/>
      <c r="BO177" s="1682"/>
      <c r="BP177" s="1682"/>
      <c r="BQ177" s="476"/>
      <c r="BR177" s="408"/>
      <c r="BS177" s="408"/>
      <c r="BT177" s="408"/>
      <c r="BU177" s="408"/>
      <c r="BV177" s="408"/>
    </row>
    <row r="178" spans="1:74" ht="18" customHeight="1">
      <c r="A178" s="354"/>
      <c r="B178" s="354"/>
      <c r="C178" s="354"/>
      <c r="D178" s="354"/>
      <c r="E178" s="354"/>
      <c r="F178" s="354"/>
      <c r="G178" s="354"/>
      <c r="H178" s="354"/>
      <c r="I178" s="354"/>
      <c r="J178" s="354"/>
      <c r="K178" s="354"/>
      <c r="L178" s="354"/>
      <c r="M178" s="354"/>
      <c r="N178" s="354"/>
      <c r="O178" s="354"/>
      <c r="P178" s="354"/>
      <c r="Q178" s="354"/>
      <c r="R178" s="354"/>
      <c r="S178" s="354"/>
      <c r="T178" s="354"/>
      <c r="U178" s="354"/>
      <c r="V178" s="354"/>
      <c r="W178" s="354"/>
      <c r="X178" s="354"/>
      <c r="Y178" s="354"/>
      <c r="Z178" s="354"/>
      <c r="AA178" s="354"/>
      <c r="AB178" s="354"/>
      <c r="AC178" s="354"/>
      <c r="AD178" s="354"/>
      <c r="AE178" s="354"/>
      <c r="AF178" s="354"/>
      <c r="AG178" s="354"/>
      <c r="AH178" s="354"/>
      <c r="AI178" s="354"/>
      <c r="AJ178" s="354"/>
      <c r="AK178" s="354"/>
      <c r="AL178" s="354"/>
      <c r="AM178" s="354"/>
      <c r="AN178" s="354"/>
      <c r="AO178" s="354"/>
      <c r="AP178" s="354"/>
      <c r="AQ178" s="354"/>
      <c r="AR178" s="354"/>
      <c r="AS178" s="354"/>
      <c r="AT178" s="354"/>
      <c r="AU178" s="354"/>
      <c r="AV178" s="354"/>
      <c r="AW178" s="354"/>
      <c r="AX178" s="354"/>
      <c r="AY178" s="354"/>
      <c r="AZ178" s="354"/>
      <c r="BA178" s="354"/>
      <c r="BB178" s="354"/>
      <c r="BC178" s="354"/>
      <c r="BD178" s="354"/>
      <c r="BE178" s="354"/>
      <c r="BF178" s="354"/>
      <c r="BG178" s="354"/>
      <c r="BH178" s="354"/>
      <c r="BI178" s="354"/>
      <c r="BJ178" s="354"/>
      <c r="BK178" s="354"/>
      <c r="BL178" s="354"/>
      <c r="BM178" s="1682"/>
      <c r="BN178" s="1682"/>
      <c r="BO178" s="1682"/>
      <c r="BP178" s="1682"/>
      <c r="BQ178" s="410"/>
      <c r="BR178" s="407"/>
      <c r="BS178" s="407"/>
      <c r="BT178" s="407"/>
      <c r="BU178" s="407"/>
      <c r="BV178" s="407"/>
    </row>
    <row r="179" spans="1:74" ht="18" customHeight="1">
      <c r="A179" s="354"/>
      <c r="B179" s="354"/>
      <c r="C179" s="354"/>
      <c r="D179" s="354"/>
      <c r="E179" s="354"/>
      <c r="F179" s="354"/>
      <c r="G179" s="354"/>
      <c r="H179" s="354"/>
      <c r="I179" s="354"/>
      <c r="J179" s="354"/>
      <c r="K179" s="354"/>
      <c r="L179" s="354"/>
      <c r="M179" s="354"/>
      <c r="N179" s="354"/>
      <c r="O179" s="354"/>
      <c r="P179" s="354"/>
      <c r="Q179" s="354"/>
      <c r="R179" s="354"/>
      <c r="S179" s="354"/>
      <c r="T179" s="354"/>
      <c r="U179" s="354"/>
      <c r="V179" s="354"/>
      <c r="W179" s="354"/>
      <c r="X179" s="354"/>
      <c r="Y179" s="354"/>
      <c r="Z179" s="354"/>
      <c r="AA179" s="354"/>
      <c r="AB179" s="354"/>
      <c r="AC179" s="354"/>
      <c r="AD179" s="354"/>
      <c r="AE179" s="354"/>
      <c r="AF179" s="354"/>
      <c r="AG179" s="354"/>
      <c r="AH179" s="354"/>
      <c r="AI179" s="354"/>
      <c r="AJ179" s="354"/>
      <c r="AK179" s="354"/>
      <c r="AL179" s="354"/>
      <c r="AM179" s="354"/>
      <c r="AN179" s="354"/>
      <c r="AO179" s="354"/>
      <c r="AP179" s="354"/>
      <c r="AQ179" s="354"/>
      <c r="AR179" s="354"/>
      <c r="AS179" s="354"/>
      <c r="AT179" s="354"/>
      <c r="AU179" s="354"/>
      <c r="AV179" s="354"/>
      <c r="AW179" s="354"/>
      <c r="AX179" s="354"/>
      <c r="AY179" s="354"/>
      <c r="AZ179" s="354"/>
      <c r="BA179" s="354"/>
      <c r="BB179" s="354"/>
      <c r="BC179" s="354"/>
      <c r="BD179" s="354"/>
      <c r="BE179" s="354"/>
      <c r="BF179" s="354"/>
      <c r="BG179" s="354"/>
      <c r="BH179" s="354"/>
      <c r="BI179" s="354"/>
      <c r="BJ179" s="354"/>
      <c r="BK179" s="354"/>
      <c r="BL179" s="354"/>
      <c r="BM179" s="1682"/>
      <c r="BN179" s="1682"/>
      <c r="BO179" s="1682"/>
      <c r="BP179" s="1682"/>
      <c r="BQ179" s="476"/>
      <c r="BR179" s="408"/>
      <c r="BS179" s="408"/>
      <c r="BT179" s="408"/>
      <c r="BU179" s="408"/>
      <c r="BV179" s="408"/>
    </row>
    <row r="180" spans="1:74" ht="18" customHeight="1">
      <c r="A180" s="354"/>
      <c r="B180" s="354"/>
      <c r="C180" s="354"/>
      <c r="D180" s="354"/>
      <c r="E180" s="354"/>
      <c r="F180" s="354"/>
      <c r="G180" s="354"/>
      <c r="H180" s="354"/>
      <c r="I180" s="354"/>
      <c r="J180" s="354"/>
      <c r="K180" s="354"/>
      <c r="L180" s="354"/>
      <c r="M180" s="354"/>
      <c r="N180" s="354"/>
      <c r="O180" s="354"/>
      <c r="P180" s="354"/>
      <c r="Q180" s="354"/>
      <c r="R180" s="354"/>
      <c r="S180" s="354"/>
      <c r="T180" s="354"/>
      <c r="U180" s="354"/>
      <c r="V180" s="354"/>
      <c r="W180" s="354"/>
      <c r="X180" s="354"/>
      <c r="Y180" s="354"/>
      <c r="Z180" s="354"/>
      <c r="AA180" s="354"/>
      <c r="AB180" s="354"/>
      <c r="AC180" s="354"/>
      <c r="AD180" s="354"/>
      <c r="AE180" s="354"/>
      <c r="AF180" s="354"/>
      <c r="AG180" s="354"/>
      <c r="AH180" s="354"/>
      <c r="AI180" s="354"/>
      <c r="AJ180" s="354"/>
      <c r="AK180" s="354"/>
      <c r="AL180" s="354"/>
      <c r="AM180" s="354"/>
      <c r="AN180" s="354"/>
      <c r="AO180" s="354"/>
      <c r="AP180" s="354"/>
      <c r="AQ180" s="354"/>
      <c r="AR180" s="354"/>
      <c r="AS180" s="354"/>
      <c r="AT180" s="354"/>
      <c r="AU180" s="354"/>
      <c r="AV180" s="354"/>
      <c r="AW180" s="354"/>
      <c r="AX180" s="354"/>
      <c r="AY180" s="354"/>
      <c r="AZ180" s="354"/>
      <c r="BA180" s="354"/>
      <c r="BB180" s="354"/>
      <c r="BC180" s="354"/>
      <c r="BD180" s="354"/>
      <c r="BE180" s="354"/>
      <c r="BF180" s="354"/>
      <c r="BG180" s="354"/>
      <c r="BH180" s="354"/>
      <c r="BI180" s="354"/>
      <c r="BJ180" s="354"/>
      <c r="BK180" s="354"/>
      <c r="BL180" s="354"/>
      <c r="BM180" s="1682"/>
      <c r="BN180" s="1682"/>
      <c r="BO180" s="1682"/>
      <c r="BP180" s="1682"/>
      <c r="BQ180" s="476"/>
      <c r="BR180" s="408"/>
      <c r="BS180" s="408"/>
      <c r="BT180" s="408"/>
      <c r="BU180" s="408"/>
      <c r="BV180" s="408"/>
    </row>
    <row r="181" spans="1:74" ht="18" customHeight="1">
      <c r="A181" s="354"/>
      <c r="B181" s="354"/>
      <c r="C181" s="354"/>
      <c r="D181" s="354"/>
      <c r="E181" s="354"/>
      <c r="F181" s="354"/>
      <c r="G181" s="354"/>
      <c r="H181" s="354"/>
      <c r="I181" s="354"/>
      <c r="J181" s="354"/>
      <c r="K181" s="354"/>
      <c r="L181" s="354"/>
      <c r="M181" s="354"/>
      <c r="N181" s="354"/>
      <c r="O181" s="354"/>
      <c r="P181" s="354"/>
      <c r="Q181" s="354"/>
      <c r="R181" s="354"/>
      <c r="S181" s="354"/>
      <c r="T181" s="354"/>
      <c r="U181" s="354"/>
      <c r="V181" s="354"/>
      <c r="W181" s="354"/>
      <c r="X181" s="354"/>
      <c r="Y181" s="354"/>
      <c r="Z181" s="354"/>
      <c r="AA181" s="354"/>
      <c r="AB181" s="354"/>
      <c r="AC181" s="354"/>
      <c r="AD181" s="354"/>
      <c r="AE181" s="354"/>
      <c r="AF181" s="354"/>
      <c r="AG181" s="354"/>
      <c r="AH181" s="354"/>
      <c r="AI181" s="354"/>
      <c r="AJ181" s="354"/>
      <c r="AK181" s="354"/>
      <c r="AL181" s="354"/>
      <c r="AM181" s="354"/>
      <c r="AN181" s="354"/>
      <c r="AO181" s="354"/>
      <c r="AP181" s="354"/>
      <c r="AQ181" s="354"/>
      <c r="AR181" s="354"/>
      <c r="AS181" s="354"/>
      <c r="AT181" s="354"/>
      <c r="AU181" s="354"/>
      <c r="AV181" s="354"/>
      <c r="AW181" s="354"/>
      <c r="AX181" s="354"/>
      <c r="AY181" s="354"/>
      <c r="AZ181" s="354"/>
      <c r="BA181" s="354"/>
      <c r="BB181" s="354"/>
      <c r="BC181" s="354"/>
      <c r="BD181" s="354"/>
      <c r="BE181" s="354"/>
      <c r="BF181" s="354"/>
      <c r="BG181" s="354"/>
      <c r="BH181" s="354"/>
      <c r="BI181" s="354"/>
      <c r="BJ181" s="354"/>
      <c r="BK181" s="354"/>
      <c r="BL181" s="354"/>
      <c r="BM181" s="1682"/>
      <c r="BN181" s="1682"/>
      <c r="BO181" s="1682"/>
      <c r="BP181" s="1682"/>
      <c r="BQ181" s="476"/>
      <c r="BR181" s="408"/>
      <c r="BS181" s="408"/>
      <c r="BT181" s="408"/>
      <c r="BU181" s="408"/>
      <c r="BV181" s="408"/>
    </row>
    <row r="182" spans="1:74" ht="18" customHeight="1">
      <c r="A182" s="354"/>
      <c r="B182" s="354"/>
      <c r="C182" s="354"/>
      <c r="D182" s="354"/>
      <c r="E182" s="354"/>
      <c r="F182" s="354"/>
      <c r="G182" s="354"/>
      <c r="H182" s="354"/>
      <c r="I182" s="354"/>
      <c r="J182" s="354"/>
      <c r="K182" s="354"/>
      <c r="L182" s="354"/>
      <c r="M182" s="354"/>
      <c r="N182" s="354"/>
      <c r="O182" s="354"/>
      <c r="P182" s="354"/>
      <c r="Q182" s="354"/>
      <c r="R182" s="354"/>
      <c r="S182" s="354"/>
      <c r="T182" s="354"/>
      <c r="U182" s="354"/>
      <c r="V182" s="354"/>
      <c r="W182" s="354"/>
      <c r="X182" s="354"/>
      <c r="Y182" s="354"/>
      <c r="Z182" s="354"/>
      <c r="AA182" s="354"/>
      <c r="AB182" s="354"/>
      <c r="AC182" s="354"/>
      <c r="AD182" s="354"/>
      <c r="AE182" s="354"/>
      <c r="AF182" s="354"/>
      <c r="AG182" s="354"/>
      <c r="AH182" s="354"/>
      <c r="AI182" s="354"/>
      <c r="AJ182" s="354"/>
      <c r="AK182" s="354"/>
      <c r="AL182" s="354"/>
      <c r="AM182" s="354"/>
      <c r="AN182" s="354"/>
      <c r="AO182" s="354"/>
      <c r="AP182" s="354"/>
      <c r="AQ182" s="354"/>
      <c r="AR182" s="354"/>
      <c r="AS182" s="354"/>
      <c r="AT182" s="354"/>
      <c r="AU182" s="354"/>
      <c r="AV182" s="354"/>
      <c r="AW182" s="354"/>
      <c r="AX182" s="354"/>
      <c r="AY182" s="354"/>
      <c r="AZ182" s="354"/>
      <c r="BA182" s="354"/>
      <c r="BB182" s="354"/>
      <c r="BC182" s="354"/>
      <c r="BD182" s="354"/>
      <c r="BE182" s="354"/>
      <c r="BF182" s="354"/>
      <c r="BG182" s="354"/>
      <c r="BH182" s="354"/>
      <c r="BI182" s="354"/>
      <c r="BJ182" s="354"/>
      <c r="BK182" s="354"/>
      <c r="BL182" s="354"/>
      <c r="BM182" s="1682"/>
      <c r="BN182" s="1682"/>
      <c r="BO182" s="1682"/>
      <c r="BP182" s="1682"/>
      <c r="BQ182" s="476"/>
      <c r="BR182" s="408"/>
      <c r="BS182" s="408"/>
      <c r="BT182" s="408"/>
      <c r="BU182" s="408"/>
      <c r="BV182" s="408"/>
    </row>
    <row r="183" spans="1:74" ht="18" customHeight="1">
      <c r="A183" s="354"/>
      <c r="B183" s="354"/>
      <c r="C183" s="354"/>
      <c r="D183" s="354"/>
      <c r="E183" s="354"/>
      <c r="F183" s="354"/>
      <c r="G183" s="354"/>
      <c r="H183" s="354"/>
      <c r="I183" s="354"/>
      <c r="J183" s="354"/>
      <c r="K183" s="354"/>
      <c r="L183" s="354"/>
      <c r="M183" s="354"/>
      <c r="N183" s="354"/>
      <c r="O183" s="354"/>
      <c r="P183" s="354"/>
      <c r="Q183" s="354"/>
      <c r="R183" s="354"/>
      <c r="S183" s="354"/>
      <c r="T183" s="354"/>
      <c r="U183" s="354"/>
      <c r="V183" s="354"/>
      <c r="W183" s="354"/>
      <c r="X183" s="354"/>
      <c r="Y183" s="354"/>
      <c r="Z183" s="354"/>
      <c r="AA183" s="354"/>
      <c r="AB183" s="354"/>
      <c r="AC183" s="354"/>
      <c r="AD183" s="354"/>
      <c r="AE183" s="354"/>
      <c r="AF183" s="354"/>
      <c r="AG183" s="354"/>
      <c r="AH183" s="354"/>
      <c r="AI183" s="354"/>
      <c r="AJ183" s="354"/>
      <c r="AK183" s="354"/>
      <c r="AL183" s="354"/>
      <c r="AM183" s="354"/>
      <c r="AN183" s="354"/>
      <c r="AO183" s="354"/>
      <c r="AP183" s="354"/>
      <c r="AQ183" s="354"/>
      <c r="AR183" s="354"/>
      <c r="AS183" s="354"/>
      <c r="AT183" s="354"/>
      <c r="AU183" s="354"/>
      <c r="AV183" s="354"/>
      <c r="AW183" s="354"/>
      <c r="AX183" s="354"/>
      <c r="AY183" s="354"/>
      <c r="AZ183" s="354"/>
      <c r="BA183" s="354"/>
      <c r="BB183" s="354"/>
      <c r="BC183" s="354"/>
      <c r="BD183" s="354"/>
      <c r="BE183" s="354"/>
      <c r="BF183" s="354"/>
      <c r="BG183" s="354"/>
      <c r="BH183" s="354"/>
      <c r="BI183" s="354"/>
      <c r="BJ183" s="354"/>
      <c r="BK183" s="354"/>
      <c r="BL183" s="354"/>
      <c r="BM183" s="1682"/>
      <c r="BN183" s="1682"/>
      <c r="BO183" s="1682"/>
      <c r="BP183" s="1682"/>
      <c r="BQ183" s="476"/>
      <c r="BR183" s="408"/>
      <c r="BS183" s="408"/>
      <c r="BT183" s="408"/>
      <c r="BU183" s="408"/>
      <c r="BV183" s="408"/>
    </row>
    <row r="184" spans="1:74" ht="18" customHeight="1">
      <c r="A184" s="354"/>
      <c r="B184" s="354"/>
      <c r="C184" s="354"/>
      <c r="D184" s="354"/>
      <c r="E184" s="354"/>
      <c r="F184" s="354"/>
      <c r="G184" s="354"/>
      <c r="H184" s="354"/>
      <c r="I184" s="354"/>
      <c r="J184" s="354"/>
      <c r="K184" s="354"/>
      <c r="L184" s="354"/>
      <c r="M184" s="354"/>
      <c r="N184" s="354"/>
      <c r="O184" s="354"/>
      <c r="P184" s="354"/>
      <c r="Q184" s="354"/>
      <c r="R184" s="354"/>
      <c r="S184" s="354"/>
      <c r="T184" s="354"/>
      <c r="U184" s="354"/>
      <c r="V184" s="354"/>
      <c r="W184" s="354"/>
      <c r="X184" s="354"/>
      <c r="Y184" s="354"/>
      <c r="Z184" s="354"/>
      <c r="AA184" s="354"/>
      <c r="AB184" s="354"/>
      <c r="AC184" s="354"/>
      <c r="AD184" s="354"/>
      <c r="AE184" s="354"/>
      <c r="AF184" s="354"/>
      <c r="AG184" s="354"/>
      <c r="AH184" s="354"/>
      <c r="AI184" s="354"/>
      <c r="AJ184" s="354"/>
      <c r="AK184" s="354"/>
      <c r="AL184" s="354"/>
      <c r="AM184" s="354"/>
      <c r="AN184" s="354"/>
      <c r="AO184" s="354"/>
      <c r="AP184" s="354"/>
      <c r="AQ184" s="354"/>
      <c r="AR184" s="354"/>
      <c r="AS184" s="354"/>
      <c r="AT184" s="354"/>
      <c r="AU184" s="354"/>
      <c r="AV184" s="354"/>
      <c r="AW184" s="354"/>
      <c r="AX184" s="354"/>
      <c r="AY184" s="354"/>
      <c r="AZ184" s="354"/>
      <c r="BA184" s="354"/>
      <c r="BB184" s="354"/>
      <c r="BC184" s="354"/>
      <c r="BD184" s="354"/>
      <c r="BE184" s="354"/>
      <c r="BF184" s="354"/>
      <c r="BG184" s="354"/>
      <c r="BH184" s="354"/>
      <c r="BI184" s="354"/>
      <c r="BJ184" s="354"/>
      <c r="BK184" s="354"/>
      <c r="BL184" s="354"/>
      <c r="BM184" s="1682"/>
      <c r="BN184" s="1682"/>
      <c r="BO184" s="1682"/>
      <c r="BP184" s="1682"/>
      <c r="BQ184" s="409"/>
      <c r="BR184" s="408"/>
      <c r="BS184" s="408"/>
      <c r="BT184" s="408"/>
      <c r="BU184" s="408"/>
      <c r="BV184" s="408"/>
    </row>
    <row r="185" spans="1:74" ht="18" customHeight="1">
      <c r="A185" s="354"/>
      <c r="B185" s="354"/>
      <c r="C185" s="354"/>
      <c r="D185" s="354"/>
      <c r="E185" s="354"/>
      <c r="F185" s="354"/>
      <c r="G185" s="354"/>
      <c r="H185" s="354"/>
      <c r="I185" s="354"/>
      <c r="J185" s="354"/>
      <c r="K185" s="354"/>
      <c r="L185" s="354"/>
      <c r="M185" s="354"/>
      <c r="N185" s="354"/>
      <c r="O185" s="354"/>
      <c r="P185" s="354"/>
      <c r="Q185" s="354"/>
      <c r="R185" s="354"/>
      <c r="S185" s="354"/>
      <c r="T185" s="354"/>
      <c r="U185" s="354"/>
      <c r="V185" s="354"/>
      <c r="W185" s="354"/>
      <c r="X185" s="354"/>
      <c r="Y185" s="354"/>
      <c r="Z185" s="354"/>
      <c r="AA185" s="354"/>
      <c r="AB185" s="354"/>
      <c r="AC185" s="354"/>
      <c r="AD185" s="354"/>
      <c r="AE185" s="354"/>
      <c r="AF185" s="354"/>
      <c r="AG185" s="354"/>
      <c r="AH185" s="354"/>
      <c r="AI185" s="354"/>
      <c r="AJ185" s="354"/>
      <c r="AK185" s="354"/>
      <c r="AL185" s="354"/>
      <c r="AM185" s="354"/>
      <c r="AN185" s="354"/>
      <c r="AO185" s="354"/>
      <c r="AP185" s="354"/>
      <c r="AQ185" s="354"/>
      <c r="AR185" s="354"/>
      <c r="AS185" s="354"/>
      <c r="AT185" s="354"/>
      <c r="AU185" s="354"/>
      <c r="AV185" s="354"/>
      <c r="AW185" s="354"/>
      <c r="AX185" s="354"/>
      <c r="AY185" s="354"/>
      <c r="AZ185" s="354"/>
      <c r="BA185" s="354"/>
      <c r="BB185" s="354"/>
      <c r="BC185" s="354"/>
      <c r="BD185" s="354"/>
      <c r="BE185" s="354"/>
      <c r="BF185" s="354"/>
      <c r="BG185" s="354"/>
      <c r="BH185" s="354"/>
      <c r="BI185" s="354"/>
      <c r="BJ185" s="354"/>
      <c r="BK185" s="354"/>
      <c r="BL185" s="354"/>
      <c r="BM185" s="1682"/>
      <c r="BN185" s="1682"/>
      <c r="BO185" s="1682"/>
      <c r="BP185" s="1682"/>
      <c r="BQ185" s="476"/>
      <c r="BR185" s="408"/>
      <c r="BS185" s="408"/>
      <c r="BT185" s="408"/>
      <c r="BU185" s="408"/>
      <c r="BV185" s="408"/>
    </row>
    <row r="186" spans="1:74" ht="18" customHeight="1">
      <c r="A186" s="354"/>
      <c r="B186" s="354"/>
      <c r="C186" s="354"/>
      <c r="D186" s="354"/>
      <c r="E186" s="354"/>
      <c r="F186" s="354"/>
      <c r="G186" s="354"/>
      <c r="H186" s="354"/>
      <c r="I186" s="354"/>
      <c r="J186" s="354"/>
      <c r="K186" s="354"/>
      <c r="L186" s="354"/>
      <c r="M186" s="354"/>
      <c r="N186" s="354"/>
      <c r="O186" s="354"/>
      <c r="P186" s="354"/>
      <c r="Q186" s="354"/>
      <c r="R186" s="354"/>
      <c r="S186" s="354"/>
      <c r="T186" s="354"/>
      <c r="U186" s="354"/>
      <c r="V186" s="354"/>
      <c r="W186" s="354"/>
      <c r="X186" s="354"/>
      <c r="Y186" s="354"/>
      <c r="Z186" s="354"/>
      <c r="AA186" s="354"/>
      <c r="AB186" s="354"/>
      <c r="AC186" s="354"/>
      <c r="AD186" s="354"/>
      <c r="AE186" s="354"/>
      <c r="AF186" s="354"/>
      <c r="AG186" s="354"/>
      <c r="AH186" s="354"/>
      <c r="AI186" s="354"/>
      <c r="AJ186" s="354"/>
      <c r="AK186" s="354"/>
      <c r="AL186" s="354"/>
      <c r="AM186" s="354"/>
      <c r="AN186" s="354"/>
      <c r="AO186" s="354"/>
      <c r="AP186" s="354"/>
      <c r="AQ186" s="354"/>
      <c r="AR186" s="354"/>
      <c r="AS186" s="354"/>
      <c r="AT186" s="354"/>
      <c r="AU186" s="354"/>
      <c r="AV186" s="354"/>
      <c r="AW186" s="354"/>
      <c r="AX186" s="354"/>
      <c r="AY186" s="354"/>
      <c r="AZ186" s="354"/>
      <c r="BA186" s="354"/>
      <c r="BB186" s="354"/>
      <c r="BC186" s="354"/>
      <c r="BD186" s="354"/>
      <c r="BE186" s="354"/>
      <c r="BF186" s="354"/>
      <c r="BG186" s="354"/>
      <c r="BH186" s="354"/>
      <c r="BI186" s="354"/>
      <c r="BJ186" s="354"/>
      <c r="BK186" s="354"/>
      <c r="BL186" s="354"/>
      <c r="BM186" s="1682"/>
      <c r="BN186" s="1682"/>
      <c r="BO186" s="1682"/>
      <c r="BP186" s="1682"/>
      <c r="BQ186" s="476"/>
      <c r="BR186" s="408"/>
      <c r="BS186" s="408"/>
      <c r="BT186" s="408"/>
      <c r="BU186" s="408"/>
      <c r="BV186" s="408"/>
    </row>
    <row r="187" spans="1:74" ht="18" customHeight="1">
      <c r="A187" s="354"/>
      <c r="B187" s="354"/>
      <c r="C187" s="354"/>
      <c r="D187" s="354"/>
      <c r="E187" s="354"/>
      <c r="F187" s="354"/>
      <c r="G187" s="354"/>
      <c r="H187" s="354"/>
      <c r="I187" s="354"/>
      <c r="J187" s="354"/>
      <c r="K187" s="354"/>
      <c r="L187" s="354"/>
      <c r="M187" s="354"/>
      <c r="N187" s="354"/>
      <c r="O187" s="354"/>
      <c r="P187" s="354"/>
      <c r="Q187" s="354"/>
      <c r="R187" s="354"/>
      <c r="S187" s="354"/>
      <c r="T187" s="354"/>
      <c r="U187" s="354"/>
      <c r="V187" s="354"/>
      <c r="W187" s="354"/>
      <c r="X187" s="354"/>
      <c r="Y187" s="354"/>
      <c r="Z187" s="354"/>
      <c r="AA187" s="354"/>
      <c r="AB187" s="354"/>
      <c r="AC187" s="354"/>
      <c r="AD187" s="354"/>
      <c r="AE187" s="354"/>
      <c r="AF187" s="354"/>
      <c r="AG187" s="354"/>
      <c r="AH187" s="354"/>
      <c r="AI187" s="354"/>
      <c r="AJ187" s="354"/>
      <c r="AK187" s="354"/>
      <c r="AL187" s="354"/>
      <c r="AM187" s="354"/>
      <c r="AN187" s="354"/>
      <c r="AO187" s="354"/>
      <c r="AP187" s="354"/>
      <c r="AQ187" s="354"/>
      <c r="AR187" s="354"/>
      <c r="AS187" s="354"/>
      <c r="AT187" s="354"/>
      <c r="AU187" s="354"/>
      <c r="AV187" s="354"/>
      <c r="AW187" s="354"/>
      <c r="AX187" s="354"/>
      <c r="AY187" s="354"/>
      <c r="AZ187" s="354"/>
      <c r="BA187" s="354"/>
      <c r="BB187" s="354"/>
      <c r="BC187" s="354"/>
      <c r="BD187" s="354"/>
      <c r="BE187" s="354"/>
      <c r="BF187" s="354"/>
      <c r="BG187" s="354"/>
      <c r="BH187" s="354"/>
      <c r="BI187" s="354"/>
      <c r="BJ187" s="354"/>
      <c r="BK187" s="354"/>
      <c r="BL187" s="354"/>
      <c r="BM187" s="1682"/>
      <c r="BN187" s="1682"/>
      <c r="BO187" s="1682"/>
      <c r="BP187" s="1682"/>
      <c r="BQ187" s="476"/>
      <c r="BR187" s="408"/>
      <c r="BS187" s="408"/>
      <c r="BT187" s="408"/>
      <c r="BU187" s="408"/>
      <c r="BV187" s="408"/>
    </row>
    <row r="188" spans="1:74" ht="18" customHeight="1">
      <c r="A188" s="354"/>
      <c r="B188" s="354"/>
      <c r="C188" s="354"/>
      <c r="D188" s="354"/>
      <c r="E188" s="354"/>
      <c r="F188" s="354"/>
      <c r="G188" s="354"/>
      <c r="H188" s="354"/>
      <c r="I188" s="354"/>
      <c r="J188" s="354"/>
      <c r="K188" s="354"/>
      <c r="L188" s="354"/>
      <c r="M188" s="354"/>
      <c r="N188" s="354"/>
      <c r="O188" s="354"/>
      <c r="P188" s="354"/>
      <c r="Q188" s="354"/>
      <c r="R188" s="354"/>
      <c r="S188" s="354"/>
      <c r="T188" s="354"/>
      <c r="U188" s="354"/>
      <c r="V188" s="354"/>
      <c r="W188" s="354"/>
      <c r="X188" s="354"/>
      <c r="Y188" s="354"/>
      <c r="Z188" s="354"/>
      <c r="AA188" s="354"/>
      <c r="AB188" s="354"/>
      <c r="AC188" s="354"/>
      <c r="AD188" s="354"/>
      <c r="AE188" s="354"/>
      <c r="AF188" s="354"/>
      <c r="AG188" s="354"/>
      <c r="AH188" s="354"/>
      <c r="AI188" s="354"/>
      <c r="AJ188" s="354"/>
      <c r="AK188" s="354"/>
      <c r="AL188" s="354"/>
      <c r="AM188" s="354"/>
      <c r="AN188" s="354"/>
      <c r="AO188" s="354"/>
      <c r="AP188" s="354"/>
      <c r="AQ188" s="354"/>
      <c r="AR188" s="354"/>
      <c r="AS188" s="354"/>
      <c r="AT188" s="354"/>
      <c r="AU188" s="354"/>
      <c r="AV188" s="354"/>
      <c r="AW188" s="354"/>
      <c r="AX188" s="354"/>
      <c r="AY188" s="354"/>
      <c r="AZ188" s="354"/>
      <c r="BA188" s="354"/>
      <c r="BB188" s="354"/>
      <c r="BC188" s="354"/>
      <c r="BD188" s="354"/>
      <c r="BE188" s="354"/>
      <c r="BF188" s="354"/>
      <c r="BG188" s="354"/>
      <c r="BH188" s="354"/>
      <c r="BI188" s="354"/>
      <c r="BJ188" s="354"/>
      <c r="BK188" s="354"/>
      <c r="BL188" s="354"/>
      <c r="BM188" s="1682"/>
      <c r="BN188" s="1682"/>
      <c r="BO188" s="1682"/>
      <c r="BP188" s="1682"/>
      <c r="BQ188" s="476"/>
      <c r="BR188" s="408"/>
      <c r="BS188" s="408"/>
      <c r="BT188" s="408"/>
      <c r="BU188" s="408"/>
      <c r="BV188" s="408"/>
    </row>
    <row r="189" spans="1:74" ht="18" customHeight="1">
      <c r="A189" s="354"/>
      <c r="B189" s="354"/>
      <c r="C189" s="354"/>
      <c r="D189" s="354"/>
      <c r="E189" s="354"/>
      <c r="F189" s="354"/>
      <c r="G189" s="354"/>
      <c r="H189" s="354"/>
      <c r="I189" s="354"/>
      <c r="J189" s="354"/>
      <c r="K189" s="354"/>
      <c r="L189" s="354"/>
      <c r="M189" s="354"/>
      <c r="N189" s="354"/>
      <c r="O189" s="354"/>
      <c r="P189" s="354"/>
      <c r="Q189" s="354"/>
      <c r="R189" s="354"/>
      <c r="S189" s="354"/>
      <c r="T189" s="354"/>
      <c r="U189" s="354"/>
      <c r="V189" s="354"/>
      <c r="W189" s="354"/>
      <c r="X189" s="354"/>
      <c r="Y189" s="354"/>
      <c r="Z189" s="354"/>
      <c r="AA189" s="354"/>
      <c r="AB189" s="354"/>
      <c r="AC189" s="354"/>
      <c r="AD189" s="354"/>
      <c r="AE189" s="354"/>
      <c r="AF189" s="354"/>
      <c r="AG189" s="354"/>
      <c r="AH189" s="354"/>
      <c r="AI189" s="354"/>
      <c r="AJ189" s="354"/>
      <c r="AK189" s="354"/>
      <c r="AL189" s="354"/>
      <c r="AM189" s="354"/>
      <c r="AN189" s="354"/>
      <c r="AO189" s="354"/>
      <c r="AP189" s="354"/>
      <c r="AQ189" s="354"/>
      <c r="AR189" s="354"/>
      <c r="AS189" s="354"/>
      <c r="AT189" s="354"/>
      <c r="AU189" s="354"/>
      <c r="AV189" s="354"/>
      <c r="AW189" s="354"/>
      <c r="AX189" s="354"/>
      <c r="AY189" s="354"/>
      <c r="AZ189" s="354"/>
      <c r="BA189" s="354"/>
      <c r="BB189" s="354"/>
      <c r="BC189" s="354"/>
      <c r="BD189" s="354"/>
      <c r="BE189" s="354"/>
      <c r="BF189" s="354"/>
      <c r="BG189" s="354"/>
      <c r="BH189" s="354"/>
      <c r="BI189" s="354"/>
      <c r="BJ189" s="354"/>
      <c r="BK189" s="354"/>
      <c r="BL189" s="354"/>
      <c r="BM189" s="1682"/>
      <c r="BN189" s="1682"/>
      <c r="BO189" s="1682"/>
      <c r="BP189" s="1682"/>
      <c r="BQ189" s="410"/>
      <c r="BR189" s="426"/>
      <c r="BS189" s="426"/>
      <c r="BT189" s="426"/>
      <c r="BU189" s="426"/>
      <c r="BV189" s="426"/>
    </row>
    <row r="190" spans="1:74" ht="18" customHeight="1">
      <c r="A190" s="354"/>
      <c r="B190" s="354"/>
      <c r="C190" s="354"/>
      <c r="D190" s="354"/>
      <c r="E190" s="354"/>
      <c r="F190" s="354"/>
      <c r="G190" s="354"/>
      <c r="H190" s="354"/>
      <c r="I190" s="354"/>
      <c r="J190" s="354"/>
      <c r="K190" s="354"/>
      <c r="L190" s="354"/>
      <c r="M190" s="354"/>
      <c r="N190" s="354"/>
      <c r="O190" s="354"/>
      <c r="P190" s="354"/>
      <c r="Q190" s="354"/>
      <c r="R190" s="354"/>
      <c r="S190" s="354"/>
      <c r="T190" s="354"/>
      <c r="U190" s="354"/>
      <c r="V190" s="354"/>
      <c r="W190" s="354"/>
      <c r="X190" s="354"/>
      <c r="Y190" s="354"/>
      <c r="Z190" s="354"/>
      <c r="AA190" s="354"/>
      <c r="AB190" s="354"/>
      <c r="AC190" s="354"/>
      <c r="AD190" s="354"/>
      <c r="AE190" s="354"/>
      <c r="AF190" s="354"/>
      <c r="AG190" s="354"/>
      <c r="AH190" s="354"/>
      <c r="AI190" s="354"/>
      <c r="AJ190" s="354"/>
      <c r="AK190" s="354"/>
      <c r="AL190" s="354"/>
      <c r="AM190" s="354"/>
      <c r="AN190" s="354"/>
      <c r="AO190" s="354"/>
      <c r="AP190" s="354"/>
      <c r="AQ190" s="354"/>
      <c r="AR190" s="354"/>
      <c r="AS190" s="354"/>
      <c r="AT190" s="354"/>
      <c r="AU190" s="354"/>
      <c r="AV190" s="354"/>
      <c r="AW190" s="354"/>
      <c r="AX190" s="354"/>
      <c r="AY190" s="354"/>
      <c r="AZ190" s="354"/>
      <c r="BA190" s="354"/>
      <c r="BB190" s="354"/>
      <c r="BC190" s="354"/>
      <c r="BD190" s="354"/>
      <c r="BE190" s="354"/>
      <c r="BF190" s="354"/>
      <c r="BG190" s="354"/>
      <c r="BH190" s="354"/>
      <c r="BI190" s="354"/>
      <c r="BJ190" s="354"/>
      <c r="BK190" s="354"/>
      <c r="BL190" s="354"/>
      <c r="BM190" s="1682"/>
      <c r="BN190" s="1682"/>
      <c r="BO190" s="1682"/>
      <c r="BP190" s="1682"/>
      <c r="BQ190" s="476"/>
      <c r="BR190" s="408"/>
      <c r="BS190" s="408"/>
      <c r="BT190" s="408"/>
      <c r="BU190" s="408"/>
      <c r="BV190" s="408"/>
    </row>
    <row r="191" spans="1:74" ht="18" customHeight="1">
      <c r="A191" s="354"/>
      <c r="B191" s="354"/>
      <c r="C191" s="354"/>
      <c r="D191" s="354"/>
      <c r="E191" s="354"/>
      <c r="F191" s="354"/>
      <c r="G191" s="354"/>
      <c r="H191" s="354"/>
      <c r="I191" s="354"/>
      <c r="J191" s="354"/>
      <c r="K191" s="354"/>
      <c r="L191" s="354"/>
      <c r="M191" s="354"/>
      <c r="N191" s="354"/>
      <c r="O191" s="354"/>
      <c r="P191" s="354"/>
      <c r="Q191" s="354"/>
      <c r="R191" s="354"/>
      <c r="S191" s="354"/>
      <c r="T191" s="354"/>
      <c r="U191" s="354"/>
      <c r="V191" s="354"/>
      <c r="W191" s="354"/>
      <c r="X191" s="354"/>
      <c r="Y191" s="354"/>
      <c r="Z191" s="354"/>
      <c r="AA191" s="354"/>
      <c r="AB191" s="354"/>
      <c r="AC191" s="354"/>
      <c r="AD191" s="354"/>
      <c r="AE191" s="354"/>
      <c r="AF191" s="354"/>
      <c r="AG191" s="354"/>
      <c r="AH191" s="354"/>
      <c r="AI191" s="354"/>
      <c r="AJ191" s="354"/>
      <c r="AK191" s="354"/>
      <c r="AL191" s="354"/>
      <c r="AM191" s="354"/>
      <c r="AN191" s="354"/>
      <c r="AO191" s="354"/>
      <c r="AP191" s="354"/>
      <c r="AQ191" s="354"/>
      <c r="AR191" s="354"/>
      <c r="AS191" s="354"/>
      <c r="AT191" s="354"/>
      <c r="AU191" s="354"/>
      <c r="AV191" s="354"/>
      <c r="AW191" s="354"/>
      <c r="AX191" s="354"/>
      <c r="AY191" s="354"/>
      <c r="AZ191" s="354"/>
      <c r="BA191" s="354"/>
      <c r="BB191" s="354"/>
      <c r="BC191" s="354"/>
      <c r="BD191" s="354"/>
      <c r="BE191" s="354"/>
      <c r="BF191" s="354"/>
      <c r="BG191" s="354"/>
      <c r="BH191" s="354"/>
      <c r="BI191" s="354"/>
      <c r="BJ191" s="354"/>
      <c r="BK191" s="354"/>
      <c r="BL191" s="354"/>
      <c r="BM191" s="1682"/>
      <c r="BN191" s="1682"/>
      <c r="BO191" s="1682"/>
      <c r="BP191" s="1682"/>
      <c r="BQ191" s="476"/>
      <c r="BR191" s="408"/>
      <c r="BS191" s="408"/>
      <c r="BT191" s="408"/>
      <c r="BU191" s="408"/>
      <c r="BV191" s="408"/>
    </row>
    <row r="192" spans="1:74" ht="18" customHeight="1">
      <c r="A192" s="354"/>
      <c r="B192" s="354"/>
      <c r="C192" s="354"/>
      <c r="D192" s="354"/>
      <c r="E192" s="354"/>
      <c r="F192" s="354"/>
      <c r="G192" s="354"/>
      <c r="H192" s="354"/>
      <c r="I192" s="354"/>
      <c r="J192" s="354"/>
      <c r="K192" s="354"/>
      <c r="L192" s="354"/>
      <c r="M192" s="354"/>
      <c r="N192" s="354"/>
      <c r="O192" s="354"/>
      <c r="P192" s="354"/>
      <c r="Q192" s="354"/>
      <c r="R192" s="354"/>
      <c r="S192" s="354"/>
      <c r="T192" s="354"/>
      <c r="U192" s="354"/>
      <c r="V192" s="354"/>
      <c r="W192" s="354"/>
      <c r="X192" s="354"/>
      <c r="Y192" s="354"/>
      <c r="Z192" s="354"/>
      <c r="AA192" s="354"/>
      <c r="AB192" s="354"/>
      <c r="AC192" s="354"/>
      <c r="AD192" s="354"/>
      <c r="AE192" s="354"/>
      <c r="AF192" s="354"/>
      <c r="AG192" s="354"/>
      <c r="AH192" s="354"/>
      <c r="AI192" s="354"/>
      <c r="AJ192" s="354"/>
      <c r="AK192" s="354"/>
      <c r="AL192" s="354"/>
      <c r="AM192" s="354"/>
      <c r="AN192" s="354"/>
      <c r="AO192" s="354"/>
      <c r="AP192" s="354"/>
      <c r="AQ192" s="354"/>
      <c r="AR192" s="354"/>
      <c r="AS192" s="354"/>
      <c r="AT192" s="354"/>
      <c r="AU192" s="354"/>
      <c r="AV192" s="354"/>
      <c r="AW192" s="354"/>
      <c r="AX192" s="354"/>
      <c r="AY192" s="354"/>
      <c r="AZ192" s="354"/>
      <c r="BA192" s="354"/>
      <c r="BB192" s="354"/>
      <c r="BC192" s="354"/>
      <c r="BD192" s="354"/>
      <c r="BE192" s="354"/>
      <c r="BF192" s="354"/>
      <c r="BG192" s="354"/>
      <c r="BH192" s="354"/>
      <c r="BI192" s="354"/>
      <c r="BJ192" s="354"/>
      <c r="BK192" s="354"/>
      <c r="BL192" s="354"/>
      <c r="BM192" s="1682"/>
      <c r="BN192" s="1682"/>
      <c r="BO192" s="1682"/>
      <c r="BP192" s="1682"/>
      <c r="BQ192" s="476"/>
      <c r="BR192" s="408"/>
      <c r="BS192" s="408"/>
      <c r="BT192" s="408"/>
      <c r="BU192" s="408"/>
      <c r="BV192" s="408"/>
    </row>
    <row r="193" spans="1:74" ht="18" customHeight="1">
      <c r="A193" s="354"/>
      <c r="B193" s="354"/>
      <c r="C193" s="354"/>
      <c r="D193" s="354"/>
      <c r="E193" s="354"/>
      <c r="F193" s="354"/>
      <c r="G193" s="354"/>
      <c r="H193" s="354"/>
      <c r="I193" s="354"/>
      <c r="J193" s="354"/>
      <c r="K193" s="354"/>
      <c r="L193" s="354"/>
      <c r="M193" s="354"/>
      <c r="N193" s="354"/>
      <c r="O193" s="354"/>
      <c r="P193" s="354"/>
      <c r="Q193" s="354"/>
      <c r="R193" s="354"/>
      <c r="S193" s="354"/>
      <c r="T193" s="354"/>
      <c r="U193" s="354"/>
      <c r="V193" s="354"/>
      <c r="W193" s="354"/>
      <c r="X193" s="354"/>
      <c r="Y193" s="354"/>
      <c r="Z193" s="354"/>
      <c r="AA193" s="354"/>
      <c r="AB193" s="354"/>
      <c r="AC193" s="354"/>
      <c r="AD193" s="354"/>
      <c r="AE193" s="354"/>
      <c r="AF193" s="354"/>
      <c r="AG193" s="354"/>
      <c r="AH193" s="354"/>
      <c r="AI193" s="354"/>
      <c r="AJ193" s="354"/>
      <c r="AK193" s="354"/>
      <c r="AL193" s="354"/>
      <c r="AM193" s="354"/>
      <c r="AN193" s="354"/>
      <c r="AO193" s="354"/>
      <c r="AP193" s="354"/>
      <c r="AQ193" s="354"/>
      <c r="AR193" s="354"/>
      <c r="AS193" s="354"/>
      <c r="AT193" s="354"/>
      <c r="AU193" s="354"/>
      <c r="AV193" s="354"/>
      <c r="AW193" s="354"/>
      <c r="AX193" s="354"/>
      <c r="AY193" s="354"/>
      <c r="AZ193" s="354"/>
      <c r="BA193" s="354"/>
      <c r="BB193" s="354"/>
      <c r="BC193" s="354"/>
      <c r="BD193" s="354"/>
      <c r="BE193" s="354"/>
      <c r="BF193" s="354"/>
      <c r="BG193" s="354"/>
      <c r="BH193" s="354"/>
      <c r="BI193" s="354"/>
      <c r="BJ193" s="354"/>
      <c r="BK193" s="354"/>
      <c r="BL193" s="354"/>
      <c r="BM193" s="1682"/>
      <c r="BN193" s="1682"/>
      <c r="BO193" s="1682"/>
      <c r="BP193" s="1682"/>
      <c r="BQ193" s="476"/>
      <c r="BR193" s="408"/>
      <c r="BS193" s="408"/>
      <c r="BT193" s="408"/>
      <c r="BU193" s="408"/>
      <c r="BV193" s="408"/>
    </row>
    <row r="194" spans="1:74" ht="18" customHeight="1">
      <c r="A194" s="354"/>
      <c r="B194" s="354"/>
      <c r="C194" s="354"/>
      <c r="D194" s="354"/>
      <c r="E194" s="354"/>
      <c r="F194" s="354"/>
      <c r="G194" s="354"/>
      <c r="H194" s="354"/>
      <c r="I194" s="354"/>
      <c r="J194" s="354"/>
      <c r="K194" s="354"/>
      <c r="L194" s="354"/>
      <c r="M194" s="354"/>
      <c r="N194" s="354"/>
      <c r="O194" s="354"/>
      <c r="P194" s="354"/>
      <c r="Q194" s="354"/>
      <c r="R194" s="354"/>
      <c r="S194" s="354"/>
      <c r="T194" s="354"/>
      <c r="U194" s="354"/>
      <c r="V194" s="354"/>
      <c r="W194" s="354"/>
      <c r="X194" s="354"/>
      <c r="Y194" s="354"/>
      <c r="Z194" s="354"/>
      <c r="AA194" s="354"/>
      <c r="AB194" s="354"/>
      <c r="AC194" s="354"/>
      <c r="AD194" s="354"/>
      <c r="AE194" s="354"/>
      <c r="AF194" s="354"/>
      <c r="AG194" s="354"/>
      <c r="AH194" s="354"/>
      <c r="AI194" s="354"/>
      <c r="AJ194" s="354"/>
      <c r="AK194" s="354"/>
      <c r="AL194" s="354"/>
      <c r="AM194" s="354"/>
      <c r="AN194" s="354"/>
      <c r="AO194" s="354"/>
      <c r="AP194" s="354"/>
      <c r="AQ194" s="354"/>
      <c r="AR194" s="354"/>
      <c r="AS194" s="354"/>
      <c r="AT194" s="354"/>
      <c r="AU194" s="354"/>
      <c r="AV194" s="354"/>
      <c r="AW194" s="354"/>
      <c r="AX194" s="354"/>
      <c r="AY194" s="354"/>
      <c r="AZ194" s="354"/>
      <c r="BA194" s="354"/>
      <c r="BB194" s="354"/>
      <c r="BC194" s="354"/>
      <c r="BD194" s="354"/>
      <c r="BE194" s="354"/>
      <c r="BF194" s="354"/>
      <c r="BG194" s="354"/>
      <c r="BH194" s="354"/>
      <c r="BI194" s="354"/>
      <c r="BJ194" s="354"/>
      <c r="BK194" s="354"/>
      <c r="BL194" s="354"/>
      <c r="BM194" s="1682"/>
      <c r="BN194" s="1682"/>
      <c r="BO194" s="1682"/>
      <c r="BP194" s="1682"/>
      <c r="BQ194" s="476"/>
      <c r="BR194" s="408"/>
      <c r="BS194" s="408"/>
      <c r="BT194" s="408"/>
      <c r="BU194" s="408"/>
      <c r="BV194" s="408"/>
    </row>
    <row r="195" spans="1:74" ht="18" customHeight="1">
      <c r="A195" s="354"/>
      <c r="B195" s="354"/>
      <c r="C195" s="354"/>
      <c r="D195" s="354"/>
      <c r="E195" s="354"/>
      <c r="F195" s="354"/>
      <c r="G195" s="354"/>
      <c r="H195" s="354"/>
      <c r="I195" s="354"/>
      <c r="J195" s="354"/>
      <c r="K195" s="354"/>
      <c r="L195" s="354"/>
      <c r="M195" s="354"/>
      <c r="N195" s="354"/>
      <c r="O195" s="354"/>
      <c r="P195" s="354"/>
      <c r="Q195" s="354"/>
      <c r="R195" s="354"/>
      <c r="S195" s="354"/>
      <c r="T195" s="354"/>
      <c r="U195" s="354"/>
      <c r="V195" s="354"/>
      <c r="W195" s="354"/>
      <c r="X195" s="354"/>
      <c r="Y195" s="354"/>
      <c r="Z195" s="354"/>
      <c r="AA195" s="354"/>
      <c r="AB195" s="354"/>
      <c r="AC195" s="354"/>
      <c r="AD195" s="354"/>
      <c r="AE195" s="354"/>
      <c r="AF195" s="354"/>
      <c r="AG195" s="354"/>
      <c r="AH195" s="354"/>
      <c r="AI195" s="354"/>
      <c r="AJ195" s="354"/>
      <c r="AK195" s="354"/>
      <c r="AL195" s="354"/>
      <c r="AM195" s="354"/>
      <c r="AN195" s="354"/>
      <c r="AO195" s="354"/>
      <c r="AP195" s="354"/>
      <c r="AQ195" s="354"/>
      <c r="AR195" s="354"/>
      <c r="AS195" s="354"/>
      <c r="AT195" s="354"/>
      <c r="AU195" s="354"/>
      <c r="AV195" s="354"/>
      <c r="AW195" s="354"/>
      <c r="AX195" s="354"/>
      <c r="AY195" s="354"/>
      <c r="AZ195" s="354"/>
      <c r="BA195" s="354"/>
      <c r="BB195" s="354"/>
      <c r="BC195" s="354"/>
      <c r="BD195" s="354"/>
      <c r="BE195" s="354"/>
      <c r="BF195" s="354"/>
      <c r="BG195" s="354"/>
      <c r="BH195" s="354"/>
      <c r="BI195" s="354"/>
      <c r="BJ195" s="354"/>
      <c r="BK195" s="354"/>
      <c r="BL195" s="354"/>
      <c r="BM195" s="1682"/>
      <c r="BN195" s="1682"/>
      <c r="BO195" s="1682"/>
      <c r="BP195" s="1682"/>
      <c r="BQ195" s="409"/>
      <c r="BR195" s="408"/>
      <c r="BS195" s="408"/>
      <c r="BT195" s="408"/>
      <c r="BU195" s="408"/>
      <c r="BV195" s="408"/>
    </row>
    <row r="196" spans="1:74" ht="18" customHeight="1">
      <c r="A196" s="354"/>
      <c r="B196" s="354"/>
      <c r="C196" s="354"/>
      <c r="D196" s="354"/>
      <c r="E196" s="354"/>
      <c r="F196" s="354"/>
      <c r="G196" s="354"/>
      <c r="H196" s="354"/>
      <c r="I196" s="354"/>
      <c r="J196" s="354"/>
      <c r="K196" s="354"/>
      <c r="L196" s="354"/>
      <c r="M196" s="354"/>
      <c r="N196" s="354"/>
      <c r="O196" s="354"/>
      <c r="P196" s="354"/>
      <c r="Q196" s="354"/>
      <c r="R196" s="354"/>
      <c r="S196" s="354"/>
      <c r="T196" s="354"/>
      <c r="U196" s="354"/>
      <c r="V196" s="354"/>
      <c r="W196" s="354"/>
      <c r="X196" s="354"/>
      <c r="Y196" s="354"/>
      <c r="Z196" s="354"/>
      <c r="AA196" s="354"/>
      <c r="AB196" s="354"/>
      <c r="AC196" s="354"/>
      <c r="AD196" s="354"/>
      <c r="AE196" s="354"/>
      <c r="AF196" s="354"/>
      <c r="AG196" s="354"/>
      <c r="AH196" s="354"/>
      <c r="AI196" s="354"/>
      <c r="AJ196" s="354"/>
      <c r="AK196" s="354"/>
      <c r="AL196" s="354"/>
      <c r="AM196" s="354"/>
      <c r="AN196" s="354"/>
      <c r="AO196" s="354"/>
      <c r="AP196" s="354"/>
      <c r="AQ196" s="354"/>
      <c r="AR196" s="354"/>
      <c r="AS196" s="354"/>
      <c r="AT196" s="354"/>
      <c r="AU196" s="354"/>
      <c r="AV196" s="354"/>
      <c r="AW196" s="354"/>
      <c r="AX196" s="354"/>
      <c r="AY196" s="354"/>
      <c r="AZ196" s="354"/>
      <c r="BA196" s="354"/>
      <c r="BB196" s="354"/>
      <c r="BC196" s="354"/>
      <c r="BD196" s="354"/>
      <c r="BE196" s="354"/>
      <c r="BF196" s="354"/>
      <c r="BG196" s="354"/>
      <c r="BH196" s="354"/>
      <c r="BI196" s="354"/>
      <c r="BJ196" s="354"/>
      <c r="BK196" s="354"/>
      <c r="BL196" s="354"/>
      <c r="BM196" s="1682"/>
      <c r="BN196" s="1682"/>
      <c r="BO196" s="1682"/>
      <c r="BP196" s="1682"/>
      <c r="BQ196" s="476"/>
      <c r="BR196" s="408"/>
      <c r="BS196" s="408"/>
      <c r="BT196" s="408"/>
      <c r="BU196" s="408"/>
      <c r="BV196" s="408"/>
    </row>
    <row r="197" spans="1:74" ht="18" customHeight="1">
      <c r="A197" s="354"/>
      <c r="B197" s="354"/>
      <c r="C197" s="354"/>
      <c r="D197" s="354"/>
      <c r="E197" s="354"/>
      <c r="F197" s="354"/>
      <c r="G197" s="354"/>
      <c r="H197" s="354"/>
      <c r="I197" s="354"/>
      <c r="J197" s="354"/>
      <c r="K197" s="354"/>
      <c r="L197" s="354"/>
      <c r="M197" s="354"/>
      <c r="N197" s="354"/>
      <c r="O197" s="354"/>
      <c r="P197" s="354"/>
      <c r="Q197" s="354"/>
      <c r="R197" s="354"/>
      <c r="S197" s="354"/>
      <c r="T197" s="354"/>
      <c r="U197" s="354"/>
      <c r="V197" s="354"/>
      <c r="W197" s="354"/>
      <c r="X197" s="354"/>
      <c r="Y197" s="354"/>
      <c r="Z197" s="354"/>
      <c r="AA197" s="354"/>
      <c r="AB197" s="354"/>
      <c r="AC197" s="354"/>
      <c r="AD197" s="354"/>
      <c r="AE197" s="354"/>
      <c r="AF197" s="354"/>
      <c r="AG197" s="354"/>
      <c r="AH197" s="354"/>
      <c r="AI197" s="354"/>
      <c r="AJ197" s="354"/>
      <c r="AK197" s="354"/>
      <c r="AL197" s="354"/>
      <c r="AM197" s="354"/>
      <c r="AN197" s="354"/>
      <c r="AO197" s="354"/>
      <c r="AP197" s="354"/>
      <c r="AQ197" s="354"/>
      <c r="AR197" s="354"/>
      <c r="AS197" s="354"/>
      <c r="AT197" s="354"/>
      <c r="AU197" s="354"/>
      <c r="AV197" s="354"/>
      <c r="AW197" s="354"/>
      <c r="AX197" s="354"/>
      <c r="AY197" s="354"/>
      <c r="AZ197" s="354"/>
      <c r="BA197" s="354"/>
      <c r="BB197" s="354"/>
      <c r="BC197" s="354"/>
      <c r="BD197" s="354"/>
      <c r="BE197" s="354"/>
      <c r="BF197" s="354"/>
      <c r="BG197" s="354"/>
      <c r="BH197" s="354"/>
      <c r="BI197" s="354"/>
      <c r="BJ197" s="354"/>
      <c r="BK197" s="354"/>
      <c r="BL197" s="354"/>
      <c r="BM197" s="1682"/>
      <c r="BN197" s="1682"/>
      <c r="BO197" s="1682"/>
      <c r="BP197" s="1682"/>
      <c r="BQ197" s="476"/>
      <c r="BR197" s="408"/>
      <c r="BS197" s="408"/>
      <c r="BT197" s="408"/>
      <c r="BU197" s="408"/>
      <c r="BV197" s="408"/>
    </row>
    <row r="198" spans="1:74" ht="18" customHeight="1">
      <c r="A198" s="354"/>
      <c r="B198" s="354"/>
      <c r="C198" s="354"/>
      <c r="D198" s="354"/>
      <c r="E198" s="354"/>
      <c r="F198" s="354"/>
      <c r="G198" s="354"/>
      <c r="H198" s="354"/>
      <c r="I198" s="354"/>
      <c r="J198" s="354"/>
      <c r="K198" s="354"/>
      <c r="L198" s="354"/>
      <c r="M198" s="354"/>
      <c r="N198" s="354"/>
      <c r="O198" s="354"/>
      <c r="P198" s="354"/>
      <c r="Q198" s="354"/>
      <c r="R198" s="354"/>
      <c r="S198" s="354"/>
      <c r="T198" s="354"/>
      <c r="U198" s="354"/>
      <c r="V198" s="354"/>
      <c r="W198" s="354"/>
      <c r="X198" s="354"/>
      <c r="Y198" s="354"/>
      <c r="Z198" s="354"/>
      <c r="AA198" s="354"/>
      <c r="AB198" s="354"/>
      <c r="AC198" s="354"/>
      <c r="AD198" s="354"/>
      <c r="AE198" s="354"/>
      <c r="AF198" s="354"/>
      <c r="AG198" s="354"/>
      <c r="AH198" s="354"/>
      <c r="AI198" s="354"/>
      <c r="AJ198" s="354"/>
      <c r="AK198" s="354"/>
      <c r="AL198" s="354"/>
      <c r="AM198" s="354"/>
      <c r="AN198" s="354"/>
      <c r="AO198" s="354"/>
      <c r="AP198" s="354"/>
      <c r="AQ198" s="354"/>
      <c r="AR198" s="354"/>
      <c r="AS198" s="354"/>
      <c r="AT198" s="354"/>
      <c r="AU198" s="354"/>
      <c r="AV198" s="354"/>
      <c r="AW198" s="354"/>
      <c r="AX198" s="354"/>
      <c r="AY198" s="354"/>
      <c r="AZ198" s="354"/>
      <c r="BA198" s="354"/>
      <c r="BB198" s="354"/>
      <c r="BC198" s="354"/>
      <c r="BD198" s="354"/>
      <c r="BE198" s="354"/>
      <c r="BF198" s="354"/>
      <c r="BG198" s="354"/>
      <c r="BH198" s="354"/>
      <c r="BI198" s="354"/>
      <c r="BJ198" s="354"/>
      <c r="BK198" s="354"/>
      <c r="BL198" s="354"/>
      <c r="BM198" s="1682"/>
      <c r="BN198" s="1682"/>
      <c r="BO198" s="1682"/>
      <c r="BP198" s="1682"/>
      <c r="BQ198" s="476"/>
      <c r="BR198" s="408"/>
      <c r="BS198" s="408"/>
      <c r="BT198" s="408"/>
      <c r="BU198" s="408"/>
      <c r="BV198" s="408"/>
    </row>
    <row r="199" spans="1:74" ht="18" customHeight="1">
      <c r="A199" s="354"/>
      <c r="B199" s="354"/>
      <c r="C199" s="354"/>
      <c r="D199" s="354"/>
      <c r="E199" s="354"/>
      <c r="F199" s="354"/>
      <c r="G199" s="354"/>
      <c r="H199" s="354"/>
      <c r="I199" s="354"/>
      <c r="J199" s="354"/>
      <c r="K199" s="354"/>
      <c r="L199" s="354"/>
      <c r="M199" s="354"/>
      <c r="N199" s="354"/>
      <c r="O199" s="354"/>
      <c r="P199" s="354"/>
      <c r="Q199" s="354"/>
      <c r="R199" s="354"/>
      <c r="S199" s="354"/>
      <c r="T199" s="354"/>
      <c r="U199" s="354"/>
      <c r="V199" s="354"/>
      <c r="W199" s="354"/>
      <c r="X199" s="354"/>
      <c r="Y199" s="354"/>
      <c r="Z199" s="354"/>
      <c r="AA199" s="354"/>
      <c r="AB199" s="354"/>
      <c r="AC199" s="354"/>
      <c r="AD199" s="354"/>
      <c r="AE199" s="354"/>
      <c r="AF199" s="354"/>
      <c r="AG199" s="354"/>
      <c r="AH199" s="354"/>
      <c r="AI199" s="354"/>
      <c r="AJ199" s="354"/>
      <c r="AK199" s="354"/>
      <c r="AL199" s="354"/>
      <c r="AM199" s="354"/>
      <c r="AN199" s="354"/>
      <c r="AO199" s="354"/>
      <c r="AP199" s="354"/>
      <c r="AQ199" s="354"/>
      <c r="AR199" s="354"/>
      <c r="AS199" s="354"/>
      <c r="AT199" s="354"/>
      <c r="AU199" s="354"/>
      <c r="AV199" s="354"/>
      <c r="AW199" s="354"/>
      <c r="AX199" s="354"/>
      <c r="AY199" s="354"/>
      <c r="AZ199" s="354"/>
      <c r="BA199" s="354"/>
      <c r="BB199" s="354"/>
      <c r="BC199" s="354"/>
      <c r="BD199" s="354"/>
      <c r="BE199" s="354"/>
      <c r="BF199" s="354"/>
      <c r="BG199" s="354"/>
      <c r="BH199" s="354"/>
      <c r="BI199" s="354"/>
      <c r="BJ199" s="354"/>
      <c r="BK199" s="354"/>
      <c r="BL199" s="354"/>
      <c r="BM199" s="1682"/>
      <c r="BN199" s="1682"/>
      <c r="BO199" s="1682"/>
      <c r="BP199" s="1682"/>
      <c r="BQ199" s="476"/>
      <c r="BR199" s="408"/>
      <c r="BS199" s="408"/>
      <c r="BT199" s="408"/>
      <c r="BU199" s="408"/>
      <c r="BV199" s="408"/>
    </row>
    <row r="200" spans="1:74" ht="18" customHeight="1">
      <c r="A200" s="354"/>
      <c r="B200" s="354"/>
      <c r="C200" s="354"/>
      <c r="D200" s="354"/>
      <c r="E200" s="354"/>
      <c r="F200" s="354"/>
      <c r="G200" s="354"/>
      <c r="H200" s="354"/>
      <c r="I200" s="354"/>
      <c r="J200" s="354"/>
      <c r="K200" s="354"/>
      <c r="L200" s="354"/>
      <c r="M200" s="354"/>
      <c r="N200" s="354"/>
      <c r="O200" s="354"/>
      <c r="P200" s="354"/>
      <c r="Q200" s="354"/>
      <c r="R200" s="354"/>
      <c r="S200" s="354"/>
      <c r="T200" s="354"/>
      <c r="U200" s="354"/>
      <c r="V200" s="354"/>
      <c r="W200" s="354"/>
      <c r="X200" s="354"/>
      <c r="Y200" s="354"/>
      <c r="Z200" s="354"/>
      <c r="AA200" s="354"/>
      <c r="AB200" s="354"/>
      <c r="AC200" s="354"/>
      <c r="AD200" s="354"/>
      <c r="AE200" s="354"/>
      <c r="AF200" s="354"/>
      <c r="AG200" s="354"/>
      <c r="AH200" s="354"/>
      <c r="AI200" s="354"/>
      <c r="AJ200" s="354"/>
      <c r="AK200" s="354"/>
      <c r="AL200" s="354"/>
      <c r="AM200" s="354"/>
      <c r="AN200" s="354"/>
      <c r="AO200" s="354"/>
      <c r="AP200" s="354"/>
      <c r="AQ200" s="354"/>
      <c r="AR200" s="354"/>
      <c r="AS200" s="354"/>
      <c r="AT200" s="354"/>
      <c r="AU200" s="354"/>
      <c r="AV200" s="354"/>
      <c r="AW200" s="354"/>
      <c r="AX200" s="354"/>
      <c r="AY200" s="354"/>
      <c r="AZ200" s="354"/>
      <c r="BA200" s="354"/>
      <c r="BB200" s="354"/>
      <c r="BC200" s="354"/>
      <c r="BD200" s="354"/>
      <c r="BE200" s="354"/>
      <c r="BF200" s="354"/>
      <c r="BG200" s="354"/>
      <c r="BH200" s="354"/>
      <c r="BI200" s="354"/>
      <c r="BJ200" s="354"/>
      <c r="BK200" s="354"/>
      <c r="BL200" s="354"/>
      <c r="BM200" s="1682"/>
      <c r="BN200" s="1682"/>
      <c r="BO200" s="1682"/>
      <c r="BP200" s="1682"/>
      <c r="BQ200" s="410"/>
      <c r="BR200" s="407"/>
      <c r="BS200" s="407"/>
      <c r="BT200" s="407"/>
      <c r="BU200" s="407"/>
      <c r="BV200" s="407"/>
    </row>
    <row r="201" spans="1:74" ht="18" customHeight="1">
      <c r="A201" s="354"/>
      <c r="B201" s="354"/>
      <c r="C201" s="354"/>
      <c r="D201" s="354"/>
      <c r="E201" s="354"/>
      <c r="F201" s="354"/>
      <c r="G201" s="354"/>
      <c r="H201" s="354"/>
      <c r="I201" s="354"/>
      <c r="J201" s="354"/>
      <c r="K201" s="354"/>
      <c r="L201" s="354"/>
      <c r="M201" s="354"/>
      <c r="N201" s="354"/>
      <c r="O201" s="354"/>
      <c r="P201" s="354"/>
      <c r="Q201" s="354"/>
      <c r="R201" s="354"/>
      <c r="S201" s="354"/>
      <c r="T201" s="354"/>
      <c r="U201" s="354"/>
      <c r="V201" s="354"/>
      <c r="W201" s="354"/>
      <c r="X201" s="354"/>
      <c r="Y201" s="354"/>
      <c r="Z201" s="354"/>
      <c r="AA201" s="354"/>
      <c r="AB201" s="354"/>
      <c r="AC201" s="354"/>
      <c r="AD201" s="354"/>
      <c r="AE201" s="354"/>
      <c r="AF201" s="354"/>
      <c r="AG201" s="354"/>
      <c r="AH201" s="354"/>
      <c r="AI201" s="354"/>
      <c r="AJ201" s="354"/>
      <c r="AK201" s="354"/>
      <c r="AL201" s="354"/>
      <c r="AM201" s="354"/>
      <c r="AN201" s="354"/>
      <c r="AO201" s="354"/>
      <c r="AP201" s="354"/>
      <c r="AQ201" s="354"/>
      <c r="AR201" s="354"/>
      <c r="AS201" s="354"/>
      <c r="AT201" s="354"/>
      <c r="AU201" s="354"/>
      <c r="AV201" s="354"/>
      <c r="AW201" s="354"/>
      <c r="AX201" s="354"/>
      <c r="AY201" s="354"/>
      <c r="AZ201" s="354"/>
      <c r="BA201" s="354"/>
      <c r="BB201" s="354"/>
      <c r="BC201" s="354"/>
      <c r="BD201" s="354"/>
      <c r="BE201" s="354"/>
      <c r="BF201" s="354"/>
      <c r="BG201" s="354"/>
      <c r="BH201" s="354"/>
      <c r="BI201" s="354"/>
      <c r="BJ201" s="354"/>
      <c r="BK201" s="354"/>
      <c r="BL201" s="354"/>
      <c r="BM201" s="1682"/>
      <c r="BN201" s="1682"/>
      <c r="BO201" s="1682"/>
      <c r="BP201" s="1682"/>
      <c r="BQ201" s="476"/>
      <c r="BR201" s="408"/>
      <c r="BS201" s="408"/>
      <c r="BT201" s="408"/>
      <c r="BU201" s="408"/>
      <c r="BV201" s="408"/>
    </row>
    <row r="202" spans="1:74" ht="18" customHeight="1">
      <c r="A202" s="354"/>
      <c r="B202" s="354"/>
      <c r="C202" s="354"/>
      <c r="D202" s="354"/>
      <c r="E202" s="354"/>
      <c r="F202" s="354"/>
      <c r="G202" s="354"/>
      <c r="H202" s="354"/>
      <c r="I202" s="354"/>
      <c r="J202" s="354"/>
      <c r="K202" s="354"/>
      <c r="L202" s="354"/>
      <c r="M202" s="354"/>
      <c r="N202" s="354"/>
      <c r="O202" s="354"/>
      <c r="P202" s="354"/>
      <c r="Q202" s="354"/>
      <c r="R202" s="354"/>
      <c r="S202" s="354"/>
      <c r="T202" s="354"/>
      <c r="U202" s="354"/>
      <c r="V202" s="354"/>
      <c r="W202" s="354"/>
      <c r="X202" s="354"/>
      <c r="Y202" s="354"/>
      <c r="Z202" s="354"/>
      <c r="AA202" s="354"/>
      <c r="AB202" s="354"/>
      <c r="AC202" s="354"/>
      <c r="AD202" s="354"/>
      <c r="AE202" s="354"/>
      <c r="AF202" s="354"/>
      <c r="AG202" s="354"/>
      <c r="AH202" s="354"/>
      <c r="AI202" s="354"/>
      <c r="AJ202" s="354"/>
      <c r="AK202" s="354"/>
      <c r="AL202" s="354"/>
      <c r="AM202" s="354"/>
      <c r="AN202" s="354"/>
      <c r="AO202" s="354"/>
      <c r="AP202" s="354"/>
      <c r="AQ202" s="354"/>
      <c r="AR202" s="354"/>
      <c r="AS202" s="354"/>
      <c r="AT202" s="354"/>
      <c r="AU202" s="354"/>
      <c r="AV202" s="354"/>
      <c r="AW202" s="354"/>
      <c r="AX202" s="354"/>
      <c r="AY202" s="354"/>
      <c r="AZ202" s="354"/>
      <c r="BA202" s="354"/>
      <c r="BB202" s="354"/>
      <c r="BC202" s="354"/>
      <c r="BD202" s="354"/>
      <c r="BE202" s="354"/>
      <c r="BF202" s="354"/>
      <c r="BG202" s="354"/>
      <c r="BH202" s="354"/>
      <c r="BI202" s="354"/>
      <c r="BJ202" s="354"/>
      <c r="BK202" s="354"/>
      <c r="BL202" s="354"/>
      <c r="BM202" s="1682"/>
      <c r="BN202" s="1682"/>
      <c r="BO202" s="1682"/>
      <c r="BP202" s="1682"/>
      <c r="BQ202" s="476"/>
      <c r="BR202" s="408"/>
      <c r="BS202" s="408"/>
      <c r="BT202" s="408"/>
      <c r="BU202" s="408"/>
      <c r="BV202" s="408"/>
    </row>
    <row r="203" spans="1:74" ht="18" customHeight="1">
      <c r="A203" s="354"/>
      <c r="B203" s="354"/>
      <c r="C203" s="354"/>
      <c r="D203" s="354"/>
      <c r="E203" s="354"/>
      <c r="F203" s="354"/>
      <c r="G203" s="354"/>
      <c r="H203" s="354"/>
      <c r="I203" s="354"/>
      <c r="J203" s="354"/>
      <c r="K203" s="354"/>
      <c r="L203" s="354"/>
      <c r="M203" s="354"/>
      <c r="N203" s="354"/>
      <c r="O203" s="354"/>
      <c r="P203" s="354"/>
      <c r="Q203" s="354"/>
      <c r="R203" s="354"/>
      <c r="S203" s="354"/>
      <c r="T203" s="354"/>
      <c r="U203" s="354"/>
      <c r="V203" s="354"/>
      <c r="W203" s="354"/>
      <c r="X203" s="354"/>
      <c r="Y203" s="354"/>
      <c r="Z203" s="354"/>
      <c r="AA203" s="354"/>
      <c r="AB203" s="354"/>
      <c r="AC203" s="354"/>
      <c r="AD203" s="354"/>
      <c r="AE203" s="354"/>
      <c r="AF203" s="354"/>
      <c r="AG203" s="354"/>
      <c r="AH203" s="354"/>
      <c r="AI203" s="354"/>
      <c r="AJ203" s="354"/>
      <c r="AK203" s="354"/>
      <c r="AL203" s="354"/>
      <c r="AM203" s="354"/>
      <c r="AN203" s="354"/>
      <c r="AO203" s="354"/>
      <c r="AP203" s="354"/>
      <c r="AQ203" s="354"/>
      <c r="AR203" s="354"/>
      <c r="AS203" s="354"/>
      <c r="AT203" s="354"/>
      <c r="AU203" s="354"/>
      <c r="AV203" s="354"/>
      <c r="AW203" s="354"/>
      <c r="AX203" s="354"/>
      <c r="AY203" s="354"/>
      <c r="AZ203" s="354"/>
      <c r="BA203" s="354"/>
      <c r="BB203" s="354"/>
      <c r="BC203" s="354"/>
      <c r="BD203" s="354"/>
      <c r="BE203" s="354"/>
      <c r="BF203" s="354"/>
      <c r="BG203" s="354"/>
      <c r="BH203" s="354"/>
      <c r="BI203" s="354"/>
      <c r="BJ203" s="354"/>
      <c r="BK203" s="354"/>
      <c r="BL203" s="354"/>
      <c r="BM203" s="1682"/>
      <c r="BN203" s="1682"/>
      <c r="BO203" s="1682"/>
      <c r="BP203" s="1682"/>
      <c r="BQ203" s="476"/>
      <c r="BR203" s="408"/>
      <c r="BS203" s="408"/>
      <c r="BT203" s="408"/>
      <c r="BU203" s="408"/>
      <c r="BV203" s="408"/>
    </row>
    <row r="204" spans="1:74" ht="18" customHeight="1">
      <c r="A204" s="354"/>
      <c r="B204" s="354"/>
      <c r="C204" s="354"/>
      <c r="D204" s="354"/>
      <c r="E204" s="354"/>
      <c r="F204" s="354"/>
      <c r="G204" s="354"/>
      <c r="H204" s="354"/>
      <c r="I204" s="354"/>
      <c r="J204" s="354"/>
      <c r="K204" s="354"/>
      <c r="L204" s="354"/>
      <c r="M204" s="354"/>
      <c r="N204" s="354"/>
      <c r="O204" s="354"/>
      <c r="P204" s="354"/>
      <c r="Q204" s="354"/>
      <c r="R204" s="354"/>
      <c r="S204" s="354"/>
      <c r="T204" s="354"/>
      <c r="U204" s="354"/>
      <c r="V204" s="354"/>
      <c r="W204" s="354"/>
      <c r="X204" s="354"/>
      <c r="Y204" s="354"/>
      <c r="Z204" s="354"/>
      <c r="AA204" s="354"/>
      <c r="AB204" s="354"/>
      <c r="AC204" s="354"/>
      <c r="AD204" s="354"/>
      <c r="AE204" s="354"/>
      <c r="AF204" s="354"/>
      <c r="AG204" s="354"/>
      <c r="AH204" s="354"/>
      <c r="AI204" s="354"/>
      <c r="AJ204" s="354"/>
      <c r="AK204" s="354"/>
      <c r="AL204" s="354"/>
      <c r="AM204" s="354"/>
      <c r="AN204" s="354"/>
      <c r="AO204" s="354"/>
      <c r="AP204" s="354"/>
      <c r="AQ204" s="354"/>
      <c r="AR204" s="354"/>
      <c r="AS204" s="354"/>
      <c r="AT204" s="354"/>
      <c r="AU204" s="354"/>
      <c r="AV204" s="354"/>
      <c r="AW204" s="354"/>
      <c r="AX204" s="354"/>
      <c r="AY204" s="354"/>
      <c r="AZ204" s="354"/>
      <c r="BA204" s="354"/>
      <c r="BB204" s="354"/>
      <c r="BC204" s="354"/>
      <c r="BD204" s="354"/>
      <c r="BE204" s="354"/>
      <c r="BF204" s="354"/>
      <c r="BG204" s="354"/>
      <c r="BH204" s="354"/>
      <c r="BI204" s="354"/>
      <c r="BJ204" s="354"/>
      <c r="BK204" s="354"/>
      <c r="BL204" s="354"/>
      <c r="BM204" s="1682"/>
      <c r="BN204" s="1682"/>
      <c r="BO204" s="1682"/>
      <c r="BP204" s="1682"/>
      <c r="BQ204" s="476"/>
      <c r="BR204" s="408"/>
      <c r="BS204" s="408"/>
      <c r="BT204" s="408"/>
      <c r="BU204" s="408"/>
      <c r="BV204" s="408"/>
    </row>
    <row r="205" spans="1:74" ht="18" customHeight="1">
      <c r="A205" s="354"/>
      <c r="B205" s="354"/>
      <c r="C205" s="354"/>
      <c r="D205" s="354"/>
      <c r="E205" s="354"/>
      <c r="F205" s="354"/>
      <c r="G205" s="354"/>
      <c r="H205" s="354"/>
      <c r="I205" s="354"/>
      <c r="J205" s="354"/>
      <c r="K205" s="354"/>
      <c r="L205" s="354"/>
      <c r="M205" s="354"/>
      <c r="N205" s="354"/>
      <c r="O205" s="354"/>
      <c r="P205" s="354"/>
      <c r="Q205" s="354"/>
      <c r="R205" s="354"/>
      <c r="S205" s="354"/>
      <c r="T205" s="354"/>
      <c r="U205" s="354"/>
      <c r="V205" s="354"/>
      <c r="W205" s="354"/>
      <c r="X205" s="354"/>
      <c r="Y205" s="354"/>
      <c r="Z205" s="354"/>
      <c r="AA205" s="354"/>
      <c r="AB205" s="354"/>
      <c r="AC205" s="354"/>
      <c r="AD205" s="354"/>
      <c r="AE205" s="354"/>
      <c r="AF205" s="354"/>
      <c r="AG205" s="354"/>
      <c r="AH205" s="354"/>
      <c r="AI205" s="354"/>
      <c r="AJ205" s="354"/>
      <c r="AK205" s="354"/>
      <c r="AL205" s="354"/>
      <c r="AM205" s="354"/>
      <c r="AN205" s="354"/>
      <c r="AO205" s="354"/>
      <c r="AP205" s="354"/>
      <c r="AQ205" s="354"/>
      <c r="AR205" s="354"/>
      <c r="AS205" s="354"/>
      <c r="AT205" s="354"/>
      <c r="AU205" s="354"/>
      <c r="AV205" s="354"/>
      <c r="AW205" s="354"/>
      <c r="AX205" s="354"/>
      <c r="AY205" s="354"/>
      <c r="AZ205" s="354"/>
      <c r="BA205" s="354"/>
      <c r="BB205" s="354"/>
      <c r="BC205" s="354"/>
      <c r="BD205" s="354"/>
      <c r="BE205" s="354"/>
      <c r="BF205" s="354"/>
      <c r="BG205" s="354"/>
      <c r="BH205" s="354"/>
      <c r="BI205" s="354"/>
      <c r="BJ205" s="354"/>
      <c r="BK205" s="354"/>
      <c r="BL205" s="354"/>
      <c r="BM205" s="1682"/>
      <c r="BN205" s="1682"/>
      <c r="BO205" s="1682"/>
      <c r="BP205" s="1682"/>
      <c r="BQ205" s="476"/>
      <c r="BR205" s="408"/>
      <c r="BS205" s="408"/>
      <c r="BT205" s="408"/>
      <c r="BU205" s="408"/>
      <c r="BV205" s="408"/>
    </row>
    <row r="206" spans="1:74" ht="18" customHeight="1">
      <c r="A206" s="354"/>
      <c r="B206" s="354"/>
      <c r="C206" s="354"/>
      <c r="D206" s="354"/>
      <c r="E206" s="354"/>
      <c r="F206" s="354"/>
      <c r="G206" s="354"/>
      <c r="H206" s="354"/>
      <c r="I206" s="354"/>
      <c r="J206" s="354"/>
      <c r="K206" s="354"/>
      <c r="L206" s="354"/>
      <c r="M206" s="354"/>
      <c r="N206" s="354"/>
      <c r="O206" s="354"/>
      <c r="P206" s="354"/>
      <c r="Q206" s="354"/>
      <c r="R206" s="354"/>
      <c r="S206" s="354"/>
      <c r="T206" s="354"/>
      <c r="U206" s="354"/>
      <c r="V206" s="354"/>
      <c r="W206" s="354"/>
      <c r="X206" s="354"/>
      <c r="Y206" s="354"/>
      <c r="Z206" s="354"/>
      <c r="AA206" s="354"/>
      <c r="AB206" s="354"/>
      <c r="AC206" s="354"/>
      <c r="AD206" s="354"/>
      <c r="AE206" s="354"/>
      <c r="AF206" s="354"/>
      <c r="AG206" s="354"/>
      <c r="AH206" s="354"/>
      <c r="AI206" s="354"/>
      <c r="AJ206" s="354"/>
      <c r="AK206" s="354"/>
      <c r="AL206" s="354"/>
      <c r="AM206" s="354"/>
      <c r="AN206" s="354"/>
      <c r="AO206" s="354"/>
      <c r="AP206" s="354"/>
      <c r="AQ206" s="354"/>
      <c r="AR206" s="354"/>
      <c r="AS206" s="354"/>
      <c r="AT206" s="354"/>
      <c r="AU206" s="354"/>
      <c r="AV206" s="354"/>
      <c r="AW206" s="354"/>
      <c r="AX206" s="354"/>
      <c r="AY206" s="354"/>
      <c r="AZ206" s="354"/>
      <c r="BA206" s="354"/>
      <c r="BB206" s="354"/>
      <c r="BC206" s="354"/>
      <c r="BD206" s="354"/>
      <c r="BE206" s="354"/>
      <c r="BF206" s="354"/>
      <c r="BG206" s="354"/>
      <c r="BH206" s="354"/>
      <c r="BI206" s="354"/>
      <c r="BJ206" s="354"/>
      <c r="BK206" s="354"/>
      <c r="BL206" s="354"/>
      <c r="BM206" s="1682"/>
      <c r="BN206" s="1682"/>
      <c r="BO206" s="1682"/>
      <c r="BP206" s="1682"/>
      <c r="BQ206" s="409"/>
      <c r="BR206" s="408"/>
      <c r="BS206" s="408"/>
      <c r="BT206" s="408"/>
      <c r="BU206" s="408"/>
      <c r="BV206" s="408"/>
    </row>
    <row r="207" spans="1:74" ht="18" customHeight="1">
      <c r="A207" s="354"/>
      <c r="B207" s="354"/>
      <c r="C207" s="354"/>
      <c r="D207" s="354"/>
      <c r="E207" s="354"/>
      <c r="F207" s="354"/>
      <c r="G207" s="354"/>
      <c r="H207" s="354"/>
      <c r="I207" s="354"/>
      <c r="J207" s="354"/>
      <c r="K207" s="354"/>
      <c r="L207" s="354"/>
      <c r="M207" s="354"/>
      <c r="N207" s="354"/>
      <c r="O207" s="354"/>
      <c r="P207" s="354"/>
      <c r="Q207" s="354"/>
      <c r="R207" s="354"/>
      <c r="S207" s="354"/>
      <c r="T207" s="354"/>
      <c r="U207" s="354"/>
      <c r="V207" s="354"/>
      <c r="W207" s="354"/>
      <c r="X207" s="354"/>
      <c r="Y207" s="354"/>
      <c r="Z207" s="354"/>
      <c r="AA207" s="354"/>
      <c r="AB207" s="354"/>
      <c r="AC207" s="354"/>
      <c r="AD207" s="354"/>
      <c r="AE207" s="354"/>
      <c r="AF207" s="354"/>
      <c r="AG207" s="354"/>
      <c r="AH207" s="354"/>
      <c r="AI207" s="354"/>
      <c r="AJ207" s="354"/>
      <c r="AK207" s="354"/>
      <c r="AL207" s="354"/>
      <c r="AM207" s="354"/>
      <c r="AN207" s="354"/>
      <c r="AO207" s="354"/>
      <c r="AP207" s="354"/>
      <c r="AQ207" s="354"/>
      <c r="AR207" s="354"/>
      <c r="AS207" s="354"/>
      <c r="AT207" s="354"/>
      <c r="AU207" s="354"/>
      <c r="AV207" s="354"/>
      <c r="AW207" s="354"/>
      <c r="AX207" s="354"/>
      <c r="AY207" s="354"/>
      <c r="AZ207" s="354"/>
      <c r="BA207" s="354"/>
      <c r="BB207" s="354"/>
      <c r="BC207" s="354"/>
      <c r="BD207" s="354"/>
      <c r="BE207" s="354"/>
      <c r="BF207" s="354"/>
      <c r="BG207" s="354"/>
      <c r="BH207" s="354"/>
      <c r="BI207" s="354"/>
      <c r="BJ207" s="354"/>
      <c r="BK207" s="354"/>
      <c r="BL207" s="354"/>
      <c r="BM207" s="1682"/>
      <c r="BN207" s="1682"/>
      <c r="BO207" s="1682"/>
      <c r="BP207" s="1682"/>
      <c r="BQ207" s="476"/>
      <c r="BR207" s="408"/>
      <c r="BS207" s="408"/>
      <c r="BT207" s="408"/>
      <c r="BU207" s="408"/>
      <c r="BV207" s="408"/>
    </row>
    <row r="208" spans="1:74" ht="18" customHeight="1">
      <c r="A208" s="354"/>
      <c r="B208" s="354"/>
      <c r="C208" s="354"/>
      <c r="D208" s="354"/>
      <c r="E208" s="354"/>
      <c r="F208" s="354"/>
      <c r="G208" s="354"/>
      <c r="H208" s="354"/>
      <c r="I208" s="354"/>
      <c r="J208" s="354"/>
      <c r="K208" s="354"/>
      <c r="L208" s="354"/>
      <c r="M208" s="354"/>
      <c r="N208" s="354"/>
      <c r="O208" s="354"/>
      <c r="P208" s="354"/>
      <c r="Q208" s="354"/>
      <c r="R208" s="354"/>
      <c r="S208" s="354"/>
      <c r="T208" s="354"/>
      <c r="U208" s="354"/>
      <c r="V208" s="354"/>
      <c r="W208" s="354"/>
      <c r="X208" s="354"/>
      <c r="Y208" s="354"/>
      <c r="Z208" s="354"/>
      <c r="AA208" s="354"/>
      <c r="AB208" s="354"/>
      <c r="AC208" s="354"/>
      <c r="AD208" s="354"/>
      <c r="AE208" s="354"/>
      <c r="AF208" s="354"/>
      <c r="AG208" s="354"/>
      <c r="AH208" s="354"/>
      <c r="AI208" s="354"/>
      <c r="AJ208" s="354"/>
      <c r="AK208" s="354"/>
      <c r="AL208" s="354"/>
      <c r="AM208" s="354"/>
      <c r="AN208" s="354"/>
      <c r="AO208" s="354"/>
      <c r="AP208" s="354"/>
      <c r="AQ208" s="354"/>
      <c r="AR208" s="354"/>
      <c r="AS208" s="354"/>
      <c r="AT208" s="354"/>
      <c r="AU208" s="354"/>
      <c r="AV208" s="354"/>
      <c r="AW208" s="354"/>
      <c r="AX208" s="354"/>
      <c r="AY208" s="354"/>
      <c r="AZ208" s="354"/>
      <c r="BA208" s="354"/>
      <c r="BB208" s="354"/>
      <c r="BC208" s="354"/>
      <c r="BD208" s="354"/>
      <c r="BE208" s="354"/>
      <c r="BF208" s="354"/>
      <c r="BG208" s="354"/>
      <c r="BH208" s="354"/>
      <c r="BI208" s="354"/>
      <c r="BJ208" s="354"/>
      <c r="BK208" s="354"/>
      <c r="BL208" s="354"/>
      <c r="BM208" s="1682"/>
      <c r="BN208" s="1682"/>
      <c r="BO208" s="1682"/>
      <c r="BP208" s="1682"/>
      <c r="BQ208" s="476"/>
      <c r="BR208" s="408"/>
      <c r="BS208" s="408"/>
      <c r="BT208" s="408"/>
      <c r="BU208" s="408"/>
      <c r="BV208" s="408"/>
    </row>
    <row r="209" spans="1:74" ht="18" customHeight="1">
      <c r="A209" s="354"/>
      <c r="B209" s="354"/>
      <c r="C209" s="354"/>
      <c r="D209" s="354"/>
      <c r="E209" s="354"/>
      <c r="F209" s="354"/>
      <c r="G209" s="354"/>
      <c r="H209" s="354"/>
      <c r="I209" s="354"/>
      <c r="J209" s="354"/>
      <c r="K209" s="354"/>
      <c r="L209" s="354"/>
      <c r="M209" s="354"/>
      <c r="N209" s="354"/>
      <c r="O209" s="354"/>
      <c r="P209" s="354"/>
      <c r="Q209" s="354"/>
      <c r="R209" s="354"/>
      <c r="S209" s="354"/>
      <c r="T209" s="354"/>
      <c r="U209" s="354"/>
      <c r="V209" s="354"/>
      <c r="W209" s="354"/>
      <c r="X209" s="354"/>
      <c r="Y209" s="354"/>
      <c r="Z209" s="354"/>
      <c r="AA209" s="354"/>
      <c r="AB209" s="354"/>
      <c r="AC209" s="354"/>
      <c r="AD209" s="354"/>
      <c r="AE209" s="354"/>
      <c r="AF209" s="354"/>
      <c r="AG209" s="354"/>
      <c r="AH209" s="354"/>
      <c r="AI209" s="354"/>
      <c r="AJ209" s="354"/>
      <c r="AK209" s="354"/>
      <c r="AL209" s="354"/>
      <c r="AM209" s="354"/>
      <c r="AN209" s="354"/>
      <c r="AO209" s="354"/>
      <c r="AP209" s="354"/>
      <c r="AQ209" s="354"/>
      <c r="AR209" s="354"/>
      <c r="AS209" s="354"/>
      <c r="AT209" s="354"/>
      <c r="AU209" s="354"/>
      <c r="AV209" s="354"/>
      <c r="AW209" s="354"/>
      <c r="AX209" s="354"/>
      <c r="AY209" s="354"/>
      <c r="AZ209" s="354"/>
      <c r="BA209" s="354"/>
      <c r="BB209" s="354"/>
      <c r="BC209" s="354"/>
      <c r="BD209" s="354"/>
      <c r="BE209" s="354"/>
      <c r="BF209" s="354"/>
      <c r="BG209" s="354"/>
      <c r="BH209" s="354"/>
      <c r="BI209" s="354"/>
      <c r="BJ209" s="354"/>
      <c r="BK209" s="354"/>
      <c r="BL209" s="354"/>
      <c r="BM209" s="1682"/>
      <c r="BN209" s="1682"/>
      <c r="BO209" s="1682"/>
      <c r="BP209" s="1682"/>
      <c r="BQ209" s="476"/>
      <c r="BR209" s="408"/>
      <c r="BS209" s="408"/>
      <c r="BT209" s="408"/>
      <c r="BU209" s="408"/>
      <c r="BV209" s="408"/>
    </row>
    <row r="210" spans="1:74" ht="18" customHeight="1">
      <c r="A210" s="354"/>
      <c r="B210" s="354"/>
      <c r="C210" s="354"/>
      <c r="D210" s="354"/>
      <c r="E210" s="354"/>
      <c r="F210" s="354"/>
      <c r="G210" s="354"/>
      <c r="H210" s="354"/>
      <c r="I210" s="354"/>
      <c r="J210" s="354"/>
      <c r="K210" s="354"/>
      <c r="L210" s="354"/>
      <c r="M210" s="354"/>
      <c r="N210" s="354"/>
      <c r="O210" s="354"/>
      <c r="P210" s="354"/>
      <c r="Q210" s="354"/>
      <c r="R210" s="354"/>
      <c r="S210" s="354"/>
      <c r="T210" s="354"/>
      <c r="U210" s="354"/>
      <c r="V210" s="354"/>
      <c r="W210" s="354"/>
      <c r="X210" s="354"/>
      <c r="Y210" s="354"/>
      <c r="Z210" s="354"/>
      <c r="AA210" s="354"/>
      <c r="AB210" s="354"/>
      <c r="AC210" s="354"/>
      <c r="AD210" s="354"/>
      <c r="AE210" s="354"/>
      <c r="AF210" s="354"/>
      <c r="AG210" s="354"/>
      <c r="AH210" s="354"/>
      <c r="AI210" s="354"/>
      <c r="AJ210" s="354"/>
      <c r="AK210" s="354"/>
      <c r="AL210" s="354"/>
      <c r="AM210" s="354"/>
      <c r="AN210" s="354"/>
      <c r="AO210" s="354"/>
      <c r="AP210" s="354"/>
      <c r="AQ210" s="354"/>
      <c r="AR210" s="354"/>
      <c r="AS210" s="354"/>
      <c r="AT210" s="354"/>
      <c r="AU210" s="354"/>
      <c r="AV210" s="354"/>
      <c r="AW210" s="354"/>
      <c r="AX210" s="354"/>
      <c r="AY210" s="354"/>
      <c r="AZ210" s="354"/>
      <c r="BA210" s="354"/>
      <c r="BB210" s="354"/>
      <c r="BC210" s="354"/>
      <c r="BD210" s="354"/>
      <c r="BE210" s="354"/>
      <c r="BF210" s="354"/>
      <c r="BG210" s="354"/>
      <c r="BH210" s="354"/>
      <c r="BI210" s="354"/>
      <c r="BJ210" s="354"/>
      <c r="BK210" s="354"/>
      <c r="BL210" s="354"/>
      <c r="BM210" s="1682"/>
      <c r="BN210" s="1682"/>
      <c r="BO210" s="1682"/>
      <c r="BP210" s="1682"/>
      <c r="BQ210" s="476"/>
      <c r="BR210" s="408"/>
      <c r="BS210" s="408"/>
      <c r="BT210" s="408"/>
      <c r="BU210" s="408"/>
      <c r="BV210" s="408"/>
    </row>
    <row r="211" spans="1:74" ht="18" customHeight="1">
      <c r="A211" s="354"/>
      <c r="B211" s="354"/>
      <c r="C211" s="354"/>
      <c r="D211" s="354"/>
      <c r="E211" s="354"/>
      <c r="F211" s="354"/>
      <c r="G211" s="354"/>
      <c r="H211" s="354"/>
      <c r="I211" s="354"/>
      <c r="J211" s="354"/>
      <c r="K211" s="354"/>
      <c r="L211" s="354"/>
      <c r="M211" s="354"/>
      <c r="N211" s="354"/>
      <c r="O211" s="354"/>
      <c r="P211" s="354"/>
      <c r="Q211" s="354"/>
      <c r="R211" s="354"/>
      <c r="S211" s="354"/>
      <c r="T211" s="354"/>
      <c r="U211" s="354"/>
      <c r="V211" s="354"/>
      <c r="W211" s="354"/>
      <c r="X211" s="354"/>
      <c r="Y211" s="354"/>
      <c r="Z211" s="354"/>
      <c r="AA211" s="354"/>
      <c r="AB211" s="354"/>
      <c r="AC211" s="354"/>
      <c r="AD211" s="354"/>
      <c r="AE211" s="354"/>
      <c r="AF211" s="354"/>
      <c r="AG211" s="354"/>
      <c r="AH211" s="354"/>
      <c r="AI211" s="354"/>
      <c r="AJ211" s="354"/>
      <c r="AK211" s="354"/>
      <c r="AL211" s="354"/>
      <c r="AM211" s="354"/>
      <c r="AN211" s="354"/>
      <c r="AO211" s="354"/>
      <c r="AP211" s="354"/>
      <c r="AQ211" s="354"/>
      <c r="AR211" s="354"/>
      <c r="AS211" s="354"/>
      <c r="AT211" s="354"/>
      <c r="AU211" s="354"/>
      <c r="AV211" s="354"/>
      <c r="AW211" s="354"/>
      <c r="AX211" s="354"/>
      <c r="AY211" s="354"/>
      <c r="AZ211" s="354"/>
      <c r="BA211" s="354"/>
      <c r="BB211" s="354"/>
      <c r="BC211" s="354"/>
      <c r="BD211" s="354"/>
      <c r="BE211" s="354"/>
      <c r="BF211" s="354"/>
      <c r="BG211" s="354"/>
      <c r="BH211" s="354"/>
      <c r="BI211" s="354"/>
      <c r="BJ211" s="354"/>
      <c r="BK211" s="354"/>
      <c r="BL211" s="354"/>
      <c r="BM211" s="1682"/>
      <c r="BN211" s="1682"/>
      <c r="BO211" s="1682"/>
      <c r="BP211" s="1682"/>
      <c r="BQ211" s="410"/>
      <c r="BR211" s="407"/>
      <c r="BS211" s="407"/>
      <c r="BT211" s="407"/>
      <c r="BU211" s="407"/>
      <c r="BV211" s="407"/>
    </row>
    <row r="212" spans="1:74" ht="18" customHeight="1">
      <c r="A212" s="354"/>
      <c r="B212" s="354"/>
      <c r="C212" s="354"/>
      <c r="D212" s="354"/>
      <c r="E212" s="354"/>
      <c r="F212" s="354"/>
      <c r="G212" s="354"/>
      <c r="H212" s="354"/>
      <c r="I212" s="354"/>
      <c r="J212" s="354"/>
      <c r="K212" s="354"/>
      <c r="L212" s="354"/>
      <c r="M212" s="354"/>
      <c r="N212" s="354"/>
      <c r="O212" s="354"/>
      <c r="P212" s="354"/>
      <c r="Q212" s="354"/>
      <c r="R212" s="354"/>
      <c r="S212" s="354"/>
      <c r="T212" s="354"/>
      <c r="U212" s="354"/>
      <c r="V212" s="354"/>
      <c r="W212" s="354"/>
      <c r="X212" s="354"/>
      <c r="Y212" s="354"/>
      <c r="Z212" s="354"/>
      <c r="AA212" s="354"/>
      <c r="AB212" s="354"/>
      <c r="AC212" s="354"/>
      <c r="AD212" s="354"/>
      <c r="AE212" s="354"/>
      <c r="AF212" s="354"/>
      <c r="AG212" s="354"/>
      <c r="AH212" s="354"/>
      <c r="AI212" s="354"/>
      <c r="AJ212" s="354"/>
      <c r="AK212" s="354"/>
      <c r="AL212" s="354"/>
      <c r="AM212" s="354"/>
      <c r="AN212" s="354"/>
      <c r="AO212" s="354"/>
      <c r="AP212" s="354"/>
      <c r="AQ212" s="354"/>
      <c r="AR212" s="354"/>
      <c r="AS212" s="354"/>
      <c r="AT212" s="354"/>
      <c r="AU212" s="354"/>
      <c r="AV212" s="354"/>
      <c r="AW212" s="354"/>
      <c r="AX212" s="354"/>
      <c r="AY212" s="354"/>
      <c r="AZ212" s="354"/>
      <c r="BA212" s="354"/>
      <c r="BB212" s="354"/>
      <c r="BC212" s="354"/>
      <c r="BD212" s="354"/>
      <c r="BE212" s="354"/>
      <c r="BF212" s="354"/>
      <c r="BG212" s="354"/>
      <c r="BH212" s="354"/>
      <c r="BI212" s="354"/>
      <c r="BJ212" s="354"/>
      <c r="BK212" s="354"/>
      <c r="BL212" s="354"/>
      <c r="BM212" s="1682"/>
      <c r="BN212" s="1682"/>
      <c r="BO212" s="1682"/>
      <c r="BP212" s="1682"/>
      <c r="BQ212" s="476"/>
      <c r="BR212" s="408"/>
      <c r="BS212" s="408"/>
      <c r="BT212" s="408"/>
      <c r="BU212" s="408"/>
      <c r="BV212" s="408"/>
    </row>
    <row r="213" spans="1:74" ht="18" customHeight="1">
      <c r="A213" s="354"/>
      <c r="B213" s="354"/>
      <c r="C213" s="354"/>
      <c r="D213" s="354"/>
      <c r="E213" s="354"/>
      <c r="F213" s="354"/>
      <c r="G213" s="354"/>
      <c r="H213" s="354"/>
      <c r="I213" s="354"/>
      <c r="J213" s="354"/>
      <c r="K213" s="354"/>
      <c r="L213" s="354"/>
      <c r="M213" s="354"/>
      <c r="N213" s="354"/>
      <c r="O213" s="354"/>
      <c r="P213" s="354"/>
      <c r="Q213" s="354"/>
      <c r="R213" s="354"/>
      <c r="S213" s="354"/>
      <c r="T213" s="354"/>
      <c r="U213" s="354"/>
      <c r="V213" s="354"/>
      <c r="W213" s="354"/>
      <c r="X213" s="354"/>
      <c r="Y213" s="354"/>
      <c r="Z213" s="354"/>
      <c r="AA213" s="354"/>
      <c r="AB213" s="354"/>
      <c r="AC213" s="354"/>
      <c r="AD213" s="354"/>
      <c r="AE213" s="354"/>
      <c r="AF213" s="354"/>
      <c r="AG213" s="354"/>
      <c r="AH213" s="354"/>
      <c r="AI213" s="354"/>
      <c r="AJ213" s="354"/>
      <c r="AK213" s="354"/>
      <c r="AL213" s="354"/>
      <c r="AM213" s="354"/>
      <c r="AN213" s="354"/>
      <c r="AO213" s="354"/>
      <c r="AP213" s="354"/>
      <c r="AQ213" s="354"/>
      <c r="AR213" s="354"/>
      <c r="AS213" s="354"/>
      <c r="AT213" s="354"/>
      <c r="AU213" s="354"/>
      <c r="AV213" s="354"/>
      <c r="AW213" s="354"/>
      <c r="AX213" s="354"/>
      <c r="AY213" s="354"/>
      <c r="AZ213" s="354"/>
      <c r="BA213" s="354"/>
      <c r="BB213" s="354"/>
      <c r="BC213" s="354"/>
      <c r="BD213" s="354"/>
      <c r="BE213" s="354"/>
      <c r="BF213" s="354"/>
      <c r="BG213" s="354"/>
      <c r="BH213" s="354"/>
      <c r="BI213" s="354"/>
      <c r="BJ213" s="354"/>
      <c r="BK213" s="354"/>
      <c r="BL213" s="354"/>
      <c r="BM213" s="1682"/>
      <c r="BN213" s="1682"/>
      <c r="BO213" s="1682"/>
      <c r="BP213" s="1682"/>
      <c r="BQ213" s="476"/>
      <c r="BR213" s="408"/>
      <c r="BS213" s="408"/>
      <c r="BT213" s="408"/>
      <c r="BU213" s="408"/>
      <c r="BV213" s="408"/>
    </row>
    <row r="214" spans="1:74" ht="18" customHeight="1">
      <c r="A214" s="354"/>
      <c r="B214" s="354"/>
      <c r="C214" s="354"/>
      <c r="D214" s="354"/>
      <c r="E214" s="354"/>
      <c r="F214" s="354"/>
      <c r="G214" s="354"/>
      <c r="H214" s="354"/>
      <c r="I214" s="354"/>
      <c r="J214" s="354"/>
      <c r="K214" s="354"/>
      <c r="L214" s="354"/>
      <c r="M214" s="354"/>
      <c r="N214" s="354"/>
      <c r="O214" s="354"/>
      <c r="P214" s="354"/>
      <c r="Q214" s="354"/>
      <c r="R214" s="354"/>
      <c r="S214" s="354"/>
      <c r="T214" s="354"/>
      <c r="U214" s="354"/>
      <c r="V214" s="354"/>
      <c r="W214" s="354"/>
      <c r="X214" s="354"/>
      <c r="Y214" s="354"/>
      <c r="Z214" s="354"/>
      <c r="AA214" s="354"/>
      <c r="AB214" s="354"/>
      <c r="AC214" s="354"/>
      <c r="AD214" s="354"/>
      <c r="AE214" s="354"/>
      <c r="AF214" s="354"/>
      <c r="AG214" s="354"/>
      <c r="AH214" s="354"/>
      <c r="AI214" s="354"/>
      <c r="AJ214" s="354"/>
      <c r="AK214" s="354"/>
      <c r="AL214" s="354"/>
      <c r="AM214" s="354"/>
      <c r="AN214" s="354"/>
      <c r="AO214" s="354"/>
      <c r="AP214" s="354"/>
      <c r="AQ214" s="354"/>
      <c r="AR214" s="354"/>
      <c r="AS214" s="354"/>
      <c r="AT214" s="354"/>
      <c r="AU214" s="354"/>
      <c r="AV214" s="354"/>
      <c r="AW214" s="354"/>
      <c r="AX214" s="354"/>
      <c r="AY214" s="354"/>
      <c r="AZ214" s="354"/>
      <c r="BA214" s="354"/>
      <c r="BB214" s="354"/>
      <c r="BC214" s="354"/>
      <c r="BD214" s="354"/>
      <c r="BE214" s="354"/>
      <c r="BF214" s="354"/>
      <c r="BG214" s="354"/>
      <c r="BH214" s="354"/>
      <c r="BI214" s="354"/>
      <c r="BJ214" s="354"/>
      <c r="BK214" s="354"/>
      <c r="BL214" s="354"/>
      <c r="BM214" s="1682"/>
      <c r="BN214" s="1682"/>
      <c r="BO214" s="1682"/>
      <c r="BP214" s="1682"/>
      <c r="BQ214" s="476"/>
      <c r="BR214" s="408"/>
      <c r="BS214" s="408"/>
      <c r="BT214" s="408"/>
      <c r="BU214" s="408"/>
      <c r="BV214" s="408"/>
    </row>
    <row r="215" spans="1:74" ht="18" customHeight="1">
      <c r="A215" s="354"/>
      <c r="B215" s="354"/>
      <c r="C215" s="354"/>
      <c r="D215" s="354"/>
      <c r="E215" s="354"/>
      <c r="F215" s="354"/>
      <c r="G215" s="354"/>
      <c r="H215" s="354"/>
      <c r="I215" s="354"/>
      <c r="J215" s="354"/>
      <c r="K215" s="354"/>
      <c r="L215" s="354"/>
      <c r="M215" s="354"/>
      <c r="N215" s="354"/>
      <c r="O215" s="354"/>
      <c r="P215" s="354"/>
      <c r="Q215" s="354"/>
      <c r="R215" s="354"/>
      <c r="S215" s="354"/>
      <c r="T215" s="354"/>
      <c r="U215" s="354"/>
      <c r="V215" s="354"/>
      <c r="W215" s="354"/>
      <c r="X215" s="354"/>
      <c r="Y215" s="354"/>
      <c r="Z215" s="354"/>
      <c r="AA215" s="354"/>
      <c r="AB215" s="354"/>
      <c r="AC215" s="354"/>
      <c r="AD215" s="354"/>
      <c r="AE215" s="354"/>
      <c r="AF215" s="354"/>
      <c r="AG215" s="354"/>
      <c r="AH215" s="354"/>
      <c r="AI215" s="354"/>
      <c r="AJ215" s="354"/>
      <c r="AK215" s="354"/>
      <c r="AL215" s="354"/>
      <c r="AM215" s="354"/>
      <c r="AN215" s="354"/>
      <c r="AO215" s="354"/>
      <c r="AP215" s="354"/>
      <c r="AQ215" s="354"/>
      <c r="AR215" s="354"/>
      <c r="AS215" s="354"/>
      <c r="AT215" s="354"/>
      <c r="AU215" s="354"/>
      <c r="AV215" s="354"/>
      <c r="AW215" s="354"/>
      <c r="AX215" s="354"/>
      <c r="AY215" s="354"/>
      <c r="AZ215" s="354"/>
      <c r="BA215" s="354"/>
      <c r="BB215" s="354"/>
      <c r="BC215" s="354"/>
      <c r="BD215" s="354"/>
      <c r="BE215" s="354"/>
      <c r="BF215" s="354"/>
      <c r="BG215" s="354"/>
      <c r="BH215" s="354"/>
      <c r="BI215" s="354"/>
      <c r="BJ215" s="354"/>
      <c r="BK215" s="354"/>
      <c r="BL215" s="354"/>
      <c r="BM215" s="1682"/>
      <c r="BN215" s="1682"/>
      <c r="BO215" s="1682"/>
      <c r="BP215" s="1682"/>
      <c r="BQ215" s="476"/>
      <c r="BR215" s="408"/>
      <c r="BS215" s="408"/>
      <c r="BT215" s="408"/>
      <c r="BU215" s="408"/>
      <c r="BV215" s="408"/>
    </row>
    <row r="216" spans="1:74" ht="18" customHeight="1">
      <c r="A216" s="354"/>
      <c r="B216" s="354"/>
      <c r="C216" s="354"/>
      <c r="D216" s="354"/>
      <c r="E216" s="354"/>
      <c r="F216" s="354"/>
      <c r="G216" s="354"/>
      <c r="H216" s="354"/>
      <c r="I216" s="354"/>
      <c r="J216" s="354"/>
      <c r="K216" s="354"/>
      <c r="L216" s="354"/>
      <c r="M216" s="354"/>
      <c r="N216" s="354"/>
      <c r="O216" s="354"/>
      <c r="P216" s="354"/>
      <c r="Q216" s="354"/>
      <c r="R216" s="354"/>
      <c r="S216" s="354"/>
      <c r="T216" s="354"/>
      <c r="U216" s="354"/>
      <c r="V216" s="354"/>
      <c r="W216" s="354"/>
      <c r="X216" s="354"/>
      <c r="Y216" s="354"/>
      <c r="Z216" s="354"/>
      <c r="AA216" s="354"/>
      <c r="AB216" s="354"/>
      <c r="AC216" s="354"/>
      <c r="AD216" s="354"/>
      <c r="AE216" s="354"/>
      <c r="AF216" s="354"/>
      <c r="AG216" s="354"/>
      <c r="AH216" s="354"/>
      <c r="AI216" s="354"/>
      <c r="AJ216" s="354"/>
      <c r="AK216" s="354"/>
      <c r="AL216" s="354"/>
      <c r="AM216" s="354"/>
      <c r="AN216" s="354"/>
      <c r="AO216" s="354"/>
      <c r="AP216" s="354"/>
      <c r="AQ216" s="354"/>
      <c r="AR216" s="354"/>
      <c r="AS216" s="354"/>
      <c r="AT216" s="354"/>
      <c r="AU216" s="354"/>
      <c r="AV216" s="354"/>
      <c r="AW216" s="354"/>
      <c r="AX216" s="354"/>
      <c r="AY216" s="354"/>
      <c r="AZ216" s="354"/>
      <c r="BA216" s="354"/>
      <c r="BB216" s="354"/>
      <c r="BC216" s="354"/>
      <c r="BD216" s="354"/>
      <c r="BE216" s="354"/>
      <c r="BF216" s="354"/>
      <c r="BG216" s="354"/>
      <c r="BH216" s="354"/>
      <c r="BI216" s="354"/>
      <c r="BJ216" s="354"/>
      <c r="BK216" s="354"/>
      <c r="BL216" s="354"/>
      <c r="BM216" s="1682"/>
      <c r="BN216" s="1682"/>
      <c r="BO216" s="1682"/>
      <c r="BP216" s="1682"/>
      <c r="BQ216" s="476"/>
      <c r="BR216" s="408"/>
      <c r="BS216" s="408"/>
      <c r="BT216" s="408"/>
      <c r="BU216" s="408"/>
      <c r="BV216" s="408"/>
    </row>
    <row r="217" spans="1:74" ht="18" customHeight="1">
      <c r="A217" s="354"/>
      <c r="B217" s="354"/>
      <c r="C217" s="354"/>
      <c r="D217" s="354"/>
      <c r="E217" s="354"/>
      <c r="F217" s="354"/>
      <c r="G217" s="354"/>
      <c r="H217" s="354"/>
      <c r="I217" s="354"/>
      <c r="J217" s="354"/>
      <c r="K217" s="354"/>
      <c r="L217" s="354"/>
      <c r="M217" s="354"/>
      <c r="N217" s="354"/>
      <c r="O217" s="354"/>
      <c r="P217" s="354"/>
      <c r="Q217" s="354"/>
      <c r="R217" s="354"/>
      <c r="S217" s="354"/>
      <c r="T217" s="354"/>
      <c r="U217" s="354"/>
      <c r="V217" s="354"/>
      <c r="W217" s="354"/>
      <c r="X217" s="354"/>
      <c r="Y217" s="354"/>
      <c r="Z217" s="354"/>
      <c r="AA217" s="354"/>
      <c r="AB217" s="354"/>
      <c r="AC217" s="354"/>
      <c r="AD217" s="354"/>
      <c r="AE217" s="354"/>
      <c r="AF217" s="354"/>
      <c r="AG217" s="354"/>
      <c r="AH217" s="354"/>
      <c r="AI217" s="354"/>
      <c r="AJ217" s="354"/>
      <c r="AK217" s="354"/>
      <c r="AL217" s="354"/>
      <c r="AM217" s="354"/>
      <c r="AN217" s="354"/>
      <c r="AO217" s="354"/>
      <c r="AP217" s="354"/>
      <c r="AQ217" s="354"/>
      <c r="AR217" s="354"/>
      <c r="AS217" s="354"/>
      <c r="AT217" s="354"/>
      <c r="AU217" s="354"/>
      <c r="AV217" s="354"/>
      <c r="AW217" s="354"/>
      <c r="AX217" s="354"/>
      <c r="AY217" s="354"/>
      <c r="AZ217" s="354"/>
      <c r="BA217" s="354"/>
      <c r="BB217" s="354"/>
      <c r="BC217" s="354"/>
      <c r="BD217" s="354"/>
      <c r="BE217" s="354"/>
      <c r="BF217" s="354"/>
      <c r="BG217" s="354"/>
      <c r="BH217" s="354"/>
      <c r="BI217" s="354"/>
      <c r="BJ217" s="354"/>
      <c r="BK217" s="354"/>
      <c r="BL217" s="354"/>
      <c r="BM217" s="1682"/>
      <c r="BN217" s="1682"/>
      <c r="BO217" s="1682"/>
      <c r="BP217" s="1682"/>
      <c r="BQ217" s="409"/>
      <c r="BR217" s="408"/>
      <c r="BS217" s="408"/>
      <c r="BT217" s="408"/>
      <c r="BU217" s="408"/>
      <c r="BV217" s="408"/>
    </row>
    <row r="218" spans="1:74" ht="18" customHeight="1">
      <c r="B218" s="1682"/>
      <c r="C218" s="1682"/>
      <c r="D218" s="1682"/>
      <c r="E218" s="1682"/>
      <c r="F218" s="1682"/>
      <c r="G218" s="1682"/>
      <c r="H218" s="1682"/>
      <c r="I218" s="1682"/>
      <c r="J218" s="1682"/>
      <c r="K218" s="1682"/>
      <c r="L218" s="1682"/>
      <c r="M218" s="1682"/>
      <c r="N218" s="1682"/>
      <c r="O218" s="1682"/>
      <c r="P218" s="1682"/>
      <c r="Q218" s="1682"/>
      <c r="R218" s="1682"/>
      <c r="S218" s="1682"/>
      <c r="T218" s="1682"/>
      <c r="U218" s="1682"/>
      <c r="V218" s="1682"/>
      <c r="W218" s="1682"/>
      <c r="X218" s="1682"/>
      <c r="Y218" s="1682"/>
      <c r="Z218" s="1682"/>
      <c r="AA218" s="1682"/>
      <c r="AB218" s="1682"/>
      <c r="AC218" s="1682"/>
      <c r="AD218" s="1682"/>
      <c r="AE218" s="1682"/>
      <c r="AF218" s="1682"/>
      <c r="AG218" s="1682"/>
      <c r="AH218" s="1682"/>
      <c r="AI218" s="1682"/>
      <c r="AJ218" s="1682"/>
      <c r="AK218" s="1682"/>
      <c r="AL218" s="1682"/>
      <c r="AM218" s="1682"/>
      <c r="AN218" s="1682"/>
      <c r="AO218" s="1682"/>
      <c r="AP218" s="1682"/>
      <c r="AQ218" s="1682"/>
      <c r="AR218" s="1682"/>
      <c r="AS218" s="1682"/>
      <c r="AT218" s="1682"/>
      <c r="AU218" s="1682"/>
      <c r="AV218" s="1682"/>
      <c r="AW218" s="1682"/>
      <c r="AX218" s="1682"/>
      <c r="AY218" s="1682"/>
      <c r="AZ218" s="1682"/>
      <c r="BA218" s="1682"/>
      <c r="BB218" s="1682"/>
      <c r="BC218" s="1682"/>
      <c r="BD218" s="1682"/>
      <c r="BE218" s="1682"/>
      <c r="BF218" s="1682"/>
      <c r="BG218" s="1682"/>
      <c r="BH218" s="1682"/>
      <c r="BI218" s="1682"/>
      <c r="BJ218" s="1682"/>
      <c r="BK218" s="1682"/>
      <c r="BL218" s="1682"/>
      <c r="BM218" s="1682"/>
      <c r="BN218" s="1682"/>
      <c r="BO218" s="1682"/>
      <c r="BP218" s="1682"/>
      <c r="BQ218" s="476"/>
      <c r="BR218" s="408"/>
      <c r="BS218" s="408"/>
      <c r="BT218" s="408"/>
      <c r="BU218" s="408"/>
      <c r="BV218" s="408"/>
    </row>
    <row r="219" spans="1:74" ht="18" customHeight="1">
      <c r="B219" s="1682"/>
      <c r="C219" s="1682"/>
      <c r="D219" s="1682"/>
      <c r="E219" s="1682"/>
      <c r="F219" s="1682"/>
      <c r="G219" s="1682"/>
      <c r="H219" s="1682"/>
      <c r="I219" s="1682"/>
      <c r="J219" s="1682"/>
      <c r="K219" s="1682"/>
      <c r="L219" s="1682"/>
      <c r="M219" s="1682"/>
      <c r="N219" s="1682"/>
      <c r="O219" s="1682"/>
      <c r="P219" s="1682"/>
      <c r="Q219" s="1682"/>
      <c r="R219" s="1682"/>
      <c r="S219" s="1682"/>
      <c r="T219" s="1682"/>
      <c r="U219" s="1682"/>
      <c r="V219" s="1682"/>
      <c r="W219" s="1682"/>
      <c r="X219" s="1682"/>
      <c r="Y219" s="1682"/>
      <c r="Z219" s="1682"/>
      <c r="AA219" s="1682"/>
      <c r="AB219" s="1682"/>
      <c r="AC219" s="1682"/>
      <c r="AD219" s="1682"/>
      <c r="AE219" s="1682"/>
      <c r="AF219" s="1682"/>
      <c r="AG219" s="1682"/>
      <c r="AH219" s="1682"/>
      <c r="AI219" s="1682"/>
      <c r="AJ219" s="1682"/>
      <c r="AK219" s="1682"/>
      <c r="AL219" s="1682"/>
      <c r="AM219" s="1682"/>
      <c r="AN219" s="1682"/>
      <c r="AO219" s="1682"/>
      <c r="AP219" s="1682"/>
      <c r="AQ219" s="1682"/>
      <c r="AR219" s="1682"/>
      <c r="AS219" s="1682"/>
      <c r="AT219" s="1682"/>
      <c r="AU219" s="1682"/>
      <c r="AV219" s="1682"/>
      <c r="AW219" s="1682"/>
      <c r="AX219" s="1682"/>
      <c r="AY219" s="1682"/>
      <c r="AZ219" s="1682"/>
      <c r="BA219" s="1682"/>
      <c r="BB219" s="1682"/>
      <c r="BC219" s="1682"/>
      <c r="BD219" s="1682"/>
      <c r="BE219" s="1682"/>
      <c r="BF219" s="1682"/>
      <c r="BG219" s="1682"/>
      <c r="BH219" s="1682"/>
      <c r="BI219" s="1682"/>
      <c r="BJ219" s="1682"/>
      <c r="BK219" s="1682"/>
      <c r="BL219" s="1682"/>
      <c r="BM219" s="1682"/>
      <c r="BN219" s="1682"/>
      <c r="BO219" s="1682"/>
      <c r="BP219" s="1682"/>
      <c r="BQ219" s="476"/>
      <c r="BR219" s="408"/>
      <c r="BS219" s="408"/>
      <c r="BT219" s="408"/>
      <c r="BU219" s="408"/>
      <c r="BV219" s="408"/>
    </row>
    <row r="220" spans="1:74" ht="18" customHeight="1">
      <c r="B220" s="1682"/>
      <c r="C220" s="1682"/>
      <c r="D220" s="1682"/>
      <c r="E220" s="1682"/>
      <c r="F220" s="1682"/>
      <c r="G220" s="1682"/>
      <c r="H220" s="1682"/>
      <c r="I220" s="1682"/>
      <c r="J220" s="1682"/>
      <c r="K220" s="1682"/>
      <c r="L220" s="1682"/>
      <c r="M220" s="1682"/>
      <c r="N220" s="1682"/>
      <c r="O220" s="1682"/>
      <c r="P220" s="1682"/>
      <c r="Q220" s="1682"/>
      <c r="R220" s="1682"/>
      <c r="S220" s="1682"/>
      <c r="T220" s="1682"/>
      <c r="U220" s="1682"/>
      <c r="V220" s="1682"/>
      <c r="W220" s="1682"/>
      <c r="X220" s="1682"/>
      <c r="Y220" s="1682"/>
      <c r="Z220" s="1682"/>
      <c r="AA220" s="1682"/>
      <c r="AB220" s="1682"/>
      <c r="AC220" s="1682"/>
      <c r="AD220" s="1682"/>
      <c r="AE220" s="1682"/>
      <c r="AF220" s="1682"/>
      <c r="AG220" s="1682"/>
      <c r="AH220" s="1682"/>
      <c r="AI220" s="1682"/>
      <c r="AJ220" s="1682"/>
      <c r="AK220" s="1682"/>
      <c r="AL220" s="1682"/>
      <c r="AM220" s="1682"/>
      <c r="AN220" s="1682"/>
      <c r="AO220" s="1682"/>
      <c r="AP220" s="1682"/>
      <c r="AQ220" s="1682"/>
      <c r="AR220" s="1682"/>
      <c r="AS220" s="1682"/>
      <c r="AT220" s="1682"/>
      <c r="AU220" s="1682"/>
      <c r="AV220" s="1682"/>
      <c r="AW220" s="1682"/>
      <c r="AX220" s="1682"/>
      <c r="AY220" s="1682"/>
      <c r="AZ220" s="1682"/>
      <c r="BA220" s="1682"/>
      <c r="BB220" s="1682"/>
      <c r="BC220" s="1682"/>
      <c r="BD220" s="1682"/>
      <c r="BE220" s="1682"/>
      <c r="BF220" s="1682"/>
      <c r="BG220" s="1682"/>
      <c r="BH220" s="1682"/>
      <c r="BI220" s="1682"/>
      <c r="BJ220" s="1682"/>
      <c r="BK220" s="1682"/>
      <c r="BL220" s="1682"/>
      <c r="BM220" s="1682"/>
      <c r="BN220" s="1682"/>
      <c r="BO220" s="1682"/>
      <c r="BP220" s="1682"/>
      <c r="BQ220" s="476"/>
      <c r="BR220" s="408"/>
      <c r="BS220" s="408"/>
      <c r="BT220" s="408"/>
      <c r="BU220" s="408"/>
      <c r="BV220" s="408"/>
    </row>
    <row r="221" spans="1:74" ht="18" customHeight="1">
      <c r="B221" s="1682"/>
      <c r="C221" s="1682"/>
      <c r="D221" s="1682"/>
      <c r="E221" s="1682"/>
      <c r="F221" s="1682"/>
      <c r="G221" s="1682"/>
      <c r="H221" s="1682"/>
      <c r="I221" s="1682"/>
      <c r="J221" s="1682"/>
      <c r="K221" s="1682"/>
      <c r="L221" s="1682"/>
      <c r="M221" s="1682"/>
      <c r="N221" s="1682"/>
      <c r="O221" s="1682"/>
      <c r="P221" s="1682"/>
      <c r="Q221" s="1682"/>
      <c r="R221" s="1682"/>
      <c r="S221" s="1682"/>
      <c r="T221" s="1682"/>
      <c r="U221" s="1682"/>
      <c r="V221" s="1682"/>
      <c r="W221" s="1682"/>
      <c r="X221" s="1682"/>
      <c r="Y221" s="1682"/>
      <c r="Z221" s="1682"/>
      <c r="AA221" s="1682"/>
      <c r="AB221" s="1682"/>
      <c r="AC221" s="1682"/>
      <c r="AD221" s="1682"/>
      <c r="AE221" s="1682"/>
      <c r="AF221" s="1682"/>
      <c r="AG221" s="1682"/>
      <c r="AH221" s="1682"/>
      <c r="AI221" s="1682"/>
      <c r="AJ221" s="1682"/>
      <c r="AK221" s="1682"/>
      <c r="AL221" s="1682"/>
      <c r="AM221" s="1682"/>
      <c r="AN221" s="1682"/>
      <c r="AO221" s="1682"/>
      <c r="AP221" s="1682"/>
      <c r="AQ221" s="1682"/>
      <c r="AR221" s="1682"/>
      <c r="AS221" s="1682"/>
      <c r="AT221" s="1682"/>
      <c r="AU221" s="1682"/>
      <c r="AV221" s="1682"/>
      <c r="AW221" s="1682"/>
      <c r="AX221" s="1682"/>
      <c r="AY221" s="1682"/>
      <c r="AZ221" s="1682"/>
      <c r="BA221" s="1682"/>
      <c r="BB221" s="1682"/>
      <c r="BC221" s="1682"/>
      <c r="BD221" s="1682"/>
      <c r="BE221" s="1682"/>
      <c r="BF221" s="1682"/>
      <c r="BG221" s="1682"/>
      <c r="BH221" s="1682"/>
      <c r="BI221" s="1682"/>
      <c r="BJ221" s="1682"/>
      <c r="BK221" s="1682"/>
      <c r="BL221" s="1682"/>
      <c r="BM221" s="1682"/>
      <c r="BN221" s="1682"/>
      <c r="BO221" s="1682"/>
      <c r="BP221" s="1682"/>
      <c r="BQ221" s="476"/>
      <c r="BR221" s="408"/>
      <c r="BS221" s="408"/>
      <c r="BT221" s="408"/>
      <c r="BU221" s="408"/>
      <c r="BV221" s="408"/>
    </row>
    <row r="222" spans="1:74" ht="18" customHeight="1">
      <c r="B222" s="1682"/>
      <c r="C222" s="1682"/>
      <c r="D222" s="1682"/>
      <c r="E222" s="1682"/>
      <c r="F222" s="1682"/>
      <c r="G222" s="1682"/>
      <c r="H222" s="1682"/>
      <c r="I222" s="1682"/>
      <c r="J222" s="1682"/>
      <c r="K222" s="1682"/>
      <c r="L222" s="1682"/>
      <c r="M222" s="1682"/>
      <c r="N222" s="1682"/>
      <c r="O222" s="1682"/>
      <c r="P222" s="1682"/>
      <c r="Q222" s="1682"/>
      <c r="R222" s="1682"/>
      <c r="S222" s="1682"/>
      <c r="T222" s="1682"/>
      <c r="U222" s="1682"/>
      <c r="V222" s="1682"/>
      <c r="W222" s="1682"/>
      <c r="X222" s="1682"/>
      <c r="Y222" s="1682"/>
      <c r="Z222" s="1682"/>
      <c r="AA222" s="1682"/>
      <c r="AB222" s="1682"/>
      <c r="AC222" s="1682"/>
      <c r="AD222" s="1682"/>
      <c r="AE222" s="1682"/>
      <c r="AF222" s="1682"/>
      <c r="AG222" s="1682"/>
      <c r="AH222" s="1682"/>
      <c r="AI222" s="1682"/>
      <c r="AJ222" s="1682"/>
      <c r="AK222" s="1682"/>
      <c r="AL222" s="1682"/>
      <c r="AM222" s="1682"/>
      <c r="AN222" s="1682"/>
      <c r="AO222" s="1682"/>
      <c r="AP222" s="1682"/>
      <c r="AQ222" s="1682"/>
      <c r="AR222" s="1682"/>
      <c r="AS222" s="1682"/>
      <c r="AT222" s="1682"/>
      <c r="AU222" s="1682"/>
      <c r="AV222" s="1682"/>
      <c r="AW222" s="1682"/>
      <c r="AX222" s="1682"/>
      <c r="AY222" s="1682"/>
      <c r="AZ222" s="1682"/>
      <c r="BA222" s="1682"/>
      <c r="BB222" s="1682"/>
      <c r="BC222" s="1682"/>
      <c r="BD222" s="1682"/>
      <c r="BE222" s="1682"/>
      <c r="BF222" s="1682"/>
      <c r="BG222" s="1682"/>
      <c r="BH222" s="1682"/>
      <c r="BI222" s="1682"/>
      <c r="BJ222" s="1682"/>
      <c r="BK222" s="1682"/>
      <c r="BL222" s="1682"/>
      <c r="BM222" s="1682"/>
      <c r="BN222" s="1682"/>
      <c r="BO222" s="1682"/>
      <c r="BP222" s="1682"/>
      <c r="BQ222" s="410"/>
      <c r="BR222" s="407"/>
      <c r="BS222" s="407"/>
      <c r="BT222" s="407"/>
      <c r="BU222" s="407"/>
      <c r="BV222" s="407"/>
    </row>
    <row r="223" spans="1:74" ht="18" customHeight="1">
      <c r="B223" s="1682"/>
      <c r="C223" s="1682"/>
      <c r="D223" s="1682"/>
      <c r="E223" s="1682"/>
      <c r="F223" s="1682"/>
      <c r="G223" s="1682"/>
      <c r="H223" s="1682"/>
      <c r="I223" s="1682"/>
      <c r="J223" s="1682"/>
      <c r="K223" s="1682"/>
      <c r="L223" s="1682"/>
      <c r="M223" s="1682"/>
      <c r="N223" s="1682"/>
      <c r="O223" s="1682"/>
      <c r="P223" s="1682"/>
      <c r="Q223" s="1682"/>
      <c r="R223" s="1682"/>
      <c r="S223" s="1682"/>
      <c r="T223" s="1682"/>
      <c r="U223" s="1682"/>
      <c r="V223" s="1682"/>
      <c r="W223" s="1682"/>
      <c r="X223" s="1682"/>
      <c r="Y223" s="1682"/>
      <c r="Z223" s="1682"/>
      <c r="AA223" s="1682"/>
      <c r="AB223" s="1682"/>
      <c r="AC223" s="1682"/>
      <c r="AD223" s="1682"/>
      <c r="AE223" s="1682"/>
      <c r="AF223" s="1682"/>
      <c r="AG223" s="1682"/>
      <c r="AH223" s="1682"/>
      <c r="AI223" s="1682"/>
      <c r="AJ223" s="1682"/>
      <c r="AK223" s="1682"/>
      <c r="AL223" s="1682"/>
      <c r="AM223" s="1682"/>
      <c r="AN223" s="1682"/>
      <c r="AO223" s="1682"/>
      <c r="AP223" s="1682"/>
      <c r="AQ223" s="1682"/>
      <c r="AR223" s="1682"/>
      <c r="AS223" s="1682"/>
      <c r="AT223" s="1682"/>
      <c r="AU223" s="1682"/>
      <c r="AV223" s="1682"/>
      <c r="AW223" s="1682"/>
      <c r="AX223" s="1682"/>
      <c r="AY223" s="1682"/>
      <c r="AZ223" s="1682"/>
      <c r="BA223" s="1682"/>
      <c r="BB223" s="1682"/>
      <c r="BC223" s="1682"/>
      <c r="BD223" s="1682"/>
      <c r="BE223" s="1682"/>
      <c r="BF223" s="1682"/>
      <c r="BG223" s="1682"/>
      <c r="BH223" s="1682"/>
      <c r="BI223" s="1682"/>
      <c r="BJ223" s="1682"/>
      <c r="BK223" s="1682"/>
      <c r="BL223" s="1682"/>
      <c r="BM223" s="1682"/>
      <c r="BN223" s="1682"/>
      <c r="BO223" s="1682"/>
      <c r="BP223" s="1682"/>
      <c r="BQ223" s="476"/>
      <c r="BR223" s="408"/>
      <c r="BS223" s="408"/>
      <c r="BT223" s="408"/>
      <c r="BU223" s="408"/>
      <c r="BV223" s="408"/>
    </row>
    <row r="224" spans="1:74" ht="18" customHeight="1">
      <c r="B224" s="1682"/>
      <c r="C224" s="1682"/>
      <c r="D224" s="1682"/>
      <c r="E224" s="1682"/>
      <c r="F224" s="1682"/>
      <c r="G224" s="1682"/>
      <c r="H224" s="1682"/>
      <c r="I224" s="1682"/>
      <c r="J224" s="1682"/>
      <c r="K224" s="1682"/>
      <c r="L224" s="1682"/>
      <c r="M224" s="1682"/>
      <c r="N224" s="1682"/>
      <c r="O224" s="1682"/>
      <c r="P224" s="1682"/>
      <c r="Q224" s="1682"/>
      <c r="R224" s="1682"/>
      <c r="S224" s="1682"/>
      <c r="T224" s="1682"/>
      <c r="U224" s="1682"/>
      <c r="V224" s="1682"/>
      <c r="W224" s="1682"/>
      <c r="X224" s="1682"/>
      <c r="Y224" s="1682"/>
      <c r="Z224" s="1682"/>
      <c r="AA224" s="1682"/>
      <c r="AB224" s="1682"/>
      <c r="AC224" s="1682"/>
      <c r="AD224" s="1682"/>
      <c r="AE224" s="1682"/>
      <c r="AF224" s="1682"/>
      <c r="AG224" s="1682"/>
      <c r="AH224" s="1682"/>
      <c r="AI224" s="1682"/>
      <c r="AJ224" s="1682"/>
      <c r="AK224" s="1682"/>
      <c r="AL224" s="1682"/>
      <c r="AM224" s="1682"/>
      <c r="AN224" s="1682"/>
      <c r="AO224" s="1682"/>
      <c r="AP224" s="1682"/>
      <c r="AQ224" s="1682"/>
      <c r="AR224" s="1682"/>
      <c r="AS224" s="1682"/>
      <c r="AT224" s="1682"/>
      <c r="AU224" s="1682"/>
      <c r="AV224" s="1682"/>
      <c r="AW224" s="1682"/>
      <c r="AX224" s="1682"/>
      <c r="AY224" s="1682"/>
      <c r="AZ224" s="1682"/>
      <c r="BA224" s="1682"/>
      <c r="BB224" s="1682"/>
      <c r="BC224" s="1682"/>
      <c r="BD224" s="1682"/>
      <c r="BE224" s="1682"/>
      <c r="BF224" s="1682"/>
      <c r="BG224" s="1682"/>
      <c r="BH224" s="1682"/>
      <c r="BI224" s="1682"/>
      <c r="BJ224" s="1682"/>
      <c r="BK224" s="1682"/>
      <c r="BL224" s="1682"/>
      <c r="BM224" s="1682"/>
      <c r="BN224" s="1682"/>
      <c r="BO224" s="1682"/>
      <c r="BP224" s="1682"/>
      <c r="BQ224" s="476"/>
      <c r="BR224" s="408"/>
      <c r="BS224" s="408"/>
      <c r="BT224" s="408"/>
      <c r="BU224" s="408"/>
      <c r="BV224" s="408"/>
    </row>
    <row r="225" spans="69:74" ht="18" customHeight="1">
      <c r="BQ225" s="476"/>
      <c r="BR225" s="408"/>
      <c r="BS225" s="408"/>
      <c r="BT225" s="408"/>
      <c r="BU225" s="408"/>
      <c r="BV225" s="408"/>
    </row>
    <row r="226" spans="69:74" ht="18" customHeight="1">
      <c r="BQ226" s="476"/>
      <c r="BR226" s="408"/>
      <c r="BS226" s="408"/>
      <c r="BT226" s="408"/>
      <c r="BU226" s="408"/>
      <c r="BV226" s="408"/>
    </row>
    <row r="227" spans="69:74" ht="18" customHeight="1">
      <c r="BQ227" s="476"/>
      <c r="BR227" s="408"/>
      <c r="BS227" s="408"/>
      <c r="BT227" s="408"/>
      <c r="BU227" s="408"/>
      <c r="BV227" s="408"/>
    </row>
    <row r="228" spans="69:74" ht="18" customHeight="1">
      <c r="BQ228" s="409"/>
      <c r="BR228" s="408"/>
      <c r="BS228" s="408"/>
      <c r="BT228" s="408"/>
      <c r="BU228" s="408"/>
      <c r="BV228" s="408"/>
    </row>
    <row r="229" spans="69:74" ht="18" customHeight="1">
      <c r="BQ229" s="476"/>
      <c r="BR229" s="408"/>
      <c r="BS229" s="408"/>
      <c r="BT229" s="408"/>
      <c r="BU229" s="408"/>
      <c r="BV229" s="408"/>
    </row>
    <row r="230" spans="69:74" ht="18" customHeight="1">
      <c r="BQ230" s="476"/>
      <c r="BR230" s="408"/>
      <c r="BS230" s="408"/>
      <c r="BT230" s="408"/>
      <c r="BU230" s="408"/>
      <c r="BV230" s="408"/>
    </row>
    <row r="231" spans="69:74" ht="18" customHeight="1">
      <c r="BQ231" s="476"/>
      <c r="BR231" s="408"/>
      <c r="BS231" s="408"/>
      <c r="BT231" s="408"/>
      <c r="BU231" s="408"/>
      <c r="BV231" s="408"/>
    </row>
    <row r="232" spans="69:74" ht="18" customHeight="1">
      <c r="BQ232" s="476"/>
      <c r="BR232" s="408"/>
      <c r="BS232" s="408"/>
      <c r="BT232" s="408"/>
      <c r="BU232" s="408"/>
      <c r="BV232" s="408"/>
    </row>
    <row r="233" spans="69:74" ht="18" customHeight="1">
      <c r="BQ233" s="415"/>
      <c r="BR233" s="416"/>
      <c r="BS233" s="416"/>
      <c r="BT233" s="416"/>
      <c r="BU233" s="416"/>
      <c r="BV233" s="416"/>
    </row>
    <row r="234" spans="69:74" ht="18" customHeight="1">
      <c r="BQ234" s="476"/>
      <c r="BR234" s="408"/>
      <c r="BS234" s="408"/>
      <c r="BT234" s="408"/>
      <c r="BU234" s="408"/>
      <c r="BV234" s="408"/>
    </row>
    <row r="235" spans="69:74" ht="18" customHeight="1">
      <c r="BQ235" s="476"/>
      <c r="BR235" s="408"/>
      <c r="BS235" s="408"/>
      <c r="BT235" s="408"/>
      <c r="BU235" s="408"/>
      <c r="BV235" s="408"/>
    </row>
    <row r="236" spans="69:74" ht="18" customHeight="1">
      <c r="BQ236" s="476"/>
      <c r="BR236" s="408"/>
      <c r="BS236" s="408"/>
      <c r="BT236" s="408"/>
      <c r="BU236" s="408"/>
      <c r="BV236" s="408"/>
    </row>
    <row r="237" spans="69:74" ht="18" customHeight="1">
      <c r="BQ237" s="476"/>
      <c r="BR237" s="408"/>
      <c r="BS237" s="408"/>
      <c r="BT237" s="408"/>
      <c r="BU237" s="408"/>
      <c r="BV237" s="408"/>
    </row>
    <row r="238" spans="69:74" ht="18" customHeight="1">
      <c r="BQ238" s="476"/>
      <c r="BR238" s="408"/>
      <c r="BS238" s="408"/>
      <c r="BT238" s="408"/>
      <c r="BU238" s="408"/>
      <c r="BV238" s="408"/>
    </row>
    <row r="239" spans="69:74" ht="18" customHeight="1">
      <c r="BQ239" s="409"/>
      <c r="BR239" s="408"/>
      <c r="BS239" s="408"/>
      <c r="BT239" s="408"/>
      <c r="BU239" s="408"/>
      <c r="BV239" s="408"/>
    </row>
    <row r="240" spans="69:74" ht="18" customHeight="1">
      <c r="BQ240" s="476"/>
      <c r="BR240" s="408"/>
      <c r="BS240" s="408"/>
      <c r="BT240" s="408"/>
      <c r="BU240" s="408"/>
      <c r="BV240" s="408"/>
    </row>
    <row r="241" spans="69:74" ht="18" customHeight="1">
      <c r="BQ241" s="476"/>
      <c r="BR241" s="408"/>
      <c r="BS241" s="408"/>
      <c r="BT241" s="408"/>
      <c r="BU241" s="408"/>
      <c r="BV241" s="408"/>
    </row>
    <row r="242" spans="69:74" ht="18" customHeight="1">
      <c r="BQ242" s="476"/>
      <c r="BR242" s="408"/>
      <c r="BS242" s="408"/>
      <c r="BT242" s="408"/>
      <c r="BU242" s="408"/>
      <c r="BV242" s="408"/>
    </row>
    <row r="243" spans="69:74" ht="18" customHeight="1">
      <c r="BQ243" s="476"/>
      <c r="BR243" s="408"/>
      <c r="BS243" s="408"/>
      <c r="BT243" s="408"/>
      <c r="BU243" s="408"/>
      <c r="BV243" s="408"/>
    </row>
    <row r="244" spans="69:74" ht="18" customHeight="1">
      <c r="BQ244" s="410"/>
      <c r="BR244" s="407"/>
      <c r="BS244" s="407"/>
      <c r="BT244" s="407"/>
      <c r="BU244" s="407"/>
      <c r="BV244" s="407"/>
    </row>
    <row r="245" spans="69:74" ht="18" customHeight="1">
      <c r="BQ245" s="476"/>
      <c r="BR245" s="408"/>
      <c r="BS245" s="408"/>
      <c r="BT245" s="408"/>
      <c r="BU245" s="408"/>
      <c r="BV245" s="408"/>
    </row>
    <row r="246" spans="69:74" ht="18" customHeight="1">
      <c r="BQ246" s="476"/>
      <c r="BR246" s="408"/>
      <c r="BS246" s="408"/>
      <c r="BT246" s="408"/>
      <c r="BU246" s="408"/>
      <c r="BV246" s="408"/>
    </row>
    <row r="247" spans="69:74" ht="18" customHeight="1">
      <c r="BQ247" s="476"/>
      <c r="BR247" s="408"/>
      <c r="BS247" s="408"/>
      <c r="BT247" s="408"/>
      <c r="BU247" s="408"/>
      <c r="BV247" s="408"/>
    </row>
    <row r="248" spans="69:74" ht="18" customHeight="1">
      <c r="BQ248" s="476"/>
      <c r="BR248" s="408"/>
      <c r="BS248" s="408"/>
      <c r="BT248" s="408"/>
      <c r="BU248" s="408"/>
      <c r="BV248" s="408"/>
    </row>
    <row r="249" spans="69:74" ht="18" customHeight="1">
      <c r="BQ249" s="476"/>
      <c r="BR249" s="408"/>
      <c r="BS249" s="408"/>
      <c r="BT249" s="408"/>
      <c r="BU249" s="408"/>
      <c r="BV249" s="408"/>
    </row>
    <row r="250" spans="69:74" ht="18" customHeight="1">
      <c r="BQ250" s="409"/>
      <c r="BR250" s="408"/>
      <c r="BS250" s="408"/>
      <c r="BT250" s="408"/>
      <c r="BU250" s="408"/>
      <c r="BV250" s="408"/>
    </row>
    <row r="251" spans="69:74" ht="18" customHeight="1">
      <c r="BQ251" s="476"/>
      <c r="BR251" s="408"/>
      <c r="BS251" s="408"/>
      <c r="BT251" s="408"/>
      <c r="BU251" s="408"/>
      <c r="BV251" s="408"/>
    </row>
    <row r="252" spans="69:74" ht="18" customHeight="1">
      <c r="BQ252" s="476"/>
      <c r="BR252" s="408"/>
      <c r="BS252" s="408"/>
      <c r="BT252" s="408"/>
      <c r="BU252" s="408"/>
      <c r="BV252" s="408"/>
    </row>
    <row r="253" spans="69:74" ht="18" customHeight="1">
      <c r="BQ253" s="476"/>
      <c r="BR253" s="408"/>
      <c r="BS253" s="408"/>
      <c r="BT253" s="408"/>
      <c r="BU253" s="408"/>
      <c r="BV253" s="408"/>
    </row>
    <row r="254" spans="69:74" ht="18" customHeight="1">
      <c r="BQ254" s="476"/>
      <c r="BR254" s="408"/>
      <c r="BS254" s="408"/>
      <c r="BT254" s="408"/>
      <c r="BU254" s="408"/>
      <c r="BV254" s="408"/>
    </row>
    <row r="255" spans="69:74" ht="18" customHeight="1">
      <c r="BQ255" s="410"/>
      <c r="BR255" s="407"/>
      <c r="BS255" s="407"/>
      <c r="BT255" s="407"/>
      <c r="BU255" s="407"/>
      <c r="BV255" s="407"/>
    </row>
    <row r="256" spans="69:74" ht="18" customHeight="1">
      <c r="BQ256" s="476"/>
      <c r="BR256" s="408"/>
      <c r="BS256" s="408"/>
      <c r="BT256" s="408"/>
      <c r="BU256" s="408"/>
      <c r="BV256" s="408"/>
    </row>
    <row r="257" spans="69:74" ht="18" customHeight="1">
      <c r="BQ257" s="476"/>
      <c r="BR257" s="408"/>
      <c r="BS257" s="408"/>
      <c r="BT257" s="408"/>
      <c r="BU257" s="408"/>
      <c r="BV257" s="408"/>
    </row>
    <row r="258" spans="69:74" ht="18" customHeight="1">
      <c r="BQ258" s="476"/>
      <c r="BR258" s="408"/>
      <c r="BS258" s="408"/>
      <c r="BT258" s="408"/>
      <c r="BU258" s="408"/>
      <c r="BV258" s="408"/>
    </row>
    <row r="259" spans="69:74" ht="18" customHeight="1">
      <c r="BQ259" s="476"/>
      <c r="BR259" s="408"/>
      <c r="BS259" s="408"/>
      <c r="BT259" s="408"/>
      <c r="BU259" s="408"/>
      <c r="BV259" s="408"/>
    </row>
    <row r="260" spans="69:74" ht="18" customHeight="1">
      <c r="BQ260" s="476"/>
      <c r="BR260" s="408"/>
      <c r="BS260" s="408"/>
      <c r="BT260" s="408"/>
      <c r="BU260" s="408"/>
      <c r="BV260" s="408"/>
    </row>
    <row r="261" spans="69:74" ht="18" customHeight="1">
      <c r="BQ261" s="409"/>
      <c r="BR261" s="408"/>
      <c r="BS261" s="408"/>
      <c r="BT261" s="408"/>
      <c r="BU261" s="408"/>
      <c r="BV261" s="408"/>
    </row>
    <row r="262" spans="69:74" ht="18" customHeight="1">
      <c r="BQ262" s="476"/>
      <c r="BR262" s="408"/>
      <c r="BS262" s="408"/>
      <c r="BT262" s="408"/>
      <c r="BU262" s="408"/>
      <c r="BV262" s="408"/>
    </row>
    <row r="263" spans="69:74" ht="18" customHeight="1">
      <c r="BQ263" s="476"/>
      <c r="BR263" s="408"/>
      <c r="BS263" s="408"/>
      <c r="BT263" s="408"/>
      <c r="BU263" s="408"/>
      <c r="BV263" s="408"/>
    </row>
    <row r="264" spans="69:74" ht="18" customHeight="1">
      <c r="BQ264" s="476"/>
      <c r="BR264" s="408"/>
      <c r="BS264" s="408"/>
      <c r="BT264" s="408"/>
      <c r="BU264" s="408"/>
      <c r="BV264" s="408"/>
    </row>
    <row r="265" spans="69:74" ht="18" customHeight="1">
      <c r="BQ265" s="476"/>
      <c r="BR265" s="408"/>
      <c r="BS265" s="408"/>
      <c r="BT265" s="408"/>
      <c r="BU265" s="408"/>
      <c r="BV265" s="408"/>
    </row>
    <row r="266" spans="69:74" ht="18" customHeight="1">
      <c r="BQ266" s="410"/>
      <c r="BR266" s="407"/>
      <c r="BS266" s="407"/>
      <c r="BT266" s="407"/>
      <c r="BU266" s="407"/>
      <c r="BV266" s="407"/>
    </row>
    <row r="267" spans="69:74" ht="18" customHeight="1">
      <c r="BQ267" s="476"/>
      <c r="BR267" s="408"/>
      <c r="BS267" s="408"/>
      <c r="BT267" s="408"/>
      <c r="BU267" s="408"/>
      <c r="BV267" s="408"/>
    </row>
    <row r="268" spans="69:74" ht="18" customHeight="1">
      <c r="BQ268" s="476"/>
      <c r="BR268" s="408"/>
      <c r="BS268" s="408"/>
      <c r="BT268" s="408"/>
      <c r="BU268" s="408"/>
      <c r="BV268" s="408"/>
    </row>
    <row r="269" spans="69:74" ht="18" customHeight="1">
      <c r="BQ269" s="476"/>
      <c r="BR269" s="408"/>
      <c r="BS269" s="408"/>
      <c r="BT269" s="408"/>
      <c r="BU269" s="408"/>
      <c r="BV269" s="408"/>
    </row>
    <row r="270" spans="69:74" ht="18" customHeight="1">
      <c r="BQ270" s="476"/>
      <c r="BR270" s="408"/>
      <c r="BS270" s="408"/>
      <c r="BT270" s="408"/>
      <c r="BU270" s="408"/>
      <c r="BV270" s="408"/>
    </row>
    <row r="271" spans="69:74" ht="18" customHeight="1">
      <c r="BQ271" s="476"/>
      <c r="BR271" s="408"/>
      <c r="BS271" s="408"/>
      <c r="BT271" s="408"/>
      <c r="BU271" s="408"/>
      <c r="BV271" s="408"/>
    </row>
    <row r="272" spans="69:74" ht="18" customHeight="1">
      <c r="BQ272" s="409"/>
      <c r="BR272" s="408"/>
      <c r="BS272" s="408"/>
      <c r="BT272" s="408"/>
      <c r="BU272" s="408"/>
      <c r="BV272" s="408"/>
    </row>
    <row r="273" spans="69:74" ht="18" customHeight="1">
      <c r="BQ273" s="476"/>
      <c r="BR273" s="408"/>
      <c r="BS273" s="408"/>
      <c r="BT273" s="408"/>
      <c r="BU273" s="408"/>
      <c r="BV273" s="408"/>
    </row>
    <row r="274" spans="69:74" ht="18" customHeight="1">
      <c r="BQ274" s="476"/>
      <c r="BR274" s="408"/>
      <c r="BS274" s="408"/>
      <c r="BT274" s="408"/>
      <c r="BU274" s="408"/>
      <c r="BV274" s="408"/>
    </row>
    <row r="275" spans="69:74" ht="18" customHeight="1">
      <c r="BQ275" s="476"/>
      <c r="BR275" s="408"/>
      <c r="BS275" s="408"/>
      <c r="BT275" s="408"/>
      <c r="BU275" s="408"/>
      <c r="BV275" s="408"/>
    </row>
    <row r="276" spans="69:74" ht="18" customHeight="1">
      <c r="BQ276" s="476"/>
      <c r="BR276" s="408"/>
      <c r="BS276" s="408"/>
      <c r="BT276" s="408"/>
      <c r="BU276" s="408"/>
      <c r="BV276" s="408"/>
    </row>
    <row r="277" spans="69:74" ht="18" customHeight="1">
      <c r="BQ277" s="410"/>
      <c r="BR277" s="426"/>
      <c r="BS277" s="426"/>
      <c r="BT277" s="426"/>
      <c r="BU277" s="426"/>
      <c r="BV277" s="426"/>
    </row>
    <row r="278" spans="69:74" ht="18" customHeight="1">
      <c r="BQ278" s="476"/>
      <c r="BR278" s="408"/>
      <c r="BS278" s="408"/>
      <c r="BT278" s="408"/>
      <c r="BU278" s="408"/>
      <c r="BV278" s="408"/>
    </row>
    <row r="279" spans="69:74" ht="18" customHeight="1">
      <c r="BQ279" s="476"/>
      <c r="BR279" s="408"/>
      <c r="BS279" s="408"/>
      <c r="BT279" s="408"/>
      <c r="BU279" s="408"/>
      <c r="BV279" s="408"/>
    </row>
    <row r="280" spans="69:74" ht="18" customHeight="1">
      <c r="BQ280" s="476"/>
      <c r="BR280" s="408"/>
      <c r="BS280" s="408"/>
      <c r="BT280" s="408"/>
      <c r="BU280" s="408"/>
      <c r="BV280" s="408"/>
    </row>
    <row r="281" spans="69:74" ht="18" customHeight="1">
      <c r="BQ281" s="476"/>
      <c r="BR281" s="408"/>
      <c r="BS281" s="408"/>
      <c r="BT281" s="408"/>
      <c r="BU281" s="408"/>
      <c r="BV281" s="408"/>
    </row>
    <row r="282" spans="69:74" ht="18" customHeight="1">
      <c r="BQ282" s="476"/>
      <c r="BR282" s="408"/>
      <c r="BS282" s="408"/>
      <c r="BT282" s="408"/>
      <c r="BU282" s="408"/>
      <c r="BV282" s="408"/>
    </row>
    <row r="283" spans="69:74" ht="18" customHeight="1">
      <c r="BQ283" s="409"/>
      <c r="BR283" s="408"/>
      <c r="BS283" s="408"/>
      <c r="BT283" s="408"/>
      <c r="BU283" s="408"/>
      <c r="BV283" s="408"/>
    </row>
    <row r="284" spans="69:74" ht="18" customHeight="1">
      <c r="BQ284" s="476"/>
      <c r="BR284" s="408"/>
      <c r="BS284" s="408"/>
      <c r="BT284" s="408"/>
      <c r="BU284" s="408"/>
      <c r="BV284" s="408"/>
    </row>
    <row r="285" spans="69:74" ht="18" customHeight="1">
      <c r="BQ285" s="476"/>
      <c r="BR285" s="408"/>
      <c r="BS285" s="408"/>
      <c r="BT285" s="408"/>
      <c r="BU285" s="408"/>
      <c r="BV285" s="408"/>
    </row>
    <row r="286" spans="69:74" ht="18" customHeight="1">
      <c r="BQ286" s="476"/>
      <c r="BR286" s="408"/>
      <c r="BS286" s="408"/>
      <c r="BT286" s="408"/>
      <c r="BU286" s="408"/>
      <c r="BV286" s="408"/>
    </row>
    <row r="287" spans="69:74" ht="18" customHeight="1">
      <c r="BQ287" s="476"/>
      <c r="BR287" s="408"/>
      <c r="BS287" s="408"/>
      <c r="BT287" s="408"/>
      <c r="BU287" s="408"/>
      <c r="BV287" s="408"/>
    </row>
    <row r="288" spans="69:74" ht="18" customHeight="1">
      <c r="BQ288" s="410"/>
      <c r="BR288" s="407"/>
      <c r="BS288" s="407"/>
      <c r="BT288" s="407"/>
      <c r="BU288" s="407"/>
      <c r="BV288" s="407"/>
    </row>
    <row r="289" spans="69:74" ht="18" customHeight="1">
      <c r="BQ289" s="476"/>
      <c r="BR289" s="408"/>
      <c r="BS289" s="408"/>
      <c r="BT289" s="408"/>
      <c r="BU289" s="408"/>
      <c r="BV289" s="408"/>
    </row>
    <row r="290" spans="69:74" ht="18" customHeight="1">
      <c r="BQ290" s="476"/>
      <c r="BR290" s="408"/>
      <c r="BS290" s="408"/>
      <c r="BT290" s="408"/>
      <c r="BU290" s="408"/>
      <c r="BV290" s="408"/>
    </row>
    <row r="291" spans="69:74" ht="18" customHeight="1">
      <c r="BQ291" s="476"/>
      <c r="BR291" s="408"/>
      <c r="BS291" s="408"/>
      <c r="BT291" s="408"/>
      <c r="BU291" s="408"/>
      <c r="BV291" s="408"/>
    </row>
    <row r="292" spans="69:74" ht="18" customHeight="1">
      <c r="BQ292" s="476"/>
      <c r="BR292" s="408"/>
      <c r="BS292" s="408"/>
      <c r="BT292" s="408"/>
      <c r="BU292" s="408"/>
      <c r="BV292" s="408"/>
    </row>
    <row r="293" spans="69:74" ht="18" customHeight="1">
      <c r="BQ293" s="476"/>
      <c r="BR293" s="408"/>
      <c r="BS293" s="408"/>
      <c r="BT293" s="408"/>
      <c r="BU293" s="408"/>
      <c r="BV293" s="408"/>
    </row>
    <row r="294" spans="69:74" ht="18" customHeight="1">
      <c r="BQ294" s="409"/>
      <c r="BR294" s="408"/>
      <c r="BS294" s="408"/>
      <c r="BT294" s="408"/>
      <c r="BU294" s="408"/>
      <c r="BV294" s="408"/>
    </row>
    <row r="295" spans="69:74" ht="18" customHeight="1">
      <c r="BQ295" s="476"/>
      <c r="BR295" s="408"/>
      <c r="BS295" s="408"/>
      <c r="BT295" s="408"/>
      <c r="BU295" s="408"/>
      <c r="BV295" s="408"/>
    </row>
    <row r="296" spans="69:74" ht="18" customHeight="1">
      <c r="BQ296" s="476"/>
      <c r="BR296" s="408"/>
      <c r="BS296" s="408"/>
      <c r="BT296" s="408"/>
      <c r="BU296" s="408"/>
      <c r="BV296" s="408"/>
    </row>
    <row r="297" spans="69:74" ht="18" customHeight="1">
      <c r="BQ297" s="476"/>
      <c r="BR297" s="408"/>
      <c r="BS297" s="408"/>
      <c r="BT297" s="408"/>
      <c r="BU297" s="408"/>
      <c r="BV297" s="408"/>
    </row>
    <row r="298" spans="69:74" ht="18" customHeight="1">
      <c r="BQ298" s="476"/>
      <c r="BR298" s="408"/>
      <c r="BS298" s="408"/>
      <c r="BT298" s="408"/>
      <c r="BU298" s="408"/>
      <c r="BV298" s="408"/>
    </row>
    <row r="299" spans="69:74" ht="18" customHeight="1">
      <c r="BQ299" s="410"/>
      <c r="BR299" s="407"/>
      <c r="BS299" s="407"/>
      <c r="BT299" s="407"/>
      <c r="BU299" s="407"/>
      <c r="BV299" s="407"/>
    </row>
    <row r="300" spans="69:74" ht="18" customHeight="1">
      <c r="BQ300" s="476"/>
      <c r="BR300" s="408"/>
      <c r="BS300" s="408"/>
      <c r="BT300" s="408"/>
      <c r="BU300" s="408"/>
      <c r="BV300" s="408"/>
    </row>
    <row r="301" spans="69:74" ht="18" customHeight="1">
      <c r="BQ301" s="476"/>
      <c r="BR301" s="408"/>
      <c r="BS301" s="408"/>
      <c r="BT301" s="408"/>
      <c r="BU301" s="408"/>
      <c r="BV301" s="408"/>
    </row>
    <row r="302" spans="69:74" ht="18" customHeight="1">
      <c r="BQ302" s="476"/>
      <c r="BR302" s="408"/>
      <c r="BS302" s="408"/>
      <c r="BT302" s="408"/>
      <c r="BU302" s="408"/>
      <c r="BV302" s="408"/>
    </row>
    <row r="303" spans="69:74" ht="18" customHeight="1">
      <c r="BQ303" s="476"/>
      <c r="BR303" s="408"/>
      <c r="BS303" s="408"/>
      <c r="BT303" s="408"/>
      <c r="BU303" s="408"/>
      <c r="BV303" s="408"/>
    </row>
    <row r="304" spans="69:74" ht="18" customHeight="1">
      <c r="BQ304" s="476"/>
      <c r="BR304" s="408"/>
      <c r="BS304" s="408"/>
      <c r="BT304" s="408"/>
      <c r="BU304" s="408"/>
      <c r="BV304" s="408"/>
    </row>
    <row r="305" spans="69:74" ht="18" customHeight="1">
      <c r="BQ305" s="409"/>
      <c r="BR305" s="408"/>
      <c r="BS305" s="408"/>
      <c r="BT305" s="408"/>
      <c r="BU305" s="408"/>
      <c r="BV305" s="408"/>
    </row>
    <row r="306" spans="69:74" ht="18" customHeight="1">
      <c r="BQ306" s="476"/>
      <c r="BR306" s="408"/>
      <c r="BS306" s="408"/>
      <c r="BT306" s="408"/>
      <c r="BU306" s="408"/>
      <c r="BV306" s="408"/>
    </row>
    <row r="307" spans="69:74" ht="18" customHeight="1">
      <c r="BQ307" s="476"/>
      <c r="BR307" s="408"/>
      <c r="BS307" s="408"/>
      <c r="BT307" s="408"/>
      <c r="BU307" s="408"/>
      <c r="BV307" s="408"/>
    </row>
    <row r="308" spans="69:74" ht="18" customHeight="1">
      <c r="BQ308" s="476"/>
      <c r="BR308" s="408"/>
      <c r="BS308" s="408"/>
      <c r="BT308" s="408"/>
      <c r="BU308" s="408"/>
      <c r="BV308" s="408"/>
    </row>
    <row r="309" spans="69:74" ht="18" customHeight="1">
      <c r="BQ309" s="476"/>
      <c r="BR309" s="408"/>
      <c r="BS309" s="408"/>
      <c r="BT309" s="408"/>
      <c r="BU309" s="408"/>
      <c r="BV309" s="408"/>
    </row>
    <row r="310" spans="69:74" ht="18" customHeight="1">
      <c r="BQ310" s="410"/>
      <c r="BR310" s="407"/>
      <c r="BS310" s="407"/>
      <c r="BT310" s="407"/>
      <c r="BU310" s="407"/>
      <c r="BV310" s="407"/>
    </row>
    <row r="311" spans="69:74" ht="18" customHeight="1">
      <c r="BQ311" s="476"/>
      <c r="BR311" s="408"/>
      <c r="BS311" s="408"/>
      <c r="BT311" s="408"/>
      <c r="BU311" s="408"/>
      <c r="BV311" s="408"/>
    </row>
    <row r="312" spans="69:74" ht="18" customHeight="1">
      <c r="BQ312" s="476"/>
      <c r="BR312" s="408"/>
      <c r="BS312" s="408"/>
      <c r="BT312" s="408"/>
      <c r="BU312" s="408"/>
      <c r="BV312" s="408"/>
    </row>
    <row r="313" spans="69:74" ht="18" customHeight="1">
      <c r="BQ313" s="476"/>
      <c r="BR313" s="408"/>
      <c r="BS313" s="408"/>
      <c r="BT313" s="408"/>
      <c r="BU313" s="408"/>
      <c r="BV313" s="408"/>
    </row>
    <row r="314" spans="69:74" ht="18" customHeight="1">
      <c r="BQ314" s="476"/>
      <c r="BR314" s="408"/>
      <c r="BS314" s="408"/>
      <c r="BT314" s="408"/>
      <c r="BU314" s="408"/>
      <c r="BV314" s="408"/>
    </row>
    <row r="315" spans="69:74" ht="18" customHeight="1">
      <c r="BQ315" s="476"/>
      <c r="BR315" s="408"/>
      <c r="BS315" s="408"/>
      <c r="BT315" s="408"/>
      <c r="BU315" s="408"/>
      <c r="BV315" s="408"/>
    </row>
    <row r="316" spans="69:74" ht="18" customHeight="1">
      <c r="BQ316" s="409"/>
      <c r="BR316" s="408"/>
      <c r="BS316" s="408"/>
      <c r="BT316" s="408"/>
      <c r="BU316" s="408"/>
      <c r="BV316" s="408"/>
    </row>
    <row r="317" spans="69:74" ht="18" customHeight="1">
      <c r="BQ317" s="476"/>
      <c r="BR317" s="408"/>
      <c r="BS317" s="408"/>
      <c r="BT317" s="408"/>
      <c r="BU317" s="408"/>
      <c r="BV317" s="408"/>
    </row>
    <row r="318" spans="69:74" ht="18" customHeight="1">
      <c r="BQ318" s="476"/>
      <c r="BR318" s="408"/>
      <c r="BS318" s="408"/>
      <c r="BT318" s="408"/>
      <c r="BU318" s="408"/>
      <c r="BV318" s="408"/>
    </row>
    <row r="319" spans="69:74" ht="18" customHeight="1">
      <c r="BQ319" s="476"/>
      <c r="BR319" s="408"/>
      <c r="BS319" s="408"/>
      <c r="BT319" s="408"/>
      <c r="BU319" s="408"/>
      <c r="BV319" s="408"/>
    </row>
    <row r="320" spans="69:74" ht="18" customHeight="1">
      <c r="BQ320" s="476"/>
      <c r="BR320" s="408"/>
      <c r="BS320" s="408"/>
      <c r="BT320" s="408"/>
      <c r="BU320" s="408"/>
      <c r="BV320" s="408"/>
    </row>
    <row r="321" spans="69:74" ht="18" customHeight="1">
      <c r="BQ321" s="415"/>
      <c r="BR321" s="416"/>
      <c r="BS321" s="416"/>
      <c r="BT321" s="416"/>
      <c r="BU321" s="416"/>
      <c r="BV321" s="416"/>
    </row>
    <row r="322" spans="69:74" ht="18" customHeight="1">
      <c r="BQ322" s="476"/>
      <c r="BR322" s="408"/>
      <c r="BS322" s="408"/>
      <c r="BT322" s="408"/>
      <c r="BU322" s="408"/>
      <c r="BV322" s="408"/>
    </row>
    <row r="323" spans="69:74" ht="18" customHeight="1">
      <c r="BQ323" s="476"/>
      <c r="BR323" s="408"/>
      <c r="BS323" s="408"/>
      <c r="BT323" s="408"/>
      <c r="BU323" s="408"/>
      <c r="BV323" s="408"/>
    </row>
    <row r="324" spans="69:74" ht="18" customHeight="1">
      <c r="BQ324" s="476"/>
      <c r="BR324" s="408"/>
      <c r="BS324" s="408"/>
      <c r="BT324" s="408"/>
      <c r="BU324" s="408"/>
      <c r="BV324" s="408"/>
    </row>
    <row r="325" spans="69:74" ht="18" customHeight="1">
      <c r="BQ325" s="476"/>
      <c r="BR325" s="408"/>
      <c r="BS325" s="408"/>
      <c r="BT325" s="408"/>
      <c r="BU325" s="408"/>
      <c r="BV325" s="408"/>
    </row>
    <row r="326" spans="69:74" ht="18" customHeight="1">
      <c r="BQ326" s="476"/>
      <c r="BR326" s="408"/>
      <c r="BS326" s="408"/>
      <c r="BT326" s="408"/>
      <c r="BU326" s="408"/>
      <c r="BV326" s="408"/>
    </row>
    <row r="327" spans="69:74" ht="18" customHeight="1">
      <c r="BQ327" s="409"/>
      <c r="BR327" s="408"/>
      <c r="BS327" s="408"/>
      <c r="BT327" s="408"/>
      <c r="BU327" s="408"/>
      <c r="BV327" s="408"/>
    </row>
    <row r="328" spans="69:74" ht="18" customHeight="1">
      <c r="BQ328" s="476"/>
      <c r="BR328" s="408"/>
      <c r="BS328" s="408"/>
      <c r="BT328" s="408"/>
      <c r="BU328" s="408"/>
      <c r="BV328" s="408"/>
    </row>
    <row r="329" spans="69:74" ht="18" customHeight="1">
      <c r="BQ329" s="476"/>
      <c r="BR329" s="408"/>
      <c r="BS329" s="408"/>
      <c r="BT329" s="408"/>
      <c r="BU329" s="408"/>
      <c r="BV329" s="408"/>
    </row>
    <row r="330" spans="69:74" ht="18" customHeight="1">
      <c r="BQ330" s="476"/>
      <c r="BR330" s="408"/>
      <c r="BS330" s="408"/>
      <c r="BT330" s="408"/>
      <c r="BU330" s="408"/>
      <c r="BV330" s="408"/>
    </row>
    <row r="331" spans="69:74" ht="18" customHeight="1">
      <c r="BQ331" s="476"/>
      <c r="BR331" s="408"/>
      <c r="BS331" s="408"/>
      <c r="BT331" s="408"/>
      <c r="BU331" s="408"/>
      <c r="BV331" s="408"/>
    </row>
    <row r="332" spans="69:74" ht="18" customHeight="1">
      <c r="BQ332" s="410"/>
      <c r="BR332" s="407"/>
      <c r="BS332" s="407"/>
      <c r="BT332" s="407"/>
      <c r="BU332" s="407"/>
      <c r="BV332" s="407"/>
    </row>
    <row r="333" spans="69:74" ht="18" customHeight="1">
      <c r="BQ333" s="476"/>
      <c r="BR333" s="408"/>
      <c r="BS333" s="408"/>
      <c r="BT333" s="408"/>
      <c r="BU333" s="408"/>
      <c r="BV333" s="408"/>
    </row>
    <row r="334" spans="69:74" ht="18" customHeight="1">
      <c r="BQ334" s="476"/>
      <c r="BR334" s="408"/>
      <c r="BS334" s="408"/>
      <c r="BT334" s="408"/>
      <c r="BU334" s="408"/>
      <c r="BV334" s="408"/>
    </row>
    <row r="335" spans="69:74" ht="18" customHeight="1">
      <c r="BQ335" s="476"/>
      <c r="BR335" s="408"/>
      <c r="BS335" s="408"/>
      <c r="BT335" s="408"/>
      <c r="BU335" s="408"/>
      <c r="BV335" s="408"/>
    </row>
    <row r="336" spans="69:74" ht="18" customHeight="1">
      <c r="BQ336" s="476"/>
      <c r="BR336" s="408"/>
      <c r="BS336" s="408"/>
      <c r="BT336" s="408"/>
      <c r="BU336" s="408"/>
      <c r="BV336" s="408"/>
    </row>
    <row r="337" spans="69:74" ht="18" customHeight="1">
      <c r="BQ337" s="476"/>
      <c r="BR337" s="408"/>
      <c r="BS337" s="408"/>
      <c r="BT337" s="408"/>
      <c r="BU337" s="408"/>
      <c r="BV337" s="408"/>
    </row>
    <row r="338" spans="69:74" ht="18" customHeight="1">
      <c r="BQ338" s="409"/>
      <c r="BR338" s="408"/>
      <c r="BS338" s="408"/>
      <c r="BT338" s="408"/>
      <c r="BU338" s="408"/>
      <c r="BV338" s="408"/>
    </row>
    <row r="339" spans="69:74" ht="18" customHeight="1">
      <c r="BQ339" s="476"/>
      <c r="BR339" s="408"/>
      <c r="BS339" s="408"/>
      <c r="BT339" s="408"/>
      <c r="BU339" s="408"/>
      <c r="BV339" s="408"/>
    </row>
    <row r="340" spans="69:74" ht="18" customHeight="1">
      <c r="BQ340" s="476"/>
      <c r="BR340" s="408"/>
      <c r="BS340" s="408"/>
      <c r="BT340" s="408"/>
      <c r="BU340" s="408"/>
      <c r="BV340" s="408"/>
    </row>
    <row r="341" spans="69:74" ht="18" customHeight="1">
      <c r="BQ341" s="476"/>
      <c r="BR341" s="408"/>
      <c r="BS341" s="408"/>
      <c r="BT341" s="408"/>
      <c r="BU341" s="408"/>
      <c r="BV341" s="408"/>
    </row>
    <row r="342" spans="69:74" ht="18" customHeight="1">
      <c r="BQ342" s="476"/>
      <c r="BR342" s="408"/>
      <c r="BS342" s="408"/>
      <c r="BT342" s="408"/>
      <c r="BU342" s="408"/>
      <c r="BV342" s="408"/>
    </row>
    <row r="343" spans="69:74" ht="18" customHeight="1">
      <c r="BQ343" s="410"/>
      <c r="BR343" s="407"/>
      <c r="BS343" s="407"/>
      <c r="BT343" s="407"/>
      <c r="BU343" s="407"/>
      <c r="BV343" s="407"/>
    </row>
    <row r="344" spans="69:74" ht="18" customHeight="1">
      <c r="BQ344" s="476"/>
      <c r="BR344" s="408"/>
      <c r="BS344" s="408"/>
      <c r="BT344" s="408"/>
      <c r="BU344" s="408"/>
      <c r="BV344" s="408"/>
    </row>
    <row r="345" spans="69:74" ht="18" customHeight="1">
      <c r="BQ345" s="476"/>
      <c r="BR345" s="408"/>
      <c r="BS345" s="408"/>
      <c r="BT345" s="408"/>
      <c r="BU345" s="408"/>
      <c r="BV345" s="408"/>
    </row>
    <row r="346" spans="69:74" ht="18" customHeight="1">
      <c r="BQ346" s="476"/>
      <c r="BR346" s="408"/>
      <c r="BS346" s="408"/>
      <c r="BT346" s="408"/>
      <c r="BU346" s="408"/>
      <c r="BV346" s="408"/>
    </row>
    <row r="347" spans="69:74" ht="18" customHeight="1">
      <c r="BQ347" s="476"/>
      <c r="BR347" s="408"/>
      <c r="BS347" s="408"/>
      <c r="BT347" s="408"/>
      <c r="BU347" s="408"/>
      <c r="BV347" s="408"/>
    </row>
    <row r="348" spans="69:74" ht="18" customHeight="1">
      <c r="BQ348" s="476"/>
      <c r="BR348" s="408"/>
      <c r="BS348" s="408"/>
      <c r="BT348" s="408"/>
      <c r="BU348" s="408"/>
      <c r="BV348" s="408"/>
    </row>
    <row r="349" spans="69:74" ht="18" customHeight="1">
      <c r="BQ349" s="409"/>
      <c r="BR349" s="408"/>
      <c r="BS349" s="408"/>
      <c r="BT349" s="408"/>
      <c r="BU349" s="408"/>
      <c r="BV349" s="408"/>
    </row>
    <row r="350" spans="69:74" ht="18" customHeight="1">
      <c r="BQ350" s="476"/>
      <c r="BR350" s="408"/>
      <c r="BS350" s="408"/>
      <c r="BT350" s="408"/>
      <c r="BU350" s="408"/>
      <c r="BV350" s="408"/>
    </row>
    <row r="351" spans="69:74" ht="18" customHeight="1">
      <c r="BQ351" s="476"/>
      <c r="BR351" s="408"/>
      <c r="BS351" s="408"/>
      <c r="BT351" s="408"/>
      <c r="BU351" s="408"/>
      <c r="BV351" s="408"/>
    </row>
    <row r="352" spans="69:74" ht="18" customHeight="1">
      <c r="BQ352" s="476"/>
      <c r="BR352" s="408"/>
      <c r="BS352" s="408"/>
      <c r="BT352" s="408"/>
      <c r="BU352" s="408"/>
      <c r="BV352" s="408"/>
    </row>
    <row r="353" spans="69:74" ht="18" customHeight="1">
      <c r="BQ353" s="476"/>
      <c r="BR353" s="408"/>
      <c r="BS353" s="408"/>
      <c r="BT353" s="408"/>
      <c r="BU353" s="408"/>
      <c r="BV353" s="408"/>
    </row>
    <row r="354" spans="69:74" ht="18" customHeight="1">
      <c r="BQ354" s="410"/>
      <c r="BR354" s="407"/>
      <c r="BS354" s="407"/>
      <c r="BT354" s="407"/>
      <c r="BU354" s="407"/>
      <c r="BV354" s="407"/>
    </row>
    <row r="355" spans="69:74" ht="18" customHeight="1">
      <c r="BQ355" s="476"/>
      <c r="BR355" s="408"/>
      <c r="BS355" s="408"/>
      <c r="BT355" s="408"/>
      <c r="BU355" s="408"/>
      <c r="BV355" s="408"/>
    </row>
    <row r="356" spans="69:74" ht="18" customHeight="1">
      <c r="BQ356" s="476"/>
      <c r="BR356" s="408"/>
      <c r="BS356" s="408"/>
      <c r="BT356" s="408"/>
      <c r="BU356" s="408"/>
      <c r="BV356" s="408"/>
    </row>
    <row r="357" spans="69:74" ht="18" customHeight="1">
      <c r="BQ357" s="476"/>
      <c r="BR357" s="408"/>
      <c r="BS357" s="408"/>
      <c r="BT357" s="408"/>
      <c r="BU357" s="408"/>
      <c r="BV357" s="408"/>
    </row>
    <row r="358" spans="69:74" ht="18" customHeight="1">
      <c r="BQ358" s="476"/>
      <c r="BR358" s="408"/>
      <c r="BS358" s="408"/>
      <c r="BT358" s="408"/>
      <c r="BU358" s="408"/>
      <c r="BV358" s="408"/>
    </row>
    <row r="359" spans="69:74" ht="18" customHeight="1">
      <c r="BQ359" s="476"/>
      <c r="BR359" s="408"/>
      <c r="BS359" s="408"/>
      <c r="BT359" s="408"/>
      <c r="BU359" s="408"/>
      <c r="BV359" s="408"/>
    </row>
    <row r="360" spans="69:74" ht="18" customHeight="1">
      <c r="BQ360" s="409"/>
      <c r="BR360" s="408"/>
      <c r="BS360" s="408"/>
      <c r="BT360" s="408"/>
      <c r="BU360" s="408"/>
      <c r="BV360" s="408"/>
    </row>
    <row r="361" spans="69:74" ht="18" customHeight="1">
      <c r="BQ361" s="476"/>
      <c r="BR361" s="408"/>
      <c r="BS361" s="408"/>
      <c r="BT361" s="408"/>
      <c r="BU361" s="408"/>
      <c r="BV361" s="408"/>
    </row>
    <row r="362" spans="69:74" ht="18" customHeight="1">
      <c r="BQ362" s="476"/>
      <c r="BR362" s="408"/>
      <c r="BS362" s="408"/>
      <c r="BT362" s="408"/>
      <c r="BU362" s="408"/>
      <c r="BV362" s="408"/>
    </row>
    <row r="363" spans="69:74" ht="18" customHeight="1">
      <c r="BQ363" s="476"/>
      <c r="BR363" s="408"/>
      <c r="BS363" s="408"/>
      <c r="BT363" s="408"/>
      <c r="BU363" s="408"/>
      <c r="BV363" s="408"/>
    </row>
    <row r="364" spans="69:74" ht="18" customHeight="1">
      <c r="BQ364" s="476"/>
      <c r="BR364" s="408"/>
      <c r="BS364" s="408"/>
      <c r="BT364" s="408"/>
      <c r="BU364" s="408"/>
      <c r="BV364" s="408"/>
    </row>
    <row r="365" spans="69:74" ht="18" customHeight="1">
      <c r="BQ365" s="410"/>
      <c r="BR365" s="407"/>
      <c r="BS365" s="407"/>
      <c r="BT365" s="407"/>
      <c r="BU365" s="407"/>
      <c r="BV365" s="407"/>
    </row>
    <row r="366" spans="69:74" ht="18" customHeight="1">
      <c r="BQ366" s="476"/>
      <c r="BR366" s="408"/>
      <c r="BS366" s="408"/>
      <c r="BT366" s="408"/>
      <c r="BU366" s="408"/>
      <c r="BV366" s="408"/>
    </row>
    <row r="367" spans="69:74" ht="18" customHeight="1">
      <c r="BQ367" s="476"/>
      <c r="BR367" s="408"/>
      <c r="BS367" s="408"/>
      <c r="BT367" s="408"/>
      <c r="BU367" s="408"/>
      <c r="BV367" s="408"/>
    </row>
    <row r="368" spans="69:74" ht="18" customHeight="1">
      <c r="BQ368" s="476"/>
      <c r="BR368" s="408"/>
      <c r="BS368" s="408"/>
      <c r="BT368" s="408"/>
      <c r="BU368" s="408"/>
      <c r="BV368" s="408"/>
    </row>
    <row r="369" spans="69:74" ht="18" customHeight="1">
      <c r="BQ369" s="476"/>
      <c r="BR369" s="408"/>
      <c r="BS369" s="408"/>
      <c r="BT369" s="408"/>
      <c r="BU369" s="408"/>
      <c r="BV369" s="408"/>
    </row>
    <row r="370" spans="69:74" ht="18" customHeight="1">
      <c r="BQ370" s="476"/>
      <c r="BR370" s="408"/>
      <c r="BS370" s="408"/>
      <c r="BT370" s="408"/>
      <c r="BU370" s="408"/>
      <c r="BV370" s="408"/>
    </row>
    <row r="371" spans="69:74" ht="18" customHeight="1">
      <c r="BQ371" s="409"/>
      <c r="BR371" s="408"/>
      <c r="BS371" s="408"/>
      <c r="BT371" s="408"/>
      <c r="BU371" s="408"/>
      <c r="BV371" s="408"/>
    </row>
    <row r="372" spans="69:74" ht="18" customHeight="1">
      <c r="BQ372" s="476"/>
      <c r="BR372" s="408"/>
      <c r="BS372" s="408"/>
      <c r="BT372" s="408"/>
      <c r="BU372" s="408"/>
      <c r="BV372" s="408"/>
    </row>
    <row r="373" spans="69:74" ht="18" customHeight="1">
      <c r="BQ373" s="476"/>
      <c r="BR373" s="408"/>
      <c r="BS373" s="408"/>
      <c r="BT373" s="408"/>
      <c r="BU373" s="408"/>
      <c r="BV373" s="408"/>
    </row>
    <row r="374" spans="69:74" ht="18" customHeight="1">
      <c r="BQ374" s="476"/>
      <c r="BR374" s="408"/>
      <c r="BS374" s="408"/>
      <c r="BT374" s="408"/>
      <c r="BU374" s="408"/>
      <c r="BV374" s="408"/>
    </row>
    <row r="375" spans="69:74" ht="18" customHeight="1">
      <c r="BQ375" s="476"/>
      <c r="BR375" s="408"/>
      <c r="BS375" s="408"/>
      <c r="BT375" s="408"/>
      <c r="BU375" s="408"/>
      <c r="BV375" s="408"/>
    </row>
    <row r="376" spans="69:74" ht="18" customHeight="1">
      <c r="BQ376" s="410"/>
      <c r="BR376" s="407"/>
      <c r="BS376" s="407"/>
      <c r="BT376" s="407"/>
      <c r="BU376" s="407"/>
      <c r="BV376" s="407"/>
    </row>
    <row r="377" spans="69:74" ht="18" customHeight="1">
      <c r="BQ377" s="476"/>
      <c r="BR377" s="408"/>
      <c r="BS377" s="408"/>
      <c r="BT377" s="408"/>
      <c r="BU377" s="408"/>
      <c r="BV377" s="408"/>
    </row>
    <row r="378" spans="69:74" ht="18" customHeight="1">
      <c r="BQ378" s="476"/>
      <c r="BR378" s="408"/>
      <c r="BS378" s="408"/>
      <c r="BT378" s="408"/>
      <c r="BU378" s="408"/>
      <c r="BV378" s="408"/>
    </row>
    <row r="379" spans="69:74" ht="18" customHeight="1">
      <c r="BQ379" s="476"/>
      <c r="BR379" s="408"/>
      <c r="BS379" s="408"/>
      <c r="BT379" s="408"/>
      <c r="BU379" s="408"/>
      <c r="BV379" s="408"/>
    </row>
    <row r="380" spans="69:74" ht="18" customHeight="1">
      <c r="BQ380" s="476"/>
      <c r="BR380" s="408"/>
      <c r="BS380" s="408"/>
      <c r="BT380" s="408"/>
      <c r="BU380" s="408"/>
      <c r="BV380" s="408"/>
    </row>
    <row r="381" spans="69:74" ht="18" customHeight="1">
      <c r="BQ381" s="476"/>
      <c r="BR381" s="408"/>
      <c r="BS381" s="408"/>
      <c r="BT381" s="408"/>
      <c r="BU381" s="408"/>
      <c r="BV381" s="408"/>
    </row>
    <row r="382" spans="69:74" ht="18" customHeight="1">
      <c r="BQ382" s="409"/>
      <c r="BR382" s="408"/>
      <c r="BS382" s="408"/>
      <c r="BT382" s="408"/>
      <c r="BU382" s="408"/>
      <c r="BV382" s="408"/>
    </row>
    <row r="383" spans="69:74" ht="18" customHeight="1">
      <c r="BQ383" s="476"/>
      <c r="BR383" s="408"/>
      <c r="BS383" s="408"/>
      <c r="BT383" s="408"/>
      <c r="BU383" s="408"/>
      <c r="BV383" s="408"/>
    </row>
    <row r="384" spans="69:74" ht="18" customHeight="1">
      <c r="BQ384" s="476"/>
      <c r="BR384" s="408"/>
      <c r="BS384" s="408"/>
      <c r="BT384" s="408"/>
      <c r="BU384" s="408"/>
      <c r="BV384" s="408"/>
    </row>
    <row r="385" spans="69:74" ht="18" customHeight="1">
      <c r="BQ385" s="476"/>
      <c r="BR385" s="408"/>
      <c r="BS385" s="408"/>
      <c r="BT385" s="408"/>
      <c r="BU385" s="408"/>
      <c r="BV385" s="408"/>
    </row>
    <row r="386" spans="69:74" ht="18" customHeight="1">
      <c r="BQ386" s="476"/>
      <c r="BR386" s="408"/>
      <c r="BS386" s="408"/>
      <c r="BT386" s="408"/>
      <c r="BU386" s="408"/>
      <c r="BV386" s="408"/>
    </row>
    <row r="387" spans="69:74" ht="18" customHeight="1">
      <c r="BQ387" s="410"/>
      <c r="BR387" s="426"/>
      <c r="BS387" s="426"/>
      <c r="BT387" s="426"/>
      <c r="BU387" s="426"/>
      <c r="BV387" s="426"/>
    </row>
    <row r="388" spans="69:74" ht="18" customHeight="1">
      <c r="BQ388" s="476"/>
      <c r="BR388" s="408"/>
      <c r="BS388" s="408"/>
      <c r="BT388" s="408"/>
      <c r="BU388" s="408"/>
      <c r="BV388" s="408"/>
    </row>
    <row r="389" spans="69:74" ht="18" customHeight="1">
      <c r="BQ389" s="476"/>
      <c r="BR389" s="408"/>
      <c r="BS389" s="408"/>
      <c r="BT389" s="408"/>
      <c r="BU389" s="408"/>
      <c r="BV389" s="408"/>
    </row>
    <row r="390" spans="69:74" ht="18" customHeight="1">
      <c r="BQ390" s="476"/>
      <c r="BR390" s="408"/>
      <c r="BS390" s="408"/>
      <c r="BT390" s="408"/>
      <c r="BU390" s="408"/>
      <c r="BV390" s="408"/>
    </row>
    <row r="391" spans="69:74" ht="18" customHeight="1">
      <c r="BQ391" s="476"/>
      <c r="BR391" s="408"/>
      <c r="BS391" s="408"/>
      <c r="BT391" s="408"/>
      <c r="BU391" s="408"/>
      <c r="BV391" s="408"/>
    </row>
    <row r="392" spans="69:74" ht="18" customHeight="1">
      <c r="BQ392" s="476"/>
      <c r="BR392" s="408"/>
      <c r="BS392" s="408"/>
      <c r="BT392" s="408"/>
      <c r="BU392" s="408"/>
      <c r="BV392" s="408"/>
    </row>
    <row r="393" spans="69:74" ht="18" customHeight="1">
      <c r="BQ393" s="409"/>
      <c r="BR393" s="408"/>
      <c r="BS393" s="408"/>
      <c r="BT393" s="408"/>
      <c r="BU393" s="408"/>
      <c r="BV393" s="408"/>
    </row>
    <row r="394" spans="69:74" ht="18" customHeight="1">
      <c r="BQ394" s="476"/>
      <c r="BR394" s="408"/>
      <c r="BS394" s="408"/>
      <c r="BT394" s="408"/>
      <c r="BU394" s="408"/>
      <c r="BV394" s="408"/>
    </row>
    <row r="395" spans="69:74" ht="18" customHeight="1">
      <c r="BQ395" s="476"/>
      <c r="BR395" s="408"/>
      <c r="BS395" s="408"/>
      <c r="BT395" s="408"/>
      <c r="BU395" s="408"/>
      <c r="BV395" s="408"/>
    </row>
    <row r="396" spans="69:74" ht="18" customHeight="1">
      <c r="BQ396" s="476"/>
      <c r="BR396" s="408"/>
      <c r="BS396" s="408"/>
      <c r="BT396" s="408"/>
      <c r="BU396" s="408"/>
      <c r="BV396" s="408"/>
    </row>
    <row r="397" spans="69:74" ht="18" customHeight="1">
      <c r="BQ397" s="476"/>
      <c r="BR397" s="408"/>
      <c r="BS397" s="408"/>
      <c r="BT397" s="408"/>
      <c r="BU397" s="408"/>
      <c r="BV397" s="408"/>
    </row>
    <row r="398" spans="69:74" ht="18" customHeight="1">
      <c r="BQ398" s="410"/>
      <c r="BR398" s="407"/>
      <c r="BS398" s="407"/>
      <c r="BT398" s="407"/>
      <c r="BU398" s="407"/>
      <c r="BV398" s="407"/>
    </row>
    <row r="399" spans="69:74" ht="18" customHeight="1">
      <c r="BQ399" s="476"/>
      <c r="BR399" s="408"/>
      <c r="BS399" s="408"/>
      <c r="BT399" s="408"/>
      <c r="BU399" s="408"/>
      <c r="BV399" s="408"/>
    </row>
    <row r="400" spans="69:74" ht="18" customHeight="1">
      <c r="BQ400" s="476"/>
      <c r="BR400" s="408"/>
      <c r="BS400" s="408"/>
      <c r="BT400" s="408"/>
      <c r="BU400" s="408"/>
      <c r="BV400" s="408"/>
    </row>
    <row r="401" spans="69:74" ht="18" customHeight="1">
      <c r="BQ401" s="476"/>
      <c r="BR401" s="408"/>
      <c r="BS401" s="408"/>
      <c r="BT401" s="408"/>
      <c r="BU401" s="408"/>
      <c r="BV401" s="408"/>
    </row>
    <row r="402" spans="69:74" ht="18" customHeight="1">
      <c r="BQ402" s="476"/>
      <c r="BR402" s="408"/>
      <c r="BS402" s="408"/>
      <c r="BT402" s="408"/>
      <c r="BU402" s="408"/>
      <c r="BV402" s="408"/>
    </row>
    <row r="403" spans="69:74" ht="18" customHeight="1">
      <c r="BQ403" s="476"/>
      <c r="BR403" s="408"/>
      <c r="BS403" s="408"/>
      <c r="BT403" s="408"/>
      <c r="BU403" s="408"/>
      <c r="BV403" s="408"/>
    </row>
    <row r="404" spans="69:74" ht="18" customHeight="1">
      <c r="BQ404" s="409"/>
      <c r="BR404" s="408"/>
      <c r="BS404" s="408"/>
      <c r="BT404" s="408"/>
      <c r="BU404" s="408"/>
      <c r="BV404" s="408"/>
    </row>
    <row r="405" spans="69:74" ht="18" customHeight="1">
      <c r="BQ405" s="476"/>
      <c r="BR405" s="408"/>
      <c r="BS405" s="408"/>
      <c r="BT405" s="408"/>
      <c r="BU405" s="408"/>
      <c r="BV405" s="408"/>
    </row>
    <row r="406" spans="69:74" ht="18" customHeight="1">
      <c r="BQ406" s="476"/>
      <c r="BR406" s="408"/>
      <c r="BS406" s="408"/>
      <c r="BT406" s="408"/>
      <c r="BU406" s="408"/>
      <c r="BV406" s="408"/>
    </row>
    <row r="407" spans="69:74" ht="18" customHeight="1">
      <c r="BQ407" s="476"/>
      <c r="BR407" s="408"/>
      <c r="BS407" s="408"/>
      <c r="BT407" s="408"/>
      <c r="BU407" s="408"/>
      <c r="BV407" s="408"/>
    </row>
    <row r="408" spans="69:74" ht="18" customHeight="1">
      <c r="BQ408" s="476"/>
      <c r="BR408" s="408"/>
      <c r="BS408" s="408"/>
      <c r="BT408" s="408"/>
      <c r="BU408" s="408"/>
      <c r="BV408" s="408"/>
    </row>
    <row r="409" spans="69:74" ht="18" customHeight="1">
      <c r="BQ409" s="410"/>
      <c r="BR409" s="407"/>
      <c r="BS409" s="407"/>
      <c r="BT409" s="407"/>
      <c r="BU409" s="407"/>
      <c r="BV409" s="407"/>
    </row>
    <row r="410" spans="69:74" ht="18" customHeight="1">
      <c r="BQ410" s="476"/>
      <c r="BR410" s="408"/>
      <c r="BS410" s="408"/>
      <c r="BT410" s="408"/>
      <c r="BU410" s="408"/>
      <c r="BV410" s="408"/>
    </row>
    <row r="411" spans="69:74" ht="18" customHeight="1">
      <c r="BQ411" s="476"/>
      <c r="BR411" s="408"/>
      <c r="BS411" s="408"/>
      <c r="BT411" s="408"/>
      <c r="BU411" s="408"/>
      <c r="BV411" s="408"/>
    </row>
    <row r="412" spans="69:74" ht="18" customHeight="1">
      <c r="BQ412" s="476"/>
      <c r="BR412" s="408"/>
      <c r="BS412" s="408"/>
      <c r="BT412" s="408"/>
      <c r="BU412" s="408"/>
      <c r="BV412" s="408"/>
    </row>
    <row r="413" spans="69:74" ht="18" customHeight="1">
      <c r="BQ413" s="476"/>
      <c r="BR413" s="408"/>
      <c r="BS413" s="408"/>
      <c r="BT413" s="408"/>
      <c r="BU413" s="408"/>
      <c r="BV413" s="408"/>
    </row>
    <row r="414" spans="69:74" ht="18" customHeight="1">
      <c r="BQ414" s="476"/>
      <c r="BR414" s="408"/>
      <c r="BS414" s="408"/>
      <c r="BT414" s="408"/>
      <c r="BU414" s="408"/>
      <c r="BV414" s="408"/>
    </row>
    <row r="415" spans="69:74" ht="18" customHeight="1">
      <c r="BQ415" s="409"/>
      <c r="BR415" s="408"/>
      <c r="BS415" s="408"/>
      <c r="BT415" s="408"/>
      <c r="BU415" s="408"/>
      <c r="BV415" s="408"/>
    </row>
    <row r="416" spans="69:74" ht="18" customHeight="1">
      <c r="BQ416" s="476"/>
      <c r="BR416" s="408"/>
      <c r="BS416" s="408"/>
      <c r="BT416" s="408"/>
      <c r="BU416" s="408"/>
      <c r="BV416" s="408"/>
    </row>
    <row r="417" spans="69:74" ht="18" customHeight="1">
      <c r="BQ417" s="476"/>
      <c r="BR417" s="408"/>
      <c r="BS417" s="408"/>
      <c r="BT417" s="408"/>
      <c r="BU417" s="408"/>
      <c r="BV417" s="408"/>
    </row>
    <row r="418" spans="69:74" ht="18" customHeight="1">
      <c r="BQ418" s="476"/>
      <c r="BR418" s="408"/>
      <c r="BS418" s="408"/>
      <c r="BT418" s="408"/>
      <c r="BU418" s="408"/>
      <c r="BV418" s="408"/>
    </row>
    <row r="419" spans="69:74" ht="18" customHeight="1">
      <c r="BQ419" s="476"/>
      <c r="BR419" s="408"/>
      <c r="BS419" s="408"/>
      <c r="BT419" s="408"/>
      <c r="BU419" s="408"/>
      <c r="BV419" s="408"/>
    </row>
    <row r="420" spans="69:74" ht="18" customHeight="1">
      <c r="BQ420" s="417"/>
      <c r="BR420" s="418"/>
      <c r="BS420" s="418"/>
      <c r="BT420" s="418"/>
      <c r="BU420" s="418"/>
      <c r="BV420" s="418"/>
    </row>
    <row r="421" spans="69:74" ht="18" customHeight="1">
      <c r="BQ421" s="476"/>
      <c r="BR421" s="408"/>
      <c r="BS421" s="408"/>
      <c r="BT421" s="408"/>
      <c r="BU421" s="408"/>
      <c r="BV421" s="408"/>
    </row>
    <row r="422" spans="69:74" ht="18" customHeight="1">
      <c r="BQ422" s="476"/>
      <c r="BR422" s="408"/>
      <c r="BS422" s="408"/>
      <c r="BT422" s="408"/>
      <c r="BU422" s="408"/>
      <c r="BV422" s="408"/>
    </row>
    <row r="423" spans="69:74" ht="18" customHeight="1">
      <c r="BQ423" s="476"/>
      <c r="BR423" s="408"/>
      <c r="BS423" s="408"/>
      <c r="BT423" s="408"/>
      <c r="BU423" s="408"/>
      <c r="BV423" s="408"/>
    </row>
    <row r="424" spans="69:74" ht="18" customHeight="1">
      <c r="BQ424" s="476"/>
      <c r="BR424" s="408"/>
      <c r="BS424" s="408"/>
      <c r="BT424" s="408"/>
      <c r="BU424" s="408"/>
      <c r="BV424" s="408"/>
    </row>
    <row r="425" spans="69:74" ht="18" customHeight="1">
      <c r="BQ425" s="476"/>
      <c r="BR425" s="408"/>
      <c r="BS425" s="408"/>
      <c r="BT425" s="408"/>
      <c r="BU425" s="408"/>
      <c r="BV425" s="408"/>
    </row>
    <row r="426" spans="69:74" ht="18" customHeight="1">
      <c r="BQ426" s="409"/>
      <c r="BR426" s="408"/>
      <c r="BS426" s="408"/>
      <c r="BT426" s="408"/>
      <c r="BU426" s="408"/>
      <c r="BV426" s="408"/>
    </row>
    <row r="427" spans="69:74" ht="18" customHeight="1">
      <c r="BQ427" s="476"/>
      <c r="BR427" s="408"/>
      <c r="BS427" s="408"/>
      <c r="BT427" s="408"/>
      <c r="BU427" s="408"/>
      <c r="BV427" s="408"/>
    </row>
    <row r="428" spans="69:74" ht="18" customHeight="1">
      <c r="BQ428" s="476"/>
      <c r="BR428" s="408"/>
      <c r="BS428" s="408"/>
      <c r="BT428" s="408"/>
      <c r="BU428" s="408"/>
      <c r="BV428" s="408"/>
    </row>
    <row r="429" spans="69:74" ht="18" customHeight="1">
      <c r="BQ429" s="476"/>
      <c r="BR429" s="408"/>
      <c r="BS429" s="408"/>
      <c r="BT429" s="408"/>
      <c r="BU429" s="408"/>
      <c r="BV429" s="408"/>
    </row>
    <row r="430" spans="69:74" ht="18" customHeight="1">
      <c r="BQ430" s="476"/>
      <c r="BR430" s="408"/>
      <c r="BS430" s="408"/>
      <c r="BT430" s="408"/>
      <c r="BU430" s="408"/>
      <c r="BV430" s="408"/>
    </row>
    <row r="431" spans="69:74" ht="18" customHeight="1">
      <c r="BQ431" s="410"/>
      <c r="BR431" s="426"/>
      <c r="BS431" s="426"/>
      <c r="BT431" s="426"/>
      <c r="BU431" s="426"/>
      <c r="BV431" s="426"/>
    </row>
    <row r="432" spans="69:74" ht="18" customHeight="1">
      <c r="BQ432" s="476"/>
      <c r="BR432" s="408"/>
      <c r="BS432" s="408"/>
      <c r="BT432" s="408"/>
      <c r="BU432" s="408"/>
      <c r="BV432" s="408"/>
    </row>
    <row r="433" spans="69:74" ht="18" customHeight="1">
      <c r="BQ433" s="476"/>
      <c r="BR433" s="408"/>
      <c r="BS433" s="408"/>
      <c r="BT433" s="408"/>
      <c r="BU433" s="408"/>
      <c r="BV433" s="408"/>
    </row>
    <row r="434" spans="69:74" ht="18" customHeight="1">
      <c r="BQ434" s="476"/>
      <c r="BR434" s="408"/>
      <c r="BS434" s="408"/>
      <c r="BT434" s="408"/>
      <c r="BU434" s="408"/>
      <c r="BV434" s="408"/>
    </row>
    <row r="435" spans="69:74" ht="18" customHeight="1">
      <c r="BQ435" s="476"/>
      <c r="BR435" s="408"/>
      <c r="BS435" s="408"/>
      <c r="BT435" s="408"/>
      <c r="BU435" s="408"/>
      <c r="BV435" s="408"/>
    </row>
    <row r="436" spans="69:74" ht="18" customHeight="1">
      <c r="BQ436" s="476"/>
      <c r="BR436" s="408"/>
      <c r="BS436" s="408"/>
      <c r="BT436" s="408"/>
      <c r="BU436" s="408"/>
      <c r="BV436" s="408"/>
    </row>
    <row r="437" spans="69:74" ht="18" customHeight="1">
      <c r="BQ437" s="409"/>
      <c r="BR437" s="408"/>
      <c r="BS437" s="408"/>
      <c r="BT437" s="408"/>
      <c r="BU437" s="408"/>
      <c r="BV437" s="408"/>
    </row>
    <row r="438" spans="69:74" ht="18" customHeight="1">
      <c r="BQ438" s="476"/>
      <c r="BR438" s="408"/>
      <c r="BS438" s="408"/>
      <c r="BT438" s="408"/>
      <c r="BU438" s="408"/>
      <c r="BV438" s="408"/>
    </row>
    <row r="439" spans="69:74" ht="18" customHeight="1">
      <c r="BQ439" s="476"/>
      <c r="BR439" s="408"/>
      <c r="BS439" s="408"/>
      <c r="BT439" s="408"/>
      <c r="BU439" s="408"/>
      <c r="BV439" s="408"/>
    </row>
    <row r="440" spans="69:74" ht="18" customHeight="1">
      <c r="BQ440" s="476"/>
      <c r="BR440" s="408"/>
      <c r="BS440" s="408"/>
      <c r="BT440" s="408"/>
      <c r="BU440" s="408"/>
      <c r="BV440" s="408"/>
    </row>
    <row r="441" spans="69:74" ht="18" customHeight="1">
      <c r="BQ441" s="476"/>
      <c r="BR441" s="408"/>
      <c r="BS441" s="408"/>
      <c r="BT441" s="408"/>
      <c r="BU441" s="408"/>
      <c r="BV441" s="408"/>
    </row>
    <row r="442" spans="69:74" ht="18" customHeight="1">
      <c r="BQ442" s="410"/>
      <c r="BR442" s="407"/>
      <c r="BS442" s="407"/>
      <c r="BT442" s="407"/>
      <c r="BU442" s="407"/>
      <c r="BV442" s="407"/>
    </row>
    <row r="443" spans="69:74" ht="18" customHeight="1">
      <c r="BQ443" s="476"/>
      <c r="BR443" s="408"/>
      <c r="BS443" s="408"/>
      <c r="BT443" s="408"/>
      <c r="BU443" s="408"/>
      <c r="BV443" s="408"/>
    </row>
    <row r="444" spans="69:74" ht="18" customHeight="1">
      <c r="BQ444" s="476"/>
      <c r="BR444" s="408"/>
      <c r="BS444" s="408"/>
      <c r="BT444" s="408"/>
      <c r="BU444" s="408"/>
      <c r="BV444" s="408"/>
    </row>
    <row r="445" spans="69:74" ht="18" customHeight="1">
      <c r="BQ445" s="476"/>
      <c r="BR445" s="408"/>
      <c r="BS445" s="408"/>
      <c r="BT445" s="408"/>
      <c r="BU445" s="408"/>
      <c r="BV445" s="408"/>
    </row>
    <row r="446" spans="69:74" ht="18" customHeight="1">
      <c r="BQ446" s="476"/>
      <c r="BR446" s="408"/>
      <c r="BS446" s="408"/>
      <c r="BT446" s="408"/>
      <c r="BU446" s="408"/>
      <c r="BV446" s="408"/>
    </row>
    <row r="447" spans="69:74" ht="18" customHeight="1">
      <c r="BQ447" s="476"/>
      <c r="BR447" s="408"/>
      <c r="BS447" s="408"/>
      <c r="BT447" s="408"/>
      <c r="BU447" s="408"/>
      <c r="BV447" s="408"/>
    </row>
    <row r="448" spans="69:74" ht="18" customHeight="1">
      <c r="BQ448" s="409"/>
      <c r="BR448" s="408"/>
      <c r="BS448" s="408"/>
      <c r="BT448" s="408"/>
      <c r="BU448" s="408"/>
      <c r="BV448" s="408"/>
    </row>
    <row r="449" spans="69:74" ht="18" customHeight="1">
      <c r="BQ449" s="476"/>
      <c r="BR449" s="408"/>
      <c r="BS449" s="408"/>
      <c r="BT449" s="408"/>
      <c r="BU449" s="408"/>
      <c r="BV449" s="408"/>
    </row>
    <row r="450" spans="69:74" ht="18" customHeight="1">
      <c r="BQ450" s="476"/>
      <c r="BR450" s="408"/>
      <c r="BS450" s="408"/>
      <c r="BT450" s="408"/>
      <c r="BU450" s="408"/>
      <c r="BV450" s="408"/>
    </row>
    <row r="451" spans="69:74" ht="18" customHeight="1">
      <c r="BQ451" s="476"/>
      <c r="BR451" s="408"/>
      <c r="BS451" s="408"/>
      <c r="BT451" s="408"/>
      <c r="BU451" s="408"/>
      <c r="BV451" s="408"/>
    </row>
    <row r="452" spans="69:74" ht="18" customHeight="1">
      <c r="BQ452" s="476"/>
      <c r="BR452" s="408"/>
      <c r="BS452" s="408"/>
      <c r="BT452" s="408"/>
      <c r="BU452" s="408"/>
      <c r="BV452" s="408"/>
    </row>
    <row r="453" spans="69:74" ht="18" customHeight="1">
      <c r="BQ453" s="415"/>
      <c r="BR453" s="416"/>
      <c r="BS453" s="416"/>
      <c r="BT453" s="416"/>
      <c r="BU453" s="416"/>
      <c r="BV453" s="416"/>
    </row>
    <row r="454" spans="69:74" ht="18" customHeight="1">
      <c r="BQ454" s="476"/>
      <c r="BR454" s="408"/>
      <c r="BS454" s="408"/>
      <c r="BT454" s="408"/>
      <c r="BU454" s="408"/>
      <c r="BV454" s="408"/>
    </row>
    <row r="455" spans="69:74" ht="18" customHeight="1">
      <c r="BQ455" s="476"/>
      <c r="BR455" s="408"/>
      <c r="BS455" s="408"/>
      <c r="BT455" s="408"/>
      <c r="BU455" s="408"/>
      <c r="BV455" s="408"/>
    </row>
    <row r="456" spans="69:74" ht="18" customHeight="1">
      <c r="BQ456" s="476"/>
      <c r="BR456" s="408"/>
      <c r="BS456" s="408"/>
      <c r="BT456" s="408"/>
      <c r="BU456" s="408"/>
      <c r="BV456" s="408"/>
    </row>
    <row r="457" spans="69:74" ht="18" customHeight="1">
      <c r="BQ457" s="476"/>
      <c r="BR457" s="408"/>
      <c r="BS457" s="408"/>
      <c r="BT457" s="408"/>
      <c r="BU457" s="408"/>
      <c r="BV457" s="408"/>
    </row>
    <row r="458" spans="69:74" ht="18" customHeight="1">
      <c r="BQ458" s="476"/>
      <c r="BR458" s="408"/>
      <c r="BS458" s="408"/>
      <c r="BT458" s="408"/>
      <c r="BU458" s="408"/>
      <c r="BV458" s="408"/>
    </row>
    <row r="459" spans="69:74" ht="18" customHeight="1">
      <c r="BQ459" s="409"/>
      <c r="BR459" s="408"/>
      <c r="BS459" s="408"/>
      <c r="BT459" s="408"/>
      <c r="BU459" s="408"/>
      <c r="BV459" s="408"/>
    </row>
    <row r="460" spans="69:74" ht="18" customHeight="1">
      <c r="BQ460" s="476"/>
      <c r="BR460" s="408"/>
      <c r="BS460" s="408"/>
      <c r="BT460" s="408"/>
      <c r="BU460" s="408"/>
      <c r="BV460" s="408"/>
    </row>
    <row r="461" spans="69:74" ht="18" customHeight="1">
      <c r="BQ461" s="476"/>
      <c r="BR461" s="408"/>
      <c r="BS461" s="408"/>
      <c r="BT461" s="408"/>
      <c r="BU461" s="408"/>
      <c r="BV461" s="408"/>
    </row>
    <row r="462" spans="69:74" ht="18" customHeight="1">
      <c r="BQ462" s="476"/>
      <c r="BR462" s="408"/>
      <c r="BS462" s="408"/>
      <c r="BT462" s="408"/>
      <c r="BU462" s="408"/>
      <c r="BV462" s="408"/>
    </row>
    <row r="463" spans="69:74" ht="18" customHeight="1">
      <c r="BQ463" s="476"/>
      <c r="BR463" s="408"/>
      <c r="BS463" s="408"/>
      <c r="BT463" s="408"/>
      <c r="BU463" s="408"/>
      <c r="BV463" s="408"/>
    </row>
    <row r="464" spans="69:74" ht="18" customHeight="1">
      <c r="BQ464" s="415"/>
      <c r="BR464" s="407"/>
      <c r="BS464" s="407"/>
      <c r="BT464" s="407"/>
      <c r="BU464" s="407"/>
      <c r="BV464" s="407"/>
    </row>
    <row r="465" spans="69:74" ht="18" customHeight="1">
      <c r="BQ465" s="476"/>
      <c r="BR465" s="408"/>
      <c r="BS465" s="408"/>
      <c r="BT465" s="408"/>
      <c r="BU465" s="408"/>
      <c r="BV465" s="408"/>
    </row>
    <row r="466" spans="69:74" ht="18" customHeight="1">
      <c r="BQ466" s="476"/>
      <c r="BR466" s="408"/>
      <c r="BS466" s="408"/>
      <c r="BT466" s="408"/>
      <c r="BU466" s="408"/>
      <c r="BV466" s="408"/>
    </row>
    <row r="467" spans="69:74" ht="18" customHeight="1">
      <c r="BQ467" s="476"/>
      <c r="BR467" s="408"/>
      <c r="BS467" s="408"/>
      <c r="BT467" s="408"/>
      <c r="BU467" s="408"/>
      <c r="BV467" s="408"/>
    </row>
    <row r="468" spans="69:74" ht="18" customHeight="1">
      <c r="BQ468" s="476"/>
      <c r="BR468" s="408"/>
      <c r="BS468" s="408"/>
      <c r="BT468" s="408"/>
      <c r="BU468" s="408"/>
      <c r="BV468" s="408"/>
    </row>
    <row r="469" spans="69:74" ht="18" customHeight="1">
      <c r="BQ469" s="476"/>
      <c r="BR469" s="408"/>
      <c r="BS469" s="408"/>
      <c r="BT469" s="408"/>
      <c r="BU469" s="408"/>
      <c r="BV469" s="408"/>
    </row>
    <row r="470" spans="69:74" ht="18" customHeight="1">
      <c r="BQ470" s="409"/>
      <c r="BR470" s="408"/>
      <c r="BS470" s="408"/>
      <c r="BT470" s="408"/>
      <c r="BU470" s="408"/>
      <c r="BV470" s="408"/>
    </row>
    <row r="471" spans="69:74" ht="18" customHeight="1">
      <c r="BQ471" s="476"/>
      <c r="BR471" s="408"/>
      <c r="BS471" s="408"/>
      <c r="BT471" s="408"/>
      <c r="BU471" s="408"/>
      <c r="BV471" s="408"/>
    </row>
    <row r="472" spans="69:74" ht="18" customHeight="1">
      <c r="BQ472" s="476"/>
      <c r="BR472" s="408"/>
      <c r="BS472" s="408"/>
      <c r="BT472" s="408"/>
      <c r="BU472" s="408"/>
      <c r="BV472" s="408"/>
    </row>
    <row r="473" spans="69:74" ht="18" customHeight="1">
      <c r="BQ473" s="476"/>
      <c r="BR473" s="408"/>
      <c r="BS473" s="408"/>
      <c r="BT473" s="408"/>
      <c r="BU473" s="408"/>
      <c r="BV473" s="408"/>
    </row>
    <row r="474" spans="69:74" ht="18" customHeight="1">
      <c r="BQ474" s="476"/>
      <c r="BR474" s="408"/>
      <c r="BS474" s="408"/>
      <c r="BT474" s="408"/>
      <c r="BU474" s="408"/>
      <c r="BV474" s="408"/>
    </row>
    <row r="475" spans="69:74" ht="18" customHeight="1">
      <c r="BQ475" s="415"/>
      <c r="BR475" s="416"/>
      <c r="BS475" s="416"/>
      <c r="BT475" s="416"/>
      <c r="BU475" s="416"/>
      <c r="BV475" s="416"/>
    </row>
    <row r="476" spans="69:74" ht="18" customHeight="1">
      <c r="BQ476" s="476"/>
      <c r="BR476" s="408"/>
      <c r="BS476" s="408"/>
      <c r="BT476" s="408"/>
      <c r="BU476" s="408"/>
      <c r="BV476" s="408"/>
    </row>
    <row r="477" spans="69:74" ht="18" customHeight="1">
      <c r="BQ477" s="476"/>
      <c r="BR477" s="408"/>
      <c r="BS477" s="408"/>
      <c r="BT477" s="408"/>
      <c r="BU477" s="408"/>
      <c r="BV477" s="408"/>
    </row>
    <row r="478" spans="69:74" ht="18" customHeight="1">
      <c r="BQ478" s="476"/>
      <c r="BR478" s="408"/>
      <c r="BS478" s="408"/>
      <c r="BT478" s="408"/>
      <c r="BU478" s="408"/>
      <c r="BV478" s="408"/>
    </row>
    <row r="479" spans="69:74" ht="18" customHeight="1">
      <c r="BQ479" s="476"/>
      <c r="BR479" s="408"/>
      <c r="BS479" s="408"/>
      <c r="BT479" s="408"/>
      <c r="BU479" s="408"/>
      <c r="BV479" s="408"/>
    </row>
    <row r="480" spans="69:74" ht="18" customHeight="1">
      <c r="BQ480" s="476"/>
      <c r="BR480" s="408"/>
      <c r="BS480" s="408"/>
      <c r="BT480" s="408"/>
      <c r="BU480" s="408"/>
      <c r="BV480" s="408"/>
    </row>
    <row r="481" spans="69:74" ht="18" customHeight="1">
      <c r="BQ481" s="409"/>
      <c r="BR481" s="408"/>
      <c r="BS481" s="408"/>
      <c r="BT481" s="408"/>
      <c r="BU481" s="408"/>
      <c r="BV481" s="408"/>
    </row>
    <row r="482" spans="69:74" ht="18" customHeight="1">
      <c r="BQ482" s="476"/>
      <c r="BR482" s="408"/>
      <c r="BS482" s="408"/>
      <c r="BT482" s="408"/>
      <c r="BU482" s="408"/>
      <c r="BV482" s="408"/>
    </row>
    <row r="483" spans="69:74" ht="18" customHeight="1">
      <c r="BQ483" s="476"/>
      <c r="BR483" s="408"/>
      <c r="BS483" s="408"/>
      <c r="BT483" s="408"/>
      <c r="BU483" s="408"/>
      <c r="BV483" s="408"/>
    </row>
    <row r="484" spans="69:74" ht="18" customHeight="1">
      <c r="BQ484" s="476"/>
      <c r="BR484" s="408"/>
      <c r="BS484" s="408"/>
      <c r="BT484" s="408"/>
      <c r="BU484" s="408"/>
      <c r="BV484" s="408"/>
    </row>
    <row r="485" spans="69:74" ht="18" customHeight="1">
      <c r="BQ485" s="476"/>
      <c r="BR485" s="408"/>
      <c r="BS485" s="408"/>
      <c r="BT485" s="408"/>
      <c r="BU485" s="408"/>
      <c r="BV485" s="408"/>
    </row>
    <row r="486" spans="69:74" ht="18" customHeight="1">
      <c r="BQ486" s="410"/>
      <c r="BR486" s="407"/>
      <c r="BS486" s="407"/>
      <c r="BT486" s="407"/>
      <c r="BU486" s="407"/>
      <c r="BV486" s="407"/>
    </row>
    <row r="487" spans="69:74" ht="18" customHeight="1">
      <c r="BQ487" s="476"/>
      <c r="BR487" s="408"/>
      <c r="BS487" s="408"/>
      <c r="BT487" s="408"/>
      <c r="BU487" s="408"/>
      <c r="BV487" s="408"/>
    </row>
    <row r="488" spans="69:74" ht="18" customHeight="1">
      <c r="BQ488" s="476"/>
      <c r="BR488" s="408"/>
      <c r="BS488" s="408"/>
      <c r="BT488" s="408"/>
      <c r="BU488" s="408"/>
      <c r="BV488" s="408"/>
    </row>
    <row r="489" spans="69:74" ht="18" customHeight="1">
      <c r="BQ489" s="476"/>
      <c r="BR489" s="408"/>
      <c r="BS489" s="408"/>
      <c r="BT489" s="408"/>
      <c r="BU489" s="408"/>
      <c r="BV489" s="408"/>
    </row>
    <row r="490" spans="69:74" ht="18" customHeight="1">
      <c r="BQ490" s="476"/>
      <c r="BR490" s="408"/>
      <c r="BS490" s="408"/>
      <c r="BT490" s="408"/>
      <c r="BU490" s="408"/>
      <c r="BV490" s="408"/>
    </row>
    <row r="491" spans="69:74" ht="18" customHeight="1">
      <c r="BQ491" s="476"/>
      <c r="BR491" s="408"/>
      <c r="BS491" s="408"/>
      <c r="BT491" s="408"/>
      <c r="BU491" s="408"/>
      <c r="BV491" s="408"/>
    </row>
    <row r="492" spans="69:74" ht="18" customHeight="1">
      <c r="BQ492" s="409"/>
      <c r="BR492" s="408"/>
      <c r="BS492" s="408"/>
      <c r="BT492" s="408"/>
      <c r="BU492" s="408"/>
      <c r="BV492" s="408"/>
    </row>
    <row r="493" spans="69:74" ht="18" customHeight="1">
      <c r="BQ493" s="476"/>
      <c r="BR493" s="408"/>
      <c r="BS493" s="408"/>
      <c r="BT493" s="408"/>
      <c r="BU493" s="408"/>
      <c r="BV493" s="408"/>
    </row>
    <row r="494" spans="69:74" ht="18" customHeight="1">
      <c r="BQ494" s="476"/>
      <c r="BR494" s="408"/>
      <c r="BS494" s="408"/>
      <c r="BT494" s="408"/>
      <c r="BU494" s="408"/>
      <c r="BV494" s="408"/>
    </row>
    <row r="495" spans="69:74" ht="18" customHeight="1">
      <c r="BQ495" s="476"/>
      <c r="BR495" s="408"/>
      <c r="BS495" s="408"/>
      <c r="BT495" s="408"/>
      <c r="BU495" s="408"/>
      <c r="BV495" s="408"/>
    </row>
    <row r="496" spans="69:74" ht="18" customHeight="1">
      <c r="BQ496" s="476"/>
      <c r="BR496" s="408"/>
      <c r="BS496" s="408"/>
      <c r="BT496" s="408"/>
      <c r="BU496" s="408"/>
      <c r="BV496" s="408"/>
    </row>
    <row r="497" spans="69:74" ht="18" customHeight="1">
      <c r="BQ497" s="410"/>
      <c r="BR497" s="407"/>
      <c r="BS497" s="407"/>
      <c r="BT497" s="407"/>
      <c r="BU497" s="407"/>
      <c r="BV497" s="407"/>
    </row>
    <row r="498" spans="69:74" ht="18" customHeight="1">
      <c r="BQ498" s="476"/>
      <c r="BR498" s="408"/>
      <c r="BS498" s="408"/>
      <c r="BT498" s="408"/>
      <c r="BU498" s="408"/>
      <c r="BV498" s="408"/>
    </row>
    <row r="499" spans="69:74" ht="18" customHeight="1">
      <c r="BQ499" s="476"/>
      <c r="BR499" s="408"/>
      <c r="BS499" s="408"/>
      <c r="BT499" s="408"/>
      <c r="BU499" s="408"/>
      <c r="BV499" s="408"/>
    </row>
    <row r="500" spans="69:74" ht="18" customHeight="1">
      <c r="BQ500" s="476"/>
      <c r="BR500" s="408"/>
      <c r="BS500" s="408"/>
      <c r="BT500" s="408"/>
      <c r="BU500" s="408"/>
      <c r="BV500" s="408"/>
    </row>
    <row r="501" spans="69:74" ht="18" customHeight="1">
      <c r="BQ501" s="476"/>
      <c r="BR501" s="408"/>
      <c r="BS501" s="408"/>
      <c r="BT501" s="408"/>
      <c r="BU501" s="408"/>
      <c r="BV501" s="408"/>
    </row>
    <row r="502" spans="69:74" ht="18" customHeight="1">
      <c r="BQ502" s="476"/>
      <c r="BR502" s="408"/>
      <c r="BS502" s="408"/>
      <c r="BT502" s="408"/>
      <c r="BU502" s="408"/>
      <c r="BV502" s="408"/>
    </row>
    <row r="503" spans="69:74" ht="18" customHeight="1">
      <c r="BQ503" s="409"/>
      <c r="BR503" s="408"/>
      <c r="BS503" s="408"/>
      <c r="BT503" s="408"/>
      <c r="BU503" s="408"/>
      <c r="BV503" s="408"/>
    </row>
    <row r="504" spans="69:74" ht="18" customHeight="1">
      <c r="BQ504" s="476"/>
      <c r="BR504" s="408"/>
      <c r="BS504" s="408"/>
      <c r="BT504" s="408"/>
      <c r="BU504" s="408"/>
      <c r="BV504" s="408"/>
    </row>
    <row r="505" spans="69:74" ht="18" customHeight="1">
      <c r="BQ505" s="476"/>
      <c r="BR505" s="408"/>
      <c r="BS505" s="408"/>
      <c r="BT505" s="408"/>
      <c r="BU505" s="408"/>
      <c r="BV505" s="408"/>
    </row>
    <row r="506" spans="69:74" ht="18" customHeight="1">
      <c r="BQ506" s="476"/>
      <c r="BR506" s="408"/>
      <c r="BS506" s="408"/>
      <c r="BT506" s="408"/>
      <c r="BU506" s="408"/>
      <c r="BV506" s="408"/>
    </row>
    <row r="507" spans="69:74" ht="18" customHeight="1">
      <c r="BQ507" s="476"/>
      <c r="BR507" s="408"/>
      <c r="BS507" s="408"/>
      <c r="BT507" s="408"/>
      <c r="BU507" s="408"/>
      <c r="BV507" s="408"/>
    </row>
    <row r="508" spans="69:74" ht="18" customHeight="1">
      <c r="BQ508" s="410"/>
      <c r="BR508" s="407"/>
      <c r="BS508" s="407"/>
      <c r="BT508" s="407"/>
      <c r="BU508" s="407"/>
      <c r="BV508" s="407"/>
    </row>
    <row r="509" spans="69:74" ht="18" customHeight="1">
      <c r="BQ509" s="476"/>
      <c r="BR509" s="408"/>
      <c r="BS509" s="408"/>
      <c r="BT509" s="408"/>
      <c r="BU509" s="408"/>
      <c r="BV509" s="408"/>
    </row>
    <row r="510" spans="69:74" ht="18" customHeight="1">
      <c r="BQ510" s="476"/>
      <c r="BR510" s="408"/>
      <c r="BS510" s="408"/>
      <c r="BT510" s="408"/>
      <c r="BU510" s="408"/>
      <c r="BV510" s="408"/>
    </row>
    <row r="511" spans="69:74" ht="18" customHeight="1">
      <c r="BQ511" s="476"/>
      <c r="BR511" s="408"/>
      <c r="BS511" s="408"/>
      <c r="BT511" s="408"/>
      <c r="BU511" s="408"/>
      <c r="BV511" s="408"/>
    </row>
    <row r="512" spans="69:74" ht="18" customHeight="1">
      <c r="BQ512" s="476"/>
      <c r="BR512" s="408"/>
      <c r="BS512" s="408"/>
      <c r="BT512" s="408"/>
      <c r="BU512" s="408"/>
      <c r="BV512" s="408"/>
    </row>
    <row r="513" spans="69:74" ht="18" customHeight="1">
      <c r="BQ513" s="476"/>
      <c r="BR513" s="408"/>
      <c r="BS513" s="408"/>
      <c r="BT513" s="408"/>
      <c r="BU513" s="408"/>
      <c r="BV513" s="408"/>
    </row>
    <row r="514" spans="69:74" ht="18" customHeight="1">
      <c r="BQ514" s="409"/>
      <c r="BR514" s="408"/>
      <c r="BS514" s="408"/>
      <c r="BT514" s="408"/>
      <c r="BU514" s="408"/>
      <c r="BV514" s="408"/>
    </row>
    <row r="515" spans="69:74" ht="18" customHeight="1">
      <c r="BQ515" s="476"/>
      <c r="BR515" s="408"/>
      <c r="BS515" s="408"/>
      <c r="BT515" s="408"/>
      <c r="BU515" s="408"/>
      <c r="BV515" s="408"/>
    </row>
    <row r="516" spans="69:74" ht="18" customHeight="1">
      <c r="BQ516" s="476"/>
      <c r="BR516" s="408"/>
      <c r="BS516" s="408"/>
      <c r="BT516" s="408"/>
      <c r="BU516" s="408"/>
      <c r="BV516" s="408"/>
    </row>
    <row r="517" spans="69:74" ht="18" customHeight="1">
      <c r="BQ517" s="476"/>
      <c r="BR517" s="408"/>
      <c r="BS517" s="408"/>
      <c r="BT517" s="408"/>
      <c r="BU517" s="408"/>
      <c r="BV517" s="408"/>
    </row>
    <row r="518" spans="69:74" ht="18" customHeight="1">
      <c r="BQ518" s="476"/>
      <c r="BR518" s="408"/>
      <c r="BS518" s="408"/>
      <c r="BT518" s="408"/>
      <c r="BU518" s="408"/>
      <c r="BV518" s="408"/>
    </row>
    <row r="519" spans="69:74" ht="18" customHeight="1">
      <c r="BQ519" s="410"/>
      <c r="BR519" s="426"/>
      <c r="BS519" s="426"/>
      <c r="BT519" s="426"/>
      <c r="BU519" s="426"/>
      <c r="BV519" s="426"/>
    </row>
    <row r="520" spans="69:74" ht="18" customHeight="1">
      <c r="BQ520" s="476"/>
      <c r="BR520" s="408"/>
      <c r="BS520" s="408"/>
      <c r="BT520" s="408"/>
      <c r="BU520" s="408"/>
      <c r="BV520" s="408"/>
    </row>
    <row r="521" spans="69:74" ht="18" customHeight="1">
      <c r="BQ521" s="476"/>
      <c r="BR521" s="408"/>
      <c r="BS521" s="408"/>
      <c r="BT521" s="408"/>
      <c r="BU521" s="408"/>
      <c r="BV521" s="408"/>
    </row>
    <row r="522" spans="69:74" ht="18" customHeight="1">
      <c r="BQ522" s="476"/>
      <c r="BR522" s="408"/>
      <c r="BS522" s="408"/>
      <c r="BT522" s="408"/>
      <c r="BU522" s="408"/>
      <c r="BV522" s="408"/>
    </row>
    <row r="523" spans="69:74" ht="18" customHeight="1">
      <c r="BQ523" s="476"/>
      <c r="BR523" s="408"/>
      <c r="BS523" s="408"/>
      <c r="BT523" s="408"/>
      <c r="BU523" s="408"/>
      <c r="BV523" s="408"/>
    </row>
    <row r="524" spans="69:74" ht="18" customHeight="1">
      <c r="BQ524" s="476"/>
      <c r="BR524" s="408"/>
      <c r="BS524" s="408"/>
      <c r="BT524" s="408"/>
      <c r="BU524" s="408"/>
      <c r="BV524" s="408"/>
    </row>
    <row r="525" spans="69:74" ht="18" customHeight="1">
      <c r="BQ525" s="409"/>
      <c r="BR525" s="408"/>
      <c r="BS525" s="408"/>
      <c r="BT525" s="408"/>
      <c r="BU525" s="408"/>
      <c r="BV525" s="408"/>
    </row>
    <row r="526" spans="69:74" ht="18" customHeight="1">
      <c r="BQ526" s="476"/>
      <c r="BR526" s="408"/>
      <c r="BS526" s="408"/>
      <c r="BT526" s="408"/>
      <c r="BU526" s="408"/>
      <c r="BV526" s="408"/>
    </row>
    <row r="527" spans="69:74" ht="18" customHeight="1">
      <c r="BQ527" s="476"/>
      <c r="BR527" s="408"/>
      <c r="BS527" s="408"/>
      <c r="BT527" s="408"/>
      <c r="BU527" s="408"/>
      <c r="BV527" s="408"/>
    </row>
    <row r="528" spans="69:74" ht="18" customHeight="1">
      <c r="BQ528" s="476"/>
      <c r="BR528" s="408"/>
      <c r="BS528" s="408"/>
      <c r="BT528" s="408"/>
      <c r="BU528" s="408"/>
      <c r="BV528" s="408"/>
    </row>
    <row r="529" spans="69:74" ht="18" customHeight="1">
      <c r="BQ529" s="476"/>
      <c r="BR529" s="408"/>
      <c r="BS529" s="408"/>
      <c r="BT529" s="408"/>
      <c r="BU529" s="408"/>
      <c r="BV529" s="408"/>
    </row>
    <row r="530" spans="69:74" ht="18" customHeight="1">
      <c r="BQ530" s="415"/>
      <c r="BR530" s="416"/>
      <c r="BS530" s="416"/>
      <c r="BT530" s="416"/>
      <c r="BU530" s="416"/>
      <c r="BV530" s="416"/>
    </row>
    <row r="531" spans="69:74" ht="18" customHeight="1">
      <c r="BQ531" s="476"/>
      <c r="BR531" s="408"/>
      <c r="BS531" s="408"/>
      <c r="BT531" s="408"/>
      <c r="BU531" s="408"/>
      <c r="BV531" s="408"/>
    </row>
    <row r="532" spans="69:74" ht="18" customHeight="1">
      <c r="BQ532" s="476"/>
      <c r="BR532" s="408"/>
      <c r="BS532" s="408"/>
      <c r="BT532" s="408"/>
      <c r="BU532" s="408"/>
      <c r="BV532" s="408"/>
    </row>
    <row r="533" spans="69:74" ht="18" customHeight="1">
      <c r="BQ533" s="476"/>
      <c r="BR533" s="408"/>
      <c r="BS533" s="408"/>
      <c r="BT533" s="408"/>
      <c r="BU533" s="408"/>
      <c r="BV533" s="408"/>
    </row>
    <row r="534" spans="69:74" ht="18" customHeight="1">
      <c r="BQ534" s="476"/>
      <c r="BR534" s="408"/>
      <c r="BS534" s="408"/>
      <c r="BT534" s="408"/>
      <c r="BU534" s="408"/>
      <c r="BV534" s="408"/>
    </row>
    <row r="535" spans="69:74" ht="18" customHeight="1">
      <c r="BQ535" s="476"/>
      <c r="BR535" s="408"/>
      <c r="BS535" s="408"/>
      <c r="BT535" s="408"/>
      <c r="BU535" s="408"/>
      <c r="BV535" s="408"/>
    </row>
    <row r="536" spans="69:74" ht="18" customHeight="1">
      <c r="BQ536" s="409"/>
      <c r="BR536" s="408"/>
      <c r="BS536" s="408"/>
      <c r="BT536" s="408"/>
      <c r="BU536" s="408"/>
      <c r="BV536" s="408"/>
    </row>
    <row r="537" spans="69:74" ht="18" customHeight="1">
      <c r="BQ537" s="476"/>
      <c r="BR537" s="408"/>
      <c r="BS537" s="408"/>
      <c r="BT537" s="408"/>
      <c r="BU537" s="408"/>
      <c r="BV537" s="408"/>
    </row>
    <row r="538" spans="69:74" ht="18" customHeight="1">
      <c r="BQ538" s="476"/>
      <c r="BR538" s="408"/>
      <c r="BS538" s="408"/>
      <c r="BT538" s="408"/>
      <c r="BU538" s="408"/>
      <c r="BV538" s="408"/>
    </row>
    <row r="539" spans="69:74" ht="18" customHeight="1">
      <c r="BQ539" s="476"/>
      <c r="BR539" s="408"/>
      <c r="BS539" s="408"/>
      <c r="BT539" s="408"/>
      <c r="BU539" s="408"/>
      <c r="BV539" s="408"/>
    </row>
    <row r="540" spans="69:74" ht="18" customHeight="1">
      <c r="BQ540" s="476"/>
      <c r="BR540" s="408"/>
      <c r="BS540" s="408"/>
      <c r="BT540" s="408"/>
      <c r="BU540" s="408"/>
      <c r="BV540" s="408"/>
    </row>
    <row r="541" spans="69:74" ht="18" customHeight="1">
      <c r="BQ541" s="410"/>
      <c r="BR541" s="407"/>
      <c r="BS541" s="407"/>
      <c r="BT541" s="407"/>
      <c r="BU541" s="407"/>
      <c r="BV541" s="407"/>
    </row>
    <row r="542" spans="69:74" ht="18" customHeight="1">
      <c r="BQ542" s="476"/>
      <c r="BR542" s="408"/>
      <c r="BS542" s="408"/>
      <c r="BT542" s="408"/>
      <c r="BU542" s="408"/>
      <c r="BV542" s="408"/>
    </row>
    <row r="543" spans="69:74" ht="18" customHeight="1">
      <c r="BQ543" s="476"/>
      <c r="BR543" s="408"/>
      <c r="BS543" s="408"/>
      <c r="BT543" s="408"/>
      <c r="BU543" s="408"/>
      <c r="BV543" s="408"/>
    </row>
    <row r="544" spans="69:74" ht="18" customHeight="1">
      <c r="BQ544" s="476"/>
      <c r="BR544" s="408"/>
      <c r="BS544" s="408"/>
      <c r="BT544" s="408"/>
      <c r="BU544" s="408"/>
      <c r="BV544" s="408"/>
    </row>
    <row r="545" spans="69:74" ht="18" customHeight="1">
      <c r="BQ545" s="476"/>
      <c r="BR545" s="408"/>
      <c r="BS545" s="408"/>
      <c r="BT545" s="408"/>
      <c r="BU545" s="408"/>
      <c r="BV545" s="408"/>
    </row>
    <row r="546" spans="69:74" ht="18" customHeight="1">
      <c r="BQ546" s="476"/>
      <c r="BR546" s="408"/>
      <c r="BS546" s="408"/>
      <c r="BT546" s="408"/>
      <c r="BU546" s="408"/>
      <c r="BV546" s="408"/>
    </row>
    <row r="547" spans="69:74" ht="18" customHeight="1">
      <c r="BQ547" s="409"/>
      <c r="BR547" s="408"/>
      <c r="BS547" s="408"/>
      <c r="BT547" s="408"/>
      <c r="BU547" s="408"/>
      <c r="BV547" s="408"/>
    </row>
    <row r="548" spans="69:74" ht="18" customHeight="1">
      <c r="BQ548" s="476"/>
      <c r="BR548" s="408"/>
      <c r="BS548" s="408"/>
      <c r="BT548" s="408"/>
      <c r="BU548" s="408"/>
      <c r="BV548" s="408"/>
    </row>
    <row r="549" spans="69:74" ht="18" customHeight="1">
      <c r="BQ549" s="476"/>
      <c r="BR549" s="408"/>
      <c r="BS549" s="408"/>
      <c r="BT549" s="408"/>
      <c r="BU549" s="408"/>
      <c r="BV549" s="408"/>
    </row>
    <row r="550" spans="69:74" ht="18" customHeight="1">
      <c r="BQ550" s="476"/>
      <c r="BR550" s="408"/>
      <c r="BS550" s="408"/>
      <c r="BT550" s="408"/>
      <c r="BU550" s="408"/>
      <c r="BV550" s="408"/>
    </row>
    <row r="551" spans="69:74" ht="18" customHeight="1">
      <c r="BQ551" s="476"/>
      <c r="BR551" s="408"/>
      <c r="BS551" s="408"/>
      <c r="BT551" s="408"/>
      <c r="BU551" s="408"/>
      <c r="BV551" s="408"/>
    </row>
    <row r="552" spans="69:74" ht="18" customHeight="1">
      <c r="BQ552" s="410"/>
      <c r="BR552" s="407"/>
      <c r="BS552" s="407"/>
      <c r="BT552" s="407"/>
      <c r="BU552" s="407"/>
      <c r="BV552" s="407"/>
    </row>
    <row r="553" spans="69:74" ht="18" customHeight="1">
      <c r="BQ553" s="476"/>
      <c r="BR553" s="408"/>
      <c r="BS553" s="408"/>
      <c r="BT553" s="408"/>
      <c r="BU553" s="408"/>
      <c r="BV553" s="408"/>
    </row>
    <row r="554" spans="69:74" ht="18" customHeight="1">
      <c r="BQ554" s="476"/>
      <c r="BR554" s="408"/>
      <c r="BS554" s="408"/>
      <c r="BT554" s="408"/>
      <c r="BU554" s="408"/>
      <c r="BV554" s="408"/>
    </row>
    <row r="555" spans="69:74" ht="18" customHeight="1">
      <c r="BQ555" s="476"/>
      <c r="BR555" s="408"/>
      <c r="BS555" s="408"/>
      <c r="BT555" s="408"/>
      <c r="BU555" s="408"/>
      <c r="BV555" s="408"/>
    </row>
    <row r="556" spans="69:74" ht="18" customHeight="1">
      <c r="BQ556" s="476"/>
      <c r="BR556" s="408"/>
      <c r="BS556" s="408"/>
      <c r="BT556" s="408"/>
      <c r="BU556" s="408"/>
      <c r="BV556" s="408"/>
    </row>
    <row r="557" spans="69:74" ht="18" customHeight="1">
      <c r="BQ557" s="476"/>
      <c r="BR557" s="408"/>
      <c r="BS557" s="408"/>
      <c r="BT557" s="408"/>
      <c r="BU557" s="408"/>
      <c r="BV557" s="408"/>
    </row>
    <row r="558" spans="69:74" ht="18" customHeight="1">
      <c r="BQ558" s="409"/>
      <c r="BR558" s="408"/>
      <c r="BS558" s="408"/>
      <c r="BT558" s="408"/>
      <c r="BU558" s="408"/>
      <c r="BV558" s="408"/>
    </row>
    <row r="559" spans="69:74" ht="18" customHeight="1">
      <c r="BQ559" s="476"/>
      <c r="BR559" s="408"/>
      <c r="BS559" s="408"/>
      <c r="BT559" s="408"/>
      <c r="BU559" s="408"/>
      <c r="BV559" s="408"/>
    </row>
    <row r="560" spans="69:74" ht="18" customHeight="1">
      <c r="BQ560" s="476"/>
      <c r="BR560" s="408"/>
      <c r="BS560" s="408"/>
      <c r="BT560" s="408"/>
      <c r="BU560" s="408"/>
      <c r="BV560" s="408"/>
    </row>
    <row r="561" spans="69:74" ht="18" customHeight="1">
      <c r="BQ561" s="476"/>
      <c r="BR561" s="408"/>
      <c r="BS561" s="408"/>
      <c r="BT561" s="408"/>
      <c r="BU561" s="408"/>
      <c r="BV561" s="408"/>
    </row>
    <row r="562" spans="69:74" ht="18" customHeight="1">
      <c r="BQ562" s="476"/>
      <c r="BR562" s="408"/>
      <c r="BS562" s="408"/>
      <c r="BT562" s="408"/>
      <c r="BU562" s="408"/>
      <c r="BV562" s="408"/>
    </row>
    <row r="563" spans="69:74" ht="18" customHeight="1">
      <c r="BQ563" s="410"/>
      <c r="BR563" s="426"/>
      <c r="BS563" s="426"/>
      <c r="BT563" s="426"/>
      <c r="BU563" s="426"/>
      <c r="BV563" s="426"/>
    </row>
    <row r="564" spans="69:74" ht="18" customHeight="1">
      <c r="BQ564" s="476"/>
      <c r="BR564" s="408"/>
      <c r="BS564" s="408"/>
      <c r="BT564" s="408"/>
      <c r="BU564" s="408"/>
      <c r="BV564" s="408"/>
    </row>
    <row r="565" spans="69:74" ht="18" customHeight="1">
      <c r="BQ565" s="476"/>
      <c r="BR565" s="408"/>
      <c r="BS565" s="408"/>
      <c r="BT565" s="408"/>
      <c r="BU565" s="408"/>
      <c r="BV565" s="408"/>
    </row>
    <row r="566" spans="69:74" ht="18" customHeight="1">
      <c r="BQ566" s="476"/>
      <c r="BR566" s="408"/>
      <c r="BS566" s="408"/>
      <c r="BT566" s="408"/>
      <c r="BU566" s="408"/>
      <c r="BV566" s="408"/>
    </row>
    <row r="567" spans="69:74" ht="18" customHeight="1">
      <c r="BQ567" s="476"/>
      <c r="BR567" s="408"/>
      <c r="BS567" s="408"/>
      <c r="BT567" s="408"/>
      <c r="BU567" s="408"/>
      <c r="BV567" s="408"/>
    </row>
    <row r="568" spans="69:74" ht="18" customHeight="1">
      <c r="BQ568" s="476"/>
      <c r="BR568" s="408"/>
      <c r="BS568" s="408"/>
      <c r="BT568" s="408"/>
      <c r="BU568" s="408"/>
      <c r="BV568" s="408"/>
    </row>
    <row r="569" spans="69:74" ht="18" customHeight="1">
      <c r="BQ569" s="409"/>
      <c r="BR569" s="408"/>
      <c r="BS569" s="408"/>
      <c r="BT569" s="408"/>
      <c r="BU569" s="408"/>
      <c r="BV569" s="408"/>
    </row>
    <row r="570" spans="69:74" ht="18" customHeight="1">
      <c r="BQ570" s="476"/>
      <c r="BR570" s="408"/>
      <c r="BS570" s="408"/>
      <c r="BT570" s="408"/>
      <c r="BU570" s="408"/>
      <c r="BV570" s="408"/>
    </row>
    <row r="571" spans="69:74" ht="18" customHeight="1">
      <c r="BQ571" s="476"/>
      <c r="BR571" s="408"/>
      <c r="BS571" s="408"/>
      <c r="BT571" s="408"/>
      <c r="BU571" s="408"/>
      <c r="BV571" s="408"/>
    </row>
    <row r="572" spans="69:74" ht="18" customHeight="1">
      <c r="BQ572" s="476"/>
      <c r="BR572" s="408"/>
      <c r="BS572" s="408"/>
      <c r="BT572" s="408"/>
      <c r="BU572" s="408"/>
      <c r="BV572" s="408"/>
    </row>
    <row r="573" spans="69:74" ht="18" customHeight="1">
      <c r="BQ573" s="476"/>
      <c r="BR573" s="408"/>
      <c r="BS573" s="408"/>
      <c r="BT573" s="408"/>
      <c r="BU573" s="408"/>
      <c r="BV573" s="408"/>
    </row>
    <row r="574" spans="69:74" ht="18" customHeight="1">
      <c r="BQ574" s="410"/>
      <c r="BR574" s="407"/>
      <c r="BS574" s="407"/>
      <c r="BT574" s="407"/>
      <c r="BU574" s="407"/>
      <c r="BV574" s="407"/>
    </row>
    <row r="575" spans="69:74" ht="18" customHeight="1">
      <c r="BQ575" s="476"/>
      <c r="BR575" s="408"/>
      <c r="BS575" s="408"/>
      <c r="BT575" s="408"/>
      <c r="BU575" s="408"/>
      <c r="BV575" s="408"/>
    </row>
    <row r="576" spans="69:74" ht="18" customHeight="1">
      <c r="BQ576" s="476"/>
      <c r="BR576" s="408"/>
      <c r="BS576" s="408"/>
      <c r="BT576" s="408"/>
      <c r="BU576" s="408"/>
      <c r="BV576" s="408"/>
    </row>
    <row r="577" spans="69:74" ht="18" customHeight="1">
      <c r="BQ577" s="476"/>
      <c r="BR577" s="408"/>
      <c r="BS577" s="408"/>
      <c r="BT577" s="408"/>
      <c r="BU577" s="408"/>
      <c r="BV577" s="408"/>
    </row>
    <row r="578" spans="69:74" ht="18" customHeight="1">
      <c r="BQ578" s="476"/>
      <c r="BR578" s="408"/>
      <c r="BS578" s="408"/>
      <c r="BT578" s="408"/>
      <c r="BU578" s="408"/>
      <c r="BV578" s="408"/>
    </row>
    <row r="579" spans="69:74" ht="18" customHeight="1">
      <c r="BQ579" s="476"/>
      <c r="BR579" s="408"/>
      <c r="BS579" s="408"/>
      <c r="BT579" s="408"/>
      <c r="BU579" s="408"/>
      <c r="BV579" s="408"/>
    </row>
    <row r="580" spans="69:74" ht="18" customHeight="1">
      <c r="BQ580" s="409"/>
      <c r="BR580" s="408"/>
      <c r="BS580" s="408"/>
      <c r="BT580" s="408"/>
      <c r="BU580" s="408"/>
      <c r="BV580" s="408"/>
    </row>
    <row r="581" spans="69:74" ht="18" customHeight="1">
      <c r="BQ581" s="476"/>
      <c r="BR581" s="408"/>
      <c r="BS581" s="408"/>
      <c r="BT581" s="408"/>
      <c r="BU581" s="408"/>
      <c r="BV581" s="408"/>
    </row>
    <row r="582" spans="69:74" ht="18" customHeight="1">
      <c r="BQ582" s="476"/>
      <c r="BR582" s="408"/>
      <c r="BS582" s="408"/>
      <c r="BT582" s="408"/>
      <c r="BU582" s="408"/>
      <c r="BV582" s="408"/>
    </row>
    <row r="583" spans="69:74" ht="18" customHeight="1">
      <c r="BQ583" s="476"/>
      <c r="BR583" s="408"/>
      <c r="BS583" s="408"/>
      <c r="BT583" s="408"/>
      <c r="BU583" s="408"/>
      <c r="BV583" s="408"/>
    </row>
    <row r="584" spans="69:74" ht="18" customHeight="1">
      <c r="BQ584" s="476"/>
      <c r="BR584" s="408"/>
      <c r="BS584" s="408"/>
      <c r="BT584" s="408"/>
      <c r="BU584" s="408"/>
      <c r="BV584" s="408"/>
    </row>
    <row r="585" spans="69:74" ht="18" customHeight="1">
      <c r="BQ585" s="410"/>
      <c r="BR585" s="407"/>
      <c r="BS585" s="407"/>
      <c r="BT585" s="407"/>
      <c r="BU585" s="407"/>
      <c r="BV585" s="407"/>
    </row>
    <row r="586" spans="69:74" ht="18" customHeight="1">
      <c r="BQ586" s="476"/>
      <c r="BR586" s="408"/>
      <c r="BS586" s="408"/>
      <c r="BT586" s="408"/>
      <c r="BU586" s="408"/>
      <c r="BV586" s="408"/>
    </row>
    <row r="587" spans="69:74" ht="18" customHeight="1">
      <c r="BQ587" s="476"/>
      <c r="BR587" s="408"/>
      <c r="BS587" s="408"/>
      <c r="BT587" s="408"/>
      <c r="BU587" s="408"/>
      <c r="BV587" s="408"/>
    </row>
    <row r="588" spans="69:74" ht="18" customHeight="1">
      <c r="BQ588" s="476"/>
      <c r="BR588" s="408"/>
      <c r="BS588" s="408"/>
      <c r="BT588" s="408"/>
      <c r="BU588" s="408"/>
      <c r="BV588" s="408"/>
    </row>
    <row r="589" spans="69:74" ht="18" customHeight="1">
      <c r="BQ589" s="476"/>
      <c r="BR589" s="408"/>
      <c r="BS589" s="408"/>
      <c r="BT589" s="408"/>
      <c r="BU589" s="408"/>
      <c r="BV589" s="408"/>
    </row>
    <row r="590" spans="69:74" ht="18" customHeight="1">
      <c r="BQ590" s="476"/>
      <c r="BR590" s="408"/>
      <c r="BS590" s="408"/>
      <c r="BT590" s="408"/>
      <c r="BU590" s="408"/>
      <c r="BV590" s="408"/>
    </row>
    <row r="591" spans="69:74" ht="18" customHeight="1">
      <c r="BQ591" s="409"/>
      <c r="BR591" s="408"/>
      <c r="BS591" s="408"/>
      <c r="BT591" s="408"/>
      <c r="BU591" s="408"/>
      <c r="BV591" s="408"/>
    </row>
    <row r="592" spans="69:74" ht="18" customHeight="1">
      <c r="BQ592" s="476"/>
      <c r="BR592" s="408"/>
      <c r="BS592" s="408"/>
      <c r="BT592" s="408"/>
      <c r="BU592" s="408"/>
      <c r="BV592" s="408"/>
    </row>
    <row r="593" spans="69:74" ht="18" customHeight="1">
      <c r="BQ593" s="476"/>
      <c r="BR593" s="408"/>
      <c r="BS593" s="408"/>
      <c r="BT593" s="408"/>
      <c r="BU593" s="408"/>
      <c r="BV593" s="408"/>
    </row>
    <row r="594" spans="69:74" ht="18" customHeight="1">
      <c r="BQ594" s="476"/>
      <c r="BR594" s="408"/>
      <c r="BS594" s="408"/>
      <c r="BT594" s="408"/>
      <c r="BU594" s="408"/>
      <c r="BV594" s="408"/>
    </row>
    <row r="595" spans="69:74" ht="18" customHeight="1">
      <c r="BQ595" s="476"/>
      <c r="BR595" s="408"/>
      <c r="BS595" s="408"/>
      <c r="BT595" s="408"/>
      <c r="BU595" s="408"/>
      <c r="BV595" s="408"/>
    </row>
    <row r="596" spans="69:74" ht="18" customHeight="1">
      <c r="BQ596" s="410"/>
      <c r="BR596" s="407"/>
      <c r="BS596" s="407"/>
      <c r="BT596" s="407"/>
      <c r="BU596" s="407"/>
      <c r="BV596" s="407"/>
    </row>
    <row r="597" spans="69:74" ht="18" customHeight="1">
      <c r="BQ597" s="476"/>
      <c r="BR597" s="408"/>
      <c r="BS597" s="408"/>
      <c r="BT597" s="408"/>
      <c r="BU597" s="408"/>
      <c r="BV597" s="408"/>
    </row>
    <row r="598" spans="69:74" ht="18" customHeight="1">
      <c r="BQ598" s="476"/>
      <c r="BR598" s="408"/>
      <c r="BS598" s="408"/>
      <c r="BT598" s="408"/>
      <c r="BU598" s="408"/>
      <c r="BV598" s="408"/>
    </row>
    <row r="599" spans="69:74" ht="18" customHeight="1">
      <c r="BQ599" s="476"/>
      <c r="BR599" s="408"/>
      <c r="BS599" s="408"/>
      <c r="BT599" s="408"/>
      <c r="BU599" s="408"/>
      <c r="BV599" s="408"/>
    </row>
    <row r="600" spans="69:74" ht="18" customHeight="1">
      <c r="BQ600" s="476"/>
      <c r="BR600" s="408"/>
      <c r="BS600" s="408"/>
      <c r="BT600" s="408"/>
      <c r="BU600" s="408"/>
      <c r="BV600" s="408"/>
    </row>
    <row r="601" spans="69:74" ht="18" customHeight="1">
      <c r="BQ601" s="476"/>
      <c r="BR601" s="408"/>
      <c r="BS601" s="408"/>
      <c r="BT601" s="408"/>
      <c r="BU601" s="408"/>
      <c r="BV601" s="408"/>
    </row>
    <row r="602" spans="69:74" ht="18" customHeight="1">
      <c r="BQ602" s="409"/>
      <c r="BR602" s="408"/>
      <c r="BS602" s="408"/>
      <c r="BT602" s="408"/>
      <c r="BU602" s="408"/>
      <c r="BV602" s="408"/>
    </row>
    <row r="603" spans="69:74" ht="18" customHeight="1">
      <c r="BQ603" s="476"/>
      <c r="BR603" s="408"/>
      <c r="BS603" s="408"/>
      <c r="BT603" s="408"/>
      <c r="BU603" s="408"/>
      <c r="BV603" s="408"/>
    </row>
    <row r="604" spans="69:74" ht="18" customHeight="1">
      <c r="BQ604" s="476"/>
      <c r="BR604" s="408"/>
      <c r="BS604" s="408"/>
      <c r="BT604" s="408"/>
      <c r="BU604" s="408"/>
      <c r="BV604" s="408"/>
    </row>
    <row r="605" spans="69:74" ht="18" customHeight="1">
      <c r="BQ605" s="476"/>
      <c r="BR605" s="408"/>
      <c r="BS605" s="408"/>
      <c r="BT605" s="408"/>
      <c r="BU605" s="408"/>
      <c r="BV605" s="408"/>
    </row>
    <row r="606" spans="69:74" ht="18" customHeight="1">
      <c r="BQ606" s="476"/>
      <c r="BR606" s="408"/>
      <c r="BS606" s="408"/>
      <c r="BT606" s="408"/>
      <c r="BU606" s="408"/>
      <c r="BV606" s="408"/>
    </row>
    <row r="607" spans="69:74" ht="18" customHeight="1">
      <c r="BQ607" s="410"/>
      <c r="BR607" s="426"/>
      <c r="BS607" s="426"/>
      <c r="BT607" s="426"/>
      <c r="BU607" s="426"/>
      <c r="BV607" s="426"/>
    </row>
    <row r="608" spans="69:74" ht="18" customHeight="1">
      <c r="BQ608" s="476"/>
      <c r="BR608" s="408"/>
      <c r="BS608" s="408"/>
      <c r="BT608" s="408"/>
      <c r="BU608" s="408"/>
      <c r="BV608" s="408"/>
    </row>
    <row r="609" spans="69:74" ht="18" customHeight="1">
      <c r="BQ609" s="476"/>
      <c r="BR609" s="408"/>
      <c r="BS609" s="408"/>
      <c r="BT609" s="408"/>
      <c r="BU609" s="408"/>
      <c r="BV609" s="408"/>
    </row>
    <row r="610" spans="69:74" ht="18" customHeight="1">
      <c r="BQ610" s="476"/>
      <c r="BR610" s="408"/>
      <c r="BS610" s="408"/>
      <c r="BT610" s="408"/>
      <c r="BU610" s="408"/>
      <c r="BV610" s="408"/>
    </row>
    <row r="611" spans="69:74" ht="18" customHeight="1">
      <c r="BQ611" s="476"/>
      <c r="BR611" s="408"/>
      <c r="BS611" s="408"/>
      <c r="BT611" s="408"/>
      <c r="BU611" s="408"/>
      <c r="BV611" s="408"/>
    </row>
    <row r="612" spans="69:74" ht="18" customHeight="1">
      <c r="BQ612" s="476"/>
      <c r="BR612" s="408"/>
      <c r="BS612" s="408"/>
      <c r="BT612" s="408"/>
      <c r="BU612" s="408"/>
      <c r="BV612" s="408"/>
    </row>
    <row r="613" spans="69:74" ht="18" customHeight="1">
      <c r="BQ613" s="409"/>
      <c r="BR613" s="408"/>
      <c r="BS613" s="408"/>
      <c r="BT613" s="408"/>
      <c r="BU613" s="408"/>
      <c r="BV613" s="408"/>
    </row>
    <row r="614" spans="69:74" ht="18" customHeight="1">
      <c r="BQ614" s="476"/>
      <c r="BR614" s="408"/>
      <c r="BS614" s="408"/>
      <c r="BT614" s="408"/>
      <c r="BU614" s="408"/>
      <c r="BV614" s="408"/>
    </row>
    <row r="615" spans="69:74" ht="18" customHeight="1">
      <c r="BQ615" s="476"/>
      <c r="BR615" s="408"/>
      <c r="BS615" s="408"/>
      <c r="BT615" s="408"/>
      <c r="BU615" s="408"/>
      <c r="BV615" s="408"/>
    </row>
    <row r="616" spans="69:74" ht="18" customHeight="1">
      <c r="BQ616" s="476"/>
      <c r="BR616" s="408"/>
      <c r="BS616" s="408"/>
      <c r="BT616" s="408"/>
      <c r="BU616" s="408"/>
      <c r="BV616" s="408"/>
    </row>
    <row r="617" spans="69:74" ht="18" customHeight="1">
      <c r="BQ617" s="476"/>
      <c r="BR617" s="408"/>
      <c r="BS617" s="408"/>
      <c r="BT617" s="408"/>
      <c r="BU617" s="408"/>
      <c r="BV617" s="408"/>
    </row>
    <row r="618" spans="69:74" ht="18" customHeight="1">
      <c r="BQ618" s="410"/>
      <c r="BR618" s="416"/>
      <c r="BS618" s="416"/>
      <c r="BT618" s="416"/>
      <c r="BU618" s="416"/>
      <c r="BV618" s="416"/>
    </row>
    <row r="619" spans="69:74" ht="18" customHeight="1">
      <c r="BQ619" s="476"/>
      <c r="BR619" s="408"/>
      <c r="BS619" s="408"/>
      <c r="BT619" s="408"/>
      <c r="BU619" s="408"/>
      <c r="BV619" s="408"/>
    </row>
    <row r="620" spans="69:74" ht="18" customHeight="1">
      <c r="BQ620" s="476"/>
      <c r="BR620" s="408"/>
      <c r="BS620" s="408"/>
      <c r="BT620" s="408"/>
      <c r="BU620" s="408"/>
      <c r="BV620" s="408"/>
    </row>
    <row r="621" spans="69:74" ht="18" customHeight="1">
      <c r="BQ621" s="476"/>
      <c r="BR621" s="408"/>
      <c r="BS621" s="408"/>
      <c r="BT621" s="408"/>
      <c r="BU621" s="408"/>
      <c r="BV621" s="408"/>
    </row>
    <row r="622" spans="69:74" ht="18" customHeight="1">
      <c r="BQ622" s="476"/>
      <c r="BR622" s="408"/>
      <c r="BS622" s="408"/>
      <c r="BT622" s="408"/>
      <c r="BU622" s="408"/>
      <c r="BV622" s="408"/>
    </row>
    <row r="623" spans="69:74" ht="18" customHeight="1">
      <c r="BQ623" s="476"/>
      <c r="BR623" s="408"/>
      <c r="BS623" s="408"/>
      <c r="BT623" s="408"/>
      <c r="BU623" s="408"/>
      <c r="BV623" s="408"/>
    </row>
    <row r="624" spans="69:74" ht="18" customHeight="1">
      <c r="BQ624" s="409"/>
      <c r="BR624" s="408"/>
      <c r="BS624" s="408"/>
      <c r="BT624" s="408"/>
      <c r="BU624" s="408"/>
      <c r="BV624" s="408"/>
    </row>
    <row r="625" spans="69:74" ht="18" customHeight="1">
      <c r="BQ625" s="476"/>
      <c r="BR625" s="408"/>
      <c r="BS625" s="408"/>
      <c r="BT625" s="408"/>
      <c r="BU625" s="408"/>
      <c r="BV625" s="408"/>
    </row>
    <row r="626" spans="69:74" ht="18" customHeight="1">
      <c r="BQ626" s="476"/>
      <c r="BR626" s="408"/>
      <c r="BS626" s="408"/>
      <c r="BT626" s="408"/>
      <c r="BU626" s="408"/>
      <c r="BV626" s="408"/>
    </row>
    <row r="627" spans="69:74" ht="18" customHeight="1">
      <c r="BQ627" s="476"/>
      <c r="BR627" s="408"/>
      <c r="BS627" s="408"/>
      <c r="BT627" s="408"/>
      <c r="BU627" s="408"/>
      <c r="BV627" s="408"/>
    </row>
    <row r="628" spans="69:74" ht="18" customHeight="1">
      <c r="BQ628" s="476"/>
      <c r="BR628" s="408"/>
      <c r="BS628" s="408"/>
      <c r="BT628" s="408"/>
      <c r="BU628" s="408"/>
      <c r="BV628" s="408"/>
    </row>
    <row r="629" spans="69:74" ht="18" customHeight="1">
      <c r="BQ629" s="410"/>
      <c r="BR629" s="407"/>
      <c r="BS629" s="407"/>
      <c r="BT629" s="407"/>
      <c r="BU629" s="407"/>
      <c r="BV629" s="407"/>
    </row>
    <row r="630" spans="69:74" ht="18" customHeight="1">
      <c r="BQ630" s="476"/>
      <c r="BR630" s="408"/>
      <c r="BS630" s="408"/>
      <c r="BT630" s="408"/>
      <c r="BU630" s="408"/>
      <c r="BV630" s="408"/>
    </row>
    <row r="631" spans="69:74" ht="18" customHeight="1">
      <c r="BQ631" s="476"/>
      <c r="BR631" s="408"/>
      <c r="BS631" s="408"/>
      <c r="BT631" s="408"/>
      <c r="BU631" s="408"/>
      <c r="BV631" s="408"/>
    </row>
    <row r="632" spans="69:74" ht="18" customHeight="1">
      <c r="BQ632" s="476"/>
      <c r="BR632" s="408"/>
      <c r="BS632" s="408"/>
      <c r="BT632" s="408"/>
      <c r="BU632" s="408"/>
      <c r="BV632" s="408"/>
    </row>
    <row r="633" spans="69:74" ht="18" customHeight="1">
      <c r="BQ633" s="476"/>
      <c r="BR633" s="408"/>
      <c r="BS633" s="408"/>
      <c r="BT633" s="408"/>
      <c r="BU633" s="408"/>
      <c r="BV633" s="408"/>
    </row>
    <row r="634" spans="69:74" ht="18" customHeight="1">
      <c r="BQ634" s="476"/>
      <c r="BR634" s="408"/>
      <c r="BS634" s="408"/>
      <c r="BT634" s="408"/>
      <c r="BU634" s="408"/>
      <c r="BV634" s="408"/>
    </row>
    <row r="635" spans="69:74" ht="18" customHeight="1">
      <c r="BQ635" s="409"/>
      <c r="BR635" s="408"/>
      <c r="BS635" s="408"/>
      <c r="BT635" s="408"/>
      <c r="BU635" s="408"/>
      <c r="BV635" s="408"/>
    </row>
    <row r="636" spans="69:74" ht="18" customHeight="1">
      <c r="BQ636" s="476"/>
      <c r="BR636" s="408"/>
      <c r="BS636" s="408"/>
      <c r="BT636" s="408"/>
      <c r="BU636" s="408"/>
      <c r="BV636" s="408"/>
    </row>
    <row r="637" spans="69:74" ht="18" customHeight="1">
      <c r="BQ637" s="476"/>
      <c r="BR637" s="408"/>
      <c r="BS637" s="408"/>
      <c r="BT637" s="408"/>
      <c r="BU637" s="408"/>
      <c r="BV637" s="408"/>
    </row>
    <row r="638" spans="69:74" ht="18" customHeight="1">
      <c r="BQ638" s="476"/>
      <c r="BR638" s="408"/>
      <c r="BS638" s="408"/>
      <c r="BT638" s="408"/>
      <c r="BU638" s="408"/>
      <c r="BV638" s="408"/>
    </row>
    <row r="639" spans="69:74" ht="18" customHeight="1">
      <c r="BQ639" s="476"/>
      <c r="BR639" s="408"/>
      <c r="BS639" s="408"/>
      <c r="BT639" s="408"/>
      <c r="BU639" s="408"/>
      <c r="BV639" s="408"/>
    </row>
    <row r="640" spans="69:74" ht="18" customHeight="1">
      <c r="BQ640" s="410"/>
      <c r="BR640" s="407"/>
      <c r="BS640" s="407"/>
      <c r="BT640" s="407"/>
      <c r="BU640" s="407"/>
      <c r="BV640" s="407"/>
    </row>
    <row r="641" spans="69:74" ht="18" customHeight="1">
      <c r="BQ641" s="476"/>
      <c r="BR641" s="408"/>
      <c r="BS641" s="408"/>
      <c r="BT641" s="408"/>
      <c r="BU641" s="408"/>
      <c r="BV641" s="408"/>
    </row>
    <row r="642" spans="69:74" ht="18" customHeight="1">
      <c r="BQ642" s="476"/>
      <c r="BR642" s="408"/>
      <c r="BS642" s="408"/>
      <c r="BT642" s="408"/>
      <c r="BU642" s="408"/>
      <c r="BV642" s="408"/>
    </row>
    <row r="643" spans="69:74" ht="18" customHeight="1">
      <c r="BQ643" s="476"/>
      <c r="BR643" s="408"/>
      <c r="BS643" s="408"/>
      <c r="BT643" s="408"/>
      <c r="BU643" s="408"/>
      <c r="BV643" s="408"/>
    </row>
    <row r="644" spans="69:74" ht="18" customHeight="1">
      <c r="BQ644" s="476"/>
      <c r="BR644" s="408"/>
      <c r="BS644" s="408"/>
      <c r="BT644" s="408"/>
      <c r="BU644" s="408"/>
      <c r="BV644" s="408"/>
    </row>
    <row r="645" spans="69:74" ht="18" customHeight="1">
      <c r="BQ645" s="476"/>
      <c r="BR645" s="408"/>
      <c r="BS645" s="408"/>
      <c r="BT645" s="408"/>
      <c r="BU645" s="408"/>
      <c r="BV645" s="408"/>
    </row>
    <row r="646" spans="69:74" ht="18" customHeight="1">
      <c r="BQ646" s="409"/>
      <c r="BR646" s="408"/>
      <c r="BS646" s="408"/>
      <c r="BT646" s="408"/>
      <c r="BU646" s="408"/>
      <c r="BV646" s="408"/>
    </row>
    <row r="647" spans="69:74" ht="18" customHeight="1">
      <c r="BQ647" s="476"/>
      <c r="BR647" s="408"/>
      <c r="BS647" s="408"/>
      <c r="BT647" s="408"/>
      <c r="BU647" s="408"/>
      <c r="BV647" s="408"/>
    </row>
    <row r="648" spans="69:74" ht="18" customHeight="1">
      <c r="BQ648" s="476"/>
      <c r="BR648" s="408"/>
      <c r="BS648" s="408"/>
      <c r="BT648" s="408"/>
      <c r="BU648" s="408"/>
      <c r="BV648" s="408"/>
    </row>
    <row r="649" spans="69:74" ht="18" customHeight="1">
      <c r="BQ649" s="476"/>
      <c r="BR649" s="408"/>
      <c r="BS649" s="408"/>
      <c r="BT649" s="408"/>
      <c r="BU649" s="408"/>
      <c r="BV649" s="408"/>
    </row>
    <row r="650" spans="69:74" ht="18" customHeight="1">
      <c r="BQ650" s="476"/>
      <c r="BR650" s="408"/>
      <c r="BS650" s="408"/>
      <c r="BT650" s="408"/>
      <c r="BU650" s="408"/>
      <c r="BV650" s="408"/>
    </row>
    <row r="651" spans="69:74" ht="18" customHeight="1">
      <c r="BQ651" s="419"/>
      <c r="BR651" s="419"/>
      <c r="BS651" s="419"/>
      <c r="BT651" s="419"/>
      <c r="BU651" s="419"/>
      <c r="BV651" s="419"/>
    </row>
    <row r="652" spans="69:74" ht="18" customHeight="1">
      <c r="BQ652" s="419"/>
      <c r="BR652" s="419"/>
      <c r="BS652" s="419"/>
      <c r="BT652" s="419"/>
      <c r="BU652" s="419"/>
      <c r="BV652" s="419"/>
    </row>
    <row r="653" spans="69:74" ht="18" customHeight="1">
      <c r="BQ653" s="419"/>
      <c r="BR653" s="419"/>
      <c r="BS653" s="419"/>
      <c r="BT653" s="419"/>
      <c r="BU653" s="419"/>
      <c r="BV653" s="419"/>
    </row>
    <row r="654" spans="69:74" ht="18" customHeight="1">
      <c r="BQ654" s="419"/>
      <c r="BR654" s="419"/>
      <c r="BS654" s="419"/>
      <c r="BT654" s="419"/>
      <c r="BU654" s="419"/>
      <c r="BV654" s="419"/>
    </row>
    <row r="655" spans="69:74" ht="18" customHeight="1">
      <c r="BQ655" s="419"/>
      <c r="BR655" s="419"/>
      <c r="BS655" s="419"/>
      <c r="BT655" s="419"/>
      <c r="BU655" s="419"/>
      <c r="BV655" s="419"/>
    </row>
    <row r="656" spans="69:74" ht="18" customHeight="1">
      <c r="BQ656" s="419"/>
      <c r="BR656" s="419"/>
      <c r="BS656" s="419"/>
      <c r="BT656" s="419"/>
      <c r="BU656" s="419"/>
      <c r="BV656" s="419"/>
    </row>
    <row r="657" spans="69:74" ht="18" customHeight="1">
      <c r="BQ657" s="419"/>
      <c r="BR657" s="419"/>
      <c r="BS657" s="419"/>
      <c r="BT657" s="419"/>
      <c r="BU657" s="419"/>
      <c r="BV657" s="419"/>
    </row>
    <row r="658" spans="69:74" ht="18" customHeight="1">
      <c r="BQ658" s="419"/>
      <c r="BR658" s="419"/>
      <c r="BS658" s="419"/>
      <c r="BT658" s="419"/>
      <c r="BU658" s="419"/>
      <c r="BV658" s="419"/>
    </row>
    <row r="659" spans="69:74" ht="18" customHeight="1">
      <c r="BQ659" s="419"/>
      <c r="BR659" s="419"/>
      <c r="BS659" s="419"/>
      <c r="BT659" s="419"/>
      <c r="BU659" s="419"/>
      <c r="BV659" s="419"/>
    </row>
    <row r="660" spans="69:74" ht="18" customHeight="1">
      <c r="BQ660" s="419"/>
      <c r="BR660" s="419"/>
      <c r="BS660" s="419"/>
      <c r="BT660" s="419"/>
      <c r="BU660" s="419"/>
      <c r="BV660" s="419"/>
    </row>
    <row r="661" spans="69:74" ht="18" customHeight="1">
      <c r="BQ661" s="419"/>
      <c r="BR661" s="419"/>
      <c r="BS661" s="419"/>
      <c r="BT661" s="419"/>
      <c r="BU661" s="419"/>
      <c r="BV661" s="419"/>
    </row>
    <row r="662" spans="69:74" ht="18" customHeight="1">
      <c r="BQ662" s="419"/>
      <c r="BR662" s="419"/>
      <c r="BS662" s="419"/>
      <c r="BT662" s="419"/>
      <c r="BU662" s="419"/>
      <c r="BV662" s="419"/>
    </row>
    <row r="663" spans="69:74" ht="18" customHeight="1">
      <c r="BQ663" s="419"/>
      <c r="BR663" s="419"/>
      <c r="BS663" s="419"/>
      <c r="BT663" s="419"/>
      <c r="BU663" s="419"/>
      <c r="BV663" s="419"/>
    </row>
    <row r="664" spans="69:74" ht="18" customHeight="1">
      <c r="BQ664" s="419"/>
      <c r="BR664" s="419"/>
      <c r="BS664" s="419"/>
      <c r="BT664" s="419"/>
      <c r="BU664" s="419"/>
      <c r="BV664" s="419"/>
    </row>
    <row r="665" spans="69:74" ht="18" customHeight="1">
      <c r="BQ665" s="419"/>
      <c r="BR665" s="419"/>
      <c r="BS665" s="419"/>
      <c r="BT665" s="419"/>
      <c r="BU665" s="419"/>
      <c r="BV665" s="419"/>
    </row>
    <row r="666" spans="69:74" ht="18" customHeight="1">
      <c r="BQ666" s="419"/>
      <c r="BR666" s="419"/>
      <c r="BS666" s="419"/>
      <c r="BT666" s="419"/>
      <c r="BU666" s="419"/>
      <c r="BV666" s="419"/>
    </row>
    <row r="667" spans="69:74" ht="18" customHeight="1">
      <c r="BQ667" s="419"/>
      <c r="BR667" s="419"/>
      <c r="BS667" s="419"/>
      <c r="BT667" s="419"/>
      <c r="BU667" s="419"/>
      <c r="BV667" s="419"/>
    </row>
    <row r="668" spans="69:74" ht="18" customHeight="1">
      <c r="BQ668" s="419"/>
      <c r="BR668" s="419"/>
      <c r="BS668" s="419"/>
      <c r="BT668" s="419"/>
      <c r="BU668" s="419"/>
      <c r="BV668" s="419"/>
    </row>
  </sheetData>
  <sheetProtection algorithmName="SHA-512" hashValue="aOEqQxRiXBJQjqoFz3lcFl/47WVmbYc/zXQ61NnURa6fI53pYuNs8DoyvawjQR1N85Jt/ZQ9E5sl1JBx7RA9MA==" saltValue="iUu3rb8D8drosEkuTYznug==" spinCount="100000" sheet="1" objects="1" scenarios="1"/>
  <protectedRanges>
    <protectedRange sqref="AD10:AD50" name="Range4"/>
    <protectedRange sqref="E9:I9" name="Range2"/>
    <protectedRange sqref="E10:I50" name="Range1"/>
    <protectedRange sqref="AQ10:AQ50" name="Range3"/>
  </protectedRanges>
  <mergeCells count="124">
    <mergeCell ref="B6:D7"/>
    <mergeCell ref="BP29:BU30"/>
    <mergeCell ref="BR5:BS5"/>
    <mergeCell ref="B5:AD5"/>
    <mergeCell ref="B4:D4"/>
    <mergeCell ref="AO5:AV5"/>
    <mergeCell ref="AS82:AT82"/>
    <mergeCell ref="AP80:AP81"/>
    <mergeCell ref="AQ55:AV55"/>
    <mergeCell ref="BC58:BD60"/>
    <mergeCell ref="S3:X4"/>
    <mergeCell ref="BA62:BB62"/>
    <mergeCell ref="AJ6:AJ7"/>
    <mergeCell ref="BC62:BD62"/>
    <mergeCell ref="AW7:AZ7"/>
    <mergeCell ref="B1:D3"/>
    <mergeCell ref="E6:K6"/>
    <mergeCell ref="AQ80:AQ81"/>
    <mergeCell ref="AL6:AL7"/>
    <mergeCell ref="BE62:BF62"/>
    <mergeCell ref="M7:O7"/>
    <mergeCell ref="S6:X6"/>
    <mergeCell ref="U7:W7"/>
    <mergeCell ref="L6:R6"/>
    <mergeCell ref="CT5:CT7"/>
    <mergeCell ref="CD1:CE1"/>
    <mergeCell ref="AS84:AT84"/>
    <mergeCell ref="BA61:BB61"/>
    <mergeCell ref="BC61:BD61"/>
    <mergeCell ref="BE53:BF53"/>
    <mergeCell ref="CH1:CP1"/>
    <mergeCell ref="CH3:CP3"/>
    <mergeCell ref="BY1:CC1"/>
    <mergeCell ref="CH35:CN35"/>
    <mergeCell ref="Y6:AA6"/>
    <mergeCell ref="BX2:CF2"/>
    <mergeCell ref="BP25:BV25"/>
    <mergeCell ref="BP7:BU8"/>
    <mergeCell ref="AY62:AZ62"/>
    <mergeCell ref="AE6:AG6"/>
    <mergeCell ref="BC53:BD53"/>
    <mergeCell ref="AR80:AR81"/>
    <mergeCell ref="AW3:BC3"/>
    <mergeCell ref="BP28:BQ28"/>
    <mergeCell ref="BC54:BD55"/>
    <mergeCell ref="BE54:BF55"/>
    <mergeCell ref="BP6:BQ6"/>
    <mergeCell ref="BE58:BF60"/>
    <mergeCell ref="BA53:BB53"/>
    <mergeCell ref="AJ3:AN5"/>
    <mergeCell ref="BB5:BF5"/>
    <mergeCell ref="AY61:AZ61"/>
    <mergeCell ref="AK6:AK7"/>
    <mergeCell ref="AM6:AM7"/>
    <mergeCell ref="BA56:BB57"/>
    <mergeCell ref="AY52:BF52"/>
    <mergeCell ref="AQ8:AR8"/>
    <mergeCell ref="L3:R4"/>
    <mergeCell ref="BV29:BV30"/>
    <mergeCell ref="AI6:AI7"/>
    <mergeCell ref="AS85:AT85"/>
    <mergeCell ref="CD88:CE88"/>
    <mergeCell ref="BB7:BE7"/>
    <mergeCell ref="AY63:AZ65"/>
    <mergeCell ref="BA66:BB68"/>
    <mergeCell ref="BR27:BS27"/>
    <mergeCell ref="BC66:BD68"/>
    <mergeCell ref="AS86:AT86"/>
    <mergeCell ref="AW4:BF4"/>
    <mergeCell ref="BV7:BV8"/>
    <mergeCell ref="AB3:AB4"/>
    <mergeCell ref="AS87:AT87"/>
    <mergeCell ref="AY56:AZ57"/>
    <mergeCell ref="AO79:AU79"/>
    <mergeCell ref="BD3:BF3"/>
    <mergeCell ref="AV3:AV4"/>
    <mergeCell ref="AO3:AU4"/>
    <mergeCell ref="AS80:AT81"/>
    <mergeCell ref="BP3:BV3"/>
    <mergeCell ref="BE61:BF61"/>
    <mergeCell ref="BP27:BQ27"/>
    <mergeCell ref="AS93:AT93"/>
    <mergeCell ref="CI5:CP5"/>
    <mergeCell ref="CH4:CP4"/>
    <mergeCell ref="BP50:BU50"/>
    <mergeCell ref="AS83:AT83"/>
    <mergeCell ref="AO52:AV52"/>
    <mergeCell ref="AS92:AT92"/>
    <mergeCell ref="P7:Q7"/>
    <mergeCell ref="AS91:AT91"/>
    <mergeCell ref="BL7:BM7"/>
    <mergeCell ref="AB6:AC6"/>
    <mergeCell ref="AE8:AG8"/>
    <mergeCell ref="CD87:CE87"/>
    <mergeCell ref="BA63:BB65"/>
    <mergeCell ref="AO53:AV54"/>
    <mergeCell ref="BC63:BD65"/>
    <mergeCell ref="BE66:BF68"/>
    <mergeCell ref="AO55:AP55"/>
    <mergeCell ref="AO77:AP78"/>
    <mergeCell ref="BP5:BQ5"/>
    <mergeCell ref="AS90:AT90"/>
    <mergeCell ref="AY66:AZ68"/>
    <mergeCell ref="AW6:AY6"/>
    <mergeCell ref="BT27:BV27"/>
    <mergeCell ref="AS89:AT89"/>
    <mergeCell ref="AN6:AN7"/>
    <mergeCell ref="BC56:BD57"/>
    <mergeCell ref="BE56:BF57"/>
    <mergeCell ref="BA58:BB60"/>
    <mergeCell ref="CH29:CP29"/>
    <mergeCell ref="AQ77:AU78"/>
    <mergeCell ref="AY54:AZ55"/>
    <mergeCell ref="BA54:BB55"/>
    <mergeCell ref="CH5:CH6"/>
    <mergeCell ref="AY53:AZ53"/>
    <mergeCell ref="BB6:BD6"/>
    <mergeCell ref="BT5:BV5"/>
    <mergeCell ref="BE63:BF65"/>
    <mergeCell ref="AS88:AT88"/>
    <mergeCell ref="BX63:BZ63"/>
    <mergeCell ref="AY58:AZ60"/>
    <mergeCell ref="AX8:AY8"/>
    <mergeCell ref="BC8:BD8"/>
  </mergeCells>
  <conditionalFormatting sqref="BA61:BA62">
    <cfRule type="expression" dxfId="1465" priority="147" stopIfTrue="1">
      <formula>#REF!=FALSE</formula>
    </cfRule>
  </conditionalFormatting>
  <conditionalFormatting sqref="BC61:BC62">
    <cfRule type="expression" dxfId="1464" priority="146" stopIfTrue="1">
      <formula>#REF!=FALSE</formula>
    </cfRule>
  </conditionalFormatting>
  <conditionalFormatting sqref="BE61:BE62">
    <cfRule type="expression" dxfId="1463" priority="145" stopIfTrue="1">
      <formula>#REF!=FALSE</formula>
    </cfRule>
  </conditionalFormatting>
  <conditionalFormatting sqref="K10">
    <cfRule type="cellIs" dxfId="1462" priority="55" operator="greaterThan">
      <formula>D10</formula>
    </cfRule>
    <cfRule type="cellIs" dxfId="1461" priority="130" operator="greaterThan">
      <formula>D10</formula>
    </cfRule>
  </conditionalFormatting>
  <conditionalFormatting sqref="M10:M50">
    <cfRule type="cellIs" dxfId="1460" priority="121" operator="greaterThan">
      <formula>D10</formula>
    </cfRule>
  </conditionalFormatting>
  <conditionalFormatting sqref="N10:N50">
    <cfRule type="cellIs" dxfId="1459" priority="120" operator="greaterThan">
      <formula>D10</formula>
    </cfRule>
  </conditionalFormatting>
  <conditionalFormatting sqref="O10:O50">
    <cfRule type="cellIs" dxfId="1458" priority="119" operator="greaterThan">
      <formula>D10</formula>
    </cfRule>
  </conditionalFormatting>
  <conditionalFormatting sqref="Y10:Y50">
    <cfRule type="cellIs" dxfId="1457" priority="118" operator="greaterThan">
      <formula>D10</formula>
    </cfRule>
  </conditionalFormatting>
  <conditionalFormatting sqref="Z10:Z50">
    <cfRule type="cellIs" dxfId="1456" priority="117" operator="greaterThan">
      <formula>D10</formula>
    </cfRule>
  </conditionalFormatting>
  <conditionalFormatting sqref="AA10:AA50">
    <cfRule type="cellIs" dxfId="1455" priority="48" operator="greaterThan">
      <formula>D10</formula>
    </cfRule>
    <cfRule type="cellIs" dxfId="1454" priority="116" operator="greaterThan">
      <formula>D10</formula>
    </cfRule>
  </conditionalFormatting>
  <conditionalFormatting sqref="L7:M7 S7:U7 Y7:AA7">
    <cfRule type="cellIs" dxfId="1453" priority="96" operator="greaterThan">
      <formula>"&gt;=0.45"</formula>
    </cfRule>
  </conditionalFormatting>
  <conditionalFormatting sqref="AB7">
    <cfRule type="cellIs" dxfId="1452" priority="94" operator="greaterThan">
      <formula>"&gt;=0.45"</formula>
    </cfRule>
  </conditionalFormatting>
  <conditionalFormatting sqref="AC7">
    <cfRule type="cellIs" dxfId="1451" priority="93" operator="greaterThan">
      <formula>"&gt;=0.45"</formula>
    </cfRule>
  </conditionalFormatting>
  <conditionalFormatting sqref="AX10:AX50">
    <cfRule type="cellIs" dxfId="1450" priority="83" operator="lessThan">
      <formula>0</formula>
    </cfRule>
  </conditionalFormatting>
  <conditionalFormatting sqref="AD7">
    <cfRule type="cellIs" dxfId="1449" priority="80" operator="greaterThan">
      <formula>"&gt;=0.45"</formula>
    </cfRule>
  </conditionalFormatting>
  <conditionalFormatting sqref="S10:S50">
    <cfRule type="cellIs" dxfId="1448" priority="70" operator="greaterThan">
      <formula>D10</formula>
    </cfRule>
  </conditionalFormatting>
  <conditionalFormatting sqref="U10">
    <cfRule type="cellIs" dxfId="1447" priority="42" operator="greaterThan">
      <formula>D10</formula>
    </cfRule>
    <cfRule type="cellIs" dxfId="1446" priority="69" operator="greaterThan">
      <formula>D10</formula>
    </cfRule>
  </conditionalFormatting>
  <conditionalFormatting sqref="V10">
    <cfRule type="cellIs" dxfId="1445" priority="41" operator="greaterThan">
      <formula>D10</formula>
    </cfRule>
    <cfRule type="cellIs" dxfId="1444" priority="68" operator="greaterThan">
      <formula>D10</formula>
    </cfRule>
  </conditionalFormatting>
  <conditionalFormatting sqref="I10:I50">
    <cfRule type="cellIs" dxfId="1443" priority="56" operator="greaterThan">
      <formula>D10</formula>
    </cfRule>
    <cfRule type="cellIs" dxfId="1442" priority="132" operator="greaterThan">
      <formula>D10</formula>
    </cfRule>
  </conditionalFormatting>
  <conditionalFormatting sqref="E10:E50">
    <cfRule type="cellIs" dxfId="1441" priority="4" operator="greaterThan">
      <formula>D10</formula>
    </cfRule>
    <cfRule type="cellIs" dxfId="1440" priority="139" operator="greaterThan">
      <formula>D10</formula>
    </cfRule>
  </conditionalFormatting>
  <conditionalFormatting sqref="L3">
    <cfRule type="expression" dxfId="1439" priority="38">
      <formula>AND(IsVhhp,OR(IsSerna,IsIig,IsMhp,IsShmhp,IsTod))</formula>
    </cfRule>
  </conditionalFormatting>
  <conditionalFormatting sqref="U10:U50">
    <cfRule type="cellIs" dxfId="1438" priority="24" operator="greaterThan">
      <formula>D10</formula>
    </cfRule>
    <cfRule type="cellIs" dxfId="1437" priority="26" operator="greaterThan">
      <formula>D10</formula>
    </cfRule>
  </conditionalFormatting>
  <conditionalFormatting sqref="V10:V50">
    <cfRule type="cellIs" dxfId="1436" priority="23" operator="greaterThan">
      <formula>D10</formula>
    </cfRule>
    <cfRule type="cellIs" dxfId="1435" priority="25" operator="greaterThan">
      <formula>D10</formula>
    </cfRule>
  </conditionalFormatting>
  <conditionalFormatting sqref="Z3">
    <cfRule type="cellIs" dxfId="1434" priority="22" operator="equal">
      <formula>1</formula>
    </cfRule>
  </conditionalFormatting>
  <conditionalFormatting sqref="K10:K50">
    <cfRule type="cellIs" dxfId="1433" priority="14" operator="greaterThan">
      <formula>D10</formula>
    </cfRule>
    <cfRule type="cellIs" dxfId="1432" priority="15" operator="greaterThan">
      <formula>D10</formula>
    </cfRule>
  </conditionalFormatting>
  <conditionalFormatting sqref="AP10:AP50">
    <cfRule type="expression" dxfId="1431" priority="13">
      <formula>AND(AO10="Other",AP10&lt;=0)</formula>
    </cfRule>
  </conditionalFormatting>
  <conditionalFormatting sqref="AB10:AB50">
    <cfRule type="cellIs" dxfId="1430" priority="819" operator="greaterThan">
      <formula>D10-MAX(F10,I10,K10,E10,G10,H10)</formula>
    </cfRule>
  </conditionalFormatting>
  <conditionalFormatting sqref="I10:I50">
    <cfRule type="cellIs" dxfId="1429" priority="16" operator="greaterThan">
      <formula>D10</formula>
    </cfRule>
    <cfRule type="cellIs" dxfId="1428" priority="17" operator="greaterThan">
      <formula>D10</formula>
    </cfRule>
  </conditionalFormatting>
  <conditionalFormatting sqref="E10:E50 AI10:AN50 AU10:AU500">
    <cfRule type="cellIs" dxfId="1427" priority="8" operator="equal">
      <formula>0</formula>
    </cfRule>
  </conditionalFormatting>
  <conditionalFormatting sqref="AD10:AD50">
    <cfRule type="expression" dxfId="1426" priority="5">
      <formula>AND($AD10&lt;&gt;"",$D10&lt;&gt;"",$AD10&gt;$D10)</formula>
    </cfRule>
  </conditionalFormatting>
  <conditionalFormatting sqref="F10:F50">
    <cfRule type="cellIs" dxfId="1425" priority="3" operator="greaterThan">
      <formula>D10</formula>
    </cfRule>
  </conditionalFormatting>
  <conditionalFormatting sqref="G10:G50">
    <cfRule type="cellIs" dxfId="1424" priority="2" operator="greaterThan">
      <formula>D10</formula>
    </cfRule>
  </conditionalFormatting>
  <conditionalFormatting sqref="H10:H50">
    <cfRule type="cellIs" dxfId="1423" priority="1" operator="greaterThan">
      <formula>D10</formula>
    </cfRule>
  </conditionalFormatting>
  <conditionalFormatting sqref="E10:E50 AI10:AN50 AU10:AU50">
    <cfRule type="cellIs" dxfId="1422" priority="7" operator="equal">
      <formula>FALSE</formula>
    </cfRule>
  </conditionalFormatting>
  <dataValidations count="39">
    <dataValidation type="whole" operator="greaterThanOrEqual" allowBlank="1" showInputMessage="1" showErrorMessage="1" sqref="D10:D50" xr:uid="{00000000-0002-0000-0A00-000000000000}">
      <formula1>0</formula1>
    </dataValidation>
    <dataValidation type="list" operator="greaterThan" allowBlank="1" showInputMessage="1" showErrorMessage="1" sqref="AO10:AO50" xr:uid="{00000000-0002-0000-0A00-000001000000}">
      <formula1>"TCAC,CalHFA,Other"</formula1>
    </dataValidation>
    <dataValidation type="list" allowBlank="1" showInputMessage="1" showErrorMessage="1" sqref="BD3:BF3" xr:uid="{00000000-0002-0000-0A00-000003000000}">
      <formula1>"Restricted,Proposed"</formula1>
    </dataValidation>
    <dataValidation type="list" allowBlank="1" showInputMessage="1" showErrorMessage="1" sqref="AP82:AP93" xr:uid="{00000000-0002-0000-0A00-000004000000}">
      <formula1>"0 Bdrm.,1 Bdrm.,2 Bdrm.,3 Bdrm.,4 Bdrm.,5 Bdrm"</formula1>
    </dataValidation>
    <dataValidation type="list" allowBlank="1" showInputMessage="1" showErrorMessage="1" sqref="L10:L50 T10:T50 AE10:AG50 AY10:AY50 BA56 BC56 BD10:BD50 BE56" xr:uid="{00000000-0002-0000-0A00-000005000000}">
      <formula1>"Yes,No"</formula1>
    </dataValidation>
    <dataValidation type="whole" operator="lessThanOrEqual" allowBlank="1" showInputMessage="1" showErrorMessage="1" errorTitle="Incorrect Value" error="Value may not be greater than &quot;Total Units&quot;." sqref="E10:E50" xr:uid="{00000000-0002-0000-0A00-000006000000}">
      <formula1>D10</formula1>
    </dataValidation>
    <dataValidation type="whole" operator="lessThanOrEqual" allowBlank="1" showInputMessage="1" showErrorMessage="1" errorTitle="Incorrect Value" error="Value may not be greater than &quot;Total Units&quot;" sqref="S10" xr:uid="{00000000-0002-0000-0A00-000007000000}">
      <formula1>K10</formula1>
    </dataValidation>
    <dataValidation type="whole" operator="lessThanOrEqual" allowBlank="1" showInputMessage="1" showErrorMessage="1" errorTitle="Incorrect Value" error="Value may not be greater than &quot;Total Units&quot;" sqref="Y10:Y50" xr:uid="{00000000-0002-0000-0A00-000008000000}">
      <formula1>D10</formula1>
    </dataValidation>
    <dataValidation type="whole" operator="lessThanOrEqual" allowBlank="1" showInputMessage="1" showErrorMessage="1" errorTitle="Incorrect Value" error="Value may not be greater than &quot;Total Units&quot;" sqref="Z10:Z50" xr:uid="{00000000-0002-0000-0A00-000009000000}">
      <formula1>D10</formula1>
    </dataValidation>
    <dataValidation type="whole" operator="lessThanOrEqual" allowBlank="1" showInputMessage="1" showErrorMessage="1" errorTitle="Incorrect Value" error="Value may not be greater than &quot;Total Units&quot;" sqref="S11:S50" xr:uid="{00000000-0002-0000-0A00-00000B000000}">
      <formula1>D11</formula1>
    </dataValidation>
    <dataValidation type="list" allowBlank="1" showInputMessage="1" showErrorMessage="1" promptTitle="Number of Bedrooms" sqref="B10:B50" xr:uid="{00000000-0002-0000-0A00-00000C000000}">
      <formula1>"0,1,2,3,4,5"</formula1>
    </dataValidation>
    <dataValidation type="list" allowBlank="1" showInputMessage="1" showErrorMessage="1" sqref="BA7 BF7" xr:uid="{00000000-0002-0000-0A00-00000D000000}">
      <formula1>"USDA,Other Federal,Not Federal"</formula1>
    </dataValidation>
    <dataValidation type="list" allowBlank="1" showInputMessage="1" showErrorMessage="1" sqref="R10:R50 X10:X50" xr:uid="{00000000-0002-0000-0A00-00000E000000}">
      <formula1>"SH,TH,N/A"</formula1>
    </dataValidation>
    <dataValidation type="whole" operator="equal" allowBlank="1" showInputMessage="1" showErrorMessage="1" errorTitle="Incorrect Value" error="Value may not be greater than &quot;Total Units&quot;" sqref="V10:V50" xr:uid="{00000000-0002-0000-0A00-00000F000000}">
      <formula1>K10</formula1>
    </dataValidation>
    <dataValidation type="whole" operator="equal" allowBlank="1" showInputMessage="1" showErrorMessage="1" errorTitle="Incorrect Value" error="Value may not be greater than &quot;Total Units&quot;" sqref="U10:U50" xr:uid="{00000000-0002-0000-0A00-000010000000}">
      <formula1>K10</formula1>
    </dataValidation>
    <dataValidation type="whole" operator="equal" allowBlank="1" showInputMessage="1" showErrorMessage="1" errorTitle="Incorrect Value" error="Value may not be greater than &quot;Total Units&quot;" sqref="W10:W50" xr:uid="{00000000-0002-0000-0A00-000011000000}">
      <formula1>K10</formula1>
    </dataValidation>
    <dataValidation type="whole" operator="equal" allowBlank="1" showInputMessage="1" showErrorMessage="1" errorTitle="Incorrect Value" error="Value may not be greater than &quot;Total Units&quot;" sqref="AA10:AA50" xr:uid="{00000000-0002-0000-0A00-000012000000}">
      <formula1>D10</formula1>
    </dataValidation>
    <dataValidation type="whole" operator="equal" allowBlank="1" showInputMessage="1" showErrorMessage="1" errorTitle="Incorrect Value" error="Value may not be greater or less than &quot;Total Units&quot;" sqref="K10:K50" xr:uid="{00000000-0002-0000-0A00-000014000000}">
      <formula1>D10</formula1>
    </dataValidation>
    <dataValidation type="custom" allowBlank="1" showInputMessage="1" showErrorMessage="1" sqref="AW10:AW50" xr:uid="{00000000-0002-0000-0A00-000015000000}">
      <formula1>AU10=0</formula1>
    </dataValidation>
    <dataValidation type="custom" allowBlank="1" showInputMessage="1" showErrorMessage="1" sqref="BB10:BB50" xr:uid="{00000000-0002-0000-0A00-000016000000}">
      <formula1>AU10=0</formula1>
    </dataValidation>
    <dataValidation type="whole" operator="lessThanOrEqual" allowBlank="1" showInputMessage="1" showErrorMessage="1" errorTitle="Incorrect Value" error="Value may not be greater than &quot;Total Units&quot;" sqref="M10:M50" xr:uid="{00000000-0002-0000-0A00-000017000000}">
      <formula1>D10</formula1>
    </dataValidation>
    <dataValidation type="custom" showInputMessage="1" showErrorMessage="1" sqref="AH10:AH50" xr:uid="{00000000-0002-0000-0A00-000018000000}">
      <formula1>IF(I10&gt;0,AH10&lt;=I10)</formula1>
    </dataValidation>
    <dataValidation type="whole" operator="lessThanOrEqual" allowBlank="1" showInputMessage="1" showErrorMessage="1" errorTitle="Incorrect Value" error="Value may not be greater than &quot;Total Units&quot;" sqref="O10:Q50" xr:uid="{00000000-0002-0000-0A00-000019000000}">
      <formula1>D10</formula1>
    </dataValidation>
    <dataValidation type="list" operator="equal" allowBlank="1" showInputMessage="1" showErrorMessage="1" errorTitle="Incorrect Value" error="Value may not be greater or less than &quot;Total Units&quot;" sqref="J10:J50" xr:uid="{00000000-0002-0000-0A00-00001A000000}">
      <formula1>IF(C10&gt;30%,COSRno,COSRyes)</formula1>
    </dataValidation>
    <dataValidation type="whole" operator="equal" allowBlank="1" showInputMessage="1" showErrorMessage="1" errorTitle="Invalid data" error="Must match total units for this row." promptTitle="Invalid data" sqref="AZ11:AZ50" xr:uid="{00000000-0002-0000-0A00-00001B000000}">
      <formula1>D11-SUM(BE11)</formula1>
    </dataValidation>
    <dataValidation type="whole" operator="equal" allowBlank="1" showInputMessage="1" showErrorMessage="1" sqref="BE10:BE50" xr:uid="{00000000-0002-0000-0A00-00001C000000}">
      <formula1>D10-SUM(AZ10)</formula1>
    </dataValidation>
    <dataValidation type="whole" operator="lessThanOrEqual" allowBlank="1" showInputMessage="1" showErrorMessage="1" errorTitle="Incorrect Value" error="Value may not be greater than &quot;Total Units&quot; minus program &quot;Assisted Units&quot;" sqref="AB10:AB50" xr:uid="{00000000-0002-0000-0A00-00001D000000}">
      <formula1>D10-MAX(F10,I10,K10)</formula1>
    </dataValidation>
    <dataValidation type="custom" showInputMessage="1" showErrorMessage="1" sqref="AT10:AT50" xr:uid="{00000000-0002-0000-0A00-00001E000000}">
      <formula1>AND(C10&lt;=30%,AT10&gt;=ROUNDDOWN(AS10/2,0))</formula1>
    </dataValidation>
    <dataValidation type="whole" operator="lessThanOrEqual" allowBlank="1" showInputMessage="1" showErrorMessage="1" errorTitle="Incorrect Value" error="Value may not be greater than &quot;Total Units&quot; minus program &quot;Assisted Units&quot;" sqref="AC10:AC50" xr:uid="{00000000-0002-0000-0A00-00001F000000}">
      <formula1>D10-MAX(F10,I10,K10)</formula1>
    </dataValidation>
    <dataValidation type="whole" operator="lessThanOrEqual" allowBlank="1" showInputMessage="1" showErrorMessage="1" errorTitle="Incorrect Value" error="Value may not be greater than &quot;Total Units&quot;" sqref="N10:N50" xr:uid="{00000000-0002-0000-0A00-000020000000}">
      <formula1>D10</formula1>
    </dataValidation>
    <dataValidation type="list" allowBlank="1" showInputMessage="1" showErrorMessage="1" sqref="B4" xr:uid="{00000000-0002-0000-0A00-000021000000}">
      <formula1>$A$1:$A$5</formula1>
    </dataValidation>
    <dataValidation type="whole" operator="equal" allowBlank="1" showInputMessage="1" showErrorMessage="1" errorTitle="Invalid data" error="Must match total units for this row." sqref="AZ10" xr:uid="{00000000-0002-0000-0A00-000022000000}">
      <formula1>D10-SUM(BE10)</formula1>
    </dataValidation>
    <dataValidation type="list" allowBlank="1" showInputMessage="1" showErrorMessage="1" sqref="E9:I9" xr:uid="{F57D17B9-5F68-46A9-AFEF-C819DD6EDD7B}">
      <formula1>"AHSC,CDBG-DR,HOME,HHC,IIG,FWHG,MHP,NHTF,NPLH,PLHA,SHMHP,TOD,VHHP"</formula1>
    </dataValidation>
    <dataValidation type="whole" operator="lessThanOrEqual" allowBlank="1" showInputMessage="1" showErrorMessage="1" sqref="F10:F50" xr:uid="{F71FEE15-014F-4A9C-9AE2-02D1CA6C8673}">
      <formula1>D10</formula1>
    </dataValidation>
    <dataValidation type="whole" operator="lessThanOrEqual" allowBlank="1" showInputMessage="1" showErrorMessage="1" sqref="G10:G50" xr:uid="{8E57B9ED-9272-4AAA-8A4D-1AC2F5A2A14F}">
      <formula1>D10</formula1>
    </dataValidation>
    <dataValidation type="whole" operator="lessThanOrEqual" allowBlank="1" showInputMessage="1" showErrorMessage="1" sqref="H10:H50" xr:uid="{9D1A4AEC-CF62-435F-B7FC-F58CB0658C73}">
      <formula1>D10</formula1>
    </dataValidation>
    <dataValidation type="whole" operator="lessThanOrEqual" allowBlank="1" showInputMessage="1" showErrorMessage="1" sqref="I10:I50" xr:uid="{A59E8615-097E-401C-89C9-30931CE55977}">
      <formula1>D10</formula1>
    </dataValidation>
    <dataValidation type="custom" allowBlank="1" showInputMessage="1" showErrorMessage="1" sqref="AR10:AR50" xr:uid="{B3EFBD35-870E-4A4D-B5A0-295D0B503BA6}">
      <formula1>OR( $B10="", AND(OR($C10="Manager",$C10="Market",$AQ10&gt;0),OR($AR10="",$AR10=0)), AND($C10&lt;&gt;"Manager",$C10&lt;&gt;"Market",OR($AQ10="",$AQ10=0)) )</formula1>
    </dataValidation>
    <dataValidation type="custom" allowBlank="1" showInputMessage="1" showErrorMessage="1" sqref="AQ10:AQ50" xr:uid="{A0AE168E-9EA6-48B7-8F81-A8F5D0F49490}">
      <formula1>OR( $B10="", AND(OR($C10="Manager",$C10="Market",$AR10&gt;0),OR($AQ10="",$AQ10=0)), AND($C10&lt;&gt;"Manager",$C10&lt;&gt;"Market",OR($AR10="",$AR10=0)) )</formula1>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13750" r:id="rId4" name="Button 54">
              <controlPr defaultSize="0" print="0" autoFill="0" autoPict="0" macro="[0]!ShowUnitMixSection">
                <anchor moveWithCells="1" sizeWithCells="1">
                  <from>
                    <xdr:col>47</xdr:col>
                    <xdr:colOff>85725</xdr:colOff>
                    <xdr:row>2</xdr:row>
                    <xdr:rowOff>85725</xdr:rowOff>
                  </from>
                  <to>
                    <xdr:col>47</xdr:col>
                    <xdr:colOff>704850</xdr:colOff>
                    <xdr:row>3</xdr:row>
                    <xdr:rowOff>142875</xdr:rowOff>
                  </to>
                </anchor>
              </controlPr>
            </control>
          </mc:Choice>
        </mc:AlternateContent>
      </controls>
    </mc:Choice>
  </mc:AlternateContent>
  <tableParts count="8">
    <tablePart r:id="rId5"/>
    <tablePart r:id="rId6"/>
    <tablePart r:id="rId7"/>
    <tablePart r:id="rId8"/>
    <tablePart r:id="rId9"/>
    <tablePart r:id="rId10"/>
    <tablePart r:id="rId11"/>
    <tablePart r:id="rId12"/>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A000000}">
          <x14:formula1>
            <xm:f>Dropdowns!$Q$7:$Q$22</xm:f>
          </x14:formula1>
          <xm:sqref>C10:C50</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OperatingBudget"/>
  <dimension ref="B2:AN161"/>
  <sheetViews>
    <sheetView showGridLines="0" zoomScaleNormal="100" zoomScaleSheetLayoutView="100" workbookViewId="0">
      <selection activeCell="E87" sqref="E87"/>
    </sheetView>
  </sheetViews>
  <sheetFormatPr defaultColWidth="9.28515625" defaultRowHeight="18" customHeight="1"/>
  <cols>
    <col min="1" max="1" width="8.7109375" style="17" customWidth="1"/>
    <col min="2" max="3" width="9.7109375" style="17" customWidth="1"/>
    <col min="4" max="4" width="53.7109375" style="17" bestFit="1" customWidth="1"/>
    <col min="5" max="6" width="13.7109375" style="17" customWidth="1"/>
    <col min="7" max="7" width="13.7109375" style="23" customWidth="1"/>
    <col min="8" max="8" width="37.5703125" style="17" customWidth="1"/>
    <col min="9" max="10" width="7.5703125" style="28" customWidth="1"/>
    <col min="11" max="11" width="6.7109375" style="28" customWidth="1"/>
    <col min="12" max="40" width="4.28515625" style="17" customWidth="1"/>
    <col min="41" max="41" width="9.28515625" style="17" customWidth="1"/>
    <col min="42" max="16384" width="9.28515625" style="17"/>
  </cols>
  <sheetData>
    <row r="2" spans="2:40">
      <c r="B2" s="2680" t="s">
        <v>1649</v>
      </c>
      <c r="C2" s="2435"/>
      <c r="D2" s="2435"/>
      <c r="E2" s="2435"/>
      <c r="F2" s="2435"/>
      <c r="G2" s="2677"/>
    </row>
    <row r="3" spans="2:40" ht="18" customHeight="1">
      <c r="B3" s="104"/>
      <c r="C3" s="104"/>
      <c r="D3" s="104"/>
      <c r="E3" s="104"/>
      <c r="F3" s="104"/>
      <c r="G3" s="104"/>
      <c r="H3" s="31"/>
      <c r="I3" s="217"/>
      <c r="J3" s="217"/>
      <c r="K3" s="31"/>
      <c r="L3" s="31"/>
      <c r="N3" s="31"/>
      <c r="O3" s="31"/>
      <c r="P3" s="31"/>
      <c r="Q3" s="31"/>
      <c r="R3" s="31"/>
      <c r="S3" s="31"/>
      <c r="T3" s="31"/>
      <c r="U3" s="31"/>
      <c r="V3" s="31"/>
      <c r="W3" s="31"/>
      <c r="X3" s="31"/>
      <c r="Y3" s="31"/>
      <c r="Z3" s="31"/>
      <c r="AA3" s="31"/>
      <c r="AB3" s="31"/>
      <c r="AC3" s="31"/>
      <c r="AD3" s="31"/>
      <c r="AE3" s="31"/>
      <c r="AF3" s="31"/>
      <c r="AG3" s="31"/>
      <c r="AH3" s="31"/>
      <c r="AI3" s="31"/>
      <c r="AJ3" s="31"/>
      <c r="AK3" s="31"/>
      <c r="AL3" s="31"/>
      <c r="AM3" s="31"/>
      <c r="AN3" s="31"/>
    </row>
    <row r="4" spans="2:40" ht="18" customHeight="1">
      <c r="B4" s="2676" t="s">
        <v>1650</v>
      </c>
      <c r="C4" s="2435"/>
      <c r="D4" s="2435"/>
      <c r="E4" s="2435"/>
      <c r="F4" s="2435"/>
      <c r="G4" s="2677"/>
      <c r="H4" s="32"/>
      <c r="I4" s="198"/>
      <c r="J4" s="198"/>
      <c r="K4" s="198"/>
      <c r="L4" s="32"/>
      <c r="M4" s="32"/>
      <c r="N4" s="32"/>
      <c r="O4" s="32"/>
      <c r="P4" s="32"/>
      <c r="Q4" s="32"/>
      <c r="R4" s="32"/>
      <c r="S4" s="32"/>
      <c r="T4" s="32"/>
      <c r="U4" s="32"/>
      <c r="V4" s="32"/>
      <c r="W4" s="32"/>
      <c r="X4" s="32"/>
      <c r="Y4" s="32"/>
      <c r="Z4" s="32"/>
      <c r="AA4" s="32"/>
      <c r="AB4" s="32"/>
      <c r="AC4" s="32"/>
      <c r="AD4" s="32"/>
      <c r="AE4" s="32"/>
      <c r="AF4" s="32"/>
      <c r="AG4" s="32"/>
      <c r="AH4" s="32"/>
      <c r="AI4" s="32"/>
      <c r="AJ4" s="111"/>
      <c r="AK4" s="111"/>
      <c r="AL4" s="111"/>
      <c r="AM4" s="111"/>
      <c r="AN4" s="111"/>
    </row>
    <row r="5" spans="2:40" ht="18" customHeight="1">
      <c r="B5" s="1692" t="s">
        <v>1651</v>
      </c>
      <c r="C5" s="1690" t="s">
        <v>1652</v>
      </c>
      <c r="D5" s="1690" t="s">
        <v>1653</v>
      </c>
      <c r="E5" s="1692" t="s">
        <v>1654</v>
      </c>
      <c r="F5" s="1692" t="s">
        <v>1655</v>
      </c>
      <c r="G5" s="2674" t="s">
        <v>1656</v>
      </c>
      <c r="H5" s="1877"/>
    </row>
    <row r="6" spans="2:40" ht="18" customHeight="1">
      <c r="B6" s="1280"/>
      <c r="C6" s="1281"/>
      <c r="D6" s="1282" t="s">
        <v>1657</v>
      </c>
      <c r="E6" s="799">
        <v>0</v>
      </c>
      <c r="F6" s="1283">
        <v>0</v>
      </c>
      <c r="G6" s="2678"/>
      <c r="H6" s="1862"/>
    </row>
    <row r="7" spans="2:40" ht="18" customHeight="1">
      <c r="B7" s="1687"/>
      <c r="C7" s="1284"/>
      <c r="D7" s="1756" t="s">
        <v>1658</v>
      </c>
      <c r="E7" s="1285">
        <v>0</v>
      </c>
      <c r="F7" s="1286">
        <v>0</v>
      </c>
      <c r="G7" s="2678"/>
      <c r="H7" s="1862"/>
    </row>
    <row r="8" spans="2:40" ht="18" customHeight="1">
      <c r="B8" s="1687"/>
      <c r="C8" s="1284"/>
      <c r="D8" s="1756" t="s">
        <v>1659</v>
      </c>
      <c r="E8" s="1285">
        <v>0</v>
      </c>
      <c r="F8" s="2672"/>
      <c r="G8" s="2678"/>
      <c r="H8" s="1862"/>
    </row>
    <row r="9" spans="2:40" ht="18" customHeight="1">
      <c r="B9" s="1687"/>
      <c r="C9" s="1284"/>
      <c r="D9" s="1756" t="s">
        <v>1660</v>
      </c>
      <c r="E9" s="1285">
        <v>0</v>
      </c>
      <c r="F9" s="2464"/>
      <c r="G9" s="2678"/>
      <c r="H9" s="1862"/>
    </row>
    <row r="10" spans="2:40" ht="18" customHeight="1">
      <c r="B10" s="1687"/>
      <c r="C10" s="1284"/>
      <c r="D10" s="1756" t="s">
        <v>1661</v>
      </c>
      <c r="E10" s="1285">
        <v>0</v>
      </c>
      <c r="F10" s="2465"/>
      <c r="G10" s="2678"/>
      <c r="H10" s="1862"/>
    </row>
    <row r="11" spans="2:40" ht="18" customHeight="1">
      <c r="B11" s="1687"/>
      <c r="C11" s="1284"/>
      <c r="D11" s="1756" t="s">
        <v>1662</v>
      </c>
      <c r="E11" s="1285">
        <v>0</v>
      </c>
      <c r="F11" s="1286">
        <v>0</v>
      </c>
      <c r="G11" s="2678"/>
      <c r="H11" s="1862"/>
    </row>
    <row r="12" spans="2:40" ht="18" customHeight="1">
      <c r="B12" s="1687"/>
      <c r="C12" s="1284"/>
      <c r="D12" s="1756" t="s">
        <v>1663</v>
      </c>
      <c r="E12" s="1285">
        <v>0</v>
      </c>
      <c r="F12" s="1286">
        <v>0</v>
      </c>
      <c r="G12" s="2678"/>
      <c r="H12" s="1862"/>
    </row>
    <row r="13" spans="2:40" ht="18" customHeight="1">
      <c r="B13" s="1687"/>
      <c r="C13" s="1284"/>
      <c r="D13" s="1756" t="s">
        <v>1664</v>
      </c>
      <c r="E13" s="1285">
        <v>0</v>
      </c>
      <c r="F13" s="1286">
        <v>0</v>
      </c>
      <c r="G13" s="2678"/>
      <c r="H13" s="1862"/>
    </row>
    <row r="14" spans="2:40" ht="18" customHeight="1">
      <c r="B14" s="1687"/>
      <c r="C14" s="1284"/>
      <c r="D14" s="1287" t="s">
        <v>1041</v>
      </c>
      <c r="E14" s="1286">
        <v>0</v>
      </c>
      <c r="F14" s="1286">
        <v>0</v>
      </c>
      <c r="G14" s="2678"/>
      <c r="H14" s="1862"/>
    </row>
    <row r="15" spans="2:40" ht="18" customHeight="1">
      <c r="B15" s="1288"/>
      <c r="C15" s="1289"/>
      <c r="D15" s="1290" t="s">
        <v>1041</v>
      </c>
      <c r="E15" s="1286">
        <v>0</v>
      </c>
      <c r="F15" s="1286">
        <v>0</v>
      </c>
      <c r="G15" s="2678"/>
      <c r="H15" s="1862"/>
    </row>
    <row r="16" spans="2:40" ht="18" customHeight="1">
      <c r="B16" s="2704" t="s">
        <v>1665</v>
      </c>
      <c r="C16" s="1778"/>
      <c r="D16" s="1291" t="s">
        <v>1666</v>
      </c>
      <c r="E16" s="194">
        <f>SUM($E$6:$E$15)</f>
        <v>0</v>
      </c>
      <c r="F16" s="1292">
        <f>SUM($F$6:$F$15)</f>
        <v>0</v>
      </c>
      <c r="G16" s="2694"/>
      <c r="H16" s="1953"/>
    </row>
    <row r="17" spans="2:16" ht="18" customHeight="1">
      <c r="B17" s="2690">
        <v>6711</v>
      </c>
      <c r="C17" s="1889"/>
      <c r="D17" s="1282" t="s">
        <v>1667</v>
      </c>
      <c r="E17" s="1293">
        <v>0</v>
      </c>
      <c r="F17" s="193"/>
      <c r="G17" s="2678"/>
      <c r="H17" s="1862"/>
    </row>
    <row r="18" spans="2:16" ht="18" customHeight="1">
      <c r="B18" s="2457">
        <v>6722</v>
      </c>
      <c r="C18" s="1770"/>
      <c r="D18" s="1756" t="s">
        <v>1668</v>
      </c>
      <c r="E18" s="1293">
        <v>0</v>
      </c>
      <c r="F18" s="193"/>
      <c r="G18" s="2678"/>
      <c r="H18" s="1862"/>
      <c r="I18" s="218"/>
      <c r="J18" s="218"/>
    </row>
    <row r="19" spans="2:16" ht="18" customHeight="1">
      <c r="B19" s="2675">
        <v>6723</v>
      </c>
      <c r="C19" s="1778"/>
      <c r="D19" s="1756" t="s">
        <v>1669</v>
      </c>
      <c r="E19" s="1293">
        <v>0</v>
      </c>
      <c r="F19" s="193"/>
      <c r="G19" s="2678"/>
      <c r="H19" s="1862"/>
      <c r="I19" s="218"/>
      <c r="J19" s="218"/>
    </row>
    <row r="20" spans="2:16" ht="18" customHeight="1">
      <c r="B20" s="2695" t="s">
        <v>1670</v>
      </c>
      <c r="C20" s="2435"/>
      <c r="D20" s="2435"/>
      <c r="E20" s="1294">
        <f>SUM($E$17:$E$19)</f>
        <v>0</v>
      </c>
      <c r="F20" s="193"/>
      <c r="G20" s="37"/>
    </row>
    <row r="21" spans="2:16" ht="18" customHeight="1">
      <c r="B21" s="2695" t="s">
        <v>1671</v>
      </c>
      <c r="C21" s="2435"/>
      <c r="D21" s="2435"/>
      <c r="E21" s="1294">
        <f>$E$20+$E$16</f>
        <v>0</v>
      </c>
      <c r="F21" s="193"/>
      <c r="G21" s="37"/>
    </row>
    <row r="22" spans="2:16" s="29" customFormat="1" ht="18" customHeight="1">
      <c r="B22" s="33"/>
      <c r="C22" s="33"/>
      <c r="D22" s="33"/>
      <c r="E22" s="51"/>
      <c r="F22" s="51"/>
      <c r="G22" s="51"/>
      <c r="I22" s="44"/>
      <c r="J22" s="44"/>
      <c r="K22" s="44"/>
    </row>
    <row r="23" spans="2:16" ht="18" customHeight="1">
      <c r="B23" s="2676" t="s">
        <v>1672</v>
      </c>
      <c r="C23" s="2435"/>
      <c r="D23" s="2435"/>
      <c r="E23" s="2435"/>
      <c r="F23" s="2435"/>
      <c r="G23" s="2677"/>
    </row>
    <row r="24" spans="2:16" ht="18.75" customHeight="1">
      <c r="B24" s="2696" t="s">
        <v>1673</v>
      </c>
      <c r="C24" s="1877"/>
      <c r="D24" s="1690" t="s">
        <v>1674</v>
      </c>
      <c r="E24" s="1692" t="s">
        <v>1640</v>
      </c>
      <c r="F24" s="1692" t="s">
        <v>1675</v>
      </c>
      <c r="G24" s="2674" t="s">
        <v>1656</v>
      </c>
      <c r="H24" s="1877"/>
      <c r="L24" s="508" t="s">
        <v>1673</v>
      </c>
      <c r="M24" s="509" t="s">
        <v>1674</v>
      </c>
      <c r="N24" s="513"/>
      <c r="O24" s="511"/>
      <c r="P24" s="511"/>
    </row>
    <row r="25" spans="2:16" ht="18" customHeight="1">
      <c r="B25" s="2698"/>
      <c r="C25" s="1862"/>
      <c r="D25" s="1295"/>
      <c r="E25" s="1280"/>
      <c r="F25" s="1296"/>
      <c r="G25" s="2678"/>
      <c r="H25" s="1862"/>
      <c r="L25" s="514">
        <v>0.6</v>
      </c>
      <c r="M25" s="513" t="s">
        <v>1657</v>
      </c>
      <c r="N25" s="513"/>
      <c r="O25" s="511"/>
      <c r="P25" s="511"/>
    </row>
    <row r="26" spans="2:16" ht="18" customHeight="1">
      <c r="B26" s="2698"/>
      <c r="C26" s="1862"/>
      <c r="D26" s="1297"/>
      <c r="E26" s="1687"/>
      <c r="F26" s="1298"/>
      <c r="G26" s="2678"/>
      <c r="H26" s="1862"/>
      <c r="L26" s="514">
        <v>0.55000000000000004</v>
      </c>
      <c r="M26" s="513" t="s">
        <v>1658</v>
      </c>
      <c r="N26" s="513"/>
      <c r="O26" s="511"/>
      <c r="P26" s="511"/>
    </row>
    <row r="27" spans="2:16" ht="18" customHeight="1">
      <c r="B27" s="2698"/>
      <c r="C27" s="1862"/>
      <c r="D27" s="1297"/>
      <c r="E27" s="1687"/>
      <c r="F27" s="1298"/>
      <c r="G27" s="2678"/>
      <c r="H27" s="1862"/>
      <c r="L27" s="514">
        <v>0.5</v>
      </c>
      <c r="M27" s="513" t="s">
        <v>1662</v>
      </c>
      <c r="N27" s="513"/>
      <c r="O27" s="511"/>
      <c r="P27" s="511"/>
    </row>
    <row r="28" spans="2:16" ht="18" customHeight="1">
      <c r="B28" s="2691" t="s">
        <v>1676</v>
      </c>
      <c r="C28" s="2435"/>
      <c r="D28" s="2435"/>
      <c r="E28" s="2435"/>
      <c r="F28" s="1299">
        <f>SUM($F$25:$F$27)</f>
        <v>0</v>
      </c>
      <c r="G28" s="37"/>
      <c r="L28" s="510" t="s">
        <v>140</v>
      </c>
      <c r="M28" s="513" t="s">
        <v>1663</v>
      </c>
      <c r="N28" s="513"/>
      <c r="O28" s="511"/>
      <c r="P28" s="511"/>
    </row>
    <row r="29" spans="2:16" ht="18" customHeight="1">
      <c r="B29" s="34"/>
      <c r="C29" s="34"/>
      <c r="D29" s="34"/>
      <c r="E29" s="34"/>
      <c r="F29" s="34"/>
      <c r="G29" s="106"/>
      <c r="M29" s="513" t="s">
        <v>1664</v>
      </c>
      <c r="N29" s="513"/>
      <c r="O29" s="511"/>
      <c r="P29" s="511"/>
    </row>
    <row r="30" spans="2:16" ht="18" customHeight="1">
      <c r="B30" s="2676" t="s">
        <v>1677</v>
      </c>
      <c r="C30" s="2435"/>
      <c r="D30" s="2435"/>
      <c r="E30" s="2435"/>
      <c r="F30" s="2435"/>
      <c r="G30" s="2677"/>
      <c r="K30" s="510" t="s">
        <v>117</v>
      </c>
      <c r="L30" s="511"/>
      <c r="M30" s="513" t="s">
        <v>1678</v>
      </c>
      <c r="N30" s="513"/>
      <c r="O30" s="511"/>
      <c r="P30" s="511"/>
    </row>
    <row r="31" spans="2:16" ht="18" customHeight="1">
      <c r="B31" s="2693" t="s">
        <v>1665</v>
      </c>
      <c r="C31" s="1877"/>
      <c r="D31" s="1300" t="s">
        <v>1679</v>
      </c>
      <c r="E31" s="1301" t="s">
        <v>1680</v>
      </c>
      <c r="F31" s="1690" t="s">
        <v>1681</v>
      </c>
      <c r="G31" s="2674" t="s">
        <v>1656</v>
      </c>
      <c r="H31" s="1877"/>
      <c r="L31" s="512"/>
      <c r="M31" s="513"/>
      <c r="N31" s="513"/>
      <c r="O31" s="511"/>
      <c r="P31" s="511"/>
    </row>
    <row r="32" spans="2:16" ht="18" customHeight="1">
      <c r="B32" s="2692" t="s">
        <v>1682</v>
      </c>
      <c r="C32" s="1889"/>
      <c r="D32" s="199" t="s">
        <v>1683</v>
      </c>
      <c r="E32" s="1302"/>
      <c r="F32" s="1303">
        <v>0</v>
      </c>
      <c r="G32" s="2678"/>
      <c r="H32" s="1862"/>
    </row>
    <row r="33" spans="2:10" ht="18" customHeight="1">
      <c r="B33" s="1920"/>
      <c r="C33" s="1889"/>
      <c r="D33" s="199" t="s">
        <v>1684</v>
      </c>
      <c r="E33" s="1294">
        <f>'Cash Flow'!$L$5</f>
        <v>0</v>
      </c>
      <c r="F33" s="2679"/>
      <c r="G33" s="2678"/>
      <c r="H33" s="1862"/>
      <c r="I33" s="1669"/>
      <c r="J33" s="1669"/>
    </row>
    <row r="34" spans="2:10" ht="18" customHeight="1">
      <c r="B34" s="1920"/>
      <c r="C34" s="1889"/>
      <c r="D34" s="199" t="s">
        <v>1685</v>
      </c>
      <c r="E34" s="1294">
        <f>'Cash Flow'!$L$6</f>
        <v>0</v>
      </c>
      <c r="F34" s="2464"/>
      <c r="G34" s="2678"/>
      <c r="H34" s="1862"/>
      <c r="I34" s="1669"/>
      <c r="J34" s="1669"/>
    </row>
    <row r="35" spans="2:10" ht="18" customHeight="1">
      <c r="B35" s="2479"/>
      <c r="C35" s="1772"/>
      <c r="D35" s="801" t="s">
        <v>1686</v>
      </c>
      <c r="E35" s="1294">
        <f>'Cash Flow'!$L$7</f>
        <v>0</v>
      </c>
      <c r="F35" s="2465"/>
      <c r="G35" s="2678"/>
      <c r="H35" s="1862"/>
    </row>
    <row r="36" spans="2:10" ht="18" customHeight="1">
      <c r="B36" s="2675">
        <v>5121</v>
      </c>
      <c r="C36" s="1770"/>
      <c r="D36" s="2683" t="s">
        <v>1687</v>
      </c>
      <c r="E36" s="1953"/>
      <c r="F36" s="1953"/>
      <c r="G36" s="1953"/>
      <c r="H36" s="1953"/>
    </row>
    <row r="37" spans="2:10" ht="18" customHeight="1">
      <c r="B37" s="1920"/>
      <c r="C37" s="1889"/>
      <c r="D37" s="190" t="str">
        <f>IF('Unit Mix'!$AW$7&gt;0,'Unit Mix'!$AW$7,"")</f>
        <v/>
      </c>
      <c r="E37" s="1294">
        <f>IF('Unit Mix'!BA8&gt;0,'Unit Mix'!BA8*12,0)</f>
        <v>0</v>
      </c>
      <c r="F37" s="2682"/>
      <c r="G37" s="2678"/>
      <c r="H37" s="1862"/>
      <c r="J37" s="44"/>
    </row>
    <row r="38" spans="2:10" ht="18" customHeight="1">
      <c r="B38" s="1920"/>
      <c r="C38" s="1889"/>
      <c r="D38" s="190" t="str">
        <f>IF('Unit Mix'!$BB$7&gt;0,'Unit Mix'!$BB$7,"")</f>
        <v/>
      </c>
      <c r="E38" s="1294">
        <f>IF('Unit Mix'!BF8&gt;0,'Unit Mix'!BF8*12,0)</f>
        <v>0</v>
      </c>
      <c r="F38" s="2464"/>
      <c r="G38" s="2678"/>
      <c r="H38" s="1862"/>
    </row>
    <row r="39" spans="2:10" ht="18" customHeight="1">
      <c r="B39" s="1920"/>
      <c r="C39" s="1889"/>
      <c r="D39" s="1304" t="s">
        <v>1688</v>
      </c>
      <c r="E39" s="1293">
        <v>0</v>
      </c>
      <c r="F39" s="2465"/>
      <c r="G39" s="2678"/>
      <c r="H39" s="1862"/>
    </row>
    <row r="40" spans="2:10" ht="18" customHeight="1">
      <c r="B40" s="2479"/>
      <c r="C40" s="1772"/>
      <c r="D40" s="1287" t="s">
        <v>1182</v>
      </c>
      <c r="E40" s="1293">
        <v>0</v>
      </c>
      <c r="F40" s="1293">
        <v>0</v>
      </c>
      <c r="G40" s="2678"/>
      <c r="H40" s="1862"/>
    </row>
    <row r="41" spans="2:10" ht="18" customHeight="1">
      <c r="B41" s="800"/>
      <c r="C41" s="1471"/>
      <c r="D41" s="1287" t="s">
        <v>1182</v>
      </c>
      <c r="E41" s="1293">
        <v>0</v>
      </c>
      <c r="F41" s="1293">
        <v>0</v>
      </c>
      <c r="G41" s="2678"/>
      <c r="H41" s="1862"/>
    </row>
    <row r="42" spans="2:10" ht="18" customHeight="1">
      <c r="B42" s="2675">
        <v>5910</v>
      </c>
      <c r="C42" s="1778"/>
      <c r="D42" s="1756" t="s">
        <v>1689</v>
      </c>
      <c r="E42" s="1305">
        <v>0</v>
      </c>
      <c r="F42" s="1306"/>
      <c r="G42" s="2678"/>
      <c r="H42" s="1862"/>
    </row>
    <row r="43" spans="2:10" ht="18" customHeight="1">
      <c r="B43" s="2675">
        <v>5170</v>
      </c>
      <c r="C43" s="1778"/>
      <c r="D43" s="1756" t="s">
        <v>1690</v>
      </c>
      <c r="E43" s="1305">
        <v>0</v>
      </c>
      <c r="F43" s="1305">
        <v>0</v>
      </c>
      <c r="G43" s="2678"/>
      <c r="H43" s="1862"/>
    </row>
    <row r="44" spans="2:10" ht="18" customHeight="1">
      <c r="B44" s="2675">
        <v>5990</v>
      </c>
      <c r="C44" s="1778"/>
      <c r="D44" s="1756" t="s">
        <v>1691</v>
      </c>
      <c r="E44" s="1293">
        <v>0</v>
      </c>
      <c r="F44" s="1293">
        <v>0</v>
      </c>
      <c r="G44" s="2678"/>
      <c r="H44" s="1862"/>
    </row>
    <row r="45" spans="2:10" ht="18" customHeight="1">
      <c r="B45" s="2703" t="s">
        <v>1692</v>
      </c>
      <c r="C45" s="1777"/>
      <c r="D45" s="1778"/>
      <c r="E45" s="1292">
        <f>SUM(E32:E44)</f>
        <v>0</v>
      </c>
      <c r="F45" s="1307">
        <f>SUM($F$32:$F$44)</f>
        <v>0</v>
      </c>
      <c r="G45" s="2678"/>
      <c r="H45" s="1862"/>
    </row>
    <row r="46" spans="2:10" ht="18" customHeight="1">
      <c r="B46" s="2675" t="s">
        <v>1693</v>
      </c>
      <c r="C46" s="1770"/>
      <c r="D46" s="1756" t="s">
        <v>1694</v>
      </c>
      <c r="E46" s="1308">
        <v>0.05</v>
      </c>
      <c r="F46" s="2697"/>
      <c r="G46" s="2678"/>
      <c r="H46" s="1862"/>
    </row>
    <row r="47" spans="2:10" ht="18" customHeight="1">
      <c r="B47" s="1920"/>
      <c r="C47" s="1889"/>
      <c r="D47" s="1756" t="s">
        <v>1695</v>
      </c>
      <c r="E47" s="1308">
        <v>0.05</v>
      </c>
      <c r="F47" s="2464"/>
      <c r="G47" s="2678"/>
      <c r="H47" s="1862"/>
    </row>
    <row r="48" spans="2:10" ht="18" customHeight="1">
      <c r="B48" s="1920"/>
      <c r="C48" s="1889"/>
      <c r="D48" s="1756" t="s">
        <v>1696</v>
      </c>
      <c r="E48" s="1308">
        <v>0.05</v>
      </c>
      <c r="F48" s="2464"/>
      <c r="G48" s="2678"/>
      <c r="H48" s="1862"/>
    </row>
    <row r="49" spans="2:8" ht="18" customHeight="1">
      <c r="B49" s="1920"/>
      <c r="C49" s="1889"/>
      <c r="D49" s="1756" t="s">
        <v>1697</v>
      </c>
      <c r="E49" s="1308">
        <v>0.05</v>
      </c>
      <c r="F49" s="2464"/>
      <c r="G49" s="2678"/>
      <c r="H49" s="1862"/>
    </row>
    <row r="50" spans="2:8" ht="18" customHeight="1">
      <c r="B50" s="1920"/>
      <c r="C50" s="1889"/>
      <c r="D50" s="1309" t="s">
        <v>1698</v>
      </c>
      <c r="E50" s="1308">
        <v>0.05</v>
      </c>
      <c r="F50" s="2464"/>
      <c r="G50" s="2678"/>
      <c r="H50" s="1862"/>
    </row>
    <row r="51" spans="2:8" ht="18" customHeight="1">
      <c r="B51" s="1920"/>
      <c r="C51" s="1889"/>
      <c r="D51" s="1756" t="s">
        <v>1699</v>
      </c>
      <c r="E51" s="1308">
        <v>0.05</v>
      </c>
      <c r="F51" s="2465"/>
      <c r="G51" s="2678"/>
      <c r="H51" s="1862"/>
    </row>
    <row r="52" spans="2:8" ht="18" customHeight="1">
      <c r="B52" s="1920"/>
      <c r="C52" s="1889"/>
      <c r="D52" s="1310" t="s">
        <v>1700</v>
      </c>
      <c r="E52" s="257"/>
      <c r="F52" s="1308">
        <v>0.5</v>
      </c>
      <c r="G52" s="2678"/>
      <c r="H52" s="1862"/>
    </row>
    <row r="53" spans="2:8" ht="18" customHeight="1">
      <c r="B53" s="2479"/>
      <c r="C53" s="1772"/>
      <c r="D53" s="1756" t="s">
        <v>1701</v>
      </c>
      <c r="E53" s="1292">
        <f>($E$33*$E$46)+($E$35*$E$48)+(($E$37+$E$38+E39)*$E$49)+($E$40*$E$50)+(($E$42+$E$43+$E$44)*$E$51)</f>
        <v>0</v>
      </c>
      <c r="F53" s="1311">
        <f>+$F$45*$F$52</f>
        <v>0</v>
      </c>
      <c r="G53" s="2678"/>
      <c r="H53" s="1862"/>
    </row>
    <row r="54" spans="2:8" ht="18" customHeight="1">
      <c r="B54" s="2691" t="s">
        <v>1702</v>
      </c>
      <c r="C54" s="2435"/>
      <c r="D54" s="2435"/>
      <c r="E54" s="1312">
        <f>+$E$45-$E$53</f>
        <v>0</v>
      </c>
      <c r="F54" s="1313">
        <f>+$F$45-$F$53</f>
        <v>0</v>
      </c>
      <c r="G54" s="501"/>
      <c r="H54" s="195"/>
    </row>
    <row r="55" spans="2:8" ht="18" customHeight="1">
      <c r="B55" s="112"/>
      <c r="C55" s="112"/>
      <c r="D55" s="112"/>
      <c r="E55" s="113"/>
      <c r="F55" s="113"/>
      <c r="G55" s="114"/>
      <c r="H55" s="18"/>
    </row>
    <row r="56" spans="2:8" ht="18" customHeight="1">
      <c r="B56" s="2693" t="s">
        <v>1665</v>
      </c>
      <c r="C56" s="1877"/>
      <c r="D56" s="1300" t="s">
        <v>1703</v>
      </c>
      <c r="E56" s="1301" t="s">
        <v>1680</v>
      </c>
      <c r="F56" s="1690" t="s">
        <v>1681</v>
      </c>
      <c r="G56" s="2673" t="s">
        <v>1656</v>
      </c>
      <c r="H56" s="2435"/>
    </row>
    <row r="57" spans="2:8" ht="18" customHeight="1">
      <c r="B57" s="2675">
        <v>6203</v>
      </c>
      <c r="C57" s="1778"/>
      <c r="D57" s="1304" t="s">
        <v>1704</v>
      </c>
      <c r="E57" s="1285">
        <v>0</v>
      </c>
      <c r="F57" s="1293">
        <v>0</v>
      </c>
      <c r="G57" s="2678"/>
      <c r="H57" s="1862"/>
    </row>
    <row r="58" spans="2:8" ht="18" customHeight="1">
      <c r="B58" s="2675">
        <v>6210</v>
      </c>
      <c r="C58" s="1778"/>
      <c r="D58" s="1304" t="s">
        <v>1705</v>
      </c>
      <c r="E58" s="1285">
        <v>0</v>
      </c>
      <c r="F58" s="1293">
        <v>0</v>
      </c>
      <c r="G58" s="2678"/>
      <c r="H58" s="1862"/>
    </row>
    <row r="59" spans="2:8" ht="18" customHeight="1">
      <c r="B59" s="2675">
        <v>6250</v>
      </c>
      <c r="C59" s="1778"/>
      <c r="D59" s="1304" t="s">
        <v>1706</v>
      </c>
      <c r="E59" s="1285">
        <v>0</v>
      </c>
      <c r="F59" s="1293">
        <v>0</v>
      </c>
      <c r="G59" s="2678"/>
      <c r="H59" s="1862"/>
    </row>
    <row r="60" spans="2:8" ht="18" customHeight="1">
      <c r="B60" s="2675">
        <v>6310</v>
      </c>
      <c r="C60" s="1778"/>
      <c r="D60" s="1304" t="s">
        <v>1707</v>
      </c>
      <c r="E60" s="1314">
        <f>+$E$12</f>
        <v>0</v>
      </c>
      <c r="F60" s="1293">
        <v>0</v>
      </c>
      <c r="G60" s="2678"/>
      <c r="H60" s="1862"/>
    </row>
    <row r="61" spans="2:8" ht="18" customHeight="1">
      <c r="B61" s="2675">
        <v>6311</v>
      </c>
      <c r="C61" s="1778"/>
      <c r="D61" s="1304" t="s">
        <v>1708</v>
      </c>
      <c r="E61" s="1285">
        <v>0</v>
      </c>
      <c r="F61" s="1293">
        <v>0</v>
      </c>
      <c r="G61" s="2678"/>
      <c r="H61" s="1862"/>
    </row>
    <row r="62" spans="2:8" ht="18" customHeight="1">
      <c r="B62" s="2675">
        <v>6312</v>
      </c>
      <c r="C62" s="1778"/>
      <c r="D62" s="1304" t="s">
        <v>1709</v>
      </c>
      <c r="E62" s="1285">
        <v>0</v>
      </c>
      <c r="F62" s="1293">
        <v>0</v>
      </c>
      <c r="G62" s="2678"/>
      <c r="H62" s="1862"/>
    </row>
    <row r="63" spans="2:8" ht="18" customHeight="1">
      <c r="B63" s="2675">
        <v>6320</v>
      </c>
      <c r="C63" s="1778"/>
      <c r="D63" s="1304" t="s">
        <v>1710</v>
      </c>
      <c r="E63" s="1285">
        <v>0</v>
      </c>
      <c r="F63" s="1293">
        <v>0</v>
      </c>
      <c r="G63" s="2678"/>
      <c r="H63" s="1862"/>
    </row>
    <row r="64" spans="2:8" ht="18" customHeight="1">
      <c r="B64" s="2675">
        <v>6330</v>
      </c>
      <c r="C64" s="1778"/>
      <c r="D64" s="1304" t="s">
        <v>1711</v>
      </c>
      <c r="E64" s="1314">
        <f>+$E$6+$E$7</f>
        <v>0</v>
      </c>
      <c r="F64" s="1293">
        <v>0</v>
      </c>
      <c r="G64" s="2678"/>
      <c r="H64" s="1862"/>
    </row>
    <row r="65" spans="2:8" ht="18" customHeight="1">
      <c r="B65" s="2675">
        <v>6331</v>
      </c>
      <c r="C65" s="1778"/>
      <c r="D65" s="1304" t="s">
        <v>1712</v>
      </c>
      <c r="E65" s="1314">
        <f>IF($B$12=1,+$F$6+$F$7+$F$12,0)</f>
        <v>0</v>
      </c>
      <c r="F65" s="1293">
        <v>0</v>
      </c>
      <c r="G65" s="2678"/>
      <c r="H65" s="1862"/>
    </row>
    <row r="66" spans="2:8" ht="18" customHeight="1">
      <c r="B66" s="2675">
        <v>6340</v>
      </c>
      <c r="C66" s="1778"/>
      <c r="D66" s="1304" t="s">
        <v>1713</v>
      </c>
      <c r="E66" s="1285">
        <v>0</v>
      </c>
      <c r="F66" s="1293">
        <v>0</v>
      </c>
      <c r="G66" s="2678"/>
      <c r="H66" s="1862"/>
    </row>
    <row r="67" spans="2:8" ht="18" customHeight="1">
      <c r="B67" s="2675">
        <v>6350</v>
      </c>
      <c r="C67" s="1778"/>
      <c r="D67" s="1304" t="s">
        <v>1714</v>
      </c>
      <c r="E67" s="1285">
        <v>0</v>
      </c>
      <c r="F67" s="1293">
        <v>0</v>
      </c>
      <c r="G67" s="2678"/>
      <c r="H67" s="1862"/>
    </row>
    <row r="68" spans="2:8" ht="18" customHeight="1">
      <c r="B68" s="2675">
        <v>6351</v>
      </c>
      <c r="C68" s="1778"/>
      <c r="D68" s="1304" t="s">
        <v>1715</v>
      </c>
      <c r="E68" s="1285">
        <v>0</v>
      </c>
      <c r="F68" s="1293">
        <v>0</v>
      </c>
      <c r="G68" s="2678"/>
      <c r="H68" s="1862"/>
    </row>
    <row r="69" spans="2:8" ht="18" customHeight="1">
      <c r="B69" s="2457">
        <v>6390</v>
      </c>
      <c r="C69" s="1770"/>
      <c r="D69" s="484" t="s">
        <v>1716</v>
      </c>
      <c r="E69" s="1285">
        <v>0</v>
      </c>
      <c r="F69" s="1293">
        <v>0</v>
      </c>
      <c r="G69" s="2678"/>
      <c r="H69" s="1862"/>
    </row>
    <row r="70" spans="2:8" ht="18" customHeight="1">
      <c r="B70" s="2675" t="s">
        <v>1717</v>
      </c>
      <c r="C70" s="1778"/>
      <c r="D70" s="1291" t="s">
        <v>1718</v>
      </c>
      <c r="E70" s="1292">
        <f>SUM($E$57:$E$69)</f>
        <v>0</v>
      </c>
      <c r="F70" s="1292">
        <f>SUM($F$57:$F$69)</f>
        <v>0</v>
      </c>
      <c r="G70" s="200"/>
      <c r="H70" s="18"/>
    </row>
    <row r="71" spans="2:8" ht="18" customHeight="1">
      <c r="B71" s="28"/>
      <c r="C71" s="28"/>
      <c r="D71" s="1754"/>
      <c r="E71" s="194"/>
      <c r="F71" s="194"/>
      <c r="G71" s="27"/>
      <c r="H71" s="18"/>
    </row>
    <row r="72" spans="2:8" ht="18" customHeight="1">
      <c r="B72" s="2439"/>
      <c r="C72" s="2435"/>
      <c r="D72" s="196" t="s">
        <v>1719</v>
      </c>
      <c r="E72" s="197" t="s">
        <v>1680</v>
      </c>
      <c r="F72" s="198" t="s">
        <v>1681</v>
      </c>
      <c r="G72" s="2673" t="s">
        <v>1656</v>
      </c>
      <c r="H72" s="2435"/>
    </row>
    <row r="73" spans="2:8" ht="18" customHeight="1">
      <c r="B73" s="2675">
        <v>6450</v>
      </c>
      <c r="C73" s="1778"/>
      <c r="D73" s="1304" t="s">
        <v>323</v>
      </c>
      <c r="E73" s="1286">
        <v>0</v>
      </c>
      <c r="F73" s="1293">
        <v>0</v>
      </c>
      <c r="G73" s="2678"/>
      <c r="H73" s="1862"/>
    </row>
    <row r="74" spans="2:8" ht="18" customHeight="1">
      <c r="B74" s="2675">
        <v>6451</v>
      </c>
      <c r="C74" s="1778"/>
      <c r="D74" s="1304" t="s">
        <v>983</v>
      </c>
      <c r="E74" s="1286">
        <v>0</v>
      </c>
      <c r="F74" s="1293">
        <v>0</v>
      </c>
      <c r="G74" s="2678"/>
      <c r="H74" s="1862"/>
    </row>
    <row r="75" spans="2:8" ht="18" customHeight="1">
      <c r="B75" s="2675">
        <v>6452</v>
      </c>
      <c r="C75" s="1778"/>
      <c r="D75" s="1304" t="s">
        <v>319</v>
      </c>
      <c r="E75" s="1286">
        <v>0</v>
      </c>
      <c r="F75" s="1293">
        <v>0</v>
      </c>
      <c r="G75" s="2678"/>
      <c r="H75" s="1862"/>
    </row>
    <row r="76" spans="2:8" ht="18" customHeight="1">
      <c r="B76" s="2675">
        <v>6453</v>
      </c>
      <c r="C76" s="1778"/>
      <c r="D76" s="1304" t="s">
        <v>984</v>
      </c>
      <c r="E76" s="1286">
        <v>0</v>
      </c>
      <c r="F76" s="1293">
        <v>0</v>
      </c>
      <c r="G76" s="2678"/>
      <c r="H76" s="1862"/>
    </row>
    <row r="77" spans="2:8" ht="18" customHeight="1">
      <c r="B77" s="2675"/>
      <c r="C77" s="1778"/>
      <c r="D77" s="133" t="s">
        <v>1720</v>
      </c>
      <c r="E77" s="1315">
        <v>0</v>
      </c>
      <c r="F77" s="1316">
        <v>0</v>
      </c>
      <c r="G77" s="2678"/>
      <c r="H77" s="1862"/>
    </row>
    <row r="78" spans="2:8" ht="18" customHeight="1">
      <c r="B78" s="2675" t="s">
        <v>1721</v>
      </c>
      <c r="C78" s="1778"/>
      <c r="D78" s="1291" t="s">
        <v>1722</v>
      </c>
      <c r="E78" s="1292">
        <f>SUM($E$73:$E$77)</f>
        <v>0</v>
      </c>
      <c r="F78" s="1294">
        <f>SUM($F$73:$F$77)</f>
        <v>0</v>
      </c>
      <c r="G78" s="37"/>
      <c r="H78" s="18"/>
    </row>
    <row r="79" spans="2:8" ht="18" customHeight="1">
      <c r="B79" s="28"/>
      <c r="C79" s="28"/>
      <c r="D79" s="1689"/>
      <c r="E79" s="194"/>
      <c r="F79" s="201"/>
      <c r="G79" s="37"/>
      <c r="H79" s="18"/>
    </row>
    <row r="80" spans="2:8" ht="18" customHeight="1">
      <c r="B80" s="2687"/>
      <c r="C80" s="1877"/>
      <c r="D80" s="1300" t="s">
        <v>1723</v>
      </c>
      <c r="E80" s="1301" t="s">
        <v>1680</v>
      </c>
      <c r="F80" s="1690" t="s">
        <v>1681</v>
      </c>
      <c r="G80" s="2673" t="s">
        <v>1656</v>
      </c>
      <c r="H80" s="2435"/>
    </row>
    <row r="81" spans="2:8" ht="18" customHeight="1">
      <c r="B81" s="2692">
        <v>6510</v>
      </c>
      <c r="C81" s="1772"/>
      <c r="D81" s="1282" t="s">
        <v>1724</v>
      </c>
      <c r="E81" s="1302">
        <f>$E$11+$E$13+$E$14+$E$15</f>
        <v>0</v>
      </c>
      <c r="F81" s="802">
        <v>0</v>
      </c>
      <c r="G81" s="2678"/>
      <c r="H81" s="1862"/>
    </row>
    <row r="82" spans="2:8" ht="18" customHeight="1">
      <c r="B82" s="2675">
        <v>6515</v>
      </c>
      <c r="C82" s="1778"/>
      <c r="D82" s="1756" t="s">
        <v>1725</v>
      </c>
      <c r="E82" s="1286">
        <v>0</v>
      </c>
      <c r="F82" s="1317">
        <v>0</v>
      </c>
      <c r="G82" s="2678"/>
      <c r="H82" s="1862"/>
    </row>
    <row r="83" spans="2:8" ht="18" customHeight="1">
      <c r="B83" s="2675">
        <v>6520</v>
      </c>
      <c r="C83" s="1778"/>
      <c r="D83" s="1756" t="s">
        <v>1726</v>
      </c>
      <c r="E83" s="1286">
        <v>0</v>
      </c>
      <c r="F83" s="1317">
        <v>0</v>
      </c>
      <c r="G83" s="2678"/>
      <c r="H83" s="1862"/>
    </row>
    <row r="84" spans="2:8" ht="18" customHeight="1">
      <c r="B84" s="2675">
        <v>6521</v>
      </c>
      <c r="C84" s="1778"/>
      <c r="D84" s="1756" t="s">
        <v>1727</v>
      </c>
      <c r="E84" s="1292">
        <f>IF($B$11=1,+$F$11+$F$14+$F$15,0)</f>
        <v>0</v>
      </c>
      <c r="F84" s="1317">
        <v>0</v>
      </c>
      <c r="G84" s="2678"/>
      <c r="H84" s="1862"/>
    </row>
    <row r="85" spans="2:8" ht="18" customHeight="1">
      <c r="B85" s="2675">
        <v>6525</v>
      </c>
      <c r="C85" s="1778"/>
      <c r="D85" s="1756" t="s">
        <v>1728</v>
      </c>
      <c r="E85" s="1286">
        <v>0</v>
      </c>
      <c r="F85" s="1317">
        <v>0</v>
      </c>
      <c r="G85" s="2678"/>
      <c r="H85" s="1862"/>
    </row>
    <row r="86" spans="2:8" ht="18" customHeight="1">
      <c r="B86" s="2675">
        <v>6530</v>
      </c>
      <c r="C86" s="1778"/>
      <c r="D86" s="1756" t="s">
        <v>1729</v>
      </c>
      <c r="E86" s="1286">
        <v>0</v>
      </c>
      <c r="F86" s="1317">
        <v>0</v>
      </c>
      <c r="G86" s="2678"/>
      <c r="H86" s="1862"/>
    </row>
    <row r="87" spans="2:8" ht="18" customHeight="1">
      <c r="B87" s="2675">
        <v>6531</v>
      </c>
      <c r="C87" s="1778"/>
      <c r="D87" s="1756" t="s">
        <v>1730</v>
      </c>
      <c r="E87" s="1292">
        <f>IF($B$13=1,+$F$13,0)</f>
        <v>0</v>
      </c>
      <c r="F87" s="1317">
        <v>0</v>
      </c>
      <c r="G87" s="2678"/>
      <c r="H87" s="1862"/>
    </row>
    <row r="88" spans="2:8" ht="18" customHeight="1">
      <c r="B88" s="2675">
        <v>6546</v>
      </c>
      <c r="C88" s="1778"/>
      <c r="D88" s="1756" t="s">
        <v>1731</v>
      </c>
      <c r="E88" s="1286">
        <v>0</v>
      </c>
      <c r="F88" s="1317">
        <v>0</v>
      </c>
      <c r="G88" s="2678"/>
      <c r="H88" s="1862"/>
    </row>
    <row r="89" spans="2:8" ht="18" customHeight="1">
      <c r="B89" s="2675">
        <v>6548</v>
      </c>
      <c r="C89" s="1778"/>
      <c r="D89" s="1756" t="s">
        <v>1732</v>
      </c>
      <c r="E89" s="1286">
        <v>0</v>
      </c>
      <c r="F89" s="1317">
        <v>0</v>
      </c>
      <c r="G89" s="2678"/>
      <c r="H89" s="1862"/>
    </row>
    <row r="90" spans="2:8" ht="18" customHeight="1">
      <c r="B90" s="2675">
        <v>6570</v>
      </c>
      <c r="C90" s="1778"/>
      <c r="D90" s="1756" t="s">
        <v>1733</v>
      </c>
      <c r="E90" s="1286">
        <v>0</v>
      </c>
      <c r="F90" s="1317">
        <v>0</v>
      </c>
      <c r="G90" s="2678"/>
      <c r="H90" s="1862"/>
    </row>
    <row r="91" spans="2:8" ht="18" customHeight="1">
      <c r="B91" s="2675">
        <v>6590</v>
      </c>
      <c r="C91" s="1778"/>
      <c r="D91" s="1756" t="s">
        <v>1734</v>
      </c>
      <c r="E91" s="1286">
        <v>0</v>
      </c>
      <c r="F91" s="1317">
        <v>0</v>
      </c>
      <c r="G91" s="2678"/>
      <c r="H91" s="1862"/>
    </row>
    <row r="92" spans="2:8" ht="18" customHeight="1">
      <c r="B92" s="2675" t="s">
        <v>1735</v>
      </c>
      <c r="C92" s="1778"/>
      <c r="D92" s="1291" t="s">
        <v>1736</v>
      </c>
      <c r="E92" s="1292">
        <f>SUM($E$81:$E$91)</f>
        <v>0</v>
      </c>
      <c r="F92" s="1294">
        <f>SUM($F$81:$F$91)</f>
        <v>0</v>
      </c>
      <c r="G92" s="37"/>
      <c r="H92" s="18"/>
    </row>
    <row r="93" spans="2:8" ht="18" customHeight="1">
      <c r="B93" s="28"/>
      <c r="C93" s="28"/>
      <c r="D93" s="1689"/>
      <c r="E93" s="194"/>
      <c r="F93" s="201"/>
      <c r="G93" s="37"/>
      <c r="H93" s="18"/>
    </row>
    <row r="94" spans="2:8" ht="18" customHeight="1">
      <c r="B94" s="2687"/>
      <c r="C94" s="1877"/>
      <c r="D94" s="1300" t="s">
        <v>1737</v>
      </c>
      <c r="E94" s="1301" t="s">
        <v>1680</v>
      </c>
      <c r="F94" s="1690" t="s">
        <v>1681</v>
      </c>
      <c r="G94" s="2673" t="s">
        <v>1656</v>
      </c>
      <c r="H94" s="2435"/>
    </row>
    <row r="95" spans="2:8" ht="18" customHeight="1">
      <c r="B95" s="2692">
        <v>6710</v>
      </c>
      <c r="C95" s="1772"/>
      <c r="D95" s="801" t="s">
        <v>310</v>
      </c>
      <c r="E95" s="1283">
        <v>0</v>
      </c>
      <c r="F95" s="802">
        <v>0</v>
      </c>
      <c r="G95" s="2678"/>
      <c r="H95" s="1862"/>
    </row>
    <row r="96" spans="2:8" ht="18" customHeight="1">
      <c r="B96" s="2675">
        <v>6711</v>
      </c>
      <c r="C96" s="1778"/>
      <c r="D96" s="1304" t="s">
        <v>1738</v>
      </c>
      <c r="E96" s="1292">
        <f>$E$17</f>
        <v>0</v>
      </c>
      <c r="F96" s="1317">
        <v>0</v>
      </c>
      <c r="G96" s="2678"/>
      <c r="H96" s="1862"/>
    </row>
    <row r="97" spans="2:11" ht="18" customHeight="1">
      <c r="B97" s="2675">
        <v>6720</v>
      </c>
      <c r="C97" s="1778"/>
      <c r="D97" s="1304" t="s">
        <v>1739</v>
      </c>
      <c r="E97" s="1286">
        <v>0</v>
      </c>
      <c r="F97" s="1317">
        <v>0</v>
      </c>
      <c r="G97" s="2678"/>
      <c r="H97" s="1862"/>
    </row>
    <row r="98" spans="2:11" ht="18" customHeight="1">
      <c r="B98" s="2675">
        <v>6729</v>
      </c>
      <c r="C98" s="1778"/>
      <c r="D98" s="1304" t="s">
        <v>1740</v>
      </c>
      <c r="E98" s="1286">
        <v>0</v>
      </c>
      <c r="F98" s="1317">
        <v>0</v>
      </c>
      <c r="G98" s="2678"/>
      <c r="H98" s="1862"/>
    </row>
    <row r="99" spans="2:11" ht="18" customHeight="1">
      <c r="B99" s="2675">
        <v>6721</v>
      </c>
      <c r="C99" s="1778"/>
      <c r="D99" s="1304" t="s">
        <v>1741</v>
      </c>
      <c r="E99" s="1286">
        <v>0</v>
      </c>
      <c r="F99" s="1317">
        <v>0</v>
      </c>
      <c r="G99" s="2678"/>
      <c r="H99" s="1862"/>
    </row>
    <row r="100" spans="2:11" ht="18" customHeight="1">
      <c r="B100" s="2675">
        <v>6722</v>
      </c>
      <c r="C100" s="1778"/>
      <c r="D100" s="1304" t="s">
        <v>1742</v>
      </c>
      <c r="E100" s="1292">
        <f>$E$18</f>
        <v>0</v>
      </c>
      <c r="F100" s="1317">
        <v>0</v>
      </c>
      <c r="G100" s="2678"/>
      <c r="H100" s="1862"/>
    </row>
    <row r="101" spans="2:11" ht="18" customHeight="1">
      <c r="B101" s="2675">
        <v>6723</v>
      </c>
      <c r="C101" s="1778"/>
      <c r="D101" s="1304" t="s">
        <v>1743</v>
      </c>
      <c r="E101" s="1292">
        <f>$E$19</f>
        <v>0</v>
      </c>
      <c r="F101" s="1317">
        <v>0</v>
      </c>
      <c r="G101" s="2678"/>
      <c r="H101" s="1862"/>
    </row>
    <row r="102" spans="2:11" ht="18" customHeight="1">
      <c r="B102" s="2675">
        <v>6790</v>
      </c>
      <c r="C102" s="1778"/>
      <c r="D102" s="1304" t="s">
        <v>1744</v>
      </c>
      <c r="E102" s="1286">
        <v>0</v>
      </c>
      <c r="F102" s="1317">
        <v>0</v>
      </c>
      <c r="G102" s="2678"/>
      <c r="H102" s="1862"/>
    </row>
    <row r="103" spans="2:11" s="485" customFormat="1" ht="18" customHeight="1">
      <c r="B103" s="2675" t="s">
        <v>1745</v>
      </c>
      <c r="C103" s="1778"/>
      <c r="D103" s="1318" t="s">
        <v>1746</v>
      </c>
      <c r="E103" s="1292">
        <f>SUM($E$95:$E$102)</f>
        <v>0</v>
      </c>
      <c r="F103" s="1294">
        <f>SUM($F$95:$F$102)</f>
        <v>0</v>
      </c>
      <c r="G103" s="37"/>
      <c r="I103" s="28"/>
      <c r="J103" s="28"/>
      <c r="K103" s="28"/>
    </row>
    <row r="104" spans="2:11" s="485" customFormat="1" ht="18" customHeight="1">
      <c r="B104" s="28"/>
      <c r="C104" s="28"/>
      <c r="D104" s="1691"/>
      <c r="E104" s="194"/>
      <c r="F104" s="201"/>
      <c r="G104" s="37"/>
      <c r="H104" s="670"/>
      <c r="I104" s="670"/>
      <c r="J104" s="670"/>
      <c r="K104" s="670"/>
    </row>
    <row r="105" spans="2:11" s="485" customFormat="1" ht="18" customHeight="1">
      <c r="B105" s="2687"/>
      <c r="C105" s="1877"/>
      <c r="D105" s="1300" t="s">
        <v>433</v>
      </c>
      <c r="E105" s="1301" t="s">
        <v>1680</v>
      </c>
      <c r="F105" s="1690" t="s">
        <v>1681</v>
      </c>
      <c r="G105" s="2673" t="s">
        <v>1656</v>
      </c>
      <c r="H105" s="2438"/>
      <c r="I105" s="670"/>
      <c r="J105" s="670"/>
      <c r="K105" s="670"/>
    </row>
    <row r="106" spans="2:11" ht="18" customHeight="1">
      <c r="B106" s="2692">
        <v>6990</v>
      </c>
      <c r="C106" s="1772"/>
      <c r="D106" s="801" t="s">
        <v>1747</v>
      </c>
      <c r="E106" s="1302">
        <f>$E$8</f>
        <v>0</v>
      </c>
      <c r="F106" s="1319">
        <v>0</v>
      </c>
      <c r="G106" s="2678"/>
      <c r="H106" s="1862"/>
      <c r="I106" s="670"/>
      <c r="J106" s="670"/>
      <c r="K106" s="670"/>
    </row>
    <row r="107" spans="2:11" ht="18" customHeight="1">
      <c r="B107" s="2675">
        <v>6990</v>
      </c>
      <c r="C107" s="1778"/>
      <c r="D107" s="1304" t="s">
        <v>1748</v>
      </c>
      <c r="E107" s="1292">
        <f>$E$9</f>
        <v>0</v>
      </c>
      <c r="F107" s="1293">
        <v>0</v>
      </c>
      <c r="G107" s="2678"/>
      <c r="H107" s="1862"/>
      <c r="I107" s="670"/>
      <c r="J107" s="670"/>
      <c r="K107" s="670"/>
    </row>
    <row r="108" spans="2:11" ht="18" customHeight="1">
      <c r="B108" s="2675">
        <v>6990</v>
      </c>
      <c r="C108" s="1778"/>
      <c r="D108" s="1304" t="s">
        <v>1749</v>
      </c>
      <c r="E108" s="1292">
        <f>$E$10</f>
        <v>0</v>
      </c>
      <c r="F108" s="1293">
        <v>0</v>
      </c>
      <c r="G108" s="2678"/>
      <c r="H108" s="1862"/>
      <c r="I108" s="670"/>
      <c r="J108" s="670"/>
      <c r="K108" s="670"/>
    </row>
    <row r="109" spans="2:11" ht="18" customHeight="1">
      <c r="B109" s="2675">
        <v>6990</v>
      </c>
      <c r="C109" s="1778"/>
      <c r="D109" s="1304" t="s">
        <v>1750</v>
      </c>
      <c r="E109" s="1286">
        <v>0</v>
      </c>
      <c r="F109" s="1293">
        <v>0</v>
      </c>
      <c r="G109" s="2678"/>
      <c r="H109" s="1862"/>
      <c r="I109" s="670"/>
      <c r="J109" s="670"/>
      <c r="K109" s="670"/>
    </row>
    <row r="110" spans="2:11" ht="18" customHeight="1">
      <c r="B110" s="2675">
        <v>6990</v>
      </c>
      <c r="C110" s="1778"/>
      <c r="D110" s="1320" t="s">
        <v>1751</v>
      </c>
      <c r="E110" s="1286">
        <v>0</v>
      </c>
      <c r="F110" s="1293">
        <v>0</v>
      </c>
      <c r="G110" s="2678"/>
      <c r="H110" s="1862"/>
      <c r="I110" s="670"/>
      <c r="J110" s="670"/>
      <c r="K110" s="670"/>
    </row>
    <row r="111" spans="2:11" ht="18" customHeight="1">
      <c r="B111" s="2675">
        <v>6990</v>
      </c>
      <c r="C111" s="1778"/>
      <c r="D111" s="1320" t="s">
        <v>1751</v>
      </c>
      <c r="E111" s="1286">
        <v>0</v>
      </c>
      <c r="F111" s="1293">
        <v>0</v>
      </c>
      <c r="G111" s="2678"/>
      <c r="H111" s="1862"/>
      <c r="I111" s="670"/>
      <c r="J111" s="670"/>
      <c r="K111" s="670"/>
    </row>
    <row r="112" spans="2:11" ht="18" customHeight="1">
      <c r="B112" s="2675" t="s">
        <v>1752</v>
      </c>
      <c r="C112" s="1778"/>
      <c r="D112" s="1291" t="s">
        <v>1753</v>
      </c>
      <c r="E112" s="1292">
        <f>SUM($E$106:$E$111)</f>
        <v>0</v>
      </c>
      <c r="F112" s="1314">
        <f>SUM($F$106:$F$111)</f>
        <v>0</v>
      </c>
      <c r="G112" s="203"/>
      <c r="H112" s="670"/>
      <c r="I112" s="670"/>
      <c r="J112" s="767"/>
      <c r="K112" s="670"/>
    </row>
    <row r="113" spans="2:11" ht="18" customHeight="1">
      <c r="B113" s="2439"/>
      <c r="C113" s="2435"/>
      <c r="D113" s="112" t="s">
        <v>1754</v>
      </c>
      <c r="E113" s="1292">
        <f>+$E$70+$E$78+$E$92+$E$103+$E$112</f>
        <v>0</v>
      </c>
      <c r="F113" s="1321">
        <f>+$F$70+$F$78+$F$92+$F$103+$F$112</f>
        <v>0</v>
      </c>
      <c r="G113" s="202"/>
      <c r="H113" s="18"/>
    </row>
    <row r="114" spans="2:11" ht="18" customHeight="1">
      <c r="B114" s="26"/>
      <c r="C114" s="28"/>
      <c r="D114" s="33"/>
      <c r="E114" s="35"/>
      <c r="F114" s="36"/>
      <c r="G114" s="106"/>
      <c r="H114" s="18"/>
    </row>
    <row r="115" spans="2:11" ht="18" customHeight="1">
      <c r="B115" s="2687"/>
      <c r="C115" s="1877"/>
      <c r="D115" s="1300" t="s">
        <v>1755</v>
      </c>
      <c r="E115" s="1301" t="s">
        <v>1680</v>
      </c>
      <c r="F115" s="1690" t="s">
        <v>1681</v>
      </c>
      <c r="G115" s="2673" t="s">
        <v>1656</v>
      </c>
      <c r="H115" s="2435"/>
    </row>
    <row r="116" spans="2:11" ht="18" customHeight="1">
      <c r="B116" s="2692">
        <v>7210</v>
      </c>
      <c r="C116" s="1772"/>
      <c r="D116" s="801" t="s">
        <v>1756</v>
      </c>
      <c r="E116" s="1322">
        <v>0</v>
      </c>
      <c r="F116" s="1319">
        <v>0</v>
      </c>
      <c r="G116" s="2678"/>
      <c r="H116" s="1862"/>
    </row>
    <row r="117" spans="2:11" ht="18" customHeight="1">
      <c r="B117" s="2675">
        <v>7220</v>
      </c>
      <c r="C117" s="1778"/>
      <c r="D117" s="1323" t="s">
        <v>1210</v>
      </c>
      <c r="E117" s="1286">
        <v>0</v>
      </c>
      <c r="F117" s="1293">
        <v>0</v>
      </c>
      <c r="G117" s="2678"/>
      <c r="H117" s="1862"/>
    </row>
    <row r="118" spans="2:11" ht="18" customHeight="1">
      <c r="B118" s="2675">
        <v>7230</v>
      </c>
      <c r="C118" s="1778"/>
      <c r="D118" s="1323" t="s">
        <v>1211</v>
      </c>
      <c r="E118" s="1286">
        <v>0</v>
      </c>
      <c r="F118" s="1293">
        <v>0</v>
      </c>
      <c r="G118" s="2678"/>
      <c r="H118" s="1862"/>
    </row>
    <row r="119" spans="2:11" ht="18" customHeight="1">
      <c r="B119" s="2675">
        <v>7240</v>
      </c>
      <c r="C119" s="1778"/>
      <c r="D119" s="1287" t="s">
        <v>1757</v>
      </c>
      <c r="E119" s="1315">
        <v>0</v>
      </c>
      <c r="F119" s="1316">
        <v>0</v>
      </c>
      <c r="G119" s="2678"/>
      <c r="H119" s="1862"/>
      <c r="I119" s="219"/>
      <c r="J119" s="219"/>
    </row>
    <row r="120" spans="2:11" ht="18" customHeight="1">
      <c r="B120" s="2439"/>
      <c r="C120" s="2435"/>
      <c r="D120" s="1689" t="s">
        <v>1758</v>
      </c>
      <c r="E120" s="1292">
        <f>SUM($E$116:$E$119)</f>
        <v>0</v>
      </c>
      <c r="F120" s="1321">
        <f>SUM($F$116:$F$119)</f>
        <v>0</v>
      </c>
      <c r="G120" s="203"/>
      <c r="H120" s="18"/>
    </row>
    <row r="121" spans="2:11" ht="18" customHeight="1">
      <c r="B121" s="28"/>
      <c r="C121" s="28"/>
      <c r="D121" s="1689"/>
      <c r="E121" s="763"/>
      <c r="F121" s="201"/>
      <c r="G121" s="37"/>
      <c r="H121" s="18"/>
    </row>
    <row r="122" spans="2:11" ht="18" customHeight="1">
      <c r="B122" s="2439"/>
      <c r="C122" s="2435"/>
      <c r="D122" s="196" t="s">
        <v>1759</v>
      </c>
      <c r="E122" s="197" t="s">
        <v>1680</v>
      </c>
      <c r="F122" s="198" t="s">
        <v>1681</v>
      </c>
      <c r="G122" s="2673" t="s">
        <v>1656</v>
      </c>
      <c r="H122" s="2435"/>
    </row>
    <row r="123" spans="2:11" ht="18" customHeight="1">
      <c r="B123" s="2675"/>
      <c r="C123" s="1778"/>
      <c r="D123" s="1756" t="s">
        <v>1759</v>
      </c>
      <c r="E123" s="1286">
        <v>0</v>
      </c>
      <c r="F123" s="1293">
        <v>0</v>
      </c>
      <c r="G123" s="2678"/>
      <c r="H123" s="1862"/>
      <c r="I123" s="219"/>
      <c r="J123" s="219"/>
    </row>
    <row r="124" spans="2:11" ht="18" customHeight="1">
      <c r="B124" s="2439"/>
      <c r="C124" s="2435"/>
      <c r="D124" s="1689" t="s">
        <v>1760</v>
      </c>
      <c r="E124" s="1292">
        <f>SUM($E$123:$E$123)</f>
        <v>0</v>
      </c>
      <c r="F124" s="1321">
        <f>SUM($F$123:$F$123)</f>
        <v>0</v>
      </c>
      <c r="G124" s="203"/>
      <c r="H124" s="18"/>
      <c r="I124" s="219"/>
      <c r="J124" s="219"/>
    </row>
    <row r="125" spans="2:11" ht="18" customHeight="1">
      <c r="B125" s="28"/>
      <c r="C125" s="28"/>
      <c r="D125" s="112" t="s">
        <v>1761</v>
      </c>
      <c r="E125" s="1311">
        <f>+$E$54-$E$113-$E$120-$E$124</f>
        <v>0</v>
      </c>
      <c r="F125" s="1311">
        <f>+$F$54-$F$113-$F$120-$F$124</f>
        <v>0</v>
      </c>
      <c r="G125" s="37"/>
      <c r="H125" s="18"/>
      <c r="I125" s="219"/>
      <c r="J125" s="219"/>
    </row>
    <row r="126" spans="2:11" s="29" customFormat="1" ht="18" customHeight="1">
      <c r="B126" s="2439"/>
      <c r="C126" s="2688"/>
      <c r="G126" s="37"/>
      <c r="H126" s="204"/>
      <c r="I126" s="44"/>
      <c r="J126" s="44"/>
      <c r="K126" s="44"/>
    </row>
    <row r="127" spans="2:11" ht="18" customHeight="1">
      <c r="B127" s="2439"/>
      <c r="C127" s="2435"/>
      <c r="D127" s="196" t="s">
        <v>1762</v>
      </c>
      <c r="E127" s="197" t="s">
        <v>1680</v>
      </c>
      <c r="F127" s="198" t="s">
        <v>1681</v>
      </c>
      <c r="G127" s="2673" t="s">
        <v>1656</v>
      </c>
      <c r="H127" s="2435"/>
    </row>
    <row r="128" spans="2:11" ht="18" customHeight="1">
      <c r="B128" s="2675">
        <v>6820</v>
      </c>
      <c r="C128" s="1778"/>
      <c r="D128" s="1309" t="s">
        <v>1763</v>
      </c>
      <c r="E128" s="1286">
        <v>0</v>
      </c>
      <c r="F128" s="1286">
        <v>0</v>
      </c>
      <c r="G128" s="2678"/>
      <c r="H128" s="1862"/>
    </row>
    <row r="129" spans="2:11" ht="18" customHeight="1">
      <c r="B129" s="2675">
        <v>6830</v>
      </c>
      <c r="C129" s="1778"/>
      <c r="D129" s="1324" t="s">
        <v>1764</v>
      </c>
      <c r="E129" s="1286">
        <v>0</v>
      </c>
      <c r="F129" s="1286">
        <v>0</v>
      </c>
      <c r="G129" s="2678"/>
      <c r="H129" s="1862"/>
    </row>
    <row r="130" spans="2:11" ht="18" customHeight="1">
      <c r="B130" s="2675">
        <v>6830</v>
      </c>
      <c r="C130" s="1778"/>
      <c r="D130" s="1324" t="s">
        <v>1765</v>
      </c>
      <c r="E130" s="1286">
        <v>0</v>
      </c>
      <c r="F130" s="1286">
        <v>0</v>
      </c>
      <c r="G130" s="2678"/>
      <c r="H130" s="1862"/>
    </row>
    <row r="131" spans="2:11" ht="18" hidden="1" customHeight="1">
      <c r="B131" s="2675">
        <v>6840</v>
      </c>
      <c r="C131" s="1778"/>
      <c r="D131" s="1304" t="s">
        <v>1766</v>
      </c>
      <c r="E131" s="1286">
        <v>0</v>
      </c>
      <c r="F131" s="1286">
        <v>0</v>
      </c>
      <c r="G131" s="2678"/>
      <c r="H131" s="1862"/>
    </row>
    <row r="132" spans="2:11" ht="18" hidden="1" customHeight="1">
      <c r="B132" s="2675">
        <v>6840</v>
      </c>
      <c r="C132" s="1778"/>
      <c r="D132" s="1304" t="s">
        <v>1767</v>
      </c>
      <c r="E132" s="1286">
        <v>0</v>
      </c>
      <c r="F132" s="1286">
        <v>0</v>
      </c>
      <c r="G132" s="2678"/>
      <c r="H132" s="1862"/>
    </row>
    <row r="133" spans="2:11" ht="18" customHeight="1">
      <c r="B133" s="2675">
        <v>6840</v>
      </c>
      <c r="C133" s="1778"/>
      <c r="D133" s="1304" t="s">
        <v>1768</v>
      </c>
      <c r="E133" s="1292">
        <f>'Development Sources'!I36*0.42%</f>
        <v>0</v>
      </c>
      <c r="F133" s="1286">
        <v>0</v>
      </c>
      <c r="G133" s="2678"/>
      <c r="H133" s="1862"/>
    </row>
    <row r="134" spans="2:11" ht="18" hidden="1" customHeight="1">
      <c r="B134" s="2675">
        <v>6840</v>
      </c>
      <c r="C134" s="1778"/>
      <c r="D134" s="1304" t="s">
        <v>1769</v>
      </c>
      <c r="E134" s="1286">
        <v>0</v>
      </c>
      <c r="F134" s="1286">
        <v>0</v>
      </c>
      <c r="G134" s="2678"/>
      <c r="H134" s="1862"/>
    </row>
    <row r="135" spans="2:11" ht="18" hidden="1" customHeight="1">
      <c r="B135" s="2675">
        <v>6840</v>
      </c>
      <c r="C135" s="1778"/>
      <c r="D135" s="1304" t="s">
        <v>1770</v>
      </c>
      <c r="E135" s="1286">
        <v>0</v>
      </c>
      <c r="F135" s="1286">
        <v>0</v>
      </c>
      <c r="G135" s="2678"/>
      <c r="H135" s="1862"/>
      <c r="K135" s="228"/>
    </row>
    <row r="136" spans="2:11" ht="18" customHeight="1">
      <c r="B136" s="2675">
        <v>6890</v>
      </c>
      <c r="C136" s="1778"/>
      <c r="D136" s="1320" t="s">
        <v>1771</v>
      </c>
      <c r="E136" s="1286">
        <v>0</v>
      </c>
      <c r="F136" s="1293">
        <v>0</v>
      </c>
      <c r="G136" s="2678"/>
      <c r="H136" s="1862"/>
      <c r="K136" s="228"/>
    </row>
    <row r="137" spans="2:11" ht="18" customHeight="1">
      <c r="B137" s="2675">
        <v>6890</v>
      </c>
      <c r="C137" s="1778"/>
      <c r="D137" s="1320" t="s">
        <v>1771</v>
      </c>
      <c r="E137" s="1286">
        <v>0</v>
      </c>
      <c r="F137" s="1293">
        <v>0</v>
      </c>
      <c r="G137" s="2678"/>
      <c r="H137" s="1862"/>
      <c r="K137" s="228"/>
    </row>
    <row r="138" spans="2:11" ht="18" customHeight="1">
      <c r="B138" s="2675">
        <v>6890</v>
      </c>
      <c r="C138" s="1778"/>
      <c r="D138" s="1323" t="s">
        <v>1772</v>
      </c>
      <c r="E138" s="1286">
        <v>0</v>
      </c>
      <c r="F138" s="1293">
        <v>0</v>
      </c>
      <c r="G138" s="2678"/>
      <c r="H138" s="1862"/>
      <c r="K138" s="228"/>
    </row>
    <row r="139" spans="2:11" ht="18" customHeight="1">
      <c r="B139" s="2675">
        <v>6890</v>
      </c>
      <c r="C139" s="1778"/>
      <c r="D139" s="133" t="s">
        <v>1773</v>
      </c>
      <c r="E139" s="1315">
        <v>0</v>
      </c>
      <c r="F139" s="1316">
        <v>0</v>
      </c>
      <c r="G139" s="2678"/>
      <c r="H139" s="1862"/>
      <c r="K139" s="228"/>
    </row>
    <row r="140" spans="2:11" ht="18" customHeight="1">
      <c r="B140" s="2675">
        <v>6890</v>
      </c>
      <c r="C140" s="1778"/>
      <c r="D140" s="133" t="s">
        <v>1773</v>
      </c>
      <c r="E140" s="1315">
        <v>0</v>
      </c>
      <c r="F140" s="1316">
        <v>0</v>
      </c>
      <c r="G140" s="2678"/>
      <c r="H140" s="1862"/>
      <c r="K140" s="228"/>
    </row>
    <row r="141" spans="2:11" ht="18" customHeight="1">
      <c r="B141" s="2675" t="s">
        <v>1774</v>
      </c>
      <c r="C141" s="1778"/>
      <c r="D141" s="1291" t="s">
        <v>1775</v>
      </c>
      <c r="E141" s="1292">
        <f>SUM($E$128:$E$140)</f>
        <v>0</v>
      </c>
      <c r="F141" s="1321">
        <f>SUM($F$128:$F$140)</f>
        <v>0</v>
      </c>
      <c r="G141" s="203"/>
      <c r="H141" s="18"/>
      <c r="K141" s="228"/>
    </row>
    <row r="142" spans="2:11" ht="18" customHeight="1">
      <c r="B142" s="2439"/>
      <c r="C142" s="2435"/>
      <c r="D142" s="1689" t="s">
        <v>417</v>
      </c>
      <c r="E142" s="1292">
        <f>+$E$125-$E$141</f>
        <v>0</v>
      </c>
      <c r="F142" s="1321">
        <f>+$F$125-$F$141</f>
        <v>0</v>
      </c>
      <c r="G142" s="202"/>
      <c r="H142" s="18"/>
      <c r="K142" s="228"/>
    </row>
    <row r="143" spans="2:11" ht="18" customHeight="1">
      <c r="B143" s="28"/>
      <c r="C143" s="28"/>
      <c r="D143" s="1689"/>
      <c r="E143" s="194"/>
      <c r="F143" s="201"/>
      <c r="G143" s="37"/>
      <c r="H143" s="18"/>
      <c r="K143" s="228"/>
    </row>
    <row r="144" spans="2:11" ht="18" customHeight="1">
      <c r="G144" s="17"/>
      <c r="K144" s="228"/>
    </row>
    <row r="145" spans="2:12" ht="18" customHeight="1">
      <c r="B145" s="2675">
        <v>7190</v>
      </c>
      <c r="C145" s="1778"/>
      <c r="D145" s="1756" t="s">
        <v>1776</v>
      </c>
      <c r="E145" s="1286">
        <v>0</v>
      </c>
      <c r="F145" s="1293">
        <v>0</v>
      </c>
      <c r="G145" s="2678"/>
      <c r="H145" s="1862"/>
      <c r="K145" s="228"/>
      <c r="L145" s="29"/>
    </row>
    <row r="146" spans="2:12" ht="17.25" customHeight="1">
      <c r="G146" s="37"/>
      <c r="K146" s="228"/>
    </row>
    <row r="147" spans="2:12" ht="18" customHeight="1">
      <c r="B147" s="2701" t="s">
        <v>1777</v>
      </c>
      <c r="C147" s="1777"/>
      <c r="D147" s="1778"/>
      <c r="E147" s="1325" t="s">
        <v>1778</v>
      </c>
      <c r="F147" s="1325" t="s">
        <v>1779</v>
      </c>
      <c r="G147" s="2702" t="s">
        <v>1656</v>
      </c>
      <c r="H147" s="2435"/>
      <c r="K147" s="228"/>
    </row>
    <row r="148" spans="2:12" ht="18" customHeight="1">
      <c r="B148" s="2686" t="s">
        <v>1780</v>
      </c>
      <c r="C148" s="1777"/>
      <c r="D148" s="1778"/>
      <c r="E148" s="1311">
        <f>IFERROR($E$113/'Unit Mix'!$D$8,0)</f>
        <v>0</v>
      </c>
      <c r="F148" s="803">
        <f>+$E$148/12</f>
        <v>0</v>
      </c>
      <c r="G148" s="2678"/>
      <c r="H148" s="1862"/>
      <c r="K148" s="228"/>
    </row>
    <row r="149" spans="2:12" ht="18" customHeight="1">
      <c r="B149" s="2686" t="s">
        <v>1781</v>
      </c>
      <c r="C149" s="1777"/>
      <c r="D149" s="1778"/>
      <c r="E149" s="1311">
        <f>IFERROR(IF($F$16&gt;0,($F$16+$E$113)/'Unit Mix'!D8,$E$113/'Unit Mix'!$D$8),0)</f>
        <v>0</v>
      </c>
      <c r="F149" s="1321">
        <f>+E149/12</f>
        <v>0</v>
      </c>
      <c r="G149" s="2678"/>
      <c r="H149" s="1862"/>
      <c r="K149" s="228"/>
    </row>
    <row r="150" spans="2:12" ht="36" customHeight="1">
      <c r="B150" s="2686" t="s">
        <v>1782</v>
      </c>
      <c r="C150" s="1777"/>
      <c r="D150" s="1778"/>
      <c r="E150" s="1311">
        <f>IFERROR(IF($F$16&gt;0,(($F$16+$E$113)-($E$95+$E$112))/'Unit Mix'!D8,($E$113-($E$95+$E$112))/'Unit Mix'!$D$8),0)</f>
        <v>0</v>
      </c>
      <c r="F150" s="1321">
        <f>E150/12</f>
        <v>0</v>
      </c>
      <c r="G150" s="2678"/>
      <c r="H150" s="1862"/>
      <c r="K150" s="228"/>
    </row>
    <row r="151" spans="2:12" ht="18" customHeight="1">
      <c r="G151" s="17"/>
      <c r="I151" s="17"/>
      <c r="J151" s="17"/>
      <c r="K151" s="17"/>
    </row>
    <row r="152" spans="2:12" ht="18" customHeight="1" thickBot="1">
      <c r="B152" s="2466" t="s">
        <v>1783</v>
      </c>
      <c r="C152" s="2435"/>
      <c r="D152" s="2435"/>
      <c r="E152" s="2435"/>
      <c r="F152" s="2435"/>
      <c r="G152" s="2677"/>
      <c r="H152" s="2435"/>
      <c r="I152" s="17"/>
      <c r="J152" s="17"/>
      <c r="K152" s="17"/>
    </row>
    <row r="153" spans="2:12" ht="18" customHeight="1">
      <c r="B153" s="2699" t="s">
        <v>1474</v>
      </c>
      <c r="C153" s="2441"/>
      <c r="D153" s="2700"/>
      <c r="E153" s="2689" t="s">
        <v>1784</v>
      </c>
      <c r="F153" s="2455"/>
      <c r="G153" s="2649"/>
      <c r="I153" s="17"/>
      <c r="J153" s="17"/>
      <c r="K153" s="17"/>
    </row>
    <row r="154" spans="2:12" ht="18" customHeight="1">
      <c r="B154" s="2443"/>
      <c r="C154" s="2435"/>
      <c r="D154" s="1889"/>
      <c r="E154" s="1326" t="s">
        <v>1785</v>
      </c>
      <c r="F154" s="1327" t="s">
        <v>1786</v>
      </c>
      <c r="G154" s="1328" t="s">
        <v>1787</v>
      </c>
      <c r="I154" s="17"/>
      <c r="J154" s="17"/>
      <c r="K154" s="17"/>
    </row>
    <row r="155" spans="2:12" ht="47.85" customHeight="1">
      <c r="B155" s="2685" t="s">
        <v>1788</v>
      </c>
      <c r="C155" s="1777"/>
      <c r="D155" s="1778"/>
      <c r="E155" s="1329">
        <f>G155*1.2</f>
        <v>10800</v>
      </c>
      <c r="F155" s="1330">
        <f>G155*0.9</f>
        <v>8100</v>
      </c>
      <c r="G155" s="1331">
        <v>9000</v>
      </c>
      <c r="I155" s="17"/>
      <c r="J155" s="17"/>
      <c r="K155" s="17"/>
    </row>
    <row r="156" spans="2:12" ht="36" customHeight="1" thickBot="1">
      <c r="B156" s="2684" t="s">
        <v>1789</v>
      </c>
      <c r="C156" s="1796"/>
      <c r="D156" s="2613"/>
      <c r="E156" s="1332">
        <f>G156*1.2</f>
        <v>8400</v>
      </c>
      <c r="F156" s="1332">
        <f>G156*0.9</f>
        <v>6300</v>
      </c>
      <c r="G156" s="1333">
        <v>7000</v>
      </c>
      <c r="I156" s="17"/>
      <c r="J156" s="17"/>
      <c r="K156" s="17"/>
    </row>
    <row r="157" spans="2:12" ht="18" customHeight="1">
      <c r="B157" t="s">
        <v>1790</v>
      </c>
      <c r="C157" s="764"/>
      <c r="G157" s="17"/>
      <c r="I157" s="17"/>
      <c r="J157" s="17"/>
      <c r="K157" s="17"/>
    </row>
    <row r="158" spans="2:12" ht="18" hidden="1" customHeight="1">
      <c r="G158" s="17"/>
      <c r="I158" s="17"/>
      <c r="J158" s="17"/>
      <c r="K158" s="17"/>
    </row>
    <row r="159" spans="2:12" ht="138" hidden="1" customHeight="1">
      <c r="B159" s="1334" t="s">
        <v>558</v>
      </c>
      <c r="C159" s="1334" t="str">
        <f>'Document Checklist-Full List'!$E$117</f>
        <v>49. Op Exp Compare</v>
      </c>
      <c r="D159" s="2681" t="str">
        <f>'Document Checklist-Full List'!$N$117</f>
        <v>Submit 3 operating expense comparables for similar projects located in the market area identified in the submitted market study. Projects should be affordable housing projects similar in size, type, and population to the proposed project. One comparable may be submitted for 100% market rate multifamily housing if there are insufficient affordable housing comparables. If the comparables are owned or operated by the Sponsor, information provided should be based on the most recent audited statements applicable to the comparable, if available. Additional information may be required.</v>
      </c>
      <c r="E159" s="1778"/>
      <c r="F159" s="1335" t="s">
        <v>559</v>
      </c>
      <c r="G159" s="1623"/>
      <c r="H159" s="1336"/>
      <c r="I159" s="685"/>
      <c r="J159" s="685"/>
    </row>
    <row r="160" spans="2:12" ht="18" customHeight="1">
      <c r="B160" s="1337"/>
      <c r="D160" s="1337"/>
      <c r="E160" s="1337"/>
      <c r="F160" s="1337"/>
      <c r="G160" s="17"/>
    </row>
    <row r="161" spans="2:11" s="69" customFormat="1" ht="18" customHeight="1">
      <c r="B161" s="2529" t="s">
        <v>461</v>
      </c>
      <c r="C161" s="2671"/>
      <c r="D161" s="2671"/>
      <c r="E161" s="2671"/>
      <c r="F161" s="2671"/>
      <c r="G161" s="2671"/>
      <c r="I161" s="220"/>
      <c r="J161" s="220"/>
      <c r="K161" s="220"/>
    </row>
  </sheetData>
  <sheetProtection algorithmName="SHA-512" hashValue="x7LHdQuIPokS43/ocf7DEQXQIO8DRf8S2q4/1nUh4u1YrGrYTz5/MTgJ02JhIBh6rG+I4ZBeqPZrm8efb/PKPQ==" saltValue="1TVecRZgxfyHnJ+ACcVr0w==" spinCount="100000" sheet="1" objects="1" scenarios="1"/>
  <protectedRanges>
    <protectedRange sqref="F32" name="Range2"/>
    <protectedRange sqref="E116 E42 E43 E44" name="Range1"/>
  </protectedRanges>
  <mergeCells count="236">
    <mergeCell ref="B130:C130"/>
    <mergeCell ref="G89:H89"/>
    <mergeCell ref="B108:C108"/>
    <mergeCell ref="G129:H129"/>
    <mergeCell ref="G91:H91"/>
    <mergeCell ref="B64:C64"/>
    <mergeCell ref="G85:H85"/>
    <mergeCell ref="G100:H100"/>
    <mergeCell ref="G94:H94"/>
    <mergeCell ref="G84:H84"/>
    <mergeCell ref="G75:H75"/>
    <mergeCell ref="B91:C91"/>
    <mergeCell ref="G81:H81"/>
    <mergeCell ref="B100:C100"/>
    <mergeCell ref="G97:H97"/>
    <mergeCell ref="B77:C77"/>
    <mergeCell ref="B86:C86"/>
    <mergeCell ref="B67:C67"/>
    <mergeCell ref="G66:H66"/>
    <mergeCell ref="B128:C128"/>
    <mergeCell ref="G12:H12"/>
    <mergeCell ref="G77:H77"/>
    <mergeCell ref="B138:C138"/>
    <mergeCell ref="B16:C16"/>
    <mergeCell ref="B46:C53"/>
    <mergeCell ref="G117:H117"/>
    <mergeCell ref="G86:H86"/>
    <mergeCell ref="B90:C90"/>
    <mergeCell ref="B25:C25"/>
    <mergeCell ref="B23:G23"/>
    <mergeCell ref="G67:H67"/>
    <mergeCell ref="B66:C66"/>
    <mergeCell ref="B131:C131"/>
    <mergeCell ref="G61:H61"/>
    <mergeCell ref="G18:H18"/>
    <mergeCell ref="B20:D20"/>
    <mergeCell ref="G48:H48"/>
    <mergeCell ref="B78:C78"/>
    <mergeCell ref="G68:H68"/>
    <mergeCell ref="B112:C112"/>
    <mergeCell ref="G108:H108"/>
    <mergeCell ref="G58:H58"/>
    <mergeCell ref="G123:H123"/>
    <mergeCell ref="B127:C127"/>
    <mergeCell ref="G7:H7"/>
    <mergeCell ref="G38:H38"/>
    <mergeCell ref="B117:C117"/>
    <mergeCell ref="G62:H62"/>
    <mergeCell ref="B132:C132"/>
    <mergeCell ref="G127:H127"/>
    <mergeCell ref="B119:C119"/>
    <mergeCell ref="G49:H49"/>
    <mergeCell ref="B116:C116"/>
    <mergeCell ref="G24:H24"/>
    <mergeCell ref="B45:D45"/>
    <mergeCell ref="B103:C103"/>
    <mergeCell ref="G33:H33"/>
    <mergeCell ref="G65:H65"/>
    <mergeCell ref="B84:C84"/>
    <mergeCell ref="B118:C118"/>
    <mergeCell ref="G88:H88"/>
    <mergeCell ref="G26:H26"/>
    <mergeCell ref="G35:H35"/>
    <mergeCell ref="B26:C26"/>
    <mergeCell ref="G44:H44"/>
    <mergeCell ref="B106:C106"/>
    <mergeCell ref="G102:H102"/>
    <mergeCell ref="B129:C129"/>
    <mergeCell ref="B139:C139"/>
    <mergeCell ref="B27:C27"/>
    <mergeCell ref="G95:H95"/>
    <mergeCell ref="B99:C99"/>
    <mergeCell ref="B153:D154"/>
    <mergeCell ref="B150:D150"/>
    <mergeCell ref="G138:H138"/>
    <mergeCell ref="G149:H149"/>
    <mergeCell ref="G59:H59"/>
    <mergeCell ref="B147:D147"/>
    <mergeCell ref="B140:C140"/>
    <mergeCell ref="G148:H148"/>
    <mergeCell ref="G139:H139"/>
    <mergeCell ref="G110:H110"/>
    <mergeCell ref="B148:D148"/>
    <mergeCell ref="B141:C141"/>
    <mergeCell ref="G136:H136"/>
    <mergeCell ref="B115:C115"/>
    <mergeCell ref="G145:H145"/>
    <mergeCell ref="B102:C102"/>
    <mergeCell ref="G147:H147"/>
    <mergeCell ref="G128:H128"/>
    <mergeCell ref="B101:C101"/>
    <mergeCell ref="G137:H137"/>
    <mergeCell ref="G25:H25"/>
    <mergeCell ref="G90:H90"/>
    <mergeCell ref="B95:C95"/>
    <mergeCell ref="B89:C89"/>
    <mergeCell ref="B80:C80"/>
    <mergeCell ref="G99:H99"/>
    <mergeCell ref="B21:D21"/>
    <mergeCell ref="G60:H60"/>
    <mergeCell ref="B98:C98"/>
    <mergeCell ref="B42:C42"/>
    <mergeCell ref="G37:H37"/>
    <mergeCell ref="B60:C60"/>
    <mergeCell ref="B24:C24"/>
    <mergeCell ref="B31:C31"/>
    <mergeCell ref="G57:H57"/>
    <mergeCell ref="B61:C61"/>
    <mergeCell ref="B69:C69"/>
    <mergeCell ref="G34:H34"/>
    <mergeCell ref="F46:F51"/>
    <mergeCell ref="B54:D54"/>
    <mergeCell ref="G64:H64"/>
    <mergeCell ref="B83:C83"/>
    <mergeCell ref="B32:C35"/>
    <mergeCell ref="B63:C63"/>
    <mergeCell ref="G9:H9"/>
    <mergeCell ref="G140:H140"/>
    <mergeCell ref="B97:C97"/>
    <mergeCell ref="B72:C72"/>
    <mergeCell ref="G115:H115"/>
    <mergeCell ref="G130:H130"/>
    <mergeCell ref="B134:C134"/>
    <mergeCell ref="B81:C81"/>
    <mergeCell ref="G42:H42"/>
    <mergeCell ref="G11:H11"/>
    <mergeCell ref="B122:C122"/>
    <mergeCell ref="B96:C96"/>
    <mergeCell ref="B56:C56"/>
    <mergeCell ref="B105:C105"/>
    <mergeCell ref="G132:H132"/>
    <mergeCell ref="G39:H39"/>
    <mergeCell ref="B43:C43"/>
    <mergeCell ref="G122:H122"/>
    <mergeCell ref="B58:C58"/>
    <mergeCell ref="G101:H101"/>
    <mergeCell ref="G116:H116"/>
    <mergeCell ref="B120:C120"/>
    <mergeCell ref="B18:C18"/>
    <mergeCell ref="G16:H16"/>
    <mergeCell ref="G13:H13"/>
    <mergeCell ref="G69:H69"/>
    <mergeCell ref="B88:C88"/>
    <mergeCell ref="B17:C17"/>
    <mergeCell ref="B57:C57"/>
    <mergeCell ref="B82:C82"/>
    <mergeCell ref="G118:H118"/>
    <mergeCell ref="G87:H87"/>
    <mergeCell ref="B44:C44"/>
    <mergeCell ref="G15:H15"/>
    <mergeCell ref="B19:C19"/>
    <mergeCell ref="G51:H51"/>
    <mergeCell ref="G32:H32"/>
    <mergeCell ref="G63:H63"/>
    <mergeCell ref="G41:H41"/>
    <mergeCell ref="G50:H50"/>
    <mergeCell ref="B28:E28"/>
    <mergeCell ref="G56:H56"/>
    <mergeCell ref="G105:H105"/>
    <mergeCell ref="B109:C109"/>
    <mergeCell ref="G43:H43"/>
    <mergeCell ref="B62:C62"/>
    <mergeCell ref="G83:H83"/>
    <mergeCell ref="B87:C87"/>
    <mergeCell ref="B156:D156"/>
    <mergeCell ref="G135:H135"/>
    <mergeCell ref="G73:H73"/>
    <mergeCell ref="B92:C92"/>
    <mergeCell ref="B124:C124"/>
    <mergeCell ref="B155:D155"/>
    <mergeCell ref="B133:C133"/>
    <mergeCell ref="B76:C76"/>
    <mergeCell ref="G134:H134"/>
    <mergeCell ref="B85:C85"/>
    <mergeCell ref="B149:D149"/>
    <mergeCell ref="G106:H106"/>
    <mergeCell ref="B94:C94"/>
    <mergeCell ref="B126:C126"/>
    <mergeCell ref="G96:H96"/>
    <mergeCell ref="B75:C75"/>
    <mergeCell ref="E153:G153"/>
    <mergeCell ref="G131:H131"/>
    <mergeCell ref="G150:H150"/>
    <mergeCell ref="G76:H76"/>
    <mergeCell ref="B142:C142"/>
    <mergeCell ref="B107:C107"/>
    <mergeCell ref="G133:H133"/>
    <mergeCell ref="B135:C135"/>
    <mergeCell ref="B2:G2"/>
    <mergeCell ref="G52:H52"/>
    <mergeCell ref="B59:C59"/>
    <mergeCell ref="B36:C40"/>
    <mergeCell ref="G27:H27"/>
    <mergeCell ref="G98:H98"/>
    <mergeCell ref="D159:E159"/>
    <mergeCell ref="G107:H107"/>
    <mergeCell ref="F37:F39"/>
    <mergeCell ref="G8:H8"/>
    <mergeCell ref="G17:H17"/>
    <mergeCell ref="D36:H36"/>
    <mergeCell ref="G82:H82"/>
    <mergeCell ref="B70:C70"/>
    <mergeCell ref="G10:H10"/>
    <mergeCell ref="B136:C136"/>
    <mergeCell ref="B111:C111"/>
    <mergeCell ref="G19:H19"/>
    <mergeCell ref="B145:C145"/>
    <mergeCell ref="G53:H53"/>
    <mergeCell ref="G6:H6"/>
    <mergeCell ref="B30:G30"/>
    <mergeCell ref="G74:H74"/>
    <mergeCell ref="B73:C73"/>
    <mergeCell ref="B161:G161"/>
    <mergeCell ref="F8:F10"/>
    <mergeCell ref="B113:C113"/>
    <mergeCell ref="G72:H72"/>
    <mergeCell ref="G5:H5"/>
    <mergeCell ref="B137:C137"/>
    <mergeCell ref="B4:G4"/>
    <mergeCell ref="G45:H45"/>
    <mergeCell ref="G14:H14"/>
    <mergeCell ref="B65:C65"/>
    <mergeCell ref="B74:C74"/>
    <mergeCell ref="G111:H111"/>
    <mergeCell ref="B68:C68"/>
    <mergeCell ref="G109:H109"/>
    <mergeCell ref="G47:H47"/>
    <mergeCell ref="G119:H119"/>
    <mergeCell ref="B123:C123"/>
    <mergeCell ref="G31:H31"/>
    <mergeCell ref="G46:H46"/>
    <mergeCell ref="F33:F35"/>
    <mergeCell ref="B110:C110"/>
    <mergeCell ref="G40:H40"/>
    <mergeCell ref="B152:H152"/>
    <mergeCell ref="G80:H80"/>
  </mergeCells>
  <conditionalFormatting sqref="G159">
    <cfRule type="cellIs" dxfId="1274" priority="74" operator="equal">
      <formula>"No"</formula>
    </cfRule>
  </conditionalFormatting>
  <conditionalFormatting sqref="E6:E15">
    <cfRule type="expression" dxfId="1273" priority="70">
      <formula>ROW(E6)=OperatingRow</formula>
    </cfRule>
  </conditionalFormatting>
  <conditionalFormatting sqref="E17:E19">
    <cfRule type="expression" dxfId="1272" priority="69">
      <formula>ROW(E17)=OperatingRow</formula>
    </cfRule>
  </conditionalFormatting>
  <conditionalFormatting sqref="B18:B19">
    <cfRule type="expression" dxfId="1271" priority="64">
      <formula>ROW(B18)=OperatingRow</formula>
    </cfRule>
  </conditionalFormatting>
  <conditionalFormatting sqref="B30">
    <cfRule type="expression" dxfId="1270" priority="63">
      <formula>ROW(B30)=OperatingRow</formula>
    </cfRule>
  </conditionalFormatting>
  <conditionalFormatting sqref="B16">
    <cfRule type="expression" dxfId="1269" priority="62">
      <formula>ROW(B16)=OperatingRow</formula>
    </cfRule>
  </conditionalFormatting>
  <conditionalFormatting sqref="B43:B44">
    <cfRule type="expression" dxfId="1268" priority="61">
      <formula>ROW(B43)=OperatingRow</formula>
    </cfRule>
  </conditionalFormatting>
  <conditionalFormatting sqref="G54">
    <cfRule type="expression" dxfId="1267" priority="60">
      <formula>ROW(G54)=OperatingRow</formula>
    </cfRule>
  </conditionalFormatting>
  <conditionalFormatting sqref="B56 D56:G56">
    <cfRule type="expression" dxfId="1266" priority="59">
      <formula>ROW(B56)=OperatingRow</formula>
    </cfRule>
  </conditionalFormatting>
  <conditionalFormatting sqref="B58:B71">
    <cfRule type="expression" dxfId="1265" priority="58">
      <formula>ROW(B58)=OperatingRow</formula>
    </cfRule>
  </conditionalFormatting>
  <conditionalFormatting sqref="G70:G71">
    <cfRule type="expression" dxfId="1264" priority="56">
      <formula>ROW(G70)=OperatingRow</formula>
    </cfRule>
  </conditionalFormatting>
  <conditionalFormatting sqref="D72:G72">
    <cfRule type="expression" dxfId="1263" priority="55">
      <formula>ROW(D72)=OperatingRow</formula>
    </cfRule>
  </conditionalFormatting>
  <conditionalFormatting sqref="B72:B77">
    <cfRule type="expression" dxfId="1262" priority="53">
      <formula>ROW(B72)=OperatingRow</formula>
    </cfRule>
  </conditionalFormatting>
  <conditionalFormatting sqref="B81:B93">
    <cfRule type="expression" dxfId="1261" priority="52">
      <formula>ROW(B81)=OperatingRow</formula>
    </cfRule>
  </conditionalFormatting>
  <conditionalFormatting sqref="D80:G80">
    <cfRule type="expression" dxfId="1260" priority="51">
      <formula>ROW(D80)=OperatingRow</formula>
    </cfRule>
  </conditionalFormatting>
  <conditionalFormatting sqref="B80">
    <cfRule type="expression" dxfId="1259" priority="50">
      <formula>ROW(B80)=OperatingRow</formula>
    </cfRule>
  </conditionalFormatting>
  <conditionalFormatting sqref="D94:G94">
    <cfRule type="expression" dxfId="1258" priority="48">
      <formula>ROW(D94)=OperatingRow</formula>
    </cfRule>
  </conditionalFormatting>
  <conditionalFormatting sqref="B94">
    <cfRule type="expression" dxfId="1257" priority="47">
      <formula>ROW(B94)=OperatingRow</formula>
    </cfRule>
  </conditionalFormatting>
  <conditionalFormatting sqref="B95:B104">
    <cfRule type="expression" dxfId="1256" priority="46">
      <formula>ROW(B95)=OperatingRow</formula>
    </cfRule>
  </conditionalFormatting>
  <conditionalFormatting sqref="G103:G104">
    <cfRule type="expression" dxfId="1255" priority="44">
      <formula>ROW(G103)=OperatingRow</formula>
    </cfRule>
  </conditionalFormatting>
  <conditionalFormatting sqref="D105:G105">
    <cfRule type="expression" dxfId="1254" priority="42">
      <formula>ROW(D105)=OperatingRow</formula>
    </cfRule>
  </conditionalFormatting>
  <conditionalFormatting sqref="B105">
    <cfRule type="expression" dxfId="1253" priority="41">
      <formula>ROW(B105)=OperatingRow</formula>
    </cfRule>
  </conditionalFormatting>
  <conditionalFormatting sqref="B106:B113">
    <cfRule type="expression" dxfId="1252" priority="40">
      <formula>ROW(B106)=OperatingRow</formula>
    </cfRule>
  </conditionalFormatting>
  <conditionalFormatting sqref="G112">
    <cfRule type="expression" dxfId="1251" priority="38">
      <formula>ROW(G112)=OperatingRow</formula>
    </cfRule>
  </conditionalFormatting>
  <conditionalFormatting sqref="D115:G115">
    <cfRule type="expression" dxfId="1250" priority="37">
      <formula>ROW(D115)=OperatingRow</formula>
    </cfRule>
  </conditionalFormatting>
  <conditionalFormatting sqref="B115">
    <cfRule type="expression" dxfId="1249" priority="36">
      <formula>ROW(B115)=OperatingRow</formula>
    </cfRule>
  </conditionalFormatting>
  <conditionalFormatting sqref="B116:B121">
    <cfRule type="expression" dxfId="1248" priority="35">
      <formula>ROW(B116)=OperatingRow</formula>
    </cfRule>
  </conditionalFormatting>
  <conditionalFormatting sqref="D122:G122">
    <cfRule type="expression" dxfId="1247" priority="34">
      <formula>ROW(D122)=OperatingRow</formula>
    </cfRule>
  </conditionalFormatting>
  <conditionalFormatting sqref="B122">
    <cfRule type="expression" dxfId="1246" priority="33">
      <formula>ROW(B122)=OperatingRow</formula>
    </cfRule>
  </conditionalFormatting>
  <conditionalFormatting sqref="G120:G121">
    <cfRule type="expression" dxfId="1245" priority="31">
      <formula>ROW(G120)=OperatingRow</formula>
    </cfRule>
  </conditionalFormatting>
  <conditionalFormatting sqref="D127:G127">
    <cfRule type="expression" dxfId="1244" priority="26">
      <formula>ROW(D127)=OperatingRow</formula>
    </cfRule>
  </conditionalFormatting>
  <conditionalFormatting sqref="B145">
    <cfRule type="expression" dxfId="1243" priority="24">
      <formula>ROW(B145)=OperatingRow</formula>
    </cfRule>
  </conditionalFormatting>
  <conditionalFormatting sqref="B131 B133:B134">
    <cfRule type="expression" dxfId="1242" priority="21">
      <formula>ROW(B131)=OperatingRow</formula>
    </cfRule>
  </conditionalFormatting>
  <conditionalFormatting sqref="B135">
    <cfRule type="expression" dxfId="1241" priority="20">
      <formula>ROW(B135)=OperatingRow</formula>
    </cfRule>
  </conditionalFormatting>
  <conditionalFormatting sqref="F159">
    <cfRule type="expression" dxfId="1240" priority="19">
      <formula>ROW(F159)=OperatingRow</formula>
    </cfRule>
  </conditionalFormatting>
  <conditionalFormatting sqref="D132">
    <cfRule type="expression" dxfId="1239" priority="17">
      <formula>ROW(D132)=OperatingRow</formula>
    </cfRule>
  </conditionalFormatting>
  <conditionalFormatting sqref="B132">
    <cfRule type="expression" dxfId="1238" priority="16">
      <formula>ROW(B132)=OperatingRow</formula>
    </cfRule>
  </conditionalFormatting>
  <conditionalFormatting sqref="D38">
    <cfRule type="expression" dxfId="1237" priority="12">
      <formula>ROW(D38)=ActiveRow</formula>
    </cfRule>
  </conditionalFormatting>
  <conditionalFormatting sqref="D37">
    <cfRule type="expression" dxfId="1236" priority="13">
      <formula>ROW(D37)=ActiveRow</formula>
    </cfRule>
  </conditionalFormatting>
  <conditionalFormatting sqref="B124:B127">
    <cfRule type="expression" dxfId="1235" priority="11">
      <formula>ROW(B124)=OperatingRow</formula>
    </cfRule>
  </conditionalFormatting>
  <conditionalFormatting sqref="E150">
    <cfRule type="expression" dxfId="1234" priority="10">
      <formula>ROW(E150)=OperatingRow</formula>
    </cfRule>
  </conditionalFormatting>
  <conditionalFormatting sqref="F150">
    <cfRule type="expression" dxfId="1233" priority="9">
      <formula>ROW(F150)=OperatingRow</formula>
    </cfRule>
  </conditionalFormatting>
  <conditionalFormatting sqref="C159">
    <cfRule type="expression" dxfId="1232" priority="7">
      <formula>ROW(C159)=OperatingRow</formula>
    </cfRule>
  </conditionalFormatting>
  <conditionalFormatting sqref="D140:F140">
    <cfRule type="expression" dxfId="1231" priority="6">
      <formula>ROW(D140)=OperatingRow</formula>
    </cfRule>
  </conditionalFormatting>
  <conditionalFormatting sqref="B140">
    <cfRule type="expression" dxfId="1230" priority="4">
      <formula>ROW(B140)=OperatingRow</formula>
    </cfRule>
  </conditionalFormatting>
  <conditionalFormatting sqref="E145">
    <cfRule type="cellIs" dxfId="1229" priority="1" operator="greaterThan">
      <formula>40888</formula>
    </cfRule>
  </conditionalFormatting>
  <dataValidations count="5">
    <dataValidation type="list" allowBlank="1" showInputMessage="1" showErrorMessage="1" sqref="G159" xr:uid="{00000000-0002-0000-0D00-000000000000}">
      <formula1>"Yes, No, N/A"</formula1>
    </dataValidation>
    <dataValidation allowBlank="1" showInputMessage="1" showErrorMessage="1" promptTitle="Supportive Services" prompt="This may red for now, please complete &quot;_x000a_Supportive Services Costs&quot;." sqref="E109" xr:uid="{00000000-0002-0000-0D00-000001000000}"/>
    <dataValidation allowBlank="1" showInputMessage="1" showErrorMessage="1" promptTitle="Supportive Services Costs" prompt="This may red for now, please complete &quot;Supportive Services Costs&quot;." sqref="E112" xr:uid="{00000000-0002-0000-0D00-000002000000}"/>
    <dataValidation type="list" allowBlank="1" showInputMessage="1" showErrorMessage="1" sqref="D25:D27" xr:uid="{00000000-0002-0000-0D00-000003000000}">
      <formula1>$M$25:$M$30</formula1>
    </dataValidation>
    <dataValidation type="list" allowBlank="1" showInputMessage="1" showErrorMessage="1" sqref="B25:B27" xr:uid="{00000000-0002-0000-0D00-000004000000}">
      <formula1>$L$25:$L$29</formula1>
    </dataValidation>
  </dataValidations>
  <printOptions horizontalCentered="1"/>
  <pageMargins left="0" right="0.25" top="0" bottom="0" header="0.25" footer="0.25"/>
  <pageSetup scale="65" firstPageNumber="24" orientation="portrait" r:id="rId1"/>
  <headerFooter>
    <oddFooter>&amp;L&amp;F&amp;C&amp;P of &amp;N&amp;R &amp;A</oddFooter>
  </headerFooter>
  <rowBreaks count="1" manualBreakCount="1">
    <brk id="79" min="1" max="38" man="1"/>
  </rowBreaks>
  <legacyDrawing r:id="rId2"/>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S2SupportiveServicesCosts">
    <tabColor rgb="FF0070C0"/>
  </sheetPr>
  <dimension ref="B2:BA48"/>
  <sheetViews>
    <sheetView showGridLines="0" zoomScaleNormal="100" zoomScaleSheetLayoutView="100" workbookViewId="0">
      <selection activeCell="F23" sqref="F23"/>
    </sheetView>
  </sheetViews>
  <sheetFormatPr defaultColWidth="9.28515625" defaultRowHeight="18" customHeight="1"/>
  <cols>
    <col min="1" max="1" width="8.7109375" style="175" customWidth="1"/>
    <col min="2" max="9" width="4.28515625" style="175" customWidth="1"/>
    <col min="10" max="10" width="4.7109375" style="175" customWidth="1"/>
    <col min="11" max="39" width="4.28515625" style="175" customWidth="1"/>
    <col min="40" max="40" width="9.28515625" style="175" customWidth="1"/>
    <col min="41" max="41" width="10.7109375" style="175" customWidth="1"/>
    <col min="42" max="43" width="14.7109375" style="175" customWidth="1"/>
    <col min="44" max="44" width="13.5703125" style="175" customWidth="1"/>
    <col min="45" max="46" width="13.42578125" style="175" customWidth="1"/>
    <col min="47" max="47" width="6" style="175" customWidth="1"/>
    <col min="48" max="48" width="11.42578125" style="175" customWidth="1"/>
    <col min="49" max="52" width="12.7109375" style="175" customWidth="1"/>
    <col min="53" max="59" width="9.28515625" style="175" customWidth="1"/>
    <col min="60" max="16384" width="9.28515625" style="175"/>
  </cols>
  <sheetData>
    <row r="2" spans="2:53" ht="18" customHeight="1">
      <c r="B2" s="2705" t="s">
        <v>1791</v>
      </c>
      <c r="C2" s="2706"/>
      <c r="D2" s="2706"/>
      <c r="E2" s="2706"/>
      <c r="F2" s="2706"/>
      <c r="G2" s="2706"/>
      <c r="H2" s="2706"/>
      <c r="I2" s="2706"/>
      <c r="J2" s="2706"/>
      <c r="K2" s="2706"/>
      <c r="L2" s="2706"/>
      <c r="M2" s="2706"/>
      <c r="N2" s="2706"/>
      <c r="O2" s="2706"/>
      <c r="P2" s="2706"/>
      <c r="Q2" s="2706"/>
      <c r="R2" s="2706"/>
      <c r="S2" s="2706"/>
      <c r="T2" s="2706"/>
      <c r="U2" s="2706"/>
      <c r="V2" s="2706"/>
      <c r="W2" s="2706"/>
      <c r="X2" s="2706"/>
      <c r="Y2" s="2706"/>
      <c r="Z2" s="2706"/>
      <c r="AA2" s="2706"/>
      <c r="AB2" s="2706"/>
      <c r="AC2" s="2706"/>
      <c r="AD2" s="2706"/>
      <c r="AE2" s="2706"/>
      <c r="AF2" s="2706"/>
      <c r="AG2" s="2706"/>
      <c r="AH2" s="2706"/>
      <c r="AI2" s="2706"/>
      <c r="AJ2" s="2706"/>
      <c r="AK2" s="2706"/>
      <c r="AL2" s="2706"/>
      <c r="AM2" s="2706"/>
    </row>
    <row r="4" spans="2:53" ht="54" customHeight="1">
      <c r="B4" s="2729" t="s">
        <v>1792</v>
      </c>
      <c r="C4" s="2706"/>
      <c r="D4" s="2706"/>
      <c r="E4" s="2706"/>
      <c r="F4" s="2706"/>
      <c r="G4" s="2706"/>
      <c r="H4" s="2706"/>
      <c r="I4" s="2706"/>
      <c r="J4" s="2706"/>
      <c r="K4" s="2706"/>
      <c r="L4" s="2706"/>
      <c r="M4" s="2706"/>
      <c r="N4" s="2706"/>
      <c r="O4" s="2706"/>
      <c r="P4" s="2706"/>
      <c r="Q4" s="2706"/>
      <c r="R4" s="2706"/>
      <c r="S4" s="2706"/>
      <c r="T4" s="2706"/>
      <c r="U4" s="2725" t="s">
        <v>1793</v>
      </c>
      <c r="V4" s="1777"/>
      <c r="W4" s="1777"/>
      <c r="X4" s="1777"/>
      <c r="Y4" s="1777"/>
      <c r="Z4" s="1777"/>
      <c r="AA4" s="1777"/>
      <c r="AB4" s="1778"/>
      <c r="AC4" s="2731"/>
      <c r="AD4" s="1862"/>
      <c r="AE4" s="2727" t="s">
        <v>1794</v>
      </c>
      <c r="AF4" s="2706"/>
      <c r="AG4" s="2706"/>
      <c r="AH4" s="2706"/>
      <c r="AI4" s="2706"/>
      <c r="AJ4" s="2706"/>
      <c r="AK4" s="2706"/>
      <c r="AL4" s="2731"/>
      <c r="AM4" s="1862"/>
      <c r="AN4" s="1701"/>
      <c r="AO4" s="1701"/>
      <c r="AP4" s="1701"/>
      <c r="AQ4" s="136"/>
      <c r="AR4" s="1473" t="s">
        <v>1795</v>
      </c>
      <c r="AS4" s="1374" t="s">
        <v>1796</v>
      </c>
      <c r="AT4" s="1374" t="s">
        <v>1797</v>
      </c>
      <c r="AU4" s="1374" t="s">
        <v>617</v>
      </c>
      <c r="AV4" s="1374" t="s">
        <v>1798</v>
      </c>
      <c r="AW4" s="1375" t="s">
        <v>1799</v>
      </c>
      <c r="AX4" s="1375" t="s">
        <v>1800</v>
      </c>
      <c r="AY4" s="1375" t="s">
        <v>1801</v>
      </c>
      <c r="AZ4" s="641" t="s">
        <v>1802</v>
      </c>
      <c r="BA4" s="1701"/>
    </row>
    <row r="5" spans="2:53" ht="18" customHeight="1">
      <c r="B5" s="476"/>
      <c r="C5" s="476"/>
      <c r="D5" s="476"/>
      <c r="E5" s="476"/>
      <c r="F5" s="476"/>
      <c r="G5" s="476"/>
      <c r="H5" s="476"/>
      <c r="I5" s="476"/>
      <c r="J5" s="476"/>
      <c r="K5" s="476"/>
      <c r="L5" s="476"/>
      <c r="M5" s="476"/>
      <c r="N5" s="476"/>
      <c r="O5" s="476"/>
      <c r="P5" s="476"/>
      <c r="Q5" s="476"/>
      <c r="R5" s="476"/>
      <c r="S5" s="476"/>
      <c r="T5" s="476"/>
      <c r="U5" s="476"/>
      <c r="V5" s="476"/>
      <c r="W5" s="476"/>
      <c r="X5" s="476"/>
      <c r="Y5" s="476"/>
      <c r="Z5" s="476"/>
      <c r="AA5" s="476"/>
      <c r="AB5" s="476"/>
      <c r="AC5" s="476"/>
      <c r="AD5" s="476"/>
      <c r="AE5" s="476"/>
      <c r="AF5" s="476"/>
      <c r="AG5" s="476"/>
      <c r="AH5" s="476"/>
      <c r="AI5" s="476"/>
      <c r="AJ5" s="476"/>
      <c r="AK5" s="2732"/>
      <c r="AL5" s="2706"/>
      <c r="AM5" s="2706"/>
      <c r="AN5" s="1701"/>
      <c r="AO5" s="1701"/>
      <c r="AP5" s="1701"/>
      <c r="AQ5" s="136"/>
      <c r="AR5" s="1376">
        <v>2025</v>
      </c>
      <c r="AS5" s="1377">
        <v>10000</v>
      </c>
      <c r="AT5" s="1377">
        <v>4000</v>
      </c>
      <c r="AU5" s="1377">
        <v>326</v>
      </c>
      <c r="AV5" s="1377">
        <v>997</v>
      </c>
      <c r="AW5" s="1377">
        <v>4971</v>
      </c>
      <c r="AX5" s="1377">
        <v>3728</v>
      </c>
      <c r="AY5" s="1377">
        <v>1281</v>
      </c>
      <c r="AZ5" s="1378">
        <v>305</v>
      </c>
      <c r="BA5" s="1701"/>
    </row>
    <row r="6" spans="2:53" ht="36" hidden="1" customHeight="1">
      <c r="B6" s="2717" t="s">
        <v>1803</v>
      </c>
      <c r="C6" s="1953"/>
      <c r="D6" s="1953"/>
      <c r="E6" s="1953"/>
      <c r="F6" s="1953"/>
      <c r="G6" s="1953"/>
      <c r="H6" s="1953"/>
      <c r="I6" s="1953"/>
      <c r="J6" s="1953"/>
      <c r="K6" s="1953"/>
      <c r="L6" s="1953"/>
      <c r="M6" s="1953"/>
      <c r="N6" s="1953"/>
      <c r="O6" s="1953"/>
      <c r="P6" s="1953"/>
      <c r="Q6" s="1953"/>
      <c r="R6" s="1953"/>
      <c r="S6" s="1953"/>
      <c r="T6" s="1953"/>
      <c r="U6" s="1953"/>
      <c r="V6" s="1953"/>
      <c r="W6" s="1953"/>
      <c r="X6" s="1953"/>
      <c r="Y6" s="1953"/>
      <c r="Z6" s="1953"/>
      <c r="AA6" s="1953"/>
      <c r="AB6" s="1953"/>
      <c r="AC6" s="1953"/>
      <c r="AD6" s="1953"/>
      <c r="AE6" s="1953"/>
      <c r="AF6" s="1953"/>
      <c r="AG6" s="1953"/>
      <c r="AH6" s="1953"/>
      <c r="AI6" s="1953"/>
      <c r="AJ6" s="1953"/>
      <c r="AK6" s="1953"/>
      <c r="AL6" s="1953"/>
      <c r="AM6" s="1770"/>
      <c r="AN6" s="1701"/>
      <c r="AO6" s="1701"/>
      <c r="AP6" s="1701"/>
      <c r="AQ6" s="136"/>
      <c r="AR6" s="1376">
        <f t="shared" ref="AR6:AR21" si="0">+AR5+1</f>
        <v>2026</v>
      </c>
      <c r="AS6" s="1377">
        <f t="shared" ref="AS6:AV10" si="1">AS5*1.035</f>
        <v>10350</v>
      </c>
      <c r="AT6" s="1377">
        <f t="shared" si="1"/>
        <v>4140</v>
      </c>
      <c r="AU6" s="1377">
        <f t="shared" si="1"/>
        <v>337.40999999999997</v>
      </c>
      <c r="AV6" s="1377">
        <f t="shared" si="1"/>
        <v>1031.895</v>
      </c>
      <c r="AW6" s="1377">
        <f t="shared" ref="AW6:AW21" si="2">AW5*1.025</f>
        <v>5095.2749999999996</v>
      </c>
      <c r="AX6" s="1377">
        <f t="shared" ref="AX6:AX21" si="3">AX5*1.025</f>
        <v>3821.2</v>
      </c>
      <c r="AY6" s="1377">
        <f t="shared" ref="AY6:AY21" si="4">AY5*1.025</f>
        <v>1313.0249999999999</v>
      </c>
      <c r="AZ6" s="1378">
        <f t="shared" ref="AZ6:AZ21" si="5">AZ5*1.025</f>
        <v>312.625</v>
      </c>
      <c r="BA6" s="1701"/>
    </row>
    <row r="7" spans="2:53" ht="82.35" hidden="1" customHeight="1">
      <c r="B7" s="2726" t="s">
        <v>1804</v>
      </c>
      <c r="C7" s="1877"/>
      <c r="D7" s="1877"/>
      <c r="E7" s="1877"/>
      <c r="F7" s="1877"/>
      <c r="G7" s="1877"/>
      <c r="H7" s="1877"/>
      <c r="I7" s="1877"/>
      <c r="J7" s="1877"/>
      <c r="K7" s="1877"/>
      <c r="L7" s="1877"/>
      <c r="M7" s="1877"/>
      <c r="N7" s="1877"/>
      <c r="O7" s="1877"/>
      <c r="P7" s="1877"/>
      <c r="Q7" s="1877"/>
      <c r="R7" s="1877"/>
      <c r="S7" s="1877"/>
      <c r="T7" s="1877"/>
      <c r="U7" s="1877"/>
      <c r="V7" s="1877"/>
      <c r="W7" s="1877"/>
      <c r="X7" s="1877"/>
      <c r="Y7" s="1877"/>
      <c r="Z7" s="1877"/>
      <c r="AA7" s="1877"/>
      <c r="AB7" s="1877"/>
      <c r="AC7" s="1877"/>
      <c r="AD7" s="1877"/>
      <c r="AE7" s="1877"/>
      <c r="AF7" s="1877"/>
      <c r="AG7" s="1877"/>
      <c r="AH7" s="1877"/>
      <c r="AI7" s="1877"/>
      <c r="AJ7" s="1877"/>
      <c r="AK7" s="1877"/>
      <c r="AL7" s="1877"/>
      <c r="AM7" s="1772"/>
      <c r="AN7" s="1701"/>
      <c r="AO7" s="1701"/>
      <c r="AP7" s="1701"/>
      <c r="AQ7" s="1701"/>
      <c r="AR7" s="1376">
        <f t="shared" si="0"/>
        <v>2027</v>
      </c>
      <c r="AS7" s="1377">
        <f t="shared" si="1"/>
        <v>10712.25</v>
      </c>
      <c r="AT7" s="1377">
        <f t="shared" si="1"/>
        <v>4284.8999999999996</v>
      </c>
      <c r="AU7" s="1377">
        <f t="shared" si="1"/>
        <v>349.21934999999996</v>
      </c>
      <c r="AV7" s="1377">
        <f t="shared" si="1"/>
        <v>1068.0113249999999</v>
      </c>
      <c r="AW7" s="1377">
        <f t="shared" si="2"/>
        <v>5222.6568749999988</v>
      </c>
      <c r="AX7" s="1377">
        <f t="shared" si="3"/>
        <v>3916.7299999999996</v>
      </c>
      <c r="AY7" s="1377">
        <f t="shared" si="4"/>
        <v>1345.8506249999998</v>
      </c>
      <c r="AZ7" s="1378">
        <f t="shared" si="5"/>
        <v>320.44062499999995</v>
      </c>
      <c r="BA7" s="1701"/>
    </row>
    <row r="8" spans="2:53" ht="9" customHeight="1">
      <c r="B8" s="642"/>
      <c r="C8" s="642"/>
      <c r="D8" s="642"/>
      <c r="E8" s="642"/>
      <c r="F8" s="642"/>
      <c r="G8" s="642"/>
      <c r="H8" s="642"/>
      <c r="I8" s="642"/>
      <c r="J8" s="642"/>
      <c r="K8" s="642"/>
      <c r="L8" s="642"/>
      <c r="M8" s="642"/>
      <c r="N8" s="642"/>
      <c r="O8" s="642"/>
      <c r="P8" s="642"/>
      <c r="Q8" s="642"/>
      <c r="R8" s="642"/>
      <c r="S8" s="642"/>
      <c r="T8" s="642"/>
      <c r="U8" s="642"/>
      <c r="V8" s="642"/>
      <c r="W8" s="642"/>
      <c r="X8" s="642"/>
      <c r="Y8" s="642"/>
      <c r="Z8" s="642"/>
      <c r="AA8" s="642"/>
      <c r="AB8" s="642"/>
      <c r="AC8" s="642"/>
      <c r="AD8" s="642"/>
      <c r="AE8" s="642"/>
      <c r="AF8" s="642"/>
      <c r="AG8" s="642"/>
      <c r="AH8" s="642"/>
      <c r="AI8" s="642"/>
      <c r="AJ8" s="642"/>
      <c r="AK8" s="642"/>
      <c r="AL8" s="642"/>
      <c r="AM8" s="642"/>
      <c r="AN8" s="1701"/>
      <c r="AO8" s="1701"/>
      <c r="AP8" s="1701"/>
      <c r="AQ8" s="1701"/>
      <c r="AR8" s="1376">
        <f t="shared" si="0"/>
        <v>2028</v>
      </c>
      <c r="AS8" s="1377">
        <f t="shared" si="1"/>
        <v>11087.178749999999</v>
      </c>
      <c r="AT8" s="1377">
        <f t="shared" si="1"/>
        <v>4434.8714999999993</v>
      </c>
      <c r="AU8" s="1377">
        <f t="shared" si="1"/>
        <v>361.44202724999991</v>
      </c>
      <c r="AV8" s="1377">
        <f t="shared" si="1"/>
        <v>1105.3917213749999</v>
      </c>
      <c r="AW8" s="1377">
        <f t="shared" si="2"/>
        <v>5353.2232968749986</v>
      </c>
      <c r="AX8" s="1377">
        <f t="shared" si="3"/>
        <v>4014.6482499999993</v>
      </c>
      <c r="AY8" s="1377">
        <f t="shared" si="4"/>
        <v>1379.4968906249997</v>
      </c>
      <c r="AZ8" s="1378">
        <f t="shared" si="5"/>
        <v>328.45164062499992</v>
      </c>
      <c r="BA8" s="1701"/>
    </row>
    <row r="9" spans="2:53" ht="36" hidden="1" customHeight="1">
      <c r="B9" s="2711" t="s">
        <v>1805</v>
      </c>
      <c r="C9" s="1777"/>
      <c r="D9" s="1777"/>
      <c r="E9" s="1777"/>
      <c r="F9" s="1777"/>
      <c r="G9" s="1777"/>
      <c r="H9" s="1777"/>
      <c r="I9" s="1778"/>
      <c r="J9" s="2733" t="s">
        <v>1806</v>
      </c>
      <c r="K9" s="1777"/>
      <c r="L9" s="1777"/>
      <c r="M9" s="1778"/>
      <c r="N9" s="2714">
        <f>TotalUnits</f>
        <v>0</v>
      </c>
      <c r="O9" s="1778"/>
      <c r="P9" s="2716" t="s">
        <v>1807</v>
      </c>
      <c r="Q9" s="1777"/>
      <c r="R9" s="1777"/>
      <c r="S9" s="1777"/>
      <c r="T9" s="1777"/>
      <c r="U9" s="1777"/>
      <c r="V9" s="1777"/>
      <c r="W9" s="1777"/>
      <c r="X9" s="1777"/>
      <c r="Y9" s="1777"/>
      <c r="Z9" s="1777"/>
      <c r="AA9" s="1778"/>
      <c r="AB9" s="1873"/>
      <c r="AC9" s="1862"/>
      <c r="AD9" s="2715" t="s">
        <v>276</v>
      </c>
      <c r="AE9" s="1778"/>
      <c r="AF9" s="2715" t="s">
        <v>1808</v>
      </c>
      <c r="AG9" s="1777"/>
      <c r="AH9" s="1778"/>
      <c r="AI9" s="2715" t="s">
        <v>1809</v>
      </c>
      <c r="AJ9" s="1777"/>
      <c r="AK9" s="1777"/>
      <c r="AL9" s="1777"/>
      <c r="AM9" s="1778"/>
      <c r="AN9" s="1701"/>
      <c r="AO9" s="1701"/>
      <c r="AP9" s="1701"/>
      <c r="AQ9" s="1701"/>
      <c r="AR9" s="1376">
        <f t="shared" si="0"/>
        <v>2029</v>
      </c>
      <c r="AS9" s="1377">
        <f t="shared" si="1"/>
        <v>11475.230006249998</v>
      </c>
      <c r="AT9" s="1377">
        <f t="shared" si="1"/>
        <v>4590.0920024999987</v>
      </c>
      <c r="AU9" s="1377">
        <f t="shared" si="1"/>
        <v>374.09249820374987</v>
      </c>
      <c r="AV9" s="1377">
        <f t="shared" si="1"/>
        <v>1144.0804316231247</v>
      </c>
      <c r="AW9" s="1377">
        <f t="shared" si="2"/>
        <v>5487.0538792968728</v>
      </c>
      <c r="AX9" s="1377">
        <f t="shared" si="3"/>
        <v>4115.0144562499991</v>
      </c>
      <c r="AY9" s="1377">
        <f t="shared" si="4"/>
        <v>1413.9843128906246</v>
      </c>
      <c r="AZ9" s="1378">
        <f t="shared" si="5"/>
        <v>336.66293164062489</v>
      </c>
      <c r="BA9" s="1701"/>
    </row>
    <row r="10" spans="2:53" ht="190.5" hidden="1" customHeight="1">
      <c r="B10" s="2713" t="s">
        <v>1810</v>
      </c>
      <c r="C10" s="1777"/>
      <c r="D10" s="1777"/>
      <c r="E10" s="1777"/>
      <c r="F10" s="1777"/>
      <c r="G10" s="1777"/>
      <c r="H10" s="1777"/>
      <c r="I10" s="1777"/>
      <c r="J10" s="1777"/>
      <c r="K10" s="1777"/>
      <c r="L10" s="1777"/>
      <c r="M10" s="1777"/>
      <c r="N10" s="1777"/>
      <c r="O10" s="1777"/>
      <c r="P10" s="1777"/>
      <c r="Q10" s="1777"/>
      <c r="R10" s="1777"/>
      <c r="S10" s="1777"/>
      <c r="T10" s="1777"/>
      <c r="U10" s="1777"/>
      <c r="V10" s="1777"/>
      <c r="W10" s="1777"/>
      <c r="X10" s="1777"/>
      <c r="Y10" s="1777"/>
      <c r="Z10" s="1777"/>
      <c r="AA10" s="1777"/>
      <c r="AB10" s="1777"/>
      <c r="AC10" s="1778"/>
      <c r="AD10" s="2709"/>
      <c r="AE10" s="1862"/>
      <c r="AF10" s="2452">
        <f>IFERROR(VLOOKUP(AB9,SSCLNotice2405[],2,FALSE),0)</f>
        <v>0</v>
      </c>
      <c r="AG10" s="1777"/>
      <c r="AH10" s="1778"/>
      <c r="AI10" s="2452">
        <f>IFERROR(AF10*AD10,"")</f>
        <v>0</v>
      </c>
      <c r="AJ10" s="1777"/>
      <c r="AK10" s="1777"/>
      <c r="AL10" s="1777"/>
      <c r="AM10" s="1778"/>
      <c r="AN10" s="1701"/>
      <c r="AO10" s="1701"/>
      <c r="AP10" s="1701"/>
      <c r="AQ10" s="1701"/>
      <c r="AR10" s="1376">
        <f t="shared" si="0"/>
        <v>2030</v>
      </c>
      <c r="AS10" s="1377">
        <f t="shared" si="1"/>
        <v>11876.863056468746</v>
      </c>
      <c r="AT10" s="1377">
        <f t="shared" si="1"/>
        <v>4750.7452225874986</v>
      </c>
      <c r="AU10" s="1377">
        <f t="shared" si="1"/>
        <v>387.18573564088109</v>
      </c>
      <c r="AV10" s="1377">
        <f t="shared" si="1"/>
        <v>1184.123246729934</v>
      </c>
      <c r="AW10" s="1377">
        <f t="shared" si="2"/>
        <v>5624.2302262792937</v>
      </c>
      <c r="AX10" s="1377">
        <f t="shared" si="3"/>
        <v>4217.8898176562489</v>
      </c>
      <c r="AY10" s="1377">
        <f t="shared" si="4"/>
        <v>1449.3339207128899</v>
      </c>
      <c r="AZ10" s="1378">
        <f t="shared" si="5"/>
        <v>345.07950493164049</v>
      </c>
      <c r="BA10" s="1701"/>
    </row>
    <row r="11" spans="2:53" ht="129.6" hidden="1" customHeight="1">
      <c r="B11" s="2314" t="s">
        <v>1811</v>
      </c>
      <c r="C11" s="2706"/>
      <c r="D11" s="2706"/>
      <c r="E11" s="2706"/>
      <c r="F11" s="2706"/>
      <c r="G11" s="2706"/>
      <c r="H11" s="2706"/>
      <c r="I11" s="2706"/>
      <c r="J11" s="2706"/>
      <c r="K11" s="2706"/>
      <c r="L11" s="2706"/>
      <c r="M11" s="2706"/>
      <c r="N11" s="2706"/>
      <c r="O11" s="2706"/>
      <c r="P11" s="2706"/>
      <c r="Q11" s="2706"/>
      <c r="R11" s="2706"/>
      <c r="S11" s="2706"/>
      <c r="T11" s="2706"/>
      <c r="U11" s="2706"/>
      <c r="V11" s="2706"/>
      <c r="W11" s="2706"/>
      <c r="X11" s="2706"/>
      <c r="Y11" s="2706"/>
      <c r="Z11" s="2706"/>
      <c r="AA11" s="2706"/>
      <c r="AB11" s="2706"/>
      <c r="AC11" s="2706"/>
      <c r="AD11" s="2709"/>
      <c r="AE11" s="1862"/>
      <c r="AF11" s="2452">
        <f>IFERROR(VLOOKUP(AB9,SSCLNotice2405[],3,FALSE),0)</f>
        <v>0</v>
      </c>
      <c r="AG11" s="1777"/>
      <c r="AH11" s="1778"/>
      <c r="AI11" s="2452">
        <f>IFERROR(AF11*AD11,"")</f>
        <v>0</v>
      </c>
      <c r="AJ11" s="1777"/>
      <c r="AK11" s="1777"/>
      <c r="AL11" s="1777"/>
      <c r="AM11" s="1778"/>
      <c r="AN11" s="1701"/>
      <c r="AO11" s="1701"/>
      <c r="AP11" s="1701"/>
      <c r="AQ11" s="1701"/>
      <c r="AR11" s="1376">
        <f t="shared" si="0"/>
        <v>2031</v>
      </c>
      <c r="AS11" s="1377">
        <f t="shared" ref="AS11:AS21" si="6">AS10*1.025</f>
        <v>12173.784632880464</v>
      </c>
      <c r="AT11" s="1377">
        <f t="shared" ref="AT11:AT21" si="7">AT10*1.025</f>
        <v>4869.5138531521852</v>
      </c>
      <c r="AU11" s="1377">
        <f t="shared" ref="AU11:AU21" si="8">AU10*1.025</f>
        <v>396.8653790319031</v>
      </c>
      <c r="AV11" s="1377">
        <f t="shared" ref="AV11:AV21" si="9">AV10*1.035</f>
        <v>1225.5675603654815</v>
      </c>
      <c r="AW11" s="1377">
        <f t="shared" si="2"/>
        <v>5764.8359819362759</v>
      </c>
      <c r="AX11" s="1377">
        <f t="shared" si="3"/>
        <v>4323.3370630976551</v>
      </c>
      <c r="AY11" s="1377">
        <f t="shared" si="4"/>
        <v>1485.5672687307122</v>
      </c>
      <c r="AZ11" s="1378">
        <f t="shared" si="5"/>
        <v>353.70649255493146</v>
      </c>
      <c r="BA11" s="1701"/>
    </row>
    <row r="12" spans="2:53" ht="100.5" hidden="1" customHeight="1">
      <c r="B12" s="2713" t="s">
        <v>1812</v>
      </c>
      <c r="C12" s="1777"/>
      <c r="D12" s="1777"/>
      <c r="E12" s="1777"/>
      <c r="F12" s="1777"/>
      <c r="G12" s="1777"/>
      <c r="H12" s="1777"/>
      <c r="I12" s="1777"/>
      <c r="J12" s="1777"/>
      <c r="K12" s="1777"/>
      <c r="L12" s="1777"/>
      <c r="M12" s="1777"/>
      <c r="N12" s="1777"/>
      <c r="O12" s="1777"/>
      <c r="P12" s="1777"/>
      <c r="Q12" s="1777"/>
      <c r="R12" s="1777"/>
      <c r="S12" s="1777"/>
      <c r="T12" s="1777"/>
      <c r="U12" s="1777"/>
      <c r="V12" s="1777"/>
      <c r="W12" s="1777"/>
      <c r="X12" s="1777"/>
      <c r="Y12" s="1777"/>
      <c r="Z12" s="1777"/>
      <c r="AA12" s="1777"/>
      <c r="AB12" s="1777"/>
      <c r="AC12" s="1778"/>
      <c r="AD12" s="2709"/>
      <c r="AE12" s="1862"/>
      <c r="AF12" s="2452">
        <f>IFERROR(IF(AL4&lt;&gt;"Yes",VLOOKUP(AB9,SSCLNotice2405[],4,FALSE),VLOOKUP(AB9,SSCLNotice2405[],5,FALSE)),0)</f>
        <v>0</v>
      </c>
      <c r="AG12" s="1777"/>
      <c r="AH12" s="1778"/>
      <c r="AI12" s="2452">
        <f>IFERROR(AF12*AD12,"")</f>
        <v>0</v>
      </c>
      <c r="AJ12" s="1777"/>
      <c r="AK12" s="1777"/>
      <c r="AL12" s="1777"/>
      <c r="AM12" s="1778"/>
      <c r="AN12" s="1701"/>
      <c r="AO12" s="1701"/>
      <c r="AP12" s="1701"/>
      <c r="AQ12" s="1701"/>
      <c r="AR12" s="1376">
        <f t="shared" si="0"/>
        <v>2032</v>
      </c>
      <c r="AS12" s="1377">
        <f t="shared" si="6"/>
        <v>12478.129248702475</v>
      </c>
      <c r="AT12" s="1377">
        <f t="shared" si="7"/>
        <v>4991.2516994809894</v>
      </c>
      <c r="AU12" s="1377">
        <f t="shared" si="8"/>
        <v>406.78701350770064</v>
      </c>
      <c r="AV12" s="1377">
        <f t="shared" si="9"/>
        <v>1268.4624249782732</v>
      </c>
      <c r="AW12" s="1377">
        <f t="shared" si="2"/>
        <v>5908.9568814846825</v>
      </c>
      <c r="AX12" s="1377">
        <f t="shared" si="3"/>
        <v>4431.4204896750962</v>
      </c>
      <c r="AY12" s="1377">
        <f t="shared" si="4"/>
        <v>1522.7064504489799</v>
      </c>
      <c r="AZ12" s="1378">
        <f t="shared" si="5"/>
        <v>362.54915486880469</v>
      </c>
      <c r="BA12" s="1701"/>
    </row>
    <row r="13" spans="2:53" ht="18" hidden="1" customHeight="1">
      <c r="B13" s="2711" t="s">
        <v>1813</v>
      </c>
      <c r="C13" s="1777"/>
      <c r="D13" s="1777"/>
      <c r="E13" s="1777"/>
      <c r="F13" s="1777"/>
      <c r="G13" s="1777"/>
      <c r="H13" s="1777"/>
      <c r="I13" s="1777"/>
      <c r="J13" s="1777"/>
      <c r="K13" s="1777"/>
      <c r="L13" s="1777"/>
      <c r="M13" s="1777"/>
      <c r="N13" s="1777"/>
      <c r="O13" s="1777"/>
      <c r="P13" s="1777"/>
      <c r="Q13" s="1777"/>
      <c r="R13" s="1777"/>
      <c r="S13" s="1777"/>
      <c r="T13" s="1777"/>
      <c r="U13" s="1777"/>
      <c r="V13" s="1777"/>
      <c r="W13" s="1777"/>
      <c r="X13" s="1777"/>
      <c r="Y13" s="1777"/>
      <c r="Z13" s="1777"/>
      <c r="AA13" s="1777"/>
      <c r="AB13" s="1777"/>
      <c r="AC13" s="1778"/>
      <c r="AD13" s="2719">
        <f>SUM(AD10:AE12)</f>
        <v>0</v>
      </c>
      <c r="AE13" s="1778"/>
      <c r="AF13" s="1886"/>
      <c r="AG13" s="1777"/>
      <c r="AH13" s="1778"/>
      <c r="AI13" s="2447">
        <f>SUM(AI10:AM12)</f>
        <v>0</v>
      </c>
      <c r="AJ13" s="1777"/>
      <c r="AK13" s="1777"/>
      <c r="AL13" s="1777"/>
      <c r="AM13" s="1778"/>
      <c r="AN13" s="1701"/>
      <c r="AO13" s="1701"/>
      <c r="AP13" s="1701"/>
      <c r="AQ13" s="1701"/>
      <c r="AR13" s="1376">
        <f t="shared" si="0"/>
        <v>2033</v>
      </c>
      <c r="AS13" s="1377">
        <f t="shared" si="6"/>
        <v>12790.082479920036</v>
      </c>
      <c r="AT13" s="1377">
        <f t="shared" si="7"/>
        <v>5116.0329919680134</v>
      </c>
      <c r="AU13" s="1377">
        <f t="shared" si="8"/>
        <v>416.9566888453931</v>
      </c>
      <c r="AV13" s="1377">
        <f t="shared" si="9"/>
        <v>1312.8586098525127</v>
      </c>
      <c r="AW13" s="1377">
        <f t="shared" si="2"/>
        <v>6056.6808035217991</v>
      </c>
      <c r="AX13" s="1377">
        <f t="shared" si="3"/>
        <v>4542.206001916973</v>
      </c>
      <c r="AY13" s="1377">
        <f t="shared" si="4"/>
        <v>1560.7741117102044</v>
      </c>
      <c r="AZ13" s="1378">
        <f t="shared" si="5"/>
        <v>371.61288374052475</v>
      </c>
      <c r="BA13" s="1701"/>
    </row>
    <row r="14" spans="2:53" ht="18" hidden="1" customHeight="1">
      <c r="B14" s="1701"/>
      <c r="C14" s="1701"/>
      <c r="D14" s="1701"/>
      <c r="E14" s="1701"/>
      <c r="F14" s="1701"/>
      <c r="G14" s="1701"/>
      <c r="H14" s="1701"/>
      <c r="I14" s="1701"/>
      <c r="J14" s="1701"/>
      <c r="K14" s="1701"/>
      <c r="L14" s="1701"/>
      <c r="M14" s="1701"/>
      <c r="N14" s="1701"/>
      <c r="O14" s="1701"/>
      <c r="P14" s="1701"/>
      <c r="Q14" s="1701"/>
      <c r="R14" s="1701"/>
      <c r="S14" s="1701"/>
      <c r="T14" s="1701"/>
      <c r="U14" s="1701"/>
      <c r="V14" s="1701"/>
      <c r="W14" s="1701"/>
      <c r="X14" s="1701"/>
      <c r="Y14" s="1701"/>
      <c r="Z14" s="1701"/>
      <c r="AA14" s="1701"/>
      <c r="AB14" s="1701"/>
      <c r="AC14" s="1701"/>
      <c r="AD14" s="1701"/>
      <c r="AE14" s="1701"/>
      <c r="AF14" s="1701"/>
      <c r="AG14" s="1701"/>
      <c r="AH14" s="1701"/>
      <c r="AI14" s="1701"/>
      <c r="AJ14" s="1701"/>
      <c r="AK14" s="1701"/>
      <c r="AL14" s="1701"/>
      <c r="AM14" s="1701"/>
      <c r="AN14" s="1701"/>
      <c r="AO14" s="1701"/>
      <c r="AP14" s="1701"/>
      <c r="AQ14" s="1701"/>
      <c r="AR14" s="1376">
        <f t="shared" si="0"/>
        <v>2034</v>
      </c>
      <c r="AS14" s="1377">
        <f t="shared" si="6"/>
        <v>13109.834541918037</v>
      </c>
      <c r="AT14" s="1377">
        <f t="shared" si="7"/>
        <v>5243.9338167672131</v>
      </c>
      <c r="AU14" s="1377">
        <f t="shared" si="8"/>
        <v>427.38060606652789</v>
      </c>
      <c r="AV14" s="1377">
        <f t="shared" si="9"/>
        <v>1358.8086611973506</v>
      </c>
      <c r="AW14" s="1377">
        <f t="shared" si="2"/>
        <v>6208.0978236098435</v>
      </c>
      <c r="AX14" s="1377">
        <f t="shared" si="3"/>
        <v>4655.7611519648972</v>
      </c>
      <c r="AY14" s="1377">
        <f t="shared" si="4"/>
        <v>1599.7934645029593</v>
      </c>
      <c r="AZ14" s="1378">
        <f t="shared" si="5"/>
        <v>380.90320583403786</v>
      </c>
      <c r="BA14" s="1701"/>
    </row>
    <row r="15" spans="2:53" ht="18" hidden="1" customHeight="1">
      <c r="B15" s="2711" t="s">
        <v>1814</v>
      </c>
      <c r="C15" s="1777"/>
      <c r="D15" s="1777"/>
      <c r="E15" s="1777"/>
      <c r="F15" s="1777"/>
      <c r="G15" s="1777"/>
      <c r="H15" s="1777"/>
      <c r="I15" s="1777"/>
      <c r="J15" s="1777"/>
      <c r="K15" s="1777"/>
      <c r="L15" s="1777"/>
      <c r="M15" s="1777"/>
      <c r="N15" s="1777"/>
      <c r="O15" s="1777"/>
      <c r="P15" s="1777"/>
      <c r="Q15" s="1777"/>
      <c r="R15" s="1777"/>
      <c r="S15" s="1777"/>
      <c r="T15" s="1777"/>
      <c r="U15" s="1777"/>
      <c r="V15" s="1777"/>
      <c r="W15" s="1777"/>
      <c r="X15" s="1777"/>
      <c r="Y15" s="1777"/>
      <c r="Z15" s="1777"/>
      <c r="AA15" s="1777"/>
      <c r="AB15" s="1777"/>
      <c r="AC15" s="1778"/>
      <c r="AD15" s="643"/>
      <c r="AE15" s="643"/>
      <c r="AF15" s="2722" t="s">
        <v>1815</v>
      </c>
      <c r="AG15" s="2706"/>
      <c r="AH15" s="2706"/>
      <c r="AI15" s="2706"/>
      <c r="AJ15" s="2706"/>
      <c r="AK15" s="1701"/>
      <c r="AL15" s="1701"/>
      <c r="AM15" s="1701"/>
      <c r="AN15" s="1701"/>
      <c r="AO15" s="1701"/>
      <c r="AP15" s="1701"/>
      <c r="AQ15" s="1701"/>
      <c r="AR15" s="1376">
        <f t="shared" si="0"/>
        <v>2035</v>
      </c>
      <c r="AS15" s="1377">
        <f t="shared" si="6"/>
        <v>13437.580405465987</v>
      </c>
      <c r="AT15" s="1377">
        <f t="shared" si="7"/>
        <v>5375.0321621863932</v>
      </c>
      <c r="AU15" s="1377">
        <f t="shared" si="8"/>
        <v>438.06512121819105</v>
      </c>
      <c r="AV15" s="1377">
        <f t="shared" si="9"/>
        <v>1406.3669643392577</v>
      </c>
      <c r="AW15" s="1377">
        <f t="shared" si="2"/>
        <v>6363.3002692000891</v>
      </c>
      <c r="AX15" s="1377">
        <f t="shared" si="3"/>
        <v>4772.155180764019</v>
      </c>
      <c r="AY15" s="1377">
        <f t="shared" si="4"/>
        <v>1639.7883011155332</v>
      </c>
      <c r="AZ15" s="1378">
        <f t="shared" si="5"/>
        <v>390.42578597988876</v>
      </c>
      <c r="BA15" s="1701"/>
    </row>
    <row r="16" spans="2:53" ht="18" hidden="1" customHeight="1">
      <c r="B16" s="1379" t="s">
        <v>613</v>
      </c>
      <c r="C16" s="2527" t="s">
        <v>1816</v>
      </c>
      <c r="D16" s="1877"/>
      <c r="E16" s="1877"/>
      <c r="F16" s="1877"/>
      <c r="G16" s="1877"/>
      <c r="H16" s="1877"/>
      <c r="I16" s="1877"/>
      <c r="J16" s="1877"/>
      <c r="K16" s="1877"/>
      <c r="L16" s="1877"/>
      <c r="M16" s="1877"/>
      <c r="N16" s="1877"/>
      <c r="O16" s="1877"/>
      <c r="P16" s="1877"/>
      <c r="Q16" s="1877"/>
      <c r="R16" s="1877"/>
      <c r="S16" s="1877"/>
      <c r="T16" s="1877"/>
      <c r="U16" s="1877"/>
      <c r="V16" s="1877"/>
      <c r="W16" s="1877"/>
      <c r="X16" s="1877"/>
      <c r="Y16" s="1877"/>
      <c r="Z16" s="1772"/>
      <c r="AA16" s="2721">
        <f>'Operating Budget'!E106</f>
        <v>0</v>
      </c>
      <c r="AB16" s="1877"/>
      <c r="AC16" s="1772"/>
      <c r="AD16" s="2718" t="s">
        <v>1817</v>
      </c>
      <c r="AE16" s="2706"/>
      <c r="AF16" s="2708">
        <f>(AA17+AA18)*0.15</f>
        <v>0</v>
      </c>
      <c r="AG16" s="2706"/>
      <c r="AH16" s="2706"/>
      <c r="AI16" s="2706"/>
      <c r="AJ16" s="2706"/>
      <c r="AK16" s="1701"/>
      <c r="AL16" s="1701"/>
      <c r="AM16" s="1701"/>
      <c r="AN16" s="1701"/>
      <c r="AO16" s="1701"/>
      <c r="AP16" s="1701"/>
      <c r="AQ16" s="1701"/>
      <c r="AR16" s="1376">
        <f t="shared" si="0"/>
        <v>2036</v>
      </c>
      <c r="AS16" s="1377">
        <f t="shared" si="6"/>
        <v>13773.519915602636</v>
      </c>
      <c r="AT16" s="1377">
        <f t="shared" si="7"/>
        <v>5509.4079662410522</v>
      </c>
      <c r="AU16" s="1377">
        <f t="shared" si="8"/>
        <v>449.01674924864579</v>
      </c>
      <c r="AV16" s="1377">
        <f t="shared" si="9"/>
        <v>1455.5898080911315</v>
      </c>
      <c r="AW16" s="1377">
        <f t="shared" si="2"/>
        <v>6522.3827759300912</v>
      </c>
      <c r="AX16" s="1377">
        <f t="shared" si="3"/>
        <v>4891.4590602831186</v>
      </c>
      <c r="AY16" s="1377">
        <f t="shared" si="4"/>
        <v>1680.7830086434215</v>
      </c>
      <c r="AZ16" s="1378">
        <f t="shared" si="5"/>
        <v>400.18643062938594</v>
      </c>
      <c r="BA16" s="1701"/>
    </row>
    <row r="17" spans="2:53" ht="18" hidden="1" customHeight="1">
      <c r="B17" s="1380" t="s">
        <v>615</v>
      </c>
      <c r="C17" s="2029" t="s">
        <v>1818</v>
      </c>
      <c r="D17" s="1777"/>
      <c r="E17" s="1777"/>
      <c r="F17" s="1777"/>
      <c r="G17" s="1777"/>
      <c r="H17" s="1777"/>
      <c r="I17" s="1777"/>
      <c r="J17" s="1777"/>
      <c r="K17" s="1777"/>
      <c r="L17" s="1777"/>
      <c r="M17" s="1777"/>
      <c r="N17" s="1777"/>
      <c r="O17" s="1777"/>
      <c r="P17" s="1777"/>
      <c r="Q17" s="1777"/>
      <c r="R17" s="1777"/>
      <c r="S17" s="1777"/>
      <c r="T17" s="1777"/>
      <c r="U17" s="1777"/>
      <c r="V17" s="1777"/>
      <c r="W17" s="1777"/>
      <c r="X17" s="1777"/>
      <c r="Y17" s="1777"/>
      <c r="Z17" s="1778"/>
      <c r="AA17" s="2073">
        <f>'Operating Budget'!E107</f>
        <v>0</v>
      </c>
      <c r="AB17" s="1777"/>
      <c r="AC17" s="1778"/>
      <c r="AD17" s="643"/>
      <c r="AE17" s="643"/>
      <c r="AF17" s="644"/>
      <c r="AG17" s="645"/>
      <c r="AH17" s="645"/>
      <c r="AI17" s="645"/>
      <c r="AJ17" s="645"/>
      <c r="AK17" s="1701"/>
      <c r="AL17" s="1701"/>
      <c r="AM17" s="1701"/>
      <c r="AN17" s="1701"/>
      <c r="AO17" s="1701"/>
      <c r="AP17" s="1701"/>
      <c r="AQ17" s="1701"/>
      <c r="AR17" s="1376">
        <f t="shared" si="0"/>
        <v>2037</v>
      </c>
      <c r="AS17" s="1377">
        <f t="shared" si="6"/>
        <v>14117.8579134927</v>
      </c>
      <c r="AT17" s="1377">
        <f t="shared" si="7"/>
        <v>5647.1431653970776</v>
      </c>
      <c r="AU17" s="1377">
        <f t="shared" si="8"/>
        <v>460.2421679798619</v>
      </c>
      <c r="AV17" s="1377">
        <f t="shared" si="9"/>
        <v>1506.5354513743209</v>
      </c>
      <c r="AW17" s="1377">
        <f t="shared" si="2"/>
        <v>6685.4423453283425</v>
      </c>
      <c r="AX17" s="1377">
        <f t="shared" si="3"/>
        <v>5013.7455367901957</v>
      </c>
      <c r="AY17" s="1377">
        <f t="shared" si="4"/>
        <v>1722.8025838595067</v>
      </c>
      <c r="AZ17" s="1378">
        <f t="shared" si="5"/>
        <v>410.19109139512057</v>
      </c>
      <c r="BA17" s="1701"/>
    </row>
    <row r="18" spans="2:53" ht="18" hidden="1" customHeight="1">
      <c r="B18" s="1380" t="s">
        <v>617</v>
      </c>
      <c r="C18" s="2029" t="s">
        <v>1819</v>
      </c>
      <c r="D18" s="1777"/>
      <c r="E18" s="1777"/>
      <c r="F18" s="1777"/>
      <c r="G18" s="1777"/>
      <c r="H18" s="1777"/>
      <c r="I18" s="1777"/>
      <c r="J18" s="1777"/>
      <c r="K18" s="1777"/>
      <c r="L18" s="1777"/>
      <c r="M18" s="1777"/>
      <c r="N18" s="1777"/>
      <c r="O18" s="1777"/>
      <c r="P18" s="1777"/>
      <c r="Q18" s="1777"/>
      <c r="R18" s="1777"/>
      <c r="S18" s="1777"/>
      <c r="T18" s="1777"/>
      <c r="U18" s="1777"/>
      <c r="V18" s="1777"/>
      <c r="W18" s="1777"/>
      <c r="X18" s="1777"/>
      <c r="Y18" s="1777"/>
      <c r="Z18" s="1778"/>
      <c r="AA18" s="2073">
        <f>'Operating Budget'!E108</f>
        <v>0</v>
      </c>
      <c r="AB18" s="1777"/>
      <c r="AC18" s="1778"/>
      <c r="AD18" s="643"/>
      <c r="AE18" s="643"/>
      <c r="AF18" s="644"/>
      <c r="AG18" s="645"/>
      <c r="AH18" s="645"/>
      <c r="AI18" s="645"/>
      <c r="AJ18" s="645"/>
      <c r="AK18" s="1701"/>
      <c r="AL18" s="1701"/>
      <c r="AM18" s="1701"/>
      <c r="AN18" s="1701"/>
      <c r="AO18" s="1701"/>
      <c r="AP18" s="1701"/>
      <c r="AQ18" s="1701"/>
      <c r="AR18" s="1376">
        <f t="shared" si="0"/>
        <v>2038</v>
      </c>
      <c r="AS18" s="1377">
        <f t="shared" si="6"/>
        <v>14470.804361330016</v>
      </c>
      <c r="AT18" s="1377">
        <f t="shared" si="7"/>
        <v>5788.3217445320042</v>
      </c>
      <c r="AU18" s="1377">
        <f t="shared" si="8"/>
        <v>471.74822217935844</v>
      </c>
      <c r="AV18" s="1377">
        <f t="shared" si="9"/>
        <v>1559.2641921724221</v>
      </c>
      <c r="AW18" s="1377">
        <f t="shared" si="2"/>
        <v>6852.5784039615501</v>
      </c>
      <c r="AX18" s="1377">
        <f t="shared" si="3"/>
        <v>5139.0891752099506</v>
      </c>
      <c r="AY18" s="1377">
        <f t="shared" si="4"/>
        <v>1765.8726484559943</v>
      </c>
      <c r="AZ18" s="1378">
        <f t="shared" si="5"/>
        <v>420.44586867999857</v>
      </c>
      <c r="BA18" s="1701"/>
    </row>
    <row r="19" spans="2:53" ht="18" hidden="1" customHeight="1">
      <c r="B19" s="1380" t="s">
        <v>634</v>
      </c>
      <c r="C19" s="2712" t="str">
        <f>'Operating Budget'!D110</f>
        <v>Other Supportive Services Costs: (Specify)</v>
      </c>
      <c r="D19" s="1777"/>
      <c r="E19" s="1777"/>
      <c r="F19" s="1777"/>
      <c r="G19" s="1777"/>
      <c r="H19" s="1777"/>
      <c r="I19" s="1777"/>
      <c r="J19" s="1777"/>
      <c r="K19" s="1777"/>
      <c r="L19" s="1777"/>
      <c r="M19" s="1777"/>
      <c r="N19" s="1777"/>
      <c r="O19" s="1777"/>
      <c r="P19" s="1777"/>
      <c r="Q19" s="1777"/>
      <c r="R19" s="1777"/>
      <c r="S19" s="1777"/>
      <c r="T19" s="1777"/>
      <c r="U19" s="1777"/>
      <c r="V19" s="1777"/>
      <c r="W19" s="1777"/>
      <c r="X19" s="1777"/>
      <c r="Y19" s="1777"/>
      <c r="Z19" s="1778"/>
      <c r="AA19" s="2073">
        <f>'Operating Budget'!E110</f>
        <v>0</v>
      </c>
      <c r="AB19" s="1777"/>
      <c r="AC19" s="1778"/>
      <c r="AD19" s="643"/>
      <c r="AE19" s="643"/>
      <c r="AF19" s="645"/>
      <c r="AG19" s="645"/>
      <c r="AH19" s="645"/>
      <c r="AI19" s="645"/>
      <c r="AJ19" s="645"/>
      <c r="AK19" s="1701"/>
      <c r="AL19" s="1701"/>
      <c r="AM19" s="1701"/>
      <c r="AN19" s="1701"/>
      <c r="AO19" s="1701"/>
      <c r="AP19" s="1701"/>
      <c r="AQ19" s="1701"/>
      <c r="AR19" s="1376">
        <f t="shared" si="0"/>
        <v>2039</v>
      </c>
      <c r="AS19" s="1377">
        <f t="shared" si="6"/>
        <v>14832.574470363264</v>
      </c>
      <c r="AT19" s="1377">
        <f t="shared" si="7"/>
        <v>5933.0297881453034</v>
      </c>
      <c r="AU19" s="1377">
        <f t="shared" si="8"/>
        <v>483.54192773384233</v>
      </c>
      <c r="AV19" s="1377">
        <f t="shared" si="9"/>
        <v>1613.8384388984568</v>
      </c>
      <c r="AW19" s="1377">
        <f t="shared" si="2"/>
        <v>7023.8928640605882</v>
      </c>
      <c r="AX19" s="1377">
        <f t="shared" si="3"/>
        <v>5267.5664045901985</v>
      </c>
      <c r="AY19" s="1377">
        <f t="shared" si="4"/>
        <v>1810.019464667394</v>
      </c>
      <c r="AZ19" s="1378">
        <f t="shared" si="5"/>
        <v>430.95701539699849</v>
      </c>
      <c r="BA19" s="1701"/>
    </row>
    <row r="20" spans="2:53" ht="18" hidden="1" customHeight="1">
      <c r="B20" s="1380" t="s">
        <v>1820</v>
      </c>
      <c r="C20" s="2712" t="str">
        <f>'Operating Budget'!D111</f>
        <v>Other Supportive Services Costs: (Specify)</v>
      </c>
      <c r="D20" s="1777"/>
      <c r="E20" s="1777"/>
      <c r="F20" s="1777"/>
      <c r="G20" s="1777"/>
      <c r="H20" s="1777"/>
      <c r="I20" s="1777"/>
      <c r="J20" s="1777"/>
      <c r="K20" s="1777"/>
      <c r="L20" s="1777"/>
      <c r="M20" s="1777"/>
      <c r="N20" s="1777"/>
      <c r="O20" s="1777"/>
      <c r="P20" s="1777"/>
      <c r="Q20" s="1777"/>
      <c r="R20" s="1777"/>
      <c r="S20" s="1777"/>
      <c r="T20" s="1777"/>
      <c r="U20" s="1777"/>
      <c r="V20" s="1777"/>
      <c r="W20" s="1777"/>
      <c r="X20" s="1777"/>
      <c r="Y20" s="1777"/>
      <c r="Z20" s="1778"/>
      <c r="AA20" s="2073">
        <f>'Operating Budget'!E111</f>
        <v>0</v>
      </c>
      <c r="AB20" s="1777"/>
      <c r="AC20" s="1778"/>
      <c r="AD20" s="643"/>
      <c r="AE20" s="643"/>
      <c r="AF20" s="645"/>
      <c r="AG20" s="645"/>
      <c r="AH20" s="645"/>
      <c r="AI20" s="645"/>
      <c r="AJ20" s="645"/>
      <c r="AK20" s="1701"/>
      <c r="AL20" s="1701"/>
      <c r="AM20" s="1701"/>
      <c r="AN20" s="1673"/>
      <c r="AO20" s="1673"/>
      <c r="AP20" s="1673"/>
      <c r="AQ20" s="1673"/>
      <c r="AR20" s="1376">
        <f t="shared" si="0"/>
        <v>2040</v>
      </c>
      <c r="AS20" s="1377">
        <f t="shared" si="6"/>
        <v>15203.388832122344</v>
      </c>
      <c r="AT20" s="1377">
        <f t="shared" si="7"/>
        <v>6081.3555328489356</v>
      </c>
      <c r="AU20" s="1377">
        <f t="shared" si="8"/>
        <v>495.63047592718834</v>
      </c>
      <c r="AV20" s="1377">
        <f t="shared" si="9"/>
        <v>1670.3227842599026</v>
      </c>
      <c r="AW20" s="1377">
        <f t="shared" si="2"/>
        <v>7199.4901856621027</v>
      </c>
      <c r="AX20" s="1377">
        <f t="shared" si="3"/>
        <v>5399.255564704953</v>
      </c>
      <c r="AY20" s="1377">
        <f t="shared" si="4"/>
        <v>1855.2699512840786</v>
      </c>
      <c r="AZ20" s="1378">
        <f t="shared" si="5"/>
        <v>441.73094078192344</v>
      </c>
      <c r="BA20" s="1673"/>
    </row>
    <row r="21" spans="2:53" ht="36" hidden="1" customHeight="1">
      <c r="B21" s="1380" t="s">
        <v>1821</v>
      </c>
      <c r="C21" s="2173" t="s">
        <v>1822</v>
      </c>
      <c r="D21" s="1777"/>
      <c r="E21" s="1777"/>
      <c r="F21" s="1777"/>
      <c r="G21" s="1777"/>
      <c r="H21" s="1777"/>
      <c r="I21" s="1777"/>
      <c r="J21" s="1777"/>
      <c r="K21" s="1777"/>
      <c r="L21" s="1777"/>
      <c r="M21" s="1777"/>
      <c r="N21" s="1777"/>
      <c r="O21" s="1777"/>
      <c r="P21" s="1777"/>
      <c r="Q21" s="1777"/>
      <c r="R21" s="1777"/>
      <c r="S21" s="1777"/>
      <c r="T21" s="1777"/>
      <c r="U21" s="1777"/>
      <c r="V21" s="1777"/>
      <c r="W21" s="1777"/>
      <c r="X21" s="1777"/>
      <c r="Y21" s="1777"/>
      <c r="Z21" s="1778"/>
      <c r="AA21" s="2730">
        <f>'Operating Budget'!E109</f>
        <v>0</v>
      </c>
      <c r="AB21" s="1777"/>
      <c r="AC21" s="1778"/>
      <c r="AD21" s="2718" t="s">
        <v>1817</v>
      </c>
      <c r="AE21" s="2706"/>
      <c r="AF21" s="2708">
        <f>SUM(AA16:AC21)*0.15</f>
        <v>0</v>
      </c>
      <c r="AG21" s="2706"/>
      <c r="AH21" s="2706"/>
      <c r="AI21" s="2706"/>
      <c r="AJ21" s="2706"/>
      <c r="AK21" s="1673"/>
      <c r="AL21" s="1673"/>
      <c r="AM21" s="1673"/>
      <c r="AN21" s="1701"/>
      <c r="AO21" s="1701"/>
      <c r="AP21" s="1701"/>
      <c r="AQ21" s="1701"/>
      <c r="AR21" s="1381">
        <f t="shared" si="0"/>
        <v>2041</v>
      </c>
      <c r="AS21" s="1382">
        <f t="shared" si="6"/>
        <v>15583.473552925401</v>
      </c>
      <c r="AT21" s="1382">
        <f t="shared" si="7"/>
        <v>6233.3894211701581</v>
      </c>
      <c r="AU21" s="1382">
        <f t="shared" si="8"/>
        <v>508.02123782536802</v>
      </c>
      <c r="AV21" s="1382">
        <f t="shared" si="9"/>
        <v>1728.7840817089991</v>
      </c>
      <c r="AW21" s="1382">
        <f t="shared" si="2"/>
        <v>7379.4774403036545</v>
      </c>
      <c r="AX21" s="1382">
        <f t="shared" si="3"/>
        <v>5534.2369538225767</v>
      </c>
      <c r="AY21" s="1382">
        <f t="shared" si="4"/>
        <v>1901.6517000661804</v>
      </c>
      <c r="AZ21" s="646">
        <f t="shared" si="5"/>
        <v>452.77421430147149</v>
      </c>
      <c r="BA21" s="1701"/>
    </row>
    <row r="22" spans="2:53" ht="18" hidden="1" customHeight="1">
      <c r="B22" s="1380" t="s">
        <v>1823</v>
      </c>
      <c r="C22" s="2728" t="s">
        <v>1824</v>
      </c>
      <c r="D22" s="1777"/>
      <c r="E22" s="1777"/>
      <c r="F22" s="1777"/>
      <c r="G22" s="1777"/>
      <c r="H22" s="1777"/>
      <c r="I22" s="1777"/>
      <c r="J22" s="1777"/>
      <c r="K22" s="1777"/>
      <c r="L22" s="1777"/>
      <c r="M22" s="1777"/>
      <c r="N22" s="1777"/>
      <c r="O22" s="1777"/>
      <c r="P22" s="1777"/>
      <c r="Q22" s="1777"/>
      <c r="R22" s="1777"/>
      <c r="S22" s="1777"/>
      <c r="T22" s="1777"/>
      <c r="U22" s="1777"/>
      <c r="V22" s="1777"/>
      <c r="W22" s="1777"/>
      <c r="X22" s="1777"/>
      <c r="Y22" s="1777"/>
      <c r="Z22" s="1778"/>
      <c r="AA22" s="2724">
        <f>SUM(AA16:AC21)</f>
        <v>0</v>
      </c>
      <c r="AB22" s="1777"/>
      <c r="AC22" s="1778"/>
      <c r="AD22" s="2718" t="s">
        <v>1817</v>
      </c>
      <c r="AE22" s="2706"/>
      <c r="AF22" s="2708">
        <f>AI13</f>
        <v>0</v>
      </c>
      <c r="AG22" s="2706"/>
      <c r="AH22" s="2706"/>
      <c r="AI22" s="2706"/>
      <c r="AJ22" s="2706"/>
      <c r="AK22" s="1701"/>
      <c r="AL22" s="1701"/>
      <c r="AM22" s="1701"/>
      <c r="AN22" s="1701"/>
      <c r="AO22" s="1701"/>
      <c r="AP22" s="1701"/>
      <c r="AQ22" s="1701"/>
      <c r="AR22" s="647"/>
      <c r="AS22" s="648"/>
      <c r="AT22" s="648"/>
      <c r="AU22" s="648"/>
      <c r="AV22" s="1701"/>
      <c r="AW22" s="1701"/>
      <c r="AX22" s="1701"/>
      <c r="AY22" s="1701"/>
      <c r="AZ22" s="1701"/>
      <c r="BA22" s="1701"/>
    </row>
    <row r="23" spans="2:53" s="649" customFormat="1" ht="9" customHeight="1"/>
    <row r="24" spans="2:53" ht="36" hidden="1" customHeight="1">
      <c r="B24" s="2711" t="s">
        <v>1805</v>
      </c>
      <c r="C24" s="1777"/>
      <c r="D24" s="1777"/>
      <c r="E24" s="1777"/>
      <c r="F24" s="1777"/>
      <c r="G24" s="1777"/>
      <c r="H24" s="1777"/>
      <c r="I24" s="1778"/>
      <c r="J24" s="2713" t="s">
        <v>1806</v>
      </c>
      <c r="K24" s="1777"/>
      <c r="L24" s="1777"/>
      <c r="M24" s="1778"/>
      <c r="N24" s="2714">
        <f>TotalUnits</f>
        <v>0</v>
      </c>
      <c r="O24" s="1778"/>
      <c r="P24" s="2723" t="s">
        <v>1807</v>
      </c>
      <c r="Q24" s="1777"/>
      <c r="R24" s="1777"/>
      <c r="S24" s="1777"/>
      <c r="T24" s="1777"/>
      <c r="U24" s="1777"/>
      <c r="V24" s="1777"/>
      <c r="W24" s="1777"/>
      <c r="X24" s="1777"/>
      <c r="Y24" s="1777"/>
      <c r="Z24" s="1777"/>
      <c r="AA24" s="1778"/>
      <c r="AB24" s="1873"/>
      <c r="AC24" s="1862"/>
      <c r="AD24" s="2715" t="s">
        <v>276</v>
      </c>
      <c r="AE24" s="1778"/>
      <c r="AF24" s="2715" t="s">
        <v>1808</v>
      </c>
      <c r="AG24" s="1777"/>
      <c r="AH24" s="1778"/>
      <c r="AI24" s="2715" t="s">
        <v>1809</v>
      </c>
      <c r="AJ24" s="1777"/>
      <c r="AK24" s="1777"/>
      <c r="AL24" s="1777"/>
      <c r="AM24" s="1778"/>
      <c r="AN24" s="1701"/>
      <c r="AO24" s="1701"/>
      <c r="AP24" s="1701"/>
      <c r="AQ24" s="1701"/>
      <c r="AR24" s="647"/>
      <c r="AS24" s="650"/>
      <c r="AT24" s="650"/>
      <c r="AU24" s="650"/>
      <c r="AV24" s="650"/>
      <c r="AW24" s="1701"/>
      <c r="AX24" s="1701"/>
      <c r="AY24" s="1701"/>
      <c r="AZ24" s="1701"/>
      <c r="BA24" s="1701"/>
    </row>
    <row r="25" spans="2:53" ht="36" hidden="1" customHeight="1">
      <c r="B25" s="2713" t="s">
        <v>1825</v>
      </c>
      <c r="C25" s="1777"/>
      <c r="D25" s="1777"/>
      <c r="E25" s="1777"/>
      <c r="F25" s="1777"/>
      <c r="G25" s="1777"/>
      <c r="H25" s="1777"/>
      <c r="I25" s="1777"/>
      <c r="J25" s="1777"/>
      <c r="K25" s="1777"/>
      <c r="L25" s="1777"/>
      <c r="M25" s="1777"/>
      <c r="N25" s="1777"/>
      <c r="O25" s="1777"/>
      <c r="P25" s="1777"/>
      <c r="Q25" s="1777"/>
      <c r="R25" s="1777"/>
      <c r="S25" s="1777"/>
      <c r="T25" s="1777"/>
      <c r="U25" s="1777"/>
      <c r="V25" s="1777"/>
      <c r="W25" s="1777"/>
      <c r="X25" s="1777"/>
      <c r="Y25" s="1777"/>
      <c r="Z25" s="1777"/>
      <c r="AA25" s="1777"/>
      <c r="AB25" s="1777"/>
      <c r="AC25" s="1778"/>
      <c r="AD25" s="2709"/>
      <c r="AE25" s="1862"/>
      <c r="AF25" s="2452">
        <f>IFERROR(VLOOKUP(AB24,SSCLNotice2405[],6,FALSE),0)</f>
        <v>0</v>
      </c>
      <c r="AG25" s="1777"/>
      <c r="AH25" s="1778"/>
      <c r="AI25" s="2452">
        <f>IFERROR(AF25*AD25,"")</f>
        <v>0</v>
      </c>
      <c r="AJ25" s="1777"/>
      <c r="AK25" s="1777"/>
      <c r="AL25" s="1777"/>
      <c r="AM25" s="1778"/>
      <c r="AN25" s="1701"/>
      <c r="AO25" s="1701"/>
      <c r="AP25" s="1701"/>
      <c r="AQ25" s="1701"/>
      <c r="AR25" s="647"/>
      <c r="AS25" s="650"/>
      <c r="AT25" s="650"/>
      <c r="AU25" s="650"/>
      <c r="AV25" s="650"/>
      <c r="AW25" s="1701"/>
      <c r="AX25" s="1701"/>
      <c r="AY25" s="1701"/>
      <c r="AZ25" s="1701"/>
      <c r="BA25" s="1701"/>
    </row>
    <row r="26" spans="2:53" ht="64.349999999999994" hidden="1" customHeight="1">
      <c r="B26" s="2173" t="s">
        <v>1826</v>
      </c>
      <c r="C26" s="1777"/>
      <c r="D26" s="1777"/>
      <c r="E26" s="1777"/>
      <c r="F26" s="1777"/>
      <c r="G26" s="1777"/>
      <c r="H26" s="1777"/>
      <c r="I26" s="1777"/>
      <c r="J26" s="1777"/>
      <c r="K26" s="1777"/>
      <c r="L26" s="1777"/>
      <c r="M26" s="1777"/>
      <c r="N26" s="1777"/>
      <c r="O26" s="1777"/>
      <c r="P26" s="1777"/>
      <c r="Q26" s="1777"/>
      <c r="R26" s="1777"/>
      <c r="S26" s="1777"/>
      <c r="T26" s="1777"/>
      <c r="U26" s="1777"/>
      <c r="V26" s="1777"/>
      <c r="W26" s="1777"/>
      <c r="X26" s="1777"/>
      <c r="Y26" s="1777"/>
      <c r="Z26" s="1777"/>
      <c r="AA26" s="1777"/>
      <c r="AB26" s="1777"/>
      <c r="AC26" s="1778"/>
      <c r="AD26" s="2709"/>
      <c r="AE26" s="1862"/>
      <c r="AF26" s="2452">
        <f>IFERROR(VLOOKUP(AB24,SSCLNotice2405[],7,FALSE),0)</f>
        <v>0</v>
      </c>
      <c r="AG26" s="1777"/>
      <c r="AH26" s="1778"/>
      <c r="AI26" s="2452">
        <f>IFERROR(AF26*AD26,"")</f>
        <v>0</v>
      </c>
      <c r="AJ26" s="1777"/>
      <c r="AK26" s="1777"/>
      <c r="AL26" s="1777"/>
      <c r="AM26" s="1778"/>
      <c r="AN26" s="1701"/>
      <c r="AO26" s="1701"/>
      <c r="AP26" s="1701"/>
      <c r="AQ26" s="1701"/>
      <c r="AR26" s="647"/>
      <c r="AS26" s="650"/>
      <c r="AT26" s="650"/>
      <c r="AU26" s="650"/>
      <c r="AV26" s="650"/>
      <c r="AW26" s="1701"/>
      <c r="AX26" s="1701"/>
      <c r="AY26" s="1701"/>
      <c r="AZ26" s="1701"/>
      <c r="BA26" s="1701"/>
    </row>
    <row r="27" spans="2:53" ht="64.349999999999994" hidden="1" customHeight="1">
      <c r="B27" s="2713" t="s">
        <v>1827</v>
      </c>
      <c r="C27" s="1777"/>
      <c r="D27" s="1777"/>
      <c r="E27" s="1777"/>
      <c r="F27" s="1777"/>
      <c r="G27" s="1777"/>
      <c r="H27" s="1777"/>
      <c r="I27" s="1777"/>
      <c r="J27" s="1777"/>
      <c r="K27" s="1777"/>
      <c r="L27" s="1777"/>
      <c r="M27" s="1777"/>
      <c r="N27" s="1777"/>
      <c r="O27" s="1777"/>
      <c r="P27" s="1777"/>
      <c r="Q27" s="1777"/>
      <c r="R27" s="1777"/>
      <c r="S27" s="1777"/>
      <c r="T27" s="1777"/>
      <c r="U27" s="1777"/>
      <c r="V27" s="1777"/>
      <c r="W27" s="1777"/>
      <c r="X27" s="1777"/>
      <c r="Y27" s="1777"/>
      <c r="Z27" s="1777"/>
      <c r="AA27" s="1777"/>
      <c r="AB27" s="1777"/>
      <c r="AC27" s="1778"/>
      <c r="AD27" s="2707"/>
      <c r="AE27" s="1865"/>
      <c r="AF27" s="2710">
        <f>IFERROR(VLOOKUP(AB24,SSCLNotice2405[],8,FALSE),0)</f>
        <v>0</v>
      </c>
      <c r="AG27" s="1953"/>
      <c r="AH27" s="1770"/>
      <c r="AI27" s="2710">
        <f>IFERROR(AF27*AD27,"")</f>
        <v>0</v>
      </c>
      <c r="AJ27" s="1953"/>
      <c r="AK27" s="1953"/>
      <c r="AL27" s="1953"/>
      <c r="AM27" s="1770"/>
      <c r="AN27" s="1701"/>
      <c r="AO27" s="1701"/>
      <c r="AP27" s="1701"/>
      <c r="AQ27" s="1701"/>
      <c r="AR27" s="647"/>
      <c r="AS27" s="650"/>
      <c r="AT27" s="650"/>
      <c r="AU27" s="650"/>
      <c r="AV27" s="650"/>
      <c r="AW27" s="1701"/>
      <c r="AX27" s="1701"/>
      <c r="AY27" s="1701"/>
      <c r="AZ27" s="1701"/>
      <c r="BA27" s="1701"/>
    </row>
    <row r="28" spans="2:53" ht="36" hidden="1" customHeight="1">
      <c r="B28" s="2713" t="s">
        <v>1828</v>
      </c>
      <c r="C28" s="1777"/>
      <c r="D28" s="1777"/>
      <c r="E28" s="1777"/>
      <c r="F28" s="1777"/>
      <c r="G28" s="1777"/>
      <c r="H28" s="1777"/>
      <c r="I28" s="1777"/>
      <c r="J28" s="1777"/>
      <c r="K28" s="1777"/>
      <c r="L28" s="1777"/>
      <c r="M28" s="1777"/>
      <c r="N28" s="1777"/>
      <c r="O28" s="1777"/>
      <c r="P28" s="1777"/>
      <c r="Q28" s="1777"/>
      <c r="R28" s="1777"/>
      <c r="S28" s="1777"/>
      <c r="T28" s="1777"/>
      <c r="U28" s="1777"/>
      <c r="V28" s="1777"/>
      <c r="W28" s="1777"/>
      <c r="X28" s="1777"/>
      <c r="Y28" s="1777"/>
      <c r="Z28" s="1777"/>
      <c r="AA28" s="1777"/>
      <c r="AB28" s="1777"/>
      <c r="AC28" s="1778"/>
      <c r="AD28" s="2709"/>
      <c r="AE28" s="1862"/>
      <c r="AF28" s="2452">
        <f>IFERROR(VLOOKUP(AB24,SSCLNotice2405[],9,FALSE),0)</f>
        <v>0</v>
      </c>
      <c r="AG28" s="1777"/>
      <c r="AH28" s="1778"/>
      <c r="AI28" s="2452">
        <f>IFERROR(AF28*AD28,"")</f>
        <v>0</v>
      </c>
      <c r="AJ28" s="1777"/>
      <c r="AK28" s="1777"/>
      <c r="AL28" s="1777"/>
      <c r="AM28" s="1778"/>
      <c r="AN28" s="1701"/>
      <c r="AO28" s="1701"/>
      <c r="AP28" s="1701"/>
      <c r="AQ28" s="1701"/>
      <c r="AR28" s="647"/>
      <c r="AS28" s="650"/>
      <c r="AT28" s="650"/>
      <c r="AU28" s="650"/>
      <c r="AV28" s="650"/>
      <c r="AW28" s="1701"/>
      <c r="AX28" s="1701"/>
      <c r="AY28" s="1701"/>
      <c r="AZ28" s="1701"/>
      <c r="BA28" s="1701"/>
    </row>
    <row r="29" spans="2:53" ht="18" hidden="1" customHeight="1">
      <c r="B29" s="2711" t="s">
        <v>1829</v>
      </c>
      <c r="C29" s="1777"/>
      <c r="D29" s="1777"/>
      <c r="E29" s="1777"/>
      <c r="F29" s="1777"/>
      <c r="G29" s="1777"/>
      <c r="H29" s="1777"/>
      <c r="I29" s="1777"/>
      <c r="J29" s="1777"/>
      <c r="K29" s="1777"/>
      <c r="L29" s="1777"/>
      <c r="M29" s="1777"/>
      <c r="N29" s="1777"/>
      <c r="O29" s="1777"/>
      <c r="P29" s="1777"/>
      <c r="Q29" s="1777"/>
      <c r="R29" s="1777"/>
      <c r="S29" s="1777"/>
      <c r="T29" s="1777"/>
      <c r="U29" s="1777"/>
      <c r="V29" s="1777"/>
      <c r="W29" s="1777"/>
      <c r="X29" s="1777"/>
      <c r="Y29" s="1777"/>
      <c r="Z29" s="1777"/>
      <c r="AA29" s="1777"/>
      <c r="AB29" s="1777"/>
      <c r="AC29" s="1778"/>
      <c r="AD29" s="2719">
        <f>SUM(AD25:AE28)</f>
        <v>0</v>
      </c>
      <c r="AE29" s="1778"/>
      <c r="AF29" s="1886"/>
      <c r="AG29" s="1777"/>
      <c r="AH29" s="1778"/>
      <c r="AI29" s="2447">
        <f>SUM(AI25:AM28)</f>
        <v>0</v>
      </c>
      <c r="AJ29" s="1777"/>
      <c r="AK29" s="1777"/>
      <c r="AL29" s="1777"/>
      <c r="AM29" s="1778"/>
      <c r="AN29" s="1701"/>
      <c r="AO29" s="1701"/>
      <c r="AP29" s="1701"/>
      <c r="AQ29" s="1701"/>
      <c r="AR29" s="647"/>
      <c r="AS29" s="650"/>
      <c r="AT29" s="650"/>
      <c r="AU29" s="650"/>
      <c r="AV29" s="650"/>
      <c r="AW29" s="1701"/>
      <c r="AX29" s="1701"/>
      <c r="AY29" s="1701"/>
      <c r="AZ29" s="1701"/>
      <c r="BA29" s="1701"/>
    </row>
    <row r="30" spans="2:53" ht="18" hidden="1" customHeight="1">
      <c r="B30" s="1701"/>
      <c r="C30" s="1701"/>
      <c r="D30" s="1701"/>
      <c r="E30" s="1701"/>
      <c r="F30" s="1701"/>
      <c r="G30" s="1701"/>
      <c r="H30" s="1701"/>
      <c r="I30" s="1701"/>
      <c r="J30" s="1701"/>
      <c r="K30" s="1701"/>
      <c r="L30" s="1701"/>
      <c r="M30" s="1701"/>
      <c r="N30" s="1701"/>
      <c r="O30" s="1701"/>
      <c r="P30" s="1701"/>
      <c r="Q30" s="1701"/>
      <c r="R30" s="1701"/>
      <c r="S30" s="1701"/>
      <c r="T30" s="1701"/>
      <c r="U30" s="1701"/>
      <c r="V30" s="1701"/>
      <c r="W30" s="1701"/>
      <c r="X30" s="1701"/>
      <c r="Y30" s="1701"/>
      <c r="Z30" s="1701"/>
      <c r="AA30" s="1701"/>
      <c r="AB30" s="1701"/>
      <c r="AC30" s="1701"/>
      <c r="AD30" s="1701"/>
      <c r="AE30" s="1701"/>
      <c r="AF30" s="1701"/>
      <c r="AG30" s="1701"/>
      <c r="AH30" s="1701"/>
      <c r="AI30" s="1701"/>
      <c r="AJ30" s="1701"/>
      <c r="AK30" s="1701"/>
      <c r="AL30" s="1701"/>
      <c r="AM30" s="1701"/>
      <c r="AN30" s="1701"/>
      <c r="AO30" s="1701"/>
      <c r="AP30" s="1701"/>
      <c r="AQ30" s="1701"/>
      <c r="AR30" s="647"/>
      <c r="AS30" s="650"/>
      <c r="AT30" s="650"/>
      <c r="AU30" s="650"/>
      <c r="AV30" s="650"/>
      <c r="AW30" s="1701"/>
      <c r="AX30" s="1701"/>
      <c r="AY30" s="1701"/>
      <c r="AZ30" s="1701"/>
      <c r="BA30" s="1701"/>
    </row>
    <row r="31" spans="2:53" ht="18" hidden="1" customHeight="1">
      <c r="B31" s="2711" t="s">
        <v>1814</v>
      </c>
      <c r="C31" s="1777"/>
      <c r="D31" s="1777"/>
      <c r="E31" s="1777"/>
      <c r="F31" s="1777"/>
      <c r="G31" s="1777"/>
      <c r="H31" s="1777"/>
      <c r="I31" s="1777"/>
      <c r="J31" s="1777"/>
      <c r="K31" s="1777"/>
      <c r="L31" s="1777"/>
      <c r="M31" s="1777"/>
      <c r="N31" s="1777"/>
      <c r="O31" s="1777"/>
      <c r="P31" s="1777"/>
      <c r="Q31" s="1777"/>
      <c r="R31" s="1777"/>
      <c r="S31" s="1777"/>
      <c r="T31" s="1777"/>
      <c r="U31" s="1777"/>
      <c r="V31" s="1777"/>
      <c r="W31" s="1777"/>
      <c r="X31" s="1777"/>
      <c r="Y31" s="1777"/>
      <c r="Z31" s="1777"/>
      <c r="AA31" s="1777"/>
      <c r="AB31" s="1777"/>
      <c r="AC31" s="1778"/>
      <c r="AD31" s="643"/>
      <c r="AE31" s="643"/>
      <c r="AF31" s="2722" t="s">
        <v>1815</v>
      </c>
      <c r="AG31" s="2706"/>
      <c r="AH31" s="2706"/>
      <c r="AI31" s="2706"/>
      <c r="AJ31" s="2706"/>
      <c r="AK31" s="1701"/>
      <c r="AL31" s="1701"/>
      <c r="AM31" s="1701"/>
      <c r="AN31" s="1701"/>
      <c r="AO31" s="1701"/>
      <c r="AP31" s="1701"/>
      <c r="AQ31" s="1701"/>
      <c r="AR31" s="647"/>
      <c r="AS31" s="650"/>
      <c r="AT31" s="650"/>
      <c r="AU31" s="650"/>
      <c r="AV31" s="650"/>
      <c r="AW31" s="1701"/>
      <c r="AX31" s="1701"/>
      <c r="AY31" s="1701"/>
      <c r="AZ31" s="1701"/>
      <c r="BA31" s="1701"/>
    </row>
    <row r="32" spans="2:53" ht="18" hidden="1" customHeight="1">
      <c r="B32" s="1380" t="s">
        <v>613</v>
      </c>
      <c r="C32" s="2029" t="s">
        <v>1830</v>
      </c>
      <c r="D32" s="1777"/>
      <c r="E32" s="1777"/>
      <c r="F32" s="1777"/>
      <c r="G32" s="1777"/>
      <c r="H32" s="1777"/>
      <c r="I32" s="1777"/>
      <c r="J32" s="1777"/>
      <c r="K32" s="1777"/>
      <c r="L32" s="1777"/>
      <c r="M32" s="1777"/>
      <c r="N32" s="1777"/>
      <c r="O32" s="1777"/>
      <c r="P32" s="1777"/>
      <c r="Q32" s="1777"/>
      <c r="R32" s="1777"/>
      <c r="S32" s="1777"/>
      <c r="T32" s="1777"/>
      <c r="U32" s="1777"/>
      <c r="V32" s="1777"/>
      <c r="W32" s="1777"/>
      <c r="X32" s="1777"/>
      <c r="Y32" s="1777"/>
      <c r="Z32" s="1778"/>
      <c r="AA32" s="2452">
        <f>'Operating Budget'!E106</f>
        <v>0</v>
      </c>
      <c r="AB32" s="1777"/>
      <c r="AC32" s="1778"/>
      <c r="AD32" s="2718" t="s">
        <v>1817</v>
      </c>
      <c r="AE32" s="2706"/>
      <c r="AF32" s="2708">
        <f>(AA33+AA34)*0.1</f>
        <v>0</v>
      </c>
      <c r="AG32" s="2706"/>
      <c r="AH32" s="2706"/>
      <c r="AI32" s="2706"/>
      <c r="AJ32" s="2706"/>
      <c r="AK32" s="1701"/>
      <c r="AL32" s="1701"/>
      <c r="AM32" s="1701"/>
      <c r="AN32" s="1701"/>
      <c r="AO32" s="1701"/>
      <c r="AP32" s="1701"/>
      <c r="AQ32" s="1701"/>
      <c r="AR32" s="647"/>
      <c r="AS32" s="650"/>
      <c r="AT32" s="650"/>
      <c r="AU32" s="650"/>
      <c r="AV32" s="650"/>
      <c r="AW32" s="1701"/>
      <c r="AX32" s="1701"/>
      <c r="AY32" s="1701"/>
      <c r="AZ32" s="1701"/>
      <c r="BA32" s="1701"/>
    </row>
    <row r="33" spans="2:53" ht="18" hidden="1" customHeight="1">
      <c r="B33" s="1380" t="s">
        <v>615</v>
      </c>
      <c r="C33" s="2029" t="s">
        <v>1818</v>
      </c>
      <c r="D33" s="1777"/>
      <c r="E33" s="1777"/>
      <c r="F33" s="1777"/>
      <c r="G33" s="1777"/>
      <c r="H33" s="1777"/>
      <c r="I33" s="1777"/>
      <c r="J33" s="1777"/>
      <c r="K33" s="1777"/>
      <c r="L33" s="1777"/>
      <c r="M33" s="1777"/>
      <c r="N33" s="1777"/>
      <c r="O33" s="1777"/>
      <c r="P33" s="1777"/>
      <c r="Q33" s="1777"/>
      <c r="R33" s="1777"/>
      <c r="S33" s="1777"/>
      <c r="T33" s="1777"/>
      <c r="U33" s="1777"/>
      <c r="V33" s="1777"/>
      <c r="W33" s="1777"/>
      <c r="X33" s="1777"/>
      <c r="Y33" s="1777"/>
      <c r="Z33" s="1778"/>
      <c r="AA33" s="2452">
        <f>'Operating Budget'!E107</f>
        <v>0</v>
      </c>
      <c r="AB33" s="1777"/>
      <c r="AC33" s="1778"/>
      <c r="AD33" s="645"/>
      <c r="AE33" s="645"/>
      <c r="AF33" s="644"/>
      <c r="AG33" s="645"/>
      <c r="AH33" s="645"/>
      <c r="AI33" s="645"/>
      <c r="AJ33" s="645"/>
      <c r="AK33" s="1701"/>
      <c r="AL33" s="1701"/>
      <c r="AM33" s="1701"/>
      <c r="AN33" s="1701"/>
      <c r="AO33" s="1701"/>
      <c r="AP33" s="1701"/>
      <c r="AQ33" s="1701"/>
      <c r="AR33" s="647"/>
      <c r="AS33" s="650"/>
      <c r="AT33" s="650"/>
      <c r="AU33" s="650"/>
      <c r="AV33" s="650"/>
      <c r="AW33" s="1701"/>
      <c r="AX33" s="1701"/>
      <c r="AY33" s="1701"/>
      <c r="AZ33" s="1701"/>
      <c r="BA33" s="1701"/>
    </row>
    <row r="34" spans="2:53" ht="18" hidden="1" customHeight="1">
      <c r="B34" s="1380" t="s">
        <v>617</v>
      </c>
      <c r="C34" s="2029" t="s">
        <v>1819</v>
      </c>
      <c r="D34" s="1777"/>
      <c r="E34" s="1777"/>
      <c r="F34" s="1777"/>
      <c r="G34" s="1777"/>
      <c r="H34" s="1777"/>
      <c r="I34" s="1777"/>
      <c r="J34" s="1777"/>
      <c r="K34" s="1777"/>
      <c r="L34" s="1777"/>
      <c r="M34" s="1777"/>
      <c r="N34" s="1777"/>
      <c r="O34" s="1777"/>
      <c r="P34" s="1777"/>
      <c r="Q34" s="1777"/>
      <c r="R34" s="1777"/>
      <c r="S34" s="1777"/>
      <c r="T34" s="1777"/>
      <c r="U34" s="1777"/>
      <c r="V34" s="1777"/>
      <c r="W34" s="1777"/>
      <c r="X34" s="1777"/>
      <c r="Y34" s="1777"/>
      <c r="Z34" s="1778"/>
      <c r="AA34" s="2452">
        <f>'Operating Budget'!E108</f>
        <v>0</v>
      </c>
      <c r="AB34" s="1777"/>
      <c r="AC34" s="1778"/>
      <c r="AD34" s="645"/>
      <c r="AE34" s="645"/>
      <c r="AF34" s="644"/>
      <c r="AG34" s="645"/>
      <c r="AH34" s="645"/>
      <c r="AI34" s="645"/>
      <c r="AJ34" s="645"/>
      <c r="AK34" s="1701"/>
      <c r="AL34" s="1701"/>
      <c r="AM34" s="1701"/>
      <c r="AN34" s="1673"/>
      <c r="AO34" s="1673"/>
      <c r="AP34" s="1673"/>
      <c r="AQ34" s="1673"/>
      <c r="AR34" s="647"/>
      <c r="AS34" s="650"/>
      <c r="AT34" s="650"/>
      <c r="AU34" s="650"/>
      <c r="AV34" s="650"/>
      <c r="AW34" s="1701"/>
      <c r="AX34" s="1701"/>
      <c r="AY34" s="1701"/>
      <c r="AZ34" s="1701"/>
      <c r="BA34" s="1673"/>
    </row>
    <row r="35" spans="2:53" ht="18" hidden="1" customHeight="1">
      <c r="B35" s="1380" t="s">
        <v>634</v>
      </c>
      <c r="C35" s="2720" t="str">
        <f>'Operating Budget'!D110</f>
        <v>Other Supportive Services Costs: (Specify)</v>
      </c>
      <c r="D35" s="1777"/>
      <c r="E35" s="1777"/>
      <c r="F35" s="1777"/>
      <c r="G35" s="1777"/>
      <c r="H35" s="1777"/>
      <c r="I35" s="1777"/>
      <c r="J35" s="1777"/>
      <c r="K35" s="1777"/>
      <c r="L35" s="1777"/>
      <c r="M35" s="1777"/>
      <c r="N35" s="1777"/>
      <c r="O35" s="1777"/>
      <c r="P35" s="1777"/>
      <c r="Q35" s="1777"/>
      <c r="R35" s="1777"/>
      <c r="S35" s="1777"/>
      <c r="T35" s="1777"/>
      <c r="U35" s="1777"/>
      <c r="V35" s="1777"/>
      <c r="W35" s="1777"/>
      <c r="X35" s="1777"/>
      <c r="Y35" s="1777"/>
      <c r="Z35" s="1778"/>
      <c r="AA35" s="2452">
        <f>'Operating Budget'!E110</f>
        <v>0</v>
      </c>
      <c r="AB35" s="1777"/>
      <c r="AC35" s="1778"/>
      <c r="AD35" s="645"/>
      <c r="AE35" s="645"/>
      <c r="AF35" s="645"/>
      <c r="AG35" s="645"/>
      <c r="AH35" s="645"/>
      <c r="AI35" s="645"/>
      <c r="AJ35" s="645"/>
      <c r="AK35" s="1701"/>
      <c r="AL35" s="1701"/>
      <c r="AM35" s="1701"/>
      <c r="AN35" s="1701"/>
      <c r="AO35" s="1701"/>
      <c r="AP35" s="1701"/>
      <c r="AQ35" s="1701"/>
      <c r="AR35" s="647"/>
      <c r="AS35" s="650"/>
      <c r="AT35" s="650"/>
      <c r="AU35" s="650"/>
      <c r="AV35" s="650"/>
      <c r="AW35" s="1673"/>
      <c r="AX35" s="1673"/>
      <c r="AY35" s="1673"/>
      <c r="AZ35" s="1673"/>
      <c r="BA35" s="1701"/>
    </row>
    <row r="36" spans="2:53" ht="18" hidden="1" customHeight="1">
      <c r="B36" s="1380" t="s">
        <v>1820</v>
      </c>
      <c r="C36" s="2720" t="str">
        <f>'Operating Budget'!D111</f>
        <v>Other Supportive Services Costs: (Specify)</v>
      </c>
      <c r="D36" s="1777"/>
      <c r="E36" s="1777"/>
      <c r="F36" s="1777"/>
      <c r="G36" s="1777"/>
      <c r="H36" s="1777"/>
      <c r="I36" s="1777"/>
      <c r="J36" s="1777"/>
      <c r="K36" s="1777"/>
      <c r="L36" s="1777"/>
      <c r="M36" s="1777"/>
      <c r="N36" s="1777"/>
      <c r="O36" s="1777"/>
      <c r="P36" s="1777"/>
      <c r="Q36" s="1777"/>
      <c r="R36" s="1777"/>
      <c r="S36" s="1777"/>
      <c r="T36" s="1777"/>
      <c r="U36" s="1777"/>
      <c r="V36" s="1777"/>
      <c r="W36" s="1777"/>
      <c r="X36" s="1777"/>
      <c r="Y36" s="1777"/>
      <c r="Z36" s="1778"/>
      <c r="AA36" s="2452">
        <f>'Operating Budget'!E111</f>
        <v>0</v>
      </c>
      <c r="AB36" s="1777"/>
      <c r="AC36" s="1778"/>
      <c r="AD36" s="645"/>
      <c r="AE36" s="645"/>
      <c r="AF36" s="645"/>
      <c r="AG36" s="645"/>
      <c r="AH36" s="645"/>
      <c r="AI36" s="645"/>
      <c r="AJ36" s="645"/>
      <c r="AK36" s="1701"/>
      <c r="AL36" s="1701"/>
      <c r="AM36" s="1701"/>
      <c r="AN36" s="1701"/>
      <c r="AO36" s="1701"/>
      <c r="AP36" s="1701"/>
      <c r="AQ36" s="1701"/>
      <c r="AR36" s="647"/>
      <c r="AS36" s="650"/>
      <c r="AT36" s="650"/>
      <c r="AU36" s="650"/>
      <c r="AV36" s="650"/>
      <c r="AW36" s="1701"/>
      <c r="AX36" s="1701"/>
      <c r="AY36" s="1701"/>
      <c r="AZ36" s="1701"/>
      <c r="BA36" s="1701"/>
    </row>
    <row r="37" spans="2:53" ht="36" hidden="1" customHeight="1">
      <c r="B37" s="1380" t="s">
        <v>1821</v>
      </c>
      <c r="C37" s="2173" t="s">
        <v>1831</v>
      </c>
      <c r="D37" s="1777"/>
      <c r="E37" s="1777"/>
      <c r="F37" s="1777"/>
      <c r="G37" s="1777"/>
      <c r="H37" s="1777"/>
      <c r="I37" s="1777"/>
      <c r="J37" s="1777"/>
      <c r="K37" s="1777"/>
      <c r="L37" s="1777"/>
      <c r="M37" s="1777"/>
      <c r="N37" s="1777"/>
      <c r="O37" s="1777"/>
      <c r="P37" s="1777"/>
      <c r="Q37" s="1777"/>
      <c r="R37" s="1777"/>
      <c r="S37" s="1777"/>
      <c r="T37" s="1777"/>
      <c r="U37" s="1777"/>
      <c r="V37" s="1777"/>
      <c r="W37" s="1777"/>
      <c r="X37" s="1777"/>
      <c r="Y37" s="1777"/>
      <c r="Z37" s="1778"/>
      <c r="AA37" s="2716">
        <f>'Operating Budget'!E109</f>
        <v>0</v>
      </c>
      <c r="AB37" s="1777"/>
      <c r="AC37" s="1778"/>
      <c r="AD37" s="2718" t="s">
        <v>1817</v>
      </c>
      <c r="AE37" s="2706"/>
      <c r="AF37" s="2708">
        <f>SUM(AA32:AC37)*0.15</f>
        <v>0</v>
      </c>
      <c r="AG37" s="2706"/>
      <c r="AH37" s="2706"/>
      <c r="AI37" s="2706"/>
      <c r="AJ37" s="2706"/>
      <c r="AK37" s="1673"/>
      <c r="AL37" s="1673"/>
      <c r="AM37" s="1673"/>
      <c r="AN37" s="1701"/>
      <c r="AO37" s="1701"/>
      <c r="AP37" s="1701"/>
      <c r="AQ37" s="1701"/>
      <c r="AR37" s="647"/>
      <c r="AS37" s="648"/>
      <c r="AT37" s="648"/>
      <c r="AU37" s="648"/>
      <c r="AV37" s="648"/>
      <c r="AW37" s="1701"/>
      <c r="AX37" s="1701"/>
      <c r="AY37" s="1701"/>
      <c r="AZ37" s="1701"/>
      <c r="BA37" s="1701"/>
    </row>
    <row r="38" spans="2:53" ht="18" hidden="1" customHeight="1">
      <c r="B38" s="1380" t="s">
        <v>1823</v>
      </c>
      <c r="C38" s="2728" t="s">
        <v>1824</v>
      </c>
      <c r="D38" s="1777"/>
      <c r="E38" s="1777"/>
      <c r="F38" s="1777"/>
      <c r="G38" s="1777"/>
      <c r="H38" s="1777"/>
      <c r="I38" s="1777"/>
      <c r="J38" s="1777"/>
      <c r="K38" s="1777"/>
      <c r="L38" s="1777"/>
      <c r="M38" s="1777"/>
      <c r="N38" s="1777"/>
      <c r="O38" s="1777"/>
      <c r="P38" s="1777"/>
      <c r="Q38" s="1777"/>
      <c r="R38" s="1777"/>
      <c r="S38" s="1777"/>
      <c r="T38" s="1777"/>
      <c r="U38" s="1777"/>
      <c r="V38" s="1777"/>
      <c r="W38" s="1777"/>
      <c r="X38" s="1777"/>
      <c r="Y38" s="1777"/>
      <c r="Z38" s="1778"/>
      <c r="AA38" s="2724">
        <f>SUM(AA32:AC37)</f>
        <v>0</v>
      </c>
      <c r="AB38" s="1777"/>
      <c r="AC38" s="1778"/>
      <c r="AD38" s="2718" t="s">
        <v>1817</v>
      </c>
      <c r="AE38" s="2706"/>
      <c r="AF38" s="2708">
        <f>AI29</f>
        <v>0</v>
      </c>
      <c r="AG38" s="2706"/>
      <c r="AH38" s="2706"/>
      <c r="AI38" s="2706"/>
      <c r="AJ38" s="2706"/>
      <c r="AK38" s="1701"/>
      <c r="AL38" s="1701"/>
      <c r="AM38" s="1701"/>
      <c r="AN38" s="1701"/>
      <c r="AO38" s="1701"/>
      <c r="AP38" s="1701"/>
      <c r="AQ38" s="1701"/>
      <c r="AR38" s="1701"/>
      <c r="AS38" s="1701"/>
      <c r="AT38" s="1701"/>
      <c r="AU38" s="1701"/>
      <c r="AV38" s="1701"/>
      <c r="AW38" s="1701"/>
      <c r="AX38" s="1701"/>
      <c r="AY38" s="1701"/>
      <c r="AZ38" s="1701"/>
      <c r="BA38" s="1701"/>
    </row>
    <row r="39" spans="2:53" ht="18" customHeight="1">
      <c r="B39" s="651"/>
      <c r="C39" s="651"/>
      <c r="D39" s="651"/>
      <c r="E39" s="1701"/>
      <c r="F39" s="651"/>
      <c r="G39" s="651"/>
      <c r="H39" s="651"/>
      <c r="I39" s="651"/>
      <c r="J39" s="651"/>
      <c r="K39" s="652"/>
      <c r="L39" s="1701"/>
      <c r="M39" s="1701"/>
      <c r="N39" s="1701"/>
      <c r="O39" s="1701"/>
      <c r="P39" s="1701"/>
      <c r="Q39" s="1701"/>
      <c r="R39" s="1701"/>
      <c r="S39" s="1701"/>
      <c r="T39" s="1701"/>
      <c r="U39" s="1701"/>
      <c r="V39" s="1701"/>
      <c r="W39" s="1701"/>
      <c r="X39" s="1701"/>
      <c r="Y39" s="1701"/>
      <c r="Z39" s="1701"/>
      <c r="AA39" s="1701"/>
      <c r="AB39" s="1701"/>
      <c r="AC39" s="1701"/>
      <c r="AD39" s="1701"/>
      <c r="AE39" s="1701"/>
      <c r="AF39" s="1701"/>
      <c r="AG39" s="1701"/>
      <c r="AH39" s="1701"/>
      <c r="AI39" s="1701"/>
      <c r="AJ39" s="1701"/>
      <c r="AK39" s="1701"/>
      <c r="AL39" s="1701"/>
      <c r="AM39" s="1701"/>
      <c r="AN39" s="1701"/>
      <c r="AO39" s="1701"/>
      <c r="AP39" s="1701"/>
      <c r="AQ39" s="1701"/>
      <c r="AR39" s="1701"/>
      <c r="AS39" s="1701"/>
      <c r="AT39" s="1701"/>
      <c r="AU39" s="1701"/>
      <c r="AV39" s="1701"/>
      <c r="AW39" s="1701"/>
      <c r="AX39" s="1701"/>
      <c r="AY39" s="1701"/>
      <c r="AZ39" s="1701"/>
      <c r="BA39" s="1701"/>
    </row>
    <row r="40" spans="2:53" ht="18" customHeight="1">
      <c r="B40" s="2706" t="s">
        <v>1832</v>
      </c>
      <c r="C40" s="2706"/>
      <c r="D40" s="2706"/>
      <c r="E40" s="2706"/>
      <c r="F40" s="2706"/>
      <c r="G40" s="2706"/>
      <c r="H40" s="2706"/>
      <c r="I40" s="2706"/>
      <c r="J40" s="2706"/>
      <c r="K40" s="2706"/>
      <c r="L40" s="2706"/>
      <c r="M40" s="2706"/>
      <c r="N40" s="2706"/>
      <c r="O40" s="2706"/>
      <c r="P40" s="2706"/>
      <c r="Q40" s="2706"/>
      <c r="R40" s="2706"/>
      <c r="S40" s="2706"/>
      <c r="T40" s="2706"/>
      <c r="U40" s="2706"/>
      <c r="V40" s="2706"/>
      <c r="W40" s="2706"/>
      <c r="X40" s="2706"/>
      <c r="Y40" s="2706"/>
      <c r="Z40" s="2706"/>
      <c r="AA40" s="2706"/>
      <c r="AB40" s="2706"/>
      <c r="AC40" s="2706"/>
      <c r="AD40" s="2706"/>
      <c r="AE40" s="2706"/>
      <c r="AF40" s="2706"/>
      <c r="AG40" s="2706"/>
      <c r="AH40" s="2706"/>
      <c r="AI40" s="2706"/>
      <c r="AJ40" s="2706"/>
      <c r="AK40" s="2706"/>
      <c r="AL40" s="2706"/>
      <c r="AM40" s="2706"/>
      <c r="AO40" s="653"/>
      <c r="AP40" s="654"/>
      <c r="AQ40" s="654"/>
      <c r="AR40" s="654"/>
      <c r="AS40" s="654"/>
      <c r="AT40" s="654"/>
      <c r="AU40" s="654"/>
      <c r="AV40" s="654"/>
      <c r="AW40" s="654"/>
    </row>
    <row r="41" spans="2:53" ht="94.35" customHeight="1">
      <c r="B41" s="2445"/>
      <c r="C41" s="1861"/>
      <c r="D41" s="1861"/>
      <c r="E41" s="1861"/>
      <c r="F41" s="1861"/>
      <c r="G41" s="1861"/>
      <c r="H41" s="1861"/>
      <c r="I41" s="1861"/>
      <c r="J41" s="1861"/>
      <c r="K41" s="1861"/>
      <c r="L41" s="1861"/>
      <c r="M41" s="1861"/>
      <c r="N41" s="1861"/>
      <c r="O41" s="1861"/>
      <c r="P41" s="1861"/>
      <c r="Q41" s="1861"/>
      <c r="R41" s="1861"/>
      <c r="S41" s="1861"/>
      <c r="T41" s="1861"/>
      <c r="U41" s="1861"/>
      <c r="V41" s="1861"/>
      <c r="W41" s="1861"/>
      <c r="X41" s="1861"/>
      <c r="Y41" s="1861"/>
      <c r="Z41" s="1861"/>
      <c r="AA41" s="1861"/>
      <c r="AB41" s="1861"/>
      <c r="AC41" s="1861"/>
      <c r="AD41" s="1861"/>
      <c r="AE41" s="1861"/>
      <c r="AF41" s="1861"/>
      <c r="AG41" s="1861"/>
      <c r="AH41" s="1861"/>
      <c r="AI41" s="1861"/>
      <c r="AJ41" s="1861"/>
      <c r="AK41" s="1861"/>
      <c r="AL41" s="1861"/>
      <c r="AM41" s="1862"/>
      <c r="AO41" s="653"/>
      <c r="AP41" s="654"/>
      <c r="AQ41" s="654"/>
      <c r="AR41" s="654"/>
      <c r="AS41" s="654"/>
      <c r="AT41" s="654"/>
      <c r="AU41" s="654"/>
      <c r="AV41" s="654"/>
      <c r="AW41" s="654"/>
    </row>
    <row r="42" spans="2:53" ht="18" customHeight="1">
      <c r="AO42" s="653"/>
      <c r="AP42" s="654"/>
      <c r="AQ42" s="654"/>
      <c r="AR42" s="654"/>
      <c r="AS42" s="654"/>
      <c r="AT42" s="654"/>
      <c r="AU42" s="654"/>
      <c r="AV42" s="654"/>
      <c r="AW42" s="654"/>
    </row>
    <row r="43" spans="2:53" ht="18" customHeight="1">
      <c r="AO43" s="653"/>
      <c r="AP43" s="654"/>
      <c r="AQ43" s="654"/>
      <c r="AR43" s="654"/>
      <c r="AS43" s="654"/>
      <c r="AT43" s="654"/>
      <c r="AU43" s="654"/>
      <c r="AV43" s="654"/>
      <c r="AW43" s="654"/>
    </row>
    <row r="44" spans="2:53" ht="18" customHeight="1">
      <c r="AO44" s="653"/>
      <c r="AP44" s="654"/>
      <c r="AQ44" s="654"/>
      <c r="AR44" s="654"/>
      <c r="AS44" s="654"/>
      <c r="AT44" s="654"/>
      <c r="AU44" s="654"/>
      <c r="AV44" s="654"/>
      <c r="AW44" s="654"/>
    </row>
    <row r="45" spans="2:53" ht="18" customHeight="1">
      <c r="AO45" s="653"/>
      <c r="AP45" s="654"/>
      <c r="AQ45" s="654"/>
      <c r="AR45" s="654"/>
      <c r="AS45" s="654"/>
      <c r="AT45" s="654"/>
      <c r="AU45" s="654"/>
      <c r="AV45" s="654"/>
      <c r="AW45" s="654"/>
    </row>
    <row r="46" spans="2:53" ht="18" customHeight="1">
      <c r="AO46" s="653"/>
      <c r="AP46" s="654"/>
      <c r="AQ46" s="654"/>
      <c r="AR46" s="654"/>
      <c r="AS46" s="654"/>
      <c r="AT46" s="654"/>
      <c r="AU46" s="654"/>
      <c r="AV46" s="654"/>
      <c r="AW46" s="654"/>
    </row>
    <row r="47" spans="2:53" ht="18" customHeight="1">
      <c r="AO47" s="653"/>
      <c r="AP47" s="654"/>
      <c r="AQ47" s="654"/>
      <c r="AR47" s="654"/>
      <c r="AS47" s="654"/>
      <c r="AT47" s="654"/>
      <c r="AU47" s="654"/>
      <c r="AV47" s="654"/>
      <c r="AW47" s="654"/>
    </row>
    <row r="48" spans="2:53" ht="18" customHeight="1">
      <c r="AO48" s="653"/>
      <c r="AP48" s="654"/>
      <c r="AQ48" s="654"/>
      <c r="AR48" s="654"/>
      <c r="AS48" s="654"/>
      <c r="AT48" s="654"/>
      <c r="AU48" s="654"/>
      <c r="AV48" s="654"/>
      <c r="AW48" s="654"/>
    </row>
  </sheetData>
  <sheetProtection algorithmName="SHA-512" hashValue="CbfBkxIMr1aVh/1wXuLBM+A4letotUVwppT0a8hug26vGGFEy+cHEeCJggPEk4JrD2kB50A2ifEZoQyDN14dqg==" saltValue="A0SwgcvffGD8dAoP2rqQiQ==" spinCount="100000" sheet="1" objects="1" scenarios="1"/>
  <mergeCells count="107">
    <mergeCell ref="AF37:AJ37"/>
    <mergeCell ref="AI29:AM29"/>
    <mergeCell ref="C22:Z22"/>
    <mergeCell ref="B15:AC15"/>
    <mergeCell ref="AD25:AE25"/>
    <mergeCell ref="AF16:AJ16"/>
    <mergeCell ref="J9:M9"/>
    <mergeCell ref="C32:Z32"/>
    <mergeCell ref="AF28:AH28"/>
    <mergeCell ref="AA32:AC32"/>
    <mergeCell ref="C37:Z37"/>
    <mergeCell ref="AA36:AC36"/>
    <mergeCell ref="C16:Z16"/>
    <mergeCell ref="AA20:AC20"/>
    <mergeCell ref="AI28:AM28"/>
    <mergeCell ref="AI9:AM9"/>
    <mergeCell ref="AA35:AC35"/>
    <mergeCell ref="AD28:AE28"/>
    <mergeCell ref="C33:Z33"/>
    <mergeCell ref="AA34:AC34"/>
    <mergeCell ref="C35:Z35"/>
    <mergeCell ref="B4:T4"/>
    <mergeCell ref="AI11:AM11"/>
    <mergeCell ref="AA21:AC21"/>
    <mergeCell ref="AC4:AD4"/>
    <mergeCell ref="B29:AC29"/>
    <mergeCell ref="C20:Z20"/>
    <mergeCell ref="AD26:AE26"/>
    <mergeCell ref="B9:I9"/>
    <mergeCell ref="AL4:AM4"/>
    <mergeCell ref="AD16:AE16"/>
    <mergeCell ref="N24:O24"/>
    <mergeCell ref="AF10:AH10"/>
    <mergeCell ref="AK5:AM5"/>
    <mergeCell ref="B28:AC28"/>
    <mergeCell ref="AA38:AC38"/>
    <mergeCell ref="AD22:AE22"/>
    <mergeCell ref="B40:AM40"/>
    <mergeCell ref="AF22:AJ22"/>
    <mergeCell ref="U4:AB4"/>
    <mergeCell ref="AA33:AC33"/>
    <mergeCell ref="AF29:AH29"/>
    <mergeCell ref="AB24:AC24"/>
    <mergeCell ref="B10:AC10"/>
    <mergeCell ref="AD24:AE24"/>
    <mergeCell ref="AD38:AE38"/>
    <mergeCell ref="B7:AM7"/>
    <mergeCell ref="AE4:AK4"/>
    <mergeCell ref="AI25:AM25"/>
    <mergeCell ref="B27:AC27"/>
    <mergeCell ref="AA22:AC22"/>
    <mergeCell ref="C18:Z18"/>
    <mergeCell ref="AF31:AJ31"/>
    <mergeCell ref="AA19:AC19"/>
    <mergeCell ref="B11:AC11"/>
    <mergeCell ref="C34:Z34"/>
    <mergeCell ref="AF38:AJ38"/>
    <mergeCell ref="C38:Z38"/>
    <mergeCell ref="AD32:AE32"/>
    <mergeCell ref="B41:AM41"/>
    <mergeCell ref="AI10:AM10"/>
    <mergeCell ref="AF12:AH12"/>
    <mergeCell ref="AD10:AE10"/>
    <mergeCell ref="AA18:AC18"/>
    <mergeCell ref="AF26:AH26"/>
    <mergeCell ref="AI27:AM27"/>
    <mergeCell ref="C36:Z36"/>
    <mergeCell ref="AB9:AC9"/>
    <mergeCell ref="AF32:AJ32"/>
    <mergeCell ref="AD37:AE37"/>
    <mergeCell ref="AA37:AC37"/>
    <mergeCell ref="AD13:AE13"/>
    <mergeCell ref="AA16:AC16"/>
    <mergeCell ref="AF11:AH11"/>
    <mergeCell ref="C21:Z21"/>
    <mergeCell ref="AI24:AM24"/>
    <mergeCell ref="B26:AC26"/>
    <mergeCell ref="AI26:AM26"/>
    <mergeCell ref="B25:AC25"/>
    <mergeCell ref="AF15:AJ15"/>
    <mergeCell ref="P24:AA24"/>
    <mergeCell ref="AA17:AC17"/>
    <mergeCell ref="AF13:AH13"/>
    <mergeCell ref="B2:AM2"/>
    <mergeCell ref="C17:Z17"/>
    <mergeCell ref="AD27:AE27"/>
    <mergeCell ref="AF21:AJ21"/>
    <mergeCell ref="AD11:AE11"/>
    <mergeCell ref="AF27:AH27"/>
    <mergeCell ref="B31:AC31"/>
    <mergeCell ref="C19:Z19"/>
    <mergeCell ref="J24:M24"/>
    <mergeCell ref="B12:AC12"/>
    <mergeCell ref="N9:O9"/>
    <mergeCell ref="AF24:AH24"/>
    <mergeCell ref="AI12:AM12"/>
    <mergeCell ref="B24:I24"/>
    <mergeCell ref="P9:AA9"/>
    <mergeCell ref="B13:AC13"/>
    <mergeCell ref="B6:AM6"/>
    <mergeCell ref="AD12:AE12"/>
    <mergeCell ref="AD9:AE9"/>
    <mergeCell ref="AD21:AE21"/>
    <mergeCell ref="AF25:AH25"/>
    <mergeCell ref="AI13:AM13"/>
    <mergeCell ref="AF9:AH9"/>
    <mergeCell ref="AD29:AE29"/>
  </mergeCells>
  <conditionalFormatting sqref="AD13:AE13">
    <cfRule type="expression" dxfId="1228" priority="14" stopIfTrue="1">
      <formula>$AD$13&gt;$N$9</formula>
    </cfRule>
  </conditionalFormatting>
  <conditionalFormatting sqref="AA16">
    <cfRule type="cellIs" dxfId="1227" priority="12" stopIfTrue="1" operator="greaterThan">
      <formula>$AF$16</formula>
    </cfRule>
  </conditionalFormatting>
  <conditionalFormatting sqref="AA21">
    <cfRule type="cellIs" dxfId="1226" priority="11" stopIfTrue="1" operator="greaterThan">
      <formula>$AF$21</formula>
    </cfRule>
  </conditionalFormatting>
  <conditionalFormatting sqref="AA22">
    <cfRule type="cellIs" dxfId="1225" priority="13" stopIfTrue="1" operator="greaterThan">
      <formula>$AF$22</formula>
    </cfRule>
  </conditionalFormatting>
  <conditionalFormatting sqref="AD16:AE16">
    <cfRule type="cellIs" dxfId="1224" priority="10" stopIfTrue="1" operator="lessThanOrEqual">
      <formula>0.1</formula>
    </cfRule>
  </conditionalFormatting>
  <conditionalFormatting sqref="AD21:AE21">
    <cfRule type="cellIs" dxfId="1223" priority="9" stopIfTrue="1" operator="lessThanOrEqual">
      <formula>0.1</formula>
    </cfRule>
  </conditionalFormatting>
  <conditionalFormatting sqref="AD22:AE22">
    <cfRule type="cellIs" dxfId="1222" priority="8" stopIfTrue="1" operator="lessThanOrEqual">
      <formula>0.1</formula>
    </cfRule>
  </conditionalFormatting>
  <conditionalFormatting sqref="AD29:AE29">
    <cfRule type="expression" dxfId="1221" priority="7" stopIfTrue="1">
      <formula>$AD$29&gt;$N$24</formula>
    </cfRule>
  </conditionalFormatting>
  <conditionalFormatting sqref="AA32:AA34">
    <cfRule type="expression" dxfId="1220" priority="5" stopIfTrue="1">
      <formula>$AA$32&gt;$AF$32</formula>
    </cfRule>
  </conditionalFormatting>
  <conditionalFormatting sqref="AA37">
    <cfRule type="expression" dxfId="1219" priority="4" stopIfTrue="1">
      <formula>$AA$37&gt;$AF$37</formula>
    </cfRule>
  </conditionalFormatting>
  <conditionalFormatting sqref="AA38">
    <cfRule type="expression" dxfId="1218" priority="6" stopIfTrue="1">
      <formula>$AA$38&gt;$AF$38</formula>
    </cfRule>
  </conditionalFormatting>
  <conditionalFormatting sqref="AD32:AE32">
    <cfRule type="cellIs" dxfId="1217" priority="3" stopIfTrue="1" operator="lessThanOrEqual">
      <formula>0.1</formula>
    </cfRule>
  </conditionalFormatting>
  <conditionalFormatting sqref="AD37:AE37">
    <cfRule type="cellIs" dxfId="1216" priority="2" stopIfTrue="1" operator="lessThanOrEqual">
      <formula>0.1</formula>
    </cfRule>
  </conditionalFormatting>
  <conditionalFormatting sqref="AD38:AE38">
    <cfRule type="cellIs" dxfId="1215" priority="1" stopIfTrue="1" operator="lessThanOrEqual">
      <formula>0.1</formula>
    </cfRule>
  </conditionalFormatting>
  <dataValidations xWindow="1025" yWindow="337" count="15">
    <dataValidation type="list" allowBlank="1" showInputMessage="1" showErrorMessage="1" promptTitle="HOME or NHTF Funding in Project" prompt="Answer Yes or No whether your Project is subject to the HCD 2017 Uniform Multifamily Regulations (UMRs) and has or anticipates receiveing HCD HOME or NHTF funding." sqref="AC4:AD4" xr:uid="{00000000-0002-0000-1000-000000000000}">
      <formula1>"Yes,No"</formula1>
    </dataValidation>
    <dataValidation type="list" allowBlank="1" showInputMessage="1" showErrorMessage="1" promptTitle="VHHP Funding in Project" prompt="Answer Yes or No whether your Project has or anticipates receiveing HCD VHHP funding." sqref="AL4" xr:uid="{00000000-0002-0000-1000-000001000000}">
      <formula1>"Yes,No"</formula1>
    </dataValidation>
    <dataValidation allowBlank="1" showInputMessage="1" showErrorMessage="1" promptTitle="Total Units for Category 4" prompt="Enter the number of units that qualify under Category 4." sqref="AD28:AE28" xr:uid="{00000000-0002-0000-1000-000002000000}"/>
    <dataValidation allowBlank="1" showInputMessage="1" showErrorMessage="1" promptTitle="SS Administrative Overhead" prompt="Enter the proposed amount for Supportive Services Administrative Overhead." sqref="AA21:AC21 AA37:AC37" xr:uid="{00000000-0002-0000-1000-000003000000}"/>
    <dataValidation allowBlank="1" showInputMessage="1" showErrorMessage="1" promptTitle="Other SS Costs Description" prompt="Enter a description for other proposed Supportive Services Costs." sqref="C19:Z20 C35:Z36" xr:uid="{00000000-0002-0000-1000-000004000000}"/>
    <dataValidation allowBlank="1" showInputMessage="1" showErrorMessage="1" promptTitle="Other Supportive Services Costs" prompt="Enter the proposed amount for Other Supportive Services Costs" sqref="AA19:AC20 AA35:AC36" xr:uid="{00000000-0002-0000-1000-000005000000}"/>
    <dataValidation allowBlank="1" showInputMessage="1" showErrorMessage="1" promptTitle="On-Site other SS Staff Salaries" prompt="Enter the proposed amount for On-Site other Supportive Services Staff Salaries" sqref="AA18:AC18" xr:uid="{00000000-0002-0000-1000-000006000000}"/>
    <dataValidation allowBlank="1" showInputMessage="1" showErrorMessage="1" promptTitle="On-Site Services Coordinator" prompt="Enter the proposed amount for On-Site Services Coordinator Salaries" sqref="AA17:AC17" xr:uid="{00000000-0002-0000-1000-000007000000}"/>
    <dataValidation allowBlank="1" showInputMessage="1" showErrorMessage="1" promptTitle="Staff Supervisor Salaries" prompt="Enter the proposed amount for Staff Supervisor Salaries" sqref="AA16:AC16 AA32:AC34" xr:uid="{00000000-0002-0000-1000-000008000000}"/>
    <dataValidation allowBlank="1" showInputMessage="1" showErrorMessage="1" promptTitle="Total Units for Category 3" prompt="Enter the number of units that qualify under Category 3." sqref="AD12:AE12 AD27:AE27" xr:uid="{00000000-0002-0000-1000-000009000000}"/>
    <dataValidation allowBlank="1" showInputMessage="1" showErrorMessage="1" promptTitle="Total Units for Category 2" prompt="Enter the number of units that qualify under Category 2." sqref="AD11:AE11 AD26:AE26" xr:uid="{00000000-0002-0000-1000-00000A000000}"/>
    <dataValidation allowBlank="1" showInputMessage="1" showErrorMessage="1" promptTitle="Total Units for Category 1" prompt="Enter the number of units that qualify under Category 1." sqref="AD10:AE10 AD25:AE25" xr:uid="{00000000-0002-0000-1000-00000B000000}"/>
    <dataValidation allowBlank="1" showInputMessage="1" showErrorMessage="1" promptTitle="Total Number of Units in Project" prompt="Enter the total number of units in your project." sqref="N9:O9 N24:O24" xr:uid="{00000000-0002-0000-1000-00000C000000}"/>
    <dataValidation allowBlank="1" showInputMessage="1" showErrorMessage="1" promptTitle="Project Name" prompt="Enter the name of your project." sqref="AE4 AN4:AP4" xr:uid="{00000000-0002-0000-1000-00000D000000}"/>
    <dataValidation type="list" allowBlank="1" showErrorMessage="1" promptTitle="SS Cost Certification Year" prompt="From the dropdown, select the year for which you are requesting the Supportive Services Cost limits." sqref="AB9:AC9 AB24:AC24" xr:uid="{00000000-0002-0000-1000-00000E000000}">
      <formula1>$AR$5:$AR$21</formula1>
    </dataValidation>
  </dataValidations>
  <hyperlinks>
    <hyperlink ref="B2" r:id="rId1" xr:uid="{00000000-0004-0000-1000-000000000000}"/>
  </hyperlinks>
  <printOptions horizontalCentered="1"/>
  <pageMargins left="0" right="0.25" top="0" bottom="0" header="0.25" footer="0.25"/>
  <pageSetup scale="65" orientation="portrait" r:id="rId2"/>
  <headerFooter>
    <oddFooter>&amp;L&amp;F&amp;C&amp;P of &amp;N&amp;R &amp;A</oddFooter>
  </headerFooter>
  <legacyDrawing r:id="rId3"/>
  <tableParts count="1">
    <tablePart r:id="rId4"/>
  </tablePart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ReservesCalculator">
    <tabColor rgb="FFFFC000"/>
    <pageSetUpPr fitToPage="1"/>
  </sheetPr>
  <dimension ref="B2:AQ64"/>
  <sheetViews>
    <sheetView showGridLines="0" showRowColHeaders="0" zoomScale="70" zoomScaleNormal="100" zoomScaleSheetLayoutView="100" workbookViewId="0">
      <selection activeCell="T37" sqref="T37:AA37"/>
    </sheetView>
  </sheetViews>
  <sheetFormatPr defaultColWidth="9.28515625" defaultRowHeight="18" customHeight="1"/>
  <cols>
    <col min="1" max="1" width="8.7109375" style="69" customWidth="1"/>
    <col min="2" max="39" width="4.28515625" style="69" customWidth="1"/>
    <col min="40" max="43" width="9.28515625" style="69" customWidth="1"/>
    <col min="44" max="16384" width="9.28515625" style="69"/>
  </cols>
  <sheetData>
    <row r="2" spans="2:43">
      <c r="B2" s="2749" t="s">
        <v>1833</v>
      </c>
      <c r="C2" s="2671"/>
      <c r="D2" s="2671"/>
      <c r="E2" s="2671"/>
      <c r="F2" s="2671"/>
      <c r="G2" s="2671"/>
      <c r="H2" s="2671"/>
      <c r="I2" s="2671"/>
      <c r="J2" s="2671"/>
      <c r="K2" s="2671"/>
      <c r="L2" s="2671"/>
      <c r="M2" s="2671"/>
      <c r="N2" s="2671"/>
      <c r="O2" s="2671"/>
      <c r="P2" s="2671"/>
      <c r="Q2" s="2671"/>
      <c r="R2" s="2671"/>
      <c r="S2" s="2671"/>
      <c r="T2" s="2671"/>
      <c r="U2" s="2671"/>
      <c r="V2" s="2671"/>
      <c r="W2" s="2671"/>
      <c r="X2" s="2671"/>
      <c r="Y2" s="2671"/>
      <c r="Z2" s="2671"/>
      <c r="AA2" s="2671"/>
      <c r="AB2" s="2671"/>
      <c r="AC2" s="2671"/>
      <c r="AD2" s="2671"/>
      <c r="AE2" s="2671"/>
      <c r="AF2" s="2671"/>
      <c r="AG2" s="2671"/>
      <c r="AH2" s="2671"/>
      <c r="AI2" s="2671"/>
      <c r="AJ2" s="2671"/>
      <c r="AK2" s="2671"/>
      <c r="AL2" s="2671"/>
      <c r="AM2" s="2671"/>
    </row>
    <row r="3" spans="2:43" ht="18" customHeight="1">
      <c r="B3" s="1383"/>
      <c r="C3" s="1383"/>
      <c r="D3" s="1383"/>
      <c r="E3" s="1383"/>
      <c r="F3" s="1383"/>
      <c r="G3" s="1383"/>
      <c r="H3" s="1383"/>
      <c r="I3" s="1383"/>
      <c r="J3" s="1383"/>
      <c r="K3" s="1383"/>
      <c r="L3" s="1383"/>
      <c r="M3" s="1383"/>
      <c r="N3" s="1383"/>
      <c r="O3" s="1383"/>
      <c r="P3" s="1383"/>
      <c r="Q3" s="1383"/>
      <c r="R3" s="1383"/>
      <c r="S3" s="1383"/>
      <c r="T3" s="1383"/>
      <c r="U3" s="1383"/>
      <c r="V3" s="1383"/>
      <c r="W3" s="1383"/>
      <c r="X3" s="1383"/>
      <c r="Y3" s="1383"/>
      <c r="Z3" s="1383"/>
      <c r="AA3" s="1383"/>
      <c r="AB3" s="1383"/>
      <c r="AC3" s="1383"/>
      <c r="AD3" s="1383"/>
      <c r="AE3" s="1383"/>
      <c r="AF3" s="1383"/>
      <c r="AG3" s="1383"/>
      <c r="AH3" s="1383"/>
      <c r="AI3" s="1383"/>
      <c r="AJ3" s="1383"/>
      <c r="AK3" s="1383"/>
      <c r="AL3" s="1383"/>
      <c r="AM3" s="1383"/>
    </row>
    <row r="4" spans="2:43" ht="18" customHeight="1">
      <c r="B4" s="2734" t="s">
        <v>682</v>
      </c>
      <c r="C4" s="1877"/>
      <c r="D4" s="1877"/>
      <c r="E4" s="1772"/>
      <c r="F4" s="2779" t="str">
        <f>IF('Project Overview'!F180&gt;0,'Project Overview'!F180,"")</f>
        <v/>
      </c>
      <c r="G4" s="1877"/>
      <c r="H4" s="1877"/>
      <c r="I4" s="1877"/>
      <c r="J4" s="1877"/>
      <c r="K4" s="1877"/>
      <c r="L4" s="1877"/>
      <c r="M4" s="1877"/>
      <c r="N4" s="1877"/>
      <c r="O4" s="1877"/>
      <c r="P4" s="1877"/>
      <c r="Q4" s="1877"/>
      <c r="R4" s="1877"/>
      <c r="S4" s="1877"/>
      <c r="T4" s="1877"/>
      <c r="U4" s="1877"/>
      <c r="V4" s="1877"/>
      <c r="W4" s="1877"/>
      <c r="X4" s="1877"/>
      <c r="Y4" s="1877"/>
      <c r="Z4" s="1772"/>
      <c r="AA4" s="2741" t="s">
        <v>1834</v>
      </c>
      <c r="AB4" s="1877"/>
      <c r="AC4" s="1877"/>
      <c r="AD4" s="1877"/>
      <c r="AE4" s="1877"/>
      <c r="AF4" s="1877"/>
      <c r="AG4" s="1877"/>
      <c r="AH4" s="1772"/>
      <c r="AI4" s="2765">
        <f>IFERROR('Unit Mix'!D8,0)</f>
        <v>0</v>
      </c>
      <c r="AJ4" s="1877"/>
      <c r="AK4" s="1877"/>
      <c r="AL4" s="1877"/>
      <c r="AM4" s="1772"/>
    </row>
    <row r="5" spans="2:43" ht="18" customHeight="1">
      <c r="B5" s="116"/>
      <c r="C5" s="116"/>
      <c r="D5" s="116"/>
      <c r="E5" s="116"/>
      <c r="F5" s="117"/>
      <c r="G5" s="117"/>
      <c r="H5" s="117"/>
      <c r="I5" s="117"/>
      <c r="J5" s="117"/>
      <c r="K5" s="117"/>
      <c r="L5" s="117"/>
      <c r="M5" s="117"/>
      <c r="N5" s="117"/>
      <c r="O5" s="117"/>
      <c r="P5" s="117"/>
      <c r="Q5" s="117"/>
      <c r="R5" s="117"/>
      <c r="S5" s="117"/>
      <c r="T5" s="117"/>
      <c r="U5" s="117"/>
      <c r="V5" s="117"/>
      <c r="W5" s="117"/>
      <c r="X5" s="117"/>
      <c r="Y5" s="117"/>
      <c r="Z5" s="117"/>
      <c r="AA5" s="116"/>
      <c r="AB5" s="116"/>
      <c r="AC5" s="116"/>
      <c r="AD5" s="116"/>
      <c r="AE5" s="116"/>
      <c r="AF5" s="116"/>
      <c r="AG5" s="116"/>
      <c r="AH5" s="116"/>
      <c r="AI5" s="118"/>
      <c r="AJ5" s="118"/>
      <c r="AK5" s="118"/>
      <c r="AL5" s="118"/>
      <c r="AM5" s="118"/>
    </row>
    <row r="6" spans="2:43" ht="18" customHeight="1">
      <c r="B6" s="2743" t="s">
        <v>1835</v>
      </c>
      <c r="C6" s="1877"/>
      <c r="D6" s="1877"/>
      <c r="E6" s="1877"/>
      <c r="F6" s="1877"/>
      <c r="G6" s="1877"/>
      <c r="H6" s="1877"/>
      <c r="I6" s="1877"/>
      <c r="J6" s="1877"/>
      <c r="K6" s="1877"/>
      <c r="L6" s="1877"/>
      <c r="M6" s="1877"/>
      <c r="N6" s="1877"/>
      <c r="O6" s="1877"/>
      <c r="P6" s="1877"/>
      <c r="Q6" s="1877"/>
      <c r="R6" s="1877"/>
      <c r="S6" s="1877"/>
      <c r="T6" s="1877"/>
      <c r="U6" s="1877"/>
      <c r="V6" s="1877"/>
      <c r="W6" s="1877"/>
      <c r="X6" s="1877"/>
      <c r="Y6" s="1877"/>
      <c r="Z6" s="1877"/>
      <c r="AA6" s="1877"/>
      <c r="AB6" s="1877"/>
      <c r="AC6" s="1877"/>
      <c r="AD6" s="1877"/>
      <c r="AE6" s="1877"/>
      <c r="AF6" s="1877"/>
      <c r="AG6" s="1877"/>
      <c r="AH6" s="1877"/>
      <c r="AI6" s="1877"/>
      <c r="AJ6" s="1877"/>
      <c r="AK6" s="1877"/>
      <c r="AL6" s="1877"/>
      <c r="AM6" s="1877"/>
    </row>
    <row r="7" spans="2:43" ht="18" customHeight="1">
      <c r="B7" s="2751" t="s">
        <v>608</v>
      </c>
      <c r="C7" s="2759" t="s">
        <v>1836</v>
      </c>
      <c r="D7" s="1953"/>
      <c r="E7" s="1953"/>
      <c r="F7" s="1953"/>
      <c r="G7" s="1953"/>
      <c r="H7" s="1953"/>
      <c r="I7" s="1953"/>
      <c r="J7" s="1953"/>
      <c r="K7" s="1953"/>
      <c r="L7" s="1953"/>
      <c r="M7" s="1953"/>
      <c r="N7" s="1953"/>
      <c r="O7" s="1953"/>
      <c r="P7" s="1953"/>
      <c r="Q7" s="1953"/>
      <c r="R7" s="1953"/>
      <c r="S7" s="1953"/>
      <c r="T7" s="1953"/>
      <c r="U7" s="1953"/>
      <c r="V7" s="1953"/>
      <c r="W7" s="1953"/>
      <c r="X7" s="1953"/>
      <c r="Y7" s="1953"/>
      <c r="Z7" s="1953"/>
      <c r="AA7" s="1953"/>
      <c r="AB7" s="1953"/>
      <c r="AC7" s="1953"/>
      <c r="AD7" s="1953"/>
      <c r="AE7" s="1770"/>
      <c r="AF7" s="2782">
        <f>SUM('Development Budget'!D29:D39)-'Development Budget'!D31-'Development Budget'!D32-'Development Budget'!D33-'Development Budget'!D35</f>
        <v>0</v>
      </c>
      <c r="AG7" s="1877"/>
      <c r="AH7" s="1877"/>
      <c r="AI7" s="1772"/>
      <c r="AJ7" s="2753">
        <f>$AF$7*0.006</f>
        <v>0</v>
      </c>
      <c r="AK7" s="1877"/>
      <c r="AL7" s="1877"/>
      <c r="AM7" s="1772"/>
    </row>
    <row r="8" spans="2:43" ht="18" customHeight="1">
      <c r="B8" s="2465"/>
      <c r="C8" s="2771" t="s">
        <v>1837</v>
      </c>
      <c r="D8" s="2671"/>
      <c r="E8" s="2671"/>
      <c r="F8" s="2671"/>
      <c r="G8" s="2671"/>
      <c r="H8" s="2671"/>
      <c r="I8" s="2671"/>
      <c r="J8" s="2671"/>
      <c r="K8" s="2671"/>
      <c r="L8" s="2671"/>
      <c r="M8" s="2671"/>
      <c r="N8" s="2671"/>
      <c r="O8" s="2671"/>
      <c r="P8" s="2671"/>
      <c r="Q8" s="2671"/>
      <c r="R8" s="2671"/>
      <c r="S8" s="2671"/>
      <c r="T8" s="2671"/>
      <c r="U8" s="2671"/>
      <c r="V8" s="2671"/>
      <c r="W8" s="2671"/>
      <c r="X8" s="2671"/>
      <c r="Y8" s="2671"/>
      <c r="Z8" s="2671"/>
      <c r="AA8" s="2671"/>
      <c r="AB8" s="2671"/>
      <c r="AC8" s="2671"/>
      <c r="AD8" s="2671"/>
      <c r="AE8" s="1889"/>
      <c r="AF8" s="2744">
        <v>500</v>
      </c>
      <c r="AG8" s="1953"/>
      <c r="AH8" s="1953"/>
      <c r="AI8" s="1770"/>
      <c r="AJ8" s="2766">
        <f>$AI$4*AF8</f>
        <v>0</v>
      </c>
      <c r="AK8" s="1777"/>
      <c r="AL8" s="1777"/>
      <c r="AM8" s="1778"/>
    </row>
    <row r="9" spans="2:43" ht="18" customHeight="1">
      <c r="B9" s="2751" t="s">
        <v>611</v>
      </c>
      <c r="C9" s="2784" t="s">
        <v>1838</v>
      </c>
      <c r="D9" s="1953"/>
      <c r="E9" s="1953"/>
      <c r="F9" s="1953"/>
      <c r="G9" s="1953"/>
      <c r="H9" s="1953"/>
      <c r="I9" s="1953"/>
      <c r="J9" s="1953"/>
      <c r="K9" s="1953"/>
      <c r="L9" s="1953"/>
      <c r="M9" s="1953"/>
      <c r="N9" s="1953"/>
      <c r="O9" s="1953"/>
      <c r="P9" s="1953"/>
      <c r="Q9" s="1953"/>
      <c r="R9" s="1953"/>
      <c r="S9" s="1953"/>
      <c r="T9" s="1953"/>
      <c r="U9" s="1953"/>
      <c r="V9" s="1953"/>
      <c r="W9" s="1953"/>
      <c r="X9" s="1953"/>
      <c r="Y9" s="1953"/>
      <c r="Z9" s="1953"/>
      <c r="AA9" s="1953"/>
      <c r="AB9" s="1953"/>
      <c r="AC9" s="1953"/>
      <c r="AD9" s="1953"/>
      <c r="AE9" s="1953"/>
      <c r="AF9" s="1953"/>
      <c r="AG9" s="1953"/>
      <c r="AH9" s="1953"/>
      <c r="AI9" s="1770"/>
      <c r="AJ9" s="2785">
        <f>IF(OR('Project Overview'!$I$178="Acquisition &amp; Rehabilitation",'Project Overview'!$I$178="Rehabilitation"),$AJ$8,MIN($AJ$7:$AM$8))</f>
        <v>0</v>
      </c>
      <c r="AK9" s="1777"/>
      <c r="AL9" s="1777"/>
      <c r="AM9" s="1778"/>
      <c r="AQ9" s="345"/>
    </row>
    <row r="10" spans="2:43" ht="18" customHeight="1">
      <c r="B10" s="2465"/>
      <c r="C10" s="2779" t="s">
        <v>1839</v>
      </c>
      <c r="D10" s="1877"/>
      <c r="E10" s="1877"/>
      <c r="F10" s="1877"/>
      <c r="G10" s="1877"/>
      <c r="H10" s="1877"/>
      <c r="I10" s="1877"/>
      <c r="J10" s="1877"/>
      <c r="K10" s="1877"/>
      <c r="L10" s="1877"/>
      <c r="M10" s="1877"/>
      <c r="N10" s="1877"/>
      <c r="O10" s="1877"/>
      <c r="P10" s="1877"/>
      <c r="Q10" s="1877"/>
      <c r="R10" s="1877"/>
      <c r="S10" s="1877"/>
      <c r="T10" s="1877"/>
      <c r="U10" s="1877"/>
      <c r="V10" s="1877"/>
      <c r="W10" s="1877"/>
      <c r="X10" s="1877"/>
      <c r="Y10" s="1877"/>
      <c r="Z10" s="1877"/>
      <c r="AA10" s="1877"/>
      <c r="AB10" s="1877"/>
      <c r="AC10" s="1877"/>
      <c r="AD10" s="1877"/>
      <c r="AE10" s="1877"/>
      <c r="AF10" s="1877"/>
      <c r="AG10" s="1877"/>
      <c r="AH10" s="1877"/>
      <c r="AI10" s="1772"/>
      <c r="AJ10" s="2769">
        <f>AJ9</f>
        <v>0</v>
      </c>
      <c r="AK10" s="1777"/>
      <c r="AL10" s="1777"/>
      <c r="AM10" s="1778"/>
    </row>
    <row r="11" spans="2:43" ht="18" customHeight="1">
      <c r="B11" s="2750"/>
      <c r="C11" s="1953"/>
      <c r="D11" s="1953"/>
      <c r="E11" s="1953"/>
      <c r="F11" s="1953"/>
      <c r="G11" s="1953"/>
      <c r="H11" s="1953"/>
      <c r="I11" s="1953"/>
      <c r="J11" s="1953"/>
      <c r="K11" s="1953"/>
      <c r="L11" s="1953"/>
      <c r="M11" s="1953"/>
      <c r="N11" s="1953"/>
      <c r="O11" s="1953"/>
      <c r="P11" s="1953"/>
      <c r="Q11" s="1953"/>
      <c r="R11" s="1953"/>
      <c r="S11" s="1953"/>
      <c r="T11" s="1953"/>
      <c r="U11" s="1953"/>
      <c r="V11" s="1953"/>
      <c r="W11" s="1953"/>
      <c r="X11" s="1953"/>
      <c r="Y11" s="1953"/>
      <c r="Z11" s="1953"/>
      <c r="AA11" s="1953"/>
      <c r="AB11" s="1953"/>
      <c r="AC11" s="1953"/>
      <c r="AD11" s="1953"/>
      <c r="AE11" s="1953"/>
      <c r="AF11" s="1953"/>
      <c r="AG11" s="1953"/>
      <c r="AH11" s="1953"/>
      <c r="AI11" s="1953"/>
      <c r="AJ11" s="1953"/>
      <c r="AK11" s="1953"/>
      <c r="AL11" s="1953"/>
      <c r="AM11" s="1953"/>
    </row>
    <row r="12" spans="2:43" ht="18" customHeight="1">
      <c r="B12" s="2743" t="s">
        <v>1840</v>
      </c>
      <c r="C12" s="1877"/>
      <c r="D12" s="1877"/>
      <c r="E12" s="1877"/>
      <c r="F12" s="1877"/>
      <c r="G12" s="1877"/>
      <c r="H12" s="1877"/>
      <c r="I12" s="1877"/>
      <c r="J12" s="1877"/>
      <c r="K12" s="1877"/>
      <c r="L12" s="1877"/>
      <c r="M12" s="1877"/>
      <c r="N12" s="1877"/>
      <c r="O12" s="1877"/>
      <c r="P12" s="1877"/>
      <c r="Q12" s="1877"/>
      <c r="R12" s="1877"/>
      <c r="S12" s="1877"/>
      <c r="T12" s="1877"/>
      <c r="U12" s="1877"/>
      <c r="V12" s="1877"/>
      <c r="W12" s="1877"/>
      <c r="X12" s="1877"/>
      <c r="Y12" s="1877"/>
      <c r="Z12" s="1877"/>
      <c r="AA12" s="1877"/>
      <c r="AB12" s="1877"/>
      <c r="AC12" s="1877"/>
      <c r="AD12" s="1877"/>
      <c r="AE12" s="1877"/>
      <c r="AF12" s="1877"/>
      <c r="AG12" s="1877"/>
      <c r="AH12" s="1877"/>
      <c r="AI12" s="1877"/>
      <c r="AJ12" s="1877"/>
      <c r="AK12" s="1877"/>
      <c r="AL12" s="1877"/>
      <c r="AM12" s="1877"/>
    </row>
    <row r="13" spans="2:43" ht="63.75" customHeight="1">
      <c r="B13" s="2786">
        <v>1</v>
      </c>
      <c r="C13" s="1889"/>
      <c r="D13" s="2757" t="s">
        <v>1841</v>
      </c>
      <c r="E13" s="1877"/>
      <c r="F13" s="1877"/>
      <c r="G13" s="1877"/>
      <c r="H13" s="1877"/>
      <c r="I13" s="1877"/>
      <c r="J13" s="1877"/>
      <c r="K13" s="1877"/>
      <c r="L13" s="1877"/>
      <c r="M13" s="1877"/>
      <c r="N13" s="1877"/>
      <c r="O13" s="1877"/>
      <c r="P13" s="1877"/>
      <c r="Q13" s="1877"/>
      <c r="R13" s="1877"/>
      <c r="S13" s="1877"/>
      <c r="T13" s="1877"/>
      <c r="U13" s="1877"/>
      <c r="V13" s="1877"/>
      <c r="W13" s="1877"/>
      <c r="X13" s="1877"/>
      <c r="Y13" s="1877"/>
      <c r="Z13" s="1877"/>
      <c r="AA13" s="1877"/>
      <c r="AB13" s="1877"/>
      <c r="AC13" s="1877"/>
      <c r="AD13" s="1877"/>
      <c r="AE13" s="1772"/>
      <c r="AF13" s="2776" t="s">
        <v>1842</v>
      </c>
      <c r="AG13" s="2671"/>
      <c r="AH13" s="2671"/>
      <c r="AI13" s="1889"/>
      <c r="AJ13" s="2746" t="s">
        <v>1843</v>
      </c>
      <c r="AK13" s="1877"/>
      <c r="AL13" s="1877"/>
      <c r="AM13" s="1772"/>
    </row>
    <row r="14" spans="2:43" ht="18" customHeight="1">
      <c r="B14" s="1920"/>
      <c r="C14" s="1889"/>
      <c r="D14" s="2767" t="s">
        <v>1844</v>
      </c>
      <c r="E14" s="1777"/>
      <c r="F14" s="1777"/>
      <c r="G14" s="1777"/>
      <c r="H14" s="1777"/>
      <c r="I14" s="1777"/>
      <c r="J14" s="1777"/>
      <c r="K14" s="1777"/>
      <c r="L14" s="1777"/>
      <c r="M14" s="1777"/>
      <c r="N14" s="1777"/>
      <c r="O14" s="1778"/>
      <c r="P14" s="2780">
        <f>'Operating Budget'!$E$113</f>
        <v>0</v>
      </c>
      <c r="Q14" s="1777"/>
      <c r="R14" s="1777"/>
      <c r="S14" s="1777"/>
      <c r="T14" s="1778"/>
      <c r="U14" s="2777" t="s">
        <v>1845</v>
      </c>
      <c r="V14" s="1953"/>
      <c r="W14" s="1953"/>
      <c r="X14" s="1953"/>
      <c r="Y14" s="1953"/>
      <c r="Z14" s="1953"/>
      <c r="AA14" s="1770"/>
      <c r="AB14" s="2736">
        <f>SUM($P$14-$P$15)</f>
        <v>0</v>
      </c>
      <c r="AC14" s="1953"/>
      <c r="AD14" s="1953"/>
      <c r="AE14" s="1770"/>
      <c r="AF14" s="2737">
        <f>$AB$14/12*3</f>
        <v>0</v>
      </c>
      <c r="AG14" s="1953"/>
      <c r="AH14" s="1953"/>
      <c r="AI14" s="1770"/>
      <c r="AJ14" s="2737">
        <f>$AB$14/12*4</f>
        <v>0</v>
      </c>
      <c r="AK14" s="1953"/>
      <c r="AL14" s="1953"/>
      <c r="AM14" s="1770"/>
    </row>
    <row r="15" spans="2:43" ht="18" customHeight="1">
      <c r="B15" s="2479"/>
      <c r="C15" s="1772"/>
      <c r="D15" s="2787" t="s">
        <v>1846</v>
      </c>
      <c r="E15" s="1777"/>
      <c r="F15" s="1777"/>
      <c r="G15" s="1777"/>
      <c r="H15" s="1777"/>
      <c r="I15" s="1777"/>
      <c r="J15" s="1777"/>
      <c r="K15" s="1777"/>
      <c r="L15" s="1777"/>
      <c r="M15" s="1777"/>
      <c r="N15" s="1777"/>
      <c r="O15" s="1778"/>
      <c r="P15" s="2736">
        <f>'Operating Budget'!$E$107</f>
        <v>0</v>
      </c>
      <c r="Q15" s="1777"/>
      <c r="R15" s="1777"/>
      <c r="S15" s="1777"/>
      <c r="T15" s="1778"/>
      <c r="U15" s="2479"/>
      <c r="V15" s="1877"/>
      <c r="W15" s="1877"/>
      <c r="X15" s="1877"/>
      <c r="Y15" s="1877"/>
      <c r="Z15" s="1877"/>
      <c r="AA15" s="1772"/>
      <c r="AB15" s="2479"/>
      <c r="AC15" s="1877"/>
      <c r="AD15" s="1877"/>
      <c r="AE15" s="1772"/>
      <c r="AF15" s="2479"/>
      <c r="AG15" s="1877"/>
      <c r="AH15" s="1877"/>
      <c r="AI15" s="1772"/>
      <c r="AJ15" s="2479"/>
      <c r="AK15" s="1877"/>
      <c r="AL15" s="1877"/>
      <c r="AM15" s="1772"/>
    </row>
    <row r="16" spans="2:43" ht="18" customHeight="1">
      <c r="B16" s="258">
        <v>2</v>
      </c>
      <c r="C16" s="1384"/>
      <c r="D16" s="2393" t="s">
        <v>1847</v>
      </c>
      <c r="E16" s="1953"/>
      <c r="F16" s="1953"/>
      <c r="G16" s="1953"/>
      <c r="H16" s="1953"/>
      <c r="I16" s="1953"/>
      <c r="J16" s="1953"/>
      <c r="K16" s="1953"/>
      <c r="L16" s="1953"/>
      <c r="M16" s="1953"/>
      <c r="N16" s="1953"/>
      <c r="O16" s="1953"/>
      <c r="P16" s="1953"/>
      <c r="Q16" s="1953"/>
      <c r="R16" s="1953"/>
      <c r="S16" s="1953"/>
      <c r="T16" s="1953"/>
      <c r="U16" s="1953"/>
      <c r="V16" s="1953"/>
      <c r="W16" s="1953"/>
      <c r="X16" s="1953"/>
      <c r="Y16" s="1953"/>
      <c r="Z16" s="1953"/>
      <c r="AA16" s="1770"/>
      <c r="AB16" s="2754">
        <f>$AJ$10</f>
        <v>0</v>
      </c>
      <c r="AC16" s="1953"/>
      <c r="AD16" s="1953"/>
      <c r="AE16" s="1770"/>
      <c r="AF16" s="2768">
        <f>$AB$16/12*3</f>
        <v>0</v>
      </c>
      <c r="AG16" s="1953"/>
      <c r="AH16" s="1953"/>
      <c r="AI16" s="1770"/>
      <c r="AJ16" s="2768">
        <f>$AB$16/12*4</f>
        <v>0</v>
      </c>
      <c r="AK16" s="1953"/>
      <c r="AL16" s="1953"/>
      <c r="AM16" s="1770"/>
    </row>
    <row r="17" spans="2:41" ht="18" customHeight="1">
      <c r="B17" s="1973">
        <v>3</v>
      </c>
      <c r="C17" s="1770"/>
      <c r="D17" s="2029" t="s">
        <v>1848</v>
      </c>
      <c r="E17" s="1777"/>
      <c r="F17" s="1777"/>
      <c r="G17" s="1777"/>
      <c r="H17" s="1777"/>
      <c r="I17" s="1777"/>
      <c r="J17" s="1777"/>
      <c r="K17" s="1777"/>
      <c r="L17" s="1777"/>
      <c r="M17" s="1777"/>
      <c r="N17" s="1777"/>
      <c r="O17" s="1777"/>
      <c r="P17" s="1777"/>
      <c r="Q17" s="1777"/>
      <c r="R17" s="1777"/>
      <c r="S17" s="1777"/>
      <c r="T17" s="1777"/>
      <c r="U17" s="1777"/>
      <c r="V17" s="1777"/>
      <c r="W17" s="1777"/>
      <c r="X17" s="1777"/>
      <c r="Y17" s="1777"/>
      <c r="Z17" s="1777"/>
      <c r="AA17" s="1777"/>
      <c r="AB17" s="1777"/>
      <c r="AC17" s="1777"/>
      <c r="AD17" s="1777"/>
      <c r="AE17" s="1777"/>
      <c r="AF17" s="1777"/>
      <c r="AG17" s="1777"/>
      <c r="AH17" s="1777"/>
      <c r="AI17" s="1777"/>
      <c r="AJ17" s="1777"/>
      <c r="AK17" s="1777"/>
      <c r="AL17" s="1777"/>
      <c r="AM17" s="1778"/>
    </row>
    <row r="18" spans="2:41" ht="63" customHeight="1">
      <c r="B18" s="1920"/>
      <c r="C18" s="1889"/>
      <c r="D18" s="2775" t="s">
        <v>1849</v>
      </c>
      <c r="E18" s="1953"/>
      <c r="F18" s="1953"/>
      <c r="G18" s="1953"/>
      <c r="H18" s="1953"/>
      <c r="I18" s="1953"/>
      <c r="J18" s="1953"/>
      <c r="K18" s="1953"/>
      <c r="L18" s="1953"/>
      <c r="M18" s="1953"/>
      <c r="N18" s="1953"/>
      <c r="O18" s="1953"/>
      <c r="P18" s="1953"/>
      <c r="Q18" s="1953"/>
      <c r="R18" s="1953"/>
      <c r="S18" s="1953"/>
      <c r="T18" s="1953"/>
      <c r="U18" s="1953"/>
      <c r="V18" s="1953"/>
      <c r="W18" s="1953"/>
      <c r="X18" s="1953"/>
      <c r="Y18" s="1953"/>
      <c r="Z18" s="1953"/>
      <c r="AA18" s="1770"/>
      <c r="AB18" s="2778" t="s">
        <v>1850</v>
      </c>
      <c r="AC18" s="1953"/>
      <c r="AD18" s="1953"/>
      <c r="AE18" s="1770"/>
      <c r="AF18" s="2064" t="s">
        <v>1842</v>
      </c>
      <c r="AG18" s="1777"/>
      <c r="AH18" s="1777"/>
      <c r="AI18" s="1778"/>
      <c r="AJ18" s="2064" t="s">
        <v>1843</v>
      </c>
      <c r="AK18" s="1777"/>
      <c r="AL18" s="1777"/>
      <c r="AM18" s="1778"/>
    </row>
    <row r="19" spans="2:41" ht="18" customHeight="1">
      <c r="B19" s="1920"/>
      <c r="C19" s="1889"/>
      <c r="D19" s="2758" t="str">
        <f>IF('Operating Budget'!$D$128="","",'Operating Budget'!$D$128)</f>
        <v>1st Mortgage Debt Service (Specify)</v>
      </c>
      <c r="E19" s="1953"/>
      <c r="F19" s="1953"/>
      <c r="G19" s="1953"/>
      <c r="H19" s="1953"/>
      <c r="I19" s="1953"/>
      <c r="J19" s="1953"/>
      <c r="K19" s="1953"/>
      <c r="L19" s="1953"/>
      <c r="M19" s="1953"/>
      <c r="N19" s="1953"/>
      <c r="O19" s="1953"/>
      <c r="P19" s="1953"/>
      <c r="Q19" s="1953"/>
      <c r="R19" s="1953"/>
      <c r="S19" s="1953"/>
      <c r="T19" s="1953"/>
      <c r="U19" s="1953"/>
      <c r="V19" s="1953"/>
      <c r="W19" s="1953"/>
      <c r="X19" s="1953"/>
      <c r="Y19" s="1953"/>
      <c r="Z19" s="1953"/>
      <c r="AA19" s="1770"/>
      <c r="AB19" s="2738">
        <f>'Operating Budget'!$E$128</f>
        <v>0</v>
      </c>
      <c r="AC19" s="1777"/>
      <c r="AD19" s="1777"/>
      <c r="AE19" s="1778"/>
      <c r="AF19" s="2736">
        <f t="shared" ref="AF19:AF31" si="0">IFERROR(AB19/12*3,0)</f>
        <v>0</v>
      </c>
      <c r="AG19" s="1777"/>
      <c r="AH19" s="1777"/>
      <c r="AI19" s="1778"/>
      <c r="AJ19" s="2736">
        <f t="shared" ref="AJ19:AJ31" si="1">IFERROR(AB19/12*4,0)</f>
        <v>0</v>
      </c>
      <c r="AK19" s="1777"/>
      <c r="AL19" s="1777"/>
      <c r="AM19" s="1778"/>
      <c r="AN19" s="2774"/>
      <c r="AO19" s="2671"/>
    </row>
    <row r="20" spans="2:41" ht="18" customHeight="1">
      <c r="B20" s="1920"/>
      <c r="C20" s="1889"/>
      <c r="D20" s="2135" t="str">
        <f>IF('Operating Budget'!$D$129="","",'Operating Budget'!$D$129)</f>
        <v>2nd Mortgage Debt Service (Specify)</v>
      </c>
      <c r="E20" s="2671"/>
      <c r="F20" s="2671"/>
      <c r="G20" s="2671"/>
      <c r="H20" s="2671"/>
      <c r="I20" s="2671"/>
      <c r="J20" s="2671"/>
      <c r="K20" s="2671"/>
      <c r="L20" s="2671"/>
      <c r="M20" s="2671"/>
      <c r="N20" s="2671"/>
      <c r="O20" s="2671"/>
      <c r="P20" s="2671"/>
      <c r="Q20" s="2671"/>
      <c r="R20" s="2671"/>
      <c r="S20" s="2671"/>
      <c r="T20" s="2671"/>
      <c r="U20" s="2671"/>
      <c r="V20" s="2671"/>
      <c r="W20" s="2671"/>
      <c r="X20" s="2671"/>
      <c r="Y20" s="2671"/>
      <c r="Z20" s="2671"/>
      <c r="AA20" s="1889"/>
      <c r="AB20" s="2738">
        <f>'Operating Budget'!$E$129</f>
        <v>0</v>
      </c>
      <c r="AC20" s="1777"/>
      <c r="AD20" s="1777"/>
      <c r="AE20" s="1778"/>
      <c r="AF20" s="2736">
        <f t="shared" si="0"/>
        <v>0</v>
      </c>
      <c r="AG20" s="1777"/>
      <c r="AH20" s="1777"/>
      <c r="AI20" s="1778"/>
      <c r="AJ20" s="2736">
        <f t="shared" si="1"/>
        <v>0</v>
      </c>
      <c r="AK20" s="1777"/>
      <c r="AL20" s="1777"/>
      <c r="AM20" s="1778"/>
      <c r="AN20" s="2671"/>
      <c r="AO20" s="2671"/>
    </row>
    <row r="21" spans="2:41" ht="18" customHeight="1">
      <c r="B21" s="1920"/>
      <c r="C21" s="1889"/>
      <c r="D21" s="2135" t="str">
        <f>IF('Operating Budget'!$D$130="","",'Operating Budget'!$D$130)</f>
        <v>3rd Mortgage Debt Service (Specify)</v>
      </c>
      <c r="E21" s="2671"/>
      <c r="F21" s="2671"/>
      <c r="G21" s="2671"/>
      <c r="H21" s="2671"/>
      <c r="I21" s="2671"/>
      <c r="J21" s="2671"/>
      <c r="K21" s="2671"/>
      <c r="L21" s="2671"/>
      <c r="M21" s="2671"/>
      <c r="N21" s="2671"/>
      <c r="O21" s="2671"/>
      <c r="P21" s="2671"/>
      <c r="Q21" s="2671"/>
      <c r="R21" s="2671"/>
      <c r="S21" s="2671"/>
      <c r="T21" s="2671"/>
      <c r="U21" s="2671"/>
      <c r="V21" s="2671"/>
      <c r="W21" s="2671"/>
      <c r="X21" s="2671"/>
      <c r="Y21" s="2671"/>
      <c r="Z21" s="2671"/>
      <c r="AA21" s="1889"/>
      <c r="AB21" s="2738">
        <f>'Operating Budget'!$E$130</f>
        <v>0</v>
      </c>
      <c r="AC21" s="1777"/>
      <c r="AD21" s="1777"/>
      <c r="AE21" s="1778"/>
      <c r="AF21" s="2736">
        <f t="shared" si="0"/>
        <v>0</v>
      </c>
      <c r="AG21" s="1777"/>
      <c r="AH21" s="1777"/>
      <c r="AI21" s="1778"/>
      <c r="AJ21" s="2736">
        <f t="shared" si="1"/>
        <v>0</v>
      </c>
      <c r="AK21" s="1777"/>
      <c r="AL21" s="1777"/>
      <c r="AM21" s="1778"/>
      <c r="AN21" s="2671"/>
      <c r="AO21" s="2671"/>
    </row>
    <row r="22" spans="2:41" ht="18" hidden="1" customHeight="1">
      <c r="B22" s="1920"/>
      <c r="C22" s="1889"/>
      <c r="D22" s="2135" t="s">
        <v>1766</v>
      </c>
      <c r="E22" s="2671"/>
      <c r="F22" s="2671"/>
      <c r="G22" s="2671"/>
      <c r="H22" s="2671"/>
      <c r="I22" s="2671"/>
      <c r="J22" s="2671"/>
      <c r="K22" s="2671"/>
      <c r="L22" s="2671"/>
      <c r="M22" s="2671"/>
      <c r="N22" s="2671"/>
      <c r="O22" s="2671"/>
      <c r="P22" s="2671"/>
      <c r="Q22" s="2671"/>
      <c r="R22" s="2671"/>
      <c r="S22" s="2671"/>
      <c r="T22" s="2671"/>
      <c r="U22" s="2671"/>
      <c r="V22" s="2671"/>
      <c r="W22" s="2671"/>
      <c r="X22" s="2671"/>
      <c r="Y22" s="2671"/>
      <c r="Z22" s="2671"/>
      <c r="AA22" s="1889"/>
      <c r="AB22" s="2738">
        <f>IF(IsSerna,'Operating Budget'!$E$131,0)</f>
        <v>0</v>
      </c>
      <c r="AC22" s="1777"/>
      <c r="AD22" s="1777"/>
      <c r="AE22" s="1778"/>
      <c r="AF22" s="2736">
        <f t="shared" si="0"/>
        <v>0</v>
      </c>
      <c r="AG22" s="1777"/>
      <c r="AH22" s="1777"/>
      <c r="AI22" s="1778"/>
      <c r="AJ22" s="2736">
        <f t="shared" si="1"/>
        <v>0</v>
      </c>
      <c r="AK22" s="1777"/>
      <c r="AL22" s="1777"/>
      <c r="AM22" s="1778"/>
      <c r="AN22" s="2671"/>
      <c r="AO22" s="2671"/>
    </row>
    <row r="23" spans="2:41" ht="18" hidden="1" customHeight="1">
      <c r="B23" s="1920"/>
      <c r="C23" s="1889"/>
      <c r="D23" s="2135" t="s">
        <v>1767</v>
      </c>
      <c r="E23" s="2671"/>
      <c r="F23" s="2671"/>
      <c r="G23" s="2671"/>
      <c r="H23" s="2671"/>
      <c r="I23" s="2671"/>
      <c r="J23" s="2671"/>
      <c r="K23" s="2671"/>
      <c r="L23" s="2671"/>
      <c r="M23" s="2671"/>
      <c r="N23" s="2671"/>
      <c r="O23" s="2671"/>
      <c r="P23" s="2671"/>
      <c r="Q23" s="2671"/>
      <c r="R23" s="2671"/>
      <c r="S23" s="2671"/>
      <c r="T23" s="2671"/>
      <c r="U23" s="2671"/>
      <c r="V23" s="2671"/>
      <c r="W23" s="2671"/>
      <c r="X23" s="2671"/>
      <c r="Y23" s="2671"/>
      <c r="Z23" s="2671"/>
      <c r="AA23" s="1889"/>
      <c r="AB23" s="2738">
        <f>IF(IsShmhp,'Operating Budget'!$E$132,0)</f>
        <v>0</v>
      </c>
      <c r="AC23" s="1777"/>
      <c r="AD23" s="1777"/>
      <c r="AE23" s="1778"/>
      <c r="AF23" s="2736">
        <f t="shared" si="0"/>
        <v>0</v>
      </c>
      <c r="AG23" s="1777"/>
      <c r="AH23" s="1777"/>
      <c r="AI23" s="1778"/>
      <c r="AJ23" s="2736">
        <f t="shared" si="1"/>
        <v>0</v>
      </c>
      <c r="AK23" s="1777"/>
      <c r="AL23" s="1777"/>
      <c r="AM23" s="1778"/>
      <c r="AN23" s="2671"/>
      <c r="AO23" s="2671"/>
    </row>
    <row r="24" spans="2:41" ht="18" customHeight="1">
      <c r="B24" s="1920"/>
      <c r="C24" s="1889"/>
      <c r="D24" s="2135" t="s">
        <v>1768</v>
      </c>
      <c r="E24" s="2671"/>
      <c r="F24" s="2671"/>
      <c r="G24" s="2671"/>
      <c r="H24" s="2671"/>
      <c r="I24" s="2671"/>
      <c r="J24" s="2671"/>
      <c r="K24" s="2671"/>
      <c r="L24" s="2671"/>
      <c r="M24" s="2671"/>
      <c r="N24" s="2671"/>
      <c r="O24" s="2671"/>
      <c r="P24" s="2671"/>
      <c r="Q24" s="2671"/>
      <c r="R24" s="2671"/>
      <c r="S24" s="2671"/>
      <c r="T24" s="2671"/>
      <c r="U24" s="2671"/>
      <c r="V24" s="2671"/>
      <c r="W24" s="2671"/>
      <c r="X24" s="2671"/>
      <c r="Y24" s="2671"/>
      <c r="Z24" s="2671"/>
      <c r="AA24" s="1889"/>
      <c r="AB24" s="2738">
        <f>IF(IsMhp,'Operating Budget'!$E$133,0)</f>
        <v>0</v>
      </c>
      <c r="AC24" s="1777"/>
      <c r="AD24" s="1777"/>
      <c r="AE24" s="1778"/>
      <c r="AF24" s="2736">
        <f t="shared" si="0"/>
        <v>0</v>
      </c>
      <c r="AG24" s="1777"/>
      <c r="AH24" s="1777"/>
      <c r="AI24" s="1778"/>
      <c r="AJ24" s="2736">
        <f t="shared" si="1"/>
        <v>0</v>
      </c>
      <c r="AK24" s="1777"/>
      <c r="AL24" s="1777"/>
      <c r="AM24" s="1778"/>
      <c r="AN24" s="2671"/>
      <c r="AO24" s="2671"/>
    </row>
    <row r="25" spans="2:41" ht="18" hidden="1" customHeight="1">
      <c r="B25" s="1920"/>
      <c r="C25" s="1889"/>
      <c r="D25" s="2135" t="s">
        <v>1769</v>
      </c>
      <c r="E25" s="2671"/>
      <c r="F25" s="2671"/>
      <c r="G25" s="2671"/>
      <c r="H25" s="2671"/>
      <c r="I25" s="2671"/>
      <c r="J25" s="2671"/>
      <c r="K25" s="2671"/>
      <c r="L25" s="2671"/>
      <c r="M25" s="2671"/>
      <c r="N25" s="2671"/>
      <c r="O25" s="2671"/>
      <c r="P25" s="2671"/>
      <c r="Q25" s="2671"/>
      <c r="R25" s="2671"/>
      <c r="S25" s="2671"/>
      <c r="T25" s="2671"/>
      <c r="U25" s="2671"/>
      <c r="V25" s="2671"/>
      <c r="W25" s="2671"/>
      <c r="X25" s="2671"/>
      <c r="Y25" s="2671"/>
      <c r="Z25" s="2671"/>
      <c r="AA25" s="1889"/>
      <c r="AB25" s="2738">
        <f>IF(IsTod,'Operating Budget'!$E$134,0)</f>
        <v>0</v>
      </c>
      <c r="AC25" s="1777"/>
      <c r="AD25" s="1777"/>
      <c r="AE25" s="1778"/>
      <c r="AF25" s="2736">
        <f t="shared" si="0"/>
        <v>0</v>
      </c>
      <c r="AG25" s="1777"/>
      <c r="AH25" s="1777"/>
      <c r="AI25" s="1778"/>
      <c r="AJ25" s="2736">
        <f t="shared" si="1"/>
        <v>0</v>
      </c>
      <c r="AK25" s="1777"/>
      <c r="AL25" s="1777"/>
      <c r="AM25" s="1778"/>
      <c r="AN25" s="2671"/>
      <c r="AO25" s="2671"/>
    </row>
    <row r="26" spans="2:41" ht="18" hidden="1" customHeight="1">
      <c r="B26" s="1920"/>
      <c r="C26" s="1889"/>
      <c r="D26" s="2135" t="s">
        <v>1770</v>
      </c>
      <c r="E26" s="2671"/>
      <c r="F26" s="2671"/>
      <c r="G26" s="2671"/>
      <c r="H26" s="2671"/>
      <c r="I26" s="2671"/>
      <c r="J26" s="2671"/>
      <c r="K26" s="2671"/>
      <c r="L26" s="2671"/>
      <c r="M26" s="2671"/>
      <c r="N26" s="2671"/>
      <c r="O26" s="2671"/>
      <c r="P26" s="2671"/>
      <c r="Q26" s="2671"/>
      <c r="R26" s="2671"/>
      <c r="S26" s="2671"/>
      <c r="T26" s="2671"/>
      <c r="U26" s="2671"/>
      <c r="V26" s="2671"/>
      <c r="W26" s="2671"/>
      <c r="X26" s="2671"/>
      <c r="Y26" s="2671"/>
      <c r="Z26" s="2671"/>
      <c r="AA26" s="1889"/>
      <c r="AB26" s="2738">
        <f>IF(IsVhhp,'Operating Budget'!$E$135,0)</f>
        <v>0</v>
      </c>
      <c r="AC26" s="1777"/>
      <c r="AD26" s="1777"/>
      <c r="AE26" s="1778"/>
      <c r="AF26" s="2736">
        <f t="shared" si="0"/>
        <v>0</v>
      </c>
      <c r="AG26" s="1777"/>
      <c r="AH26" s="1777"/>
      <c r="AI26" s="1778"/>
      <c r="AJ26" s="2736">
        <f t="shared" si="1"/>
        <v>0</v>
      </c>
      <c r="AK26" s="1777"/>
      <c r="AL26" s="1777"/>
      <c r="AM26" s="1778"/>
      <c r="AN26" s="2671"/>
      <c r="AO26" s="2671"/>
    </row>
    <row r="27" spans="2:41" ht="18" customHeight="1">
      <c r="B27" s="1920"/>
      <c r="C27" s="1889"/>
      <c r="D27" s="2135" t="str">
        <f>IF('Operating Budget'!$D$136="","",'Operating Budget'!$D$136)</f>
        <v>Other HCD .42% (Specify)</v>
      </c>
      <c r="E27" s="2671"/>
      <c r="F27" s="2671"/>
      <c r="G27" s="2671"/>
      <c r="H27" s="2671"/>
      <c r="I27" s="2671"/>
      <c r="J27" s="2671"/>
      <c r="K27" s="2671"/>
      <c r="L27" s="2671"/>
      <c r="M27" s="2671"/>
      <c r="N27" s="2671"/>
      <c r="O27" s="2671"/>
      <c r="P27" s="2671"/>
      <c r="Q27" s="2671"/>
      <c r="R27" s="2671"/>
      <c r="S27" s="2671"/>
      <c r="T27" s="2671"/>
      <c r="U27" s="2671"/>
      <c r="V27" s="2671"/>
      <c r="W27" s="2671"/>
      <c r="X27" s="2671"/>
      <c r="Y27" s="2671"/>
      <c r="Z27" s="2671"/>
      <c r="AA27" s="1889"/>
      <c r="AB27" s="2738">
        <f>'Operating Budget'!$E$136</f>
        <v>0</v>
      </c>
      <c r="AC27" s="1777"/>
      <c r="AD27" s="1777"/>
      <c r="AE27" s="1778"/>
      <c r="AF27" s="2736">
        <f t="shared" si="0"/>
        <v>0</v>
      </c>
      <c r="AG27" s="1777"/>
      <c r="AH27" s="1777"/>
      <c r="AI27" s="1778"/>
      <c r="AJ27" s="2736">
        <f t="shared" si="1"/>
        <v>0</v>
      </c>
      <c r="AK27" s="1777"/>
      <c r="AL27" s="1777"/>
      <c r="AM27" s="1778"/>
      <c r="AN27" s="2671"/>
      <c r="AO27" s="2671"/>
    </row>
    <row r="28" spans="2:41" ht="18" customHeight="1">
      <c r="B28" s="1920"/>
      <c r="C28" s="1889"/>
      <c r="D28" s="2135" t="str">
        <f>IF('Operating Budget'!$D$137="","",'Operating Budget'!$D$137)</f>
        <v>Other HCD .42% (Specify)</v>
      </c>
      <c r="E28" s="2671"/>
      <c r="F28" s="2671"/>
      <c r="G28" s="2671"/>
      <c r="H28" s="2671"/>
      <c r="I28" s="2671"/>
      <c r="J28" s="2671"/>
      <c r="K28" s="2671"/>
      <c r="L28" s="2671"/>
      <c r="M28" s="2671"/>
      <c r="N28" s="2671"/>
      <c r="O28" s="2671"/>
      <c r="P28" s="2671"/>
      <c r="Q28" s="2671"/>
      <c r="R28" s="2671"/>
      <c r="S28" s="2671"/>
      <c r="T28" s="2671"/>
      <c r="U28" s="2671"/>
      <c r="V28" s="2671"/>
      <c r="W28" s="2671"/>
      <c r="X28" s="2671"/>
      <c r="Y28" s="2671"/>
      <c r="Z28" s="2671"/>
      <c r="AA28" s="1889"/>
      <c r="AB28" s="2738">
        <f>'Operating Budget'!$E$137</f>
        <v>0</v>
      </c>
      <c r="AC28" s="1777"/>
      <c r="AD28" s="1777"/>
      <c r="AE28" s="1778"/>
      <c r="AF28" s="2736">
        <f t="shared" si="0"/>
        <v>0</v>
      </c>
      <c r="AG28" s="1777"/>
      <c r="AH28" s="1777"/>
      <c r="AI28" s="1778"/>
      <c r="AJ28" s="2736">
        <f t="shared" si="1"/>
        <v>0</v>
      </c>
      <c r="AK28" s="1777"/>
      <c r="AL28" s="1777"/>
      <c r="AM28" s="1778"/>
      <c r="AN28" s="2671"/>
      <c r="AO28" s="2671"/>
    </row>
    <row r="29" spans="2:41" ht="18" customHeight="1">
      <c r="B29" s="1920"/>
      <c r="C29" s="1889"/>
      <c r="D29" s="2135" t="str">
        <f>IF('Operating Budget'!$D$138="","",'Operating Budget'!$D$138)</f>
        <v>Bond Issuer Fee</v>
      </c>
      <c r="E29" s="2671"/>
      <c r="F29" s="2671"/>
      <c r="G29" s="2671"/>
      <c r="H29" s="2671"/>
      <c r="I29" s="2671"/>
      <c r="J29" s="2671"/>
      <c r="K29" s="2671"/>
      <c r="L29" s="2671"/>
      <c r="M29" s="2671"/>
      <c r="N29" s="2671"/>
      <c r="O29" s="2671"/>
      <c r="P29" s="2671"/>
      <c r="Q29" s="2671"/>
      <c r="R29" s="2671"/>
      <c r="S29" s="2671"/>
      <c r="T29" s="2671"/>
      <c r="U29" s="2671"/>
      <c r="V29" s="2671"/>
      <c r="W29" s="2671"/>
      <c r="X29" s="2671"/>
      <c r="Y29" s="2671"/>
      <c r="Z29" s="2671"/>
      <c r="AA29" s="1889"/>
      <c r="AB29" s="2738">
        <f>'Operating Budget'!$E$138</f>
        <v>0</v>
      </c>
      <c r="AC29" s="1777"/>
      <c r="AD29" s="1777"/>
      <c r="AE29" s="1778"/>
      <c r="AF29" s="2736">
        <f t="shared" si="0"/>
        <v>0</v>
      </c>
      <c r="AG29" s="1777"/>
      <c r="AH29" s="1777"/>
      <c r="AI29" s="1778"/>
      <c r="AJ29" s="2736">
        <f t="shared" si="1"/>
        <v>0</v>
      </c>
      <c r="AK29" s="1777"/>
      <c r="AL29" s="1777"/>
      <c r="AM29" s="1778"/>
      <c r="AN29" s="2671"/>
      <c r="AO29" s="2671"/>
    </row>
    <row r="30" spans="2:41" ht="18" customHeight="1">
      <c r="B30" s="1920"/>
      <c r="C30" s="1889"/>
      <c r="D30" s="2256" t="str">
        <f>IF('Operating Budget'!$D$139="","",'Operating Budget'!$D$139)</f>
        <v>Miscellaneous Financial Expenses (Specify)</v>
      </c>
      <c r="E30" s="1877"/>
      <c r="F30" s="1877"/>
      <c r="G30" s="1877"/>
      <c r="H30" s="1877"/>
      <c r="I30" s="1877"/>
      <c r="J30" s="1877"/>
      <c r="K30" s="1877"/>
      <c r="L30" s="1877"/>
      <c r="M30" s="1877"/>
      <c r="N30" s="1877"/>
      <c r="O30" s="1877"/>
      <c r="P30" s="1877"/>
      <c r="Q30" s="1877"/>
      <c r="R30" s="1877"/>
      <c r="S30" s="1877"/>
      <c r="T30" s="1877"/>
      <c r="U30" s="1877"/>
      <c r="V30" s="1877"/>
      <c r="W30" s="1877"/>
      <c r="X30" s="1877"/>
      <c r="Y30" s="1877"/>
      <c r="Z30" s="1877"/>
      <c r="AA30" s="1772"/>
      <c r="AB30" s="2738">
        <f>'Operating Budget'!$E$139</f>
        <v>0</v>
      </c>
      <c r="AC30" s="1777"/>
      <c r="AD30" s="1777"/>
      <c r="AE30" s="1778"/>
      <c r="AF30" s="2736">
        <f t="shared" si="0"/>
        <v>0</v>
      </c>
      <c r="AG30" s="1777"/>
      <c r="AH30" s="1777"/>
      <c r="AI30" s="1778"/>
      <c r="AJ30" s="2736">
        <f t="shared" si="1"/>
        <v>0</v>
      </c>
      <c r="AK30" s="1777"/>
      <c r="AL30" s="1777"/>
      <c r="AM30" s="1778"/>
      <c r="AN30" s="2671"/>
      <c r="AO30" s="2671"/>
    </row>
    <row r="31" spans="2:41" ht="18" customHeight="1">
      <c r="B31" s="1920"/>
      <c r="C31" s="1889"/>
      <c r="D31" s="2781" t="s">
        <v>1041</v>
      </c>
      <c r="E31" s="1869"/>
      <c r="F31" s="1869"/>
      <c r="G31" s="1869"/>
      <c r="H31" s="1869"/>
      <c r="I31" s="1869"/>
      <c r="J31" s="1869"/>
      <c r="K31" s="1869"/>
      <c r="L31" s="1869"/>
      <c r="M31" s="1869"/>
      <c r="N31" s="1869"/>
      <c r="O31" s="1869"/>
      <c r="P31" s="1869"/>
      <c r="Q31" s="1869"/>
      <c r="R31" s="1869"/>
      <c r="S31" s="1869"/>
      <c r="T31" s="1869"/>
      <c r="U31" s="1869"/>
      <c r="V31" s="1869"/>
      <c r="W31" s="1869"/>
      <c r="X31" s="1869"/>
      <c r="Y31" s="1869"/>
      <c r="Z31" s="1869"/>
      <c r="AA31" s="1870"/>
      <c r="AB31" s="2783"/>
      <c r="AC31" s="1861"/>
      <c r="AD31" s="1861"/>
      <c r="AE31" s="1862"/>
      <c r="AF31" s="2736">
        <f t="shared" si="0"/>
        <v>0</v>
      </c>
      <c r="AG31" s="1777"/>
      <c r="AH31" s="1777"/>
      <c r="AI31" s="1778"/>
      <c r="AJ31" s="2736">
        <f t="shared" si="1"/>
        <v>0</v>
      </c>
      <c r="AK31" s="1777"/>
      <c r="AL31" s="1777"/>
      <c r="AM31" s="1778"/>
      <c r="AN31" s="2671"/>
      <c r="AO31" s="2671"/>
    </row>
    <row r="32" spans="2:41" ht="18" customHeight="1">
      <c r="B32" s="2479"/>
      <c r="C32" s="1772"/>
      <c r="D32" s="2773" t="s">
        <v>867</v>
      </c>
      <c r="E32" s="1777"/>
      <c r="F32" s="1777"/>
      <c r="G32" s="1777"/>
      <c r="H32" s="1777"/>
      <c r="I32" s="1777"/>
      <c r="J32" s="1777"/>
      <c r="K32" s="1777"/>
      <c r="L32" s="1777"/>
      <c r="M32" s="1777"/>
      <c r="N32" s="1777"/>
      <c r="O32" s="1777"/>
      <c r="P32" s="1777"/>
      <c r="Q32" s="1777"/>
      <c r="R32" s="1777"/>
      <c r="S32" s="1777"/>
      <c r="T32" s="1777"/>
      <c r="U32" s="1777"/>
      <c r="V32" s="1777"/>
      <c r="W32" s="1777"/>
      <c r="X32" s="1777"/>
      <c r="Y32" s="1777"/>
      <c r="Z32" s="1777"/>
      <c r="AA32" s="1778"/>
      <c r="AB32" s="2752">
        <f>SUM(AB19:AE31)</f>
        <v>0</v>
      </c>
      <c r="AC32" s="1777"/>
      <c r="AD32" s="1777"/>
      <c r="AE32" s="1778"/>
      <c r="AF32" s="2737">
        <f>SUM(AF19:AI31)</f>
        <v>0</v>
      </c>
      <c r="AG32" s="1777"/>
      <c r="AH32" s="1777"/>
      <c r="AI32" s="1778"/>
      <c r="AJ32" s="2737">
        <f>SUM(AJ19:AM31)</f>
        <v>0</v>
      </c>
      <c r="AK32" s="1777"/>
      <c r="AL32" s="1777"/>
      <c r="AM32" s="1778"/>
    </row>
    <row r="33" spans="2:39" ht="18" customHeight="1">
      <c r="B33" s="2742" t="s">
        <v>1851</v>
      </c>
      <c r="C33" s="2671"/>
      <c r="D33" s="2671"/>
      <c r="E33" s="2671"/>
      <c r="F33" s="2671"/>
      <c r="G33" s="2671"/>
      <c r="H33" s="2671"/>
      <c r="I33" s="2671"/>
      <c r="J33" s="2671"/>
      <c r="K33" s="2671"/>
      <c r="L33" s="2671"/>
      <c r="M33" s="2671"/>
      <c r="N33" s="2671"/>
      <c r="O33" s="2671"/>
      <c r="P33" s="2671"/>
      <c r="Q33" s="2671"/>
      <c r="R33" s="2671"/>
      <c r="S33" s="2671"/>
      <c r="T33" s="2671"/>
      <c r="U33" s="2671"/>
      <c r="V33" s="2671"/>
      <c r="W33" s="2671"/>
      <c r="X33" s="2671"/>
      <c r="Y33" s="2671"/>
      <c r="Z33" s="2671"/>
      <c r="AA33" s="2671"/>
      <c r="AB33" s="2671"/>
      <c r="AC33" s="2671"/>
      <c r="AD33" s="2671"/>
      <c r="AE33" s="2671"/>
      <c r="AF33" s="2737">
        <f>AF14+AF16+AF32</f>
        <v>0</v>
      </c>
      <c r="AG33" s="1777"/>
      <c r="AH33" s="1777"/>
      <c r="AI33" s="1778"/>
      <c r="AJ33" s="2737">
        <f>AJ14+AJ16+AJ32</f>
        <v>0</v>
      </c>
      <c r="AK33" s="1777"/>
      <c r="AL33" s="1777"/>
      <c r="AM33" s="1778"/>
    </row>
    <row r="34" spans="2:39" ht="18" customHeight="1">
      <c r="B34" s="2755" t="s">
        <v>1852</v>
      </c>
      <c r="C34" s="2671"/>
      <c r="D34" s="2671"/>
      <c r="E34" s="2671"/>
      <c r="F34" s="2671"/>
      <c r="G34" s="2671"/>
      <c r="H34" s="2671"/>
      <c r="I34" s="2671"/>
      <c r="J34" s="2671"/>
      <c r="K34" s="2671"/>
      <c r="L34" s="2671"/>
      <c r="M34" s="2671"/>
      <c r="N34" s="2671"/>
      <c r="O34" s="2671"/>
      <c r="P34" s="2671"/>
      <c r="Q34" s="2671"/>
      <c r="R34" s="2671"/>
      <c r="S34" s="2671"/>
      <c r="T34" s="2671"/>
      <c r="U34" s="2671"/>
      <c r="V34" s="2671"/>
      <c r="W34" s="2671"/>
      <c r="X34" s="2671"/>
      <c r="Y34" s="2671"/>
      <c r="Z34" s="2671"/>
      <c r="AA34" s="2671"/>
      <c r="AB34" s="2671"/>
      <c r="AC34" s="2671"/>
      <c r="AD34" s="2671"/>
      <c r="AE34" s="2671"/>
      <c r="AF34" s="2671"/>
      <c r="AG34" s="2671"/>
      <c r="AH34" s="2671"/>
      <c r="AI34" s="2671"/>
      <c r="AJ34" s="2671"/>
      <c r="AK34" s="2671"/>
      <c r="AL34" s="2671"/>
      <c r="AM34" s="2671"/>
    </row>
    <row r="35" spans="2:39" ht="36" customHeight="1">
      <c r="B35" s="2761"/>
      <c r="C35" s="1861"/>
      <c r="D35" s="1861"/>
      <c r="E35" s="1861"/>
      <c r="F35" s="1861"/>
      <c r="G35" s="1861"/>
      <c r="H35" s="1861"/>
      <c r="I35" s="1861"/>
      <c r="J35" s="1861"/>
      <c r="K35" s="1861"/>
      <c r="L35" s="1861"/>
      <c r="M35" s="1861"/>
      <c r="N35" s="1861"/>
      <c r="O35" s="1861"/>
      <c r="P35" s="1861"/>
      <c r="Q35" s="1861"/>
      <c r="R35" s="1861"/>
      <c r="S35" s="1861"/>
      <c r="T35" s="1861"/>
      <c r="U35" s="1861"/>
      <c r="V35" s="1861"/>
      <c r="W35" s="1861"/>
      <c r="X35" s="1861"/>
      <c r="Y35" s="1861"/>
      <c r="Z35" s="1861"/>
      <c r="AA35" s="1861"/>
      <c r="AB35" s="1861"/>
      <c r="AC35" s="1861"/>
      <c r="AD35" s="1861"/>
      <c r="AE35" s="1861"/>
      <c r="AF35" s="1861"/>
      <c r="AG35" s="1861"/>
      <c r="AH35" s="1861"/>
      <c r="AI35" s="1861"/>
      <c r="AJ35" s="1861"/>
      <c r="AK35" s="1861"/>
      <c r="AL35" s="1861"/>
      <c r="AM35" s="1862"/>
    </row>
    <row r="36" spans="2:39" ht="18" customHeight="1">
      <c r="B36" s="2160"/>
      <c r="C36" s="2671"/>
      <c r="D36" s="2671"/>
      <c r="E36" s="2671"/>
      <c r="F36" s="2671"/>
    </row>
    <row r="37" spans="2:39" ht="18" customHeight="1">
      <c r="B37" s="2788" t="s">
        <v>1853</v>
      </c>
      <c r="C37" s="1877"/>
      <c r="D37" s="1877"/>
      <c r="E37" s="1877"/>
      <c r="F37" s="1877"/>
      <c r="G37" s="1877"/>
      <c r="H37" s="1877"/>
      <c r="I37" s="1877"/>
      <c r="J37" s="1877"/>
      <c r="K37" s="1877"/>
      <c r="L37" s="1877"/>
      <c r="M37" s="1877"/>
      <c r="N37" s="1877"/>
      <c r="O37" s="1877"/>
      <c r="R37" s="1695" t="s">
        <v>1854</v>
      </c>
      <c r="S37" s="1694" t="s">
        <v>1854</v>
      </c>
      <c r="T37" s="2748" t="s">
        <v>1855</v>
      </c>
      <c r="U37" s="1877"/>
      <c r="V37" s="1877"/>
      <c r="W37" s="1877"/>
      <c r="X37" s="1877"/>
      <c r="Y37" s="1877"/>
      <c r="Z37" s="1877"/>
      <c r="AA37" s="1877"/>
      <c r="AB37" s="1694"/>
      <c r="AE37" s="1694"/>
      <c r="AF37" s="1694"/>
      <c r="AG37" s="1694"/>
      <c r="AH37" s="1694"/>
      <c r="AI37" s="1694"/>
      <c r="AJ37" s="1694"/>
      <c r="AK37" s="1694"/>
      <c r="AL37" s="1694"/>
      <c r="AM37" s="1694"/>
    </row>
    <row r="38" spans="2:39" ht="18" customHeight="1">
      <c r="B38" s="2029" t="s">
        <v>1856</v>
      </c>
      <c r="C38" s="1777"/>
      <c r="D38" s="1777"/>
      <c r="E38" s="1777"/>
      <c r="F38" s="1777"/>
      <c r="G38" s="1777"/>
      <c r="H38" s="1777"/>
      <c r="I38" s="1777"/>
      <c r="J38" s="1777"/>
      <c r="K38" s="1777"/>
      <c r="L38" s="1777"/>
      <c r="M38" s="1777"/>
      <c r="N38" s="1777"/>
      <c r="O38" s="1777"/>
      <c r="P38" s="1777"/>
      <c r="Q38" s="1777"/>
      <c r="R38" s="1777"/>
      <c r="S38" s="1777"/>
      <c r="T38" s="1777"/>
      <c r="U38" s="1777"/>
      <c r="V38" s="1777"/>
      <c r="W38" s="1777"/>
      <c r="X38" s="1777"/>
      <c r="Y38" s="1777"/>
      <c r="Z38" s="1777"/>
      <c r="AA38" s="1777"/>
      <c r="AB38" s="1777"/>
      <c r="AC38" s="1777"/>
      <c r="AD38" s="1777"/>
      <c r="AE38" s="1777"/>
      <c r="AF38" s="1777"/>
      <c r="AG38" s="1777"/>
      <c r="AH38" s="1777"/>
      <c r="AI38" s="1778"/>
      <c r="AJ38" s="2273"/>
      <c r="AK38" s="1869"/>
      <c r="AL38" s="1869"/>
      <c r="AM38" s="1870"/>
    </row>
    <row r="39" spans="2:39" ht="18" hidden="1" customHeight="1">
      <c r="B39" s="4"/>
      <c r="C39" s="4"/>
      <c r="D39" s="4"/>
      <c r="E39" s="4"/>
      <c r="F39" s="4"/>
      <c r="G39" s="4"/>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row>
    <row r="40" spans="2:39" ht="36" hidden="1" customHeight="1">
      <c r="B40" s="1973" t="s">
        <v>1857</v>
      </c>
      <c r="C40" s="1777"/>
      <c r="D40" s="1778"/>
      <c r="E40" s="2740" t="str">
        <f>IF('Unit Mix'!AW7&gt;0,'Unit Mix'!AW7,"")</f>
        <v/>
      </c>
      <c r="F40" s="1777"/>
      <c r="G40" s="1777"/>
      <c r="H40" s="1777"/>
      <c r="I40" s="1777"/>
      <c r="J40" s="1777"/>
      <c r="K40" s="1777"/>
      <c r="L40" s="1778"/>
      <c r="M40" s="2756" t="s">
        <v>1858</v>
      </c>
      <c r="N40" s="1777"/>
      <c r="O40" s="1777"/>
      <c r="P40" s="1777"/>
      <c r="Q40" s="1624"/>
      <c r="R40" s="136"/>
      <c r="S40" s="136"/>
      <c r="T40" s="58"/>
      <c r="U40" s="1973" t="s">
        <v>1859</v>
      </c>
      <c r="V40" s="1777"/>
      <c r="W40" s="1778"/>
      <c r="X40" s="2745" t="str">
        <f>IF('Unit Mix'!BB7&gt;0,'Unit Mix'!BB7,"")</f>
        <v/>
      </c>
      <c r="Y40" s="1777"/>
      <c r="Z40" s="1777"/>
      <c r="AA40" s="1777"/>
      <c r="AB40" s="1777"/>
      <c r="AC40" s="1777"/>
      <c r="AD40" s="1777"/>
      <c r="AE40" s="1778"/>
      <c r="AF40" s="2756" t="s">
        <v>1858</v>
      </c>
      <c r="AG40" s="1777"/>
      <c r="AH40" s="1777"/>
      <c r="AI40" s="1777"/>
      <c r="AJ40" s="1624"/>
      <c r="AK40" s="58"/>
      <c r="AL40" s="58"/>
      <c r="AM40" s="58"/>
    </row>
    <row r="41" spans="2:39" s="338" customFormat="1" ht="36" hidden="1" customHeight="1">
      <c r="B41" s="2064" t="s">
        <v>1860</v>
      </c>
      <c r="C41" s="1777"/>
      <c r="D41" s="1778"/>
      <c r="E41" s="2064" t="s">
        <v>1861</v>
      </c>
      <c r="F41" s="1777"/>
      <c r="G41" s="1777"/>
      <c r="H41" s="1778"/>
      <c r="I41" s="2064" t="s">
        <v>1594</v>
      </c>
      <c r="J41" s="1777"/>
      <c r="K41" s="1777"/>
      <c r="L41" s="1778"/>
      <c r="M41" s="2064" t="s">
        <v>1862</v>
      </c>
      <c r="N41" s="1777"/>
      <c r="O41" s="1777"/>
      <c r="P41" s="1778"/>
      <c r="Q41" s="382"/>
      <c r="R41" s="382"/>
      <c r="S41" s="382"/>
      <c r="T41" s="382"/>
      <c r="U41" s="2064" t="s">
        <v>1860</v>
      </c>
      <c r="V41" s="1777"/>
      <c r="W41" s="1778"/>
      <c r="X41" s="2064" t="s">
        <v>1861</v>
      </c>
      <c r="Y41" s="1777"/>
      <c r="Z41" s="1777"/>
      <c r="AA41" s="1778"/>
      <c r="AB41" s="2064" t="s">
        <v>1594</v>
      </c>
      <c r="AC41" s="1777"/>
      <c r="AD41" s="1777"/>
      <c r="AE41" s="1778"/>
      <c r="AF41" s="2064" t="s">
        <v>1862</v>
      </c>
      <c r="AG41" s="1777"/>
      <c r="AH41" s="1777"/>
      <c r="AI41" s="1778"/>
      <c r="AJ41" s="382"/>
      <c r="AK41" s="382"/>
      <c r="AL41" s="382"/>
      <c r="AM41" s="382"/>
    </row>
    <row r="42" spans="2:39" ht="18" hidden="1" customHeight="1">
      <c r="B42" s="1973">
        <v>0</v>
      </c>
      <c r="C42" s="1777"/>
      <c r="D42" s="1778"/>
      <c r="E42" s="1873"/>
      <c r="F42" s="1861"/>
      <c r="G42" s="1861"/>
      <c r="H42" s="1862"/>
      <c r="I42" s="2747"/>
      <c r="J42" s="1861"/>
      <c r="K42" s="1861"/>
      <c r="L42" s="1862"/>
      <c r="M42" s="2073">
        <f>E42*I42*12</f>
        <v>0</v>
      </c>
      <c r="N42" s="1777"/>
      <c r="O42" s="1777"/>
      <c r="P42" s="1778"/>
      <c r="Q42" s="58"/>
      <c r="R42" s="58"/>
      <c r="S42" s="58"/>
      <c r="T42" s="58"/>
      <c r="U42" s="1973">
        <v>0</v>
      </c>
      <c r="V42" s="1777"/>
      <c r="W42" s="1778"/>
      <c r="X42" s="1873"/>
      <c r="Y42" s="1861"/>
      <c r="Z42" s="1861"/>
      <c r="AA42" s="1862"/>
      <c r="AB42" s="2747"/>
      <c r="AC42" s="1861"/>
      <c r="AD42" s="1861"/>
      <c r="AE42" s="1862"/>
      <c r="AF42" s="2073">
        <f>X42*AB42*12</f>
        <v>0</v>
      </c>
      <c r="AG42" s="1777"/>
      <c r="AH42" s="1777"/>
      <c r="AI42" s="1778"/>
      <c r="AJ42" s="58"/>
      <c r="AK42" s="58"/>
      <c r="AL42" s="58"/>
      <c r="AM42" s="58"/>
    </row>
    <row r="43" spans="2:39" ht="18" hidden="1" customHeight="1">
      <c r="B43" s="1973">
        <v>1</v>
      </c>
      <c r="C43" s="1777"/>
      <c r="D43" s="1778"/>
      <c r="E43" s="1873"/>
      <c r="F43" s="1861"/>
      <c r="G43" s="1861"/>
      <c r="H43" s="1862"/>
      <c r="I43" s="2747"/>
      <c r="J43" s="1861"/>
      <c r="K43" s="1861"/>
      <c r="L43" s="1862"/>
      <c r="M43" s="2073">
        <f>E43*I43*12</f>
        <v>0</v>
      </c>
      <c r="N43" s="1777"/>
      <c r="O43" s="1777"/>
      <c r="P43" s="1778"/>
      <c r="Q43" s="58"/>
      <c r="R43" s="58"/>
      <c r="S43" s="58"/>
      <c r="T43" s="58"/>
      <c r="U43" s="1973">
        <v>1</v>
      </c>
      <c r="V43" s="1777"/>
      <c r="W43" s="1778"/>
      <c r="X43" s="1873"/>
      <c r="Y43" s="1861"/>
      <c r="Z43" s="1861"/>
      <c r="AA43" s="1862"/>
      <c r="AB43" s="2747"/>
      <c r="AC43" s="1861"/>
      <c r="AD43" s="1861"/>
      <c r="AE43" s="1862"/>
      <c r="AF43" s="2073">
        <f>X43*AB43*12</f>
        <v>0</v>
      </c>
      <c r="AG43" s="1777"/>
      <c r="AH43" s="1777"/>
      <c r="AI43" s="1778"/>
      <c r="AJ43" s="58"/>
      <c r="AK43" s="58"/>
      <c r="AL43" s="58"/>
      <c r="AM43" s="58"/>
    </row>
    <row r="44" spans="2:39" ht="18" hidden="1" customHeight="1">
      <c r="B44" s="1973">
        <v>2</v>
      </c>
      <c r="C44" s="1777"/>
      <c r="D44" s="1778"/>
      <c r="E44" s="1873"/>
      <c r="F44" s="1861"/>
      <c r="G44" s="1861"/>
      <c r="H44" s="1862"/>
      <c r="I44" s="2747"/>
      <c r="J44" s="1861"/>
      <c r="K44" s="1861"/>
      <c r="L44" s="1862"/>
      <c r="M44" s="2073">
        <f>E44*I44*12</f>
        <v>0</v>
      </c>
      <c r="N44" s="1777"/>
      <c r="O44" s="1777"/>
      <c r="P44" s="1778"/>
      <c r="Q44" s="58"/>
      <c r="R44" s="58"/>
      <c r="S44" s="58"/>
      <c r="T44" s="58"/>
      <c r="U44" s="1973">
        <v>2</v>
      </c>
      <c r="V44" s="1777"/>
      <c r="W44" s="1778"/>
      <c r="X44" s="1873"/>
      <c r="Y44" s="1861"/>
      <c r="Z44" s="1861"/>
      <c r="AA44" s="1862"/>
      <c r="AB44" s="2747"/>
      <c r="AC44" s="1861"/>
      <c r="AD44" s="1861"/>
      <c r="AE44" s="1862"/>
      <c r="AF44" s="2073">
        <f>X44*AB44*12</f>
        <v>0</v>
      </c>
      <c r="AG44" s="1777"/>
      <c r="AH44" s="1777"/>
      <c r="AI44" s="1778"/>
      <c r="AJ44" s="58"/>
      <c r="AK44" s="58"/>
      <c r="AL44" s="58"/>
      <c r="AM44" s="58"/>
    </row>
    <row r="45" spans="2:39" ht="18" hidden="1" customHeight="1">
      <c r="B45" s="1973">
        <v>3</v>
      </c>
      <c r="C45" s="1777"/>
      <c r="D45" s="1778"/>
      <c r="E45" s="1873"/>
      <c r="F45" s="1861"/>
      <c r="G45" s="1861"/>
      <c r="H45" s="1862"/>
      <c r="I45" s="2747"/>
      <c r="J45" s="1861"/>
      <c r="K45" s="1861"/>
      <c r="L45" s="1862"/>
      <c r="M45" s="2073">
        <f>E45*I45*12</f>
        <v>0</v>
      </c>
      <c r="N45" s="1777"/>
      <c r="O45" s="1777"/>
      <c r="P45" s="1778"/>
      <c r="Q45" s="58"/>
      <c r="R45" s="58"/>
      <c r="S45" s="58"/>
      <c r="T45" s="58"/>
      <c r="U45" s="1973">
        <v>3</v>
      </c>
      <c r="V45" s="1777"/>
      <c r="W45" s="1778"/>
      <c r="X45" s="1873"/>
      <c r="Y45" s="1861"/>
      <c r="Z45" s="1861"/>
      <c r="AA45" s="1862"/>
      <c r="AB45" s="2747"/>
      <c r="AC45" s="1861"/>
      <c r="AD45" s="1861"/>
      <c r="AE45" s="1862"/>
      <c r="AF45" s="2073">
        <f>X45*AB45*12</f>
        <v>0</v>
      </c>
      <c r="AG45" s="1777"/>
      <c r="AH45" s="1777"/>
      <c r="AI45" s="1778"/>
      <c r="AJ45" s="58"/>
      <c r="AK45" s="58"/>
      <c r="AL45" s="58"/>
      <c r="AM45" s="58"/>
    </row>
    <row r="46" spans="2:39" ht="18" hidden="1" customHeight="1">
      <c r="B46" s="1973">
        <v>4</v>
      </c>
      <c r="C46" s="1777"/>
      <c r="D46" s="1778"/>
      <c r="E46" s="1873"/>
      <c r="F46" s="1861"/>
      <c r="G46" s="1861"/>
      <c r="H46" s="1862"/>
      <c r="I46" s="2747"/>
      <c r="J46" s="1861"/>
      <c r="K46" s="1861"/>
      <c r="L46" s="1862"/>
      <c r="M46" s="2073">
        <f>E46*I46*12</f>
        <v>0</v>
      </c>
      <c r="N46" s="1777"/>
      <c r="O46" s="1777"/>
      <c r="P46" s="1778"/>
      <c r="Q46" s="58"/>
      <c r="R46" s="58"/>
      <c r="S46" s="58"/>
      <c r="T46" s="58"/>
      <c r="U46" s="1973">
        <v>4</v>
      </c>
      <c r="V46" s="1777"/>
      <c r="W46" s="1778"/>
      <c r="X46" s="1873"/>
      <c r="Y46" s="1861"/>
      <c r="Z46" s="1861"/>
      <c r="AA46" s="1862"/>
      <c r="AB46" s="2747"/>
      <c r="AC46" s="1861"/>
      <c r="AD46" s="1861"/>
      <c r="AE46" s="1862"/>
      <c r="AF46" s="2073">
        <f>X46*AB46*12</f>
        <v>0</v>
      </c>
      <c r="AG46" s="1777"/>
      <c r="AH46" s="1777"/>
      <c r="AI46" s="1778"/>
      <c r="AJ46" s="58"/>
      <c r="AK46" s="58"/>
      <c r="AL46" s="58"/>
      <c r="AM46" s="58"/>
    </row>
    <row r="47" spans="2:39" ht="18" hidden="1" customHeight="1">
      <c r="B47" s="58"/>
      <c r="C47" s="58"/>
      <c r="D47" s="58"/>
      <c r="E47" s="58"/>
      <c r="F47" s="2264" t="s">
        <v>1863</v>
      </c>
      <c r="G47" s="1953"/>
      <c r="H47" s="1953"/>
      <c r="I47" s="1953"/>
      <c r="J47" s="1953"/>
      <c r="K47" s="1953"/>
      <c r="L47" s="1953"/>
      <c r="M47" s="2073">
        <f>SUM(M42:P46)</f>
        <v>0</v>
      </c>
      <c r="N47" s="1777"/>
      <c r="O47" s="1777"/>
      <c r="P47" s="1778"/>
      <c r="Q47" s="58"/>
      <c r="R47" s="58"/>
      <c r="S47" s="58"/>
      <c r="T47" s="58"/>
      <c r="U47" s="58"/>
      <c r="V47" s="58"/>
      <c r="W47" s="58"/>
      <c r="X47" s="58"/>
      <c r="Y47" s="2264" t="s">
        <v>1863</v>
      </c>
      <c r="Z47" s="1953"/>
      <c r="AA47" s="1953"/>
      <c r="AB47" s="1953"/>
      <c r="AC47" s="1953"/>
      <c r="AD47" s="1953"/>
      <c r="AE47" s="1953"/>
      <c r="AF47" s="2073">
        <f>SUM(AF42:AI46)</f>
        <v>0</v>
      </c>
      <c r="AG47" s="1777"/>
      <c r="AH47" s="1777"/>
      <c r="AI47" s="1778"/>
      <c r="AJ47" s="58"/>
      <c r="AK47" s="58"/>
      <c r="AL47" s="58"/>
      <c r="AM47" s="58"/>
    </row>
    <row r="48" spans="2:39" ht="36" hidden="1" customHeight="1">
      <c r="B48" s="2735" t="s">
        <v>1864</v>
      </c>
      <c r="C48" s="2671"/>
      <c r="D48" s="2671"/>
      <c r="E48" s="2671"/>
      <c r="F48" s="2671"/>
      <c r="G48" s="2671"/>
      <c r="H48" s="2671"/>
      <c r="I48" s="2671"/>
      <c r="J48" s="2671"/>
      <c r="K48" s="2671"/>
      <c r="L48" s="2671"/>
      <c r="M48" s="2739">
        <f>$M$47*0.15</f>
        <v>0</v>
      </c>
      <c r="N48" s="1777"/>
      <c r="O48" s="1777"/>
      <c r="P48" s="1778"/>
      <c r="Q48" s="58"/>
      <c r="R48" s="58"/>
      <c r="S48" s="58"/>
      <c r="T48" s="58"/>
      <c r="U48" s="2735" t="s">
        <v>1865</v>
      </c>
      <c r="V48" s="2671"/>
      <c r="W48" s="2671"/>
      <c r="X48" s="2671"/>
      <c r="Y48" s="2671"/>
      <c r="Z48" s="2671"/>
      <c r="AA48" s="2671"/>
      <c r="AB48" s="2671"/>
      <c r="AC48" s="2671"/>
      <c r="AD48" s="2671"/>
      <c r="AE48" s="2671"/>
      <c r="AF48" s="2739">
        <f>$AF$47*0.15</f>
        <v>0</v>
      </c>
      <c r="AG48" s="1777"/>
      <c r="AH48" s="1777"/>
      <c r="AI48" s="1778"/>
      <c r="AJ48" s="58"/>
      <c r="AK48" s="58"/>
      <c r="AL48" s="58"/>
      <c r="AM48" s="58"/>
    </row>
    <row r="49" spans="2:39" ht="18" hidden="1" customHeight="1">
      <c r="B49" s="58"/>
      <c r="C49" s="58"/>
      <c r="D49" s="58"/>
      <c r="E49" s="58"/>
      <c r="F49" s="58"/>
      <c r="G49" s="58"/>
      <c r="H49" s="58"/>
      <c r="I49" s="58"/>
      <c r="J49" s="58"/>
      <c r="K49" s="58"/>
      <c r="L49" s="58"/>
      <c r="M49" s="58"/>
      <c r="N49" s="58"/>
      <c r="O49" s="58"/>
      <c r="P49" s="58"/>
      <c r="Q49" s="58"/>
      <c r="R49" s="58"/>
      <c r="S49" s="58"/>
      <c r="T49" s="58"/>
      <c r="U49" s="58"/>
      <c r="V49" s="58"/>
      <c r="W49" s="58"/>
      <c r="X49" s="58"/>
      <c r="Y49" s="58"/>
      <c r="Z49" s="58"/>
      <c r="AA49" s="58"/>
      <c r="AB49" s="58"/>
      <c r="AC49" s="58"/>
      <c r="AD49" s="58"/>
      <c r="AE49" s="58"/>
      <c r="AF49" s="58"/>
      <c r="AG49" s="58"/>
      <c r="AH49" s="58"/>
      <c r="AI49" s="58"/>
      <c r="AJ49" s="58"/>
      <c r="AK49" s="58"/>
      <c r="AL49" s="58"/>
      <c r="AM49" s="58"/>
    </row>
    <row r="50" spans="2:39" ht="18" hidden="1" customHeight="1">
      <c r="B50" s="2180" t="s">
        <v>1866</v>
      </c>
      <c r="C50" s="2671"/>
      <c r="D50" s="2671"/>
      <c r="E50" s="2671"/>
      <c r="F50" s="2671"/>
      <c r="G50" s="2671"/>
      <c r="H50" s="2671"/>
      <c r="I50" s="2764"/>
      <c r="J50" s="1861"/>
      <c r="K50" s="1861"/>
      <c r="L50" s="1861"/>
      <c r="M50" s="1861"/>
      <c r="N50" s="1861"/>
      <c r="O50" s="1861"/>
      <c r="P50" s="1861"/>
      <c r="Q50" s="1861"/>
      <c r="R50" s="1861"/>
      <c r="S50" s="1861"/>
      <c r="T50" s="1862"/>
      <c r="U50" s="58"/>
      <c r="V50" s="58"/>
      <c r="W50" s="58"/>
      <c r="X50" s="58"/>
      <c r="Y50" s="58"/>
      <c r="Z50" s="58"/>
      <c r="AA50" s="58"/>
      <c r="AB50" s="58"/>
      <c r="AC50" s="58"/>
      <c r="AD50" s="58"/>
      <c r="AE50" s="58"/>
      <c r="AF50" s="58"/>
      <c r="AG50" s="58"/>
      <c r="AH50" s="58"/>
      <c r="AI50" s="58"/>
      <c r="AJ50" s="58"/>
      <c r="AK50" s="58"/>
      <c r="AL50" s="58"/>
      <c r="AM50" s="58"/>
    </row>
    <row r="51" spans="2:39" ht="18" hidden="1" customHeight="1">
      <c r="B51" s="2001" t="s">
        <v>1867</v>
      </c>
      <c r="C51" s="2671"/>
      <c r="D51" s="2671"/>
      <c r="E51" s="2671"/>
      <c r="F51" s="2671"/>
      <c r="G51" s="2671"/>
      <c r="H51" s="2671"/>
      <c r="I51" s="2671"/>
      <c r="J51" s="2671"/>
      <c r="K51" s="2671"/>
      <c r="L51" s="1889"/>
      <c r="M51" s="2747"/>
      <c r="N51" s="1861"/>
      <c r="O51" s="1862"/>
      <c r="P51" s="58"/>
      <c r="Q51" s="58"/>
      <c r="R51" s="58"/>
      <c r="S51" s="58"/>
      <c r="T51" s="58"/>
      <c r="U51" s="58"/>
      <c r="V51" s="58"/>
      <c r="W51" s="58"/>
      <c r="X51" s="58"/>
      <c r="Y51" s="58"/>
      <c r="Z51" s="58"/>
      <c r="AA51" s="58"/>
      <c r="AB51" s="58"/>
      <c r="AC51" s="58"/>
      <c r="AD51" s="58"/>
      <c r="AE51" s="58"/>
      <c r="AF51" s="58"/>
      <c r="AG51" s="58"/>
      <c r="AH51" s="58"/>
      <c r="AI51" s="58"/>
      <c r="AJ51" s="58"/>
      <c r="AK51" s="58"/>
      <c r="AL51" s="58"/>
      <c r="AM51" s="58"/>
    </row>
    <row r="52" spans="2:39" ht="36" hidden="1" customHeight="1">
      <c r="B52" s="2762" t="s">
        <v>1868</v>
      </c>
      <c r="C52" s="2671"/>
      <c r="D52" s="2671"/>
      <c r="E52" s="2671"/>
      <c r="F52" s="2671"/>
      <c r="G52" s="2671"/>
      <c r="H52" s="2671"/>
      <c r="I52" s="2671"/>
      <c r="J52" s="2671"/>
      <c r="K52" s="2671"/>
      <c r="L52" s="1889"/>
      <c r="M52" s="2747"/>
      <c r="N52" s="1861"/>
      <c r="O52" s="1862"/>
      <c r="P52" s="58"/>
      <c r="Q52" s="58"/>
      <c r="R52" s="58"/>
      <c r="S52" s="58"/>
      <c r="T52" s="58"/>
      <c r="U52" s="58"/>
      <c r="V52" s="58"/>
      <c r="W52" s="58"/>
      <c r="X52" s="58"/>
      <c r="Y52" s="58"/>
      <c r="Z52" s="58"/>
      <c r="AA52" s="58"/>
      <c r="AB52" s="58"/>
      <c r="AC52" s="58"/>
      <c r="AD52" s="58"/>
      <c r="AE52" s="58"/>
      <c r="AF52" s="58"/>
      <c r="AG52" s="58"/>
      <c r="AH52" s="58"/>
      <c r="AI52" s="58"/>
      <c r="AJ52" s="58"/>
      <c r="AK52" s="58"/>
      <c r="AL52" s="58"/>
      <c r="AM52" s="58"/>
    </row>
    <row r="53" spans="2:39" ht="18" hidden="1" customHeight="1">
      <c r="B53" s="2020" t="s">
        <v>1869</v>
      </c>
      <c r="C53" s="2671"/>
      <c r="D53" s="2671"/>
      <c r="E53" s="2671"/>
      <c r="F53" s="2671"/>
      <c r="G53" s="2671"/>
      <c r="H53" s="2671"/>
      <c r="I53" s="2671"/>
      <c r="J53" s="2671"/>
      <c r="K53" s="2671"/>
      <c r="L53" s="2671"/>
      <c r="M53" s="2073">
        <f>IF($M$51=0,0,$M$51/$M$52)</f>
        <v>0</v>
      </c>
      <c r="N53" s="1777"/>
      <c r="O53" s="1778"/>
      <c r="P53" s="58"/>
      <c r="Q53" s="58"/>
      <c r="R53" s="58"/>
      <c r="S53" s="58"/>
      <c r="T53" s="58"/>
      <c r="U53" s="58"/>
      <c r="V53" s="58"/>
      <c r="W53" s="58"/>
      <c r="X53" s="58"/>
      <c r="Y53" s="58"/>
      <c r="Z53" s="58"/>
      <c r="AA53" s="58"/>
      <c r="AB53" s="58"/>
      <c r="AC53" s="58"/>
      <c r="AD53" s="58"/>
      <c r="AE53" s="58"/>
      <c r="AF53" s="58"/>
      <c r="AG53" s="58"/>
      <c r="AH53" s="58"/>
      <c r="AI53" s="58"/>
      <c r="AJ53" s="58"/>
      <c r="AK53" s="58"/>
      <c r="AL53" s="58"/>
      <c r="AM53" s="58"/>
    </row>
    <row r="54" spans="2:39" ht="36" hidden="1" customHeight="1">
      <c r="B54" s="2735" t="s">
        <v>1870</v>
      </c>
      <c r="C54" s="2671"/>
      <c r="D54" s="2671"/>
      <c r="E54" s="2671"/>
      <c r="F54" s="2671"/>
      <c r="G54" s="2671"/>
      <c r="H54" s="2671"/>
      <c r="I54" s="2671"/>
      <c r="J54" s="2671"/>
      <c r="K54" s="2671"/>
      <c r="L54" s="2671"/>
      <c r="M54" s="2739">
        <f>$M$53*0.15</f>
        <v>0</v>
      </c>
      <c r="N54" s="1777"/>
      <c r="O54" s="1778"/>
      <c r="P54" s="58"/>
      <c r="Q54" s="58"/>
      <c r="R54" s="58"/>
      <c r="S54" s="58"/>
      <c r="T54" s="58"/>
      <c r="U54" s="58"/>
      <c r="V54" s="58"/>
      <c r="W54" s="58"/>
      <c r="X54" s="58"/>
      <c r="Y54" s="58"/>
      <c r="Z54" s="58"/>
      <c r="AA54" s="58"/>
      <c r="AB54" s="58"/>
      <c r="AC54" s="58"/>
      <c r="AD54" s="58"/>
      <c r="AE54" s="58"/>
      <c r="AF54" s="58"/>
      <c r="AG54" s="58"/>
      <c r="AH54" s="58"/>
      <c r="AI54" s="58"/>
    </row>
    <row r="55" spans="2:39" ht="18" hidden="1" customHeight="1">
      <c r="B55" s="58"/>
      <c r="C55" s="58"/>
      <c r="D55" s="58"/>
      <c r="E55" s="58"/>
      <c r="F55" s="58"/>
      <c r="G55" s="58"/>
      <c r="H55" s="58"/>
      <c r="I55" s="58"/>
      <c r="J55" s="58"/>
      <c r="K55" s="58"/>
      <c r="L55" s="58"/>
      <c r="M55" s="58"/>
      <c r="N55" s="58"/>
      <c r="O55" s="58"/>
      <c r="P55" s="58"/>
      <c r="Q55" s="58"/>
      <c r="R55" s="58"/>
      <c r="S55" s="58"/>
      <c r="T55" s="58"/>
      <c r="U55" s="58"/>
      <c r="V55" s="58"/>
      <c r="W55" s="58"/>
      <c r="X55" s="58"/>
      <c r="Y55" s="58"/>
      <c r="Z55" s="58"/>
      <c r="AA55" s="58"/>
      <c r="AB55" s="58"/>
      <c r="AC55" s="58"/>
      <c r="AD55" s="58"/>
      <c r="AE55" s="58"/>
      <c r="AF55" s="58"/>
      <c r="AG55" s="58"/>
      <c r="AH55" s="58"/>
      <c r="AI55" s="58"/>
      <c r="AJ55" s="58"/>
      <c r="AK55" s="58"/>
      <c r="AL55" s="58"/>
      <c r="AM55" s="58"/>
    </row>
    <row r="56" spans="2:39" ht="18" hidden="1" customHeight="1">
      <c r="B56" s="2772" t="s">
        <v>1871</v>
      </c>
      <c r="C56" s="2671"/>
      <c r="D56" s="2671"/>
      <c r="E56" s="2671"/>
      <c r="F56" s="2671"/>
      <c r="G56" s="2671"/>
      <c r="H56" s="2671"/>
      <c r="I56" s="2671"/>
      <c r="J56" s="2671"/>
      <c r="K56" s="2770">
        <f>SUM(M48,AF48,M54)</f>
        <v>0</v>
      </c>
      <c r="L56" s="1777"/>
      <c r="M56" s="1777"/>
      <c r="N56" s="1778"/>
      <c r="O56" s="58"/>
      <c r="P56" s="58"/>
      <c r="Q56" s="58"/>
      <c r="R56" s="58"/>
      <c r="S56" s="58"/>
      <c r="T56" s="58"/>
      <c r="U56" s="58"/>
      <c r="V56" s="58"/>
      <c r="W56" s="58"/>
      <c r="X56" s="58"/>
      <c r="Y56" s="58"/>
      <c r="Z56" s="58"/>
      <c r="AA56" s="58"/>
      <c r="AB56" s="58"/>
      <c r="AC56" s="58"/>
      <c r="AD56" s="58"/>
      <c r="AE56" s="58"/>
      <c r="AF56" s="58"/>
      <c r="AG56" s="58"/>
      <c r="AH56" s="58"/>
      <c r="AI56" s="58"/>
      <c r="AJ56" s="58"/>
      <c r="AK56" s="58"/>
      <c r="AL56" s="58"/>
      <c r="AM56" s="58"/>
    </row>
    <row r="57" spans="2:39" ht="18" hidden="1" customHeight="1">
      <c r="B57" s="58"/>
      <c r="C57" s="58"/>
      <c r="D57" s="58"/>
      <c r="E57" s="58"/>
      <c r="F57" s="58"/>
      <c r="G57" s="58"/>
      <c r="H57" s="58"/>
      <c r="I57" s="58"/>
      <c r="J57" s="58"/>
      <c r="K57" s="58"/>
      <c r="L57" s="58"/>
      <c r="M57" s="58"/>
      <c r="N57" s="58"/>
      <c r="O57" s="58"/>
      <c r="P57" s="58"/>
      <c r="Q57" s="58"/>
      <c r="R57" s="58"/>
      <c r="S57" s="58"/>
      <c r="T57" s="58"/>
      <c r="U57" s="58"/>
      <c r="V57" s="58"/>
      <c r="W57" s="58"/>
      <c r="X57" s="58"/>
      <c r="Y57" s="58"/>
      <c r="Z57" s="58"/>
      <c r="AA57" s="58"/>
      <c r="AB57" s="58"/>
      <c r="AC57" s="58"/>
      <c r="AD57" s="58"/>
      <c r="AE57" s="58"/>
      <c r="AF57" s="58"/>
      <c r="AG57" s="58"/>
      <c r="AH57" s="58"/>
      <c r="AI57" s="58"/>
      <c r="AJ57" s="58"/>
      <c r="AK57" s="58"/>
      <c r="AL57" s="58"/>
      <c r="AM57" s="58"/>
    </row>
    <row r="58" spans="2:39" ht="36" hidden="1" customHeight="1">
      <c r="B58" s="2760" t="s">
        <v>1872</v>
      </c>
      <c r="C58" s="2671"/>
      <c r="D58" s="2671"/>
      <c r="E58" s="2671"/>
      <c r="F58" s="2671"/>
      <c r="G58" s="2671"/>
      <c r="H58" s="2671"/>
      <c r="I58" s="2671"/>
      <c r="J58" s="2671"/>
      <c r="K58" s="2671"/>
      <c r="L58" s="2671"/>
      <c r="M58" s="2671"/>
      <c r="N58" s="2671"/>
      <c r="O58" s="2671"/>
      <c r="P58" s="2671"/>
      <c r="Q58" s="2671"/>
      <c r="R58" s="2671"/>
      <c r="S58" s="2671"/>
      <c r="T58" s="2671"/>
      <c r="U58" s="2671"/>
      <c r="V58" s="2671"/>
      <c r="W58" s="2671"/>
      <c r="X58" s="2671"/>
      <c r="Y58" s="2671"/>
      <c r="Z58" s="2671"/>
      <c r="AA58" s="2671"/>
      <c r="AB58" s="2671"/>
      <c r="AC58" s="2671"/>
      <c r="AD58" s="2671"/>
      <c r="AE58" s="2671"/>
      <c r="AF58" s="2671"/>
      <c r="AG58" s="2671"/>
      <c r="AH58" s="2671"/>
      <c r="AI58" s="2671"/>
      <c r="AJ58" s="2671"/>
      <c r="AK58" s="2671"/>
      <c r="AL58" s="1873"/>
      <c r="AM58" s="1862"/>
    </row>
    <row r="59" spans="2:39" ht="18" hidden="1" customHeight="1">
      <c r="B59" s="2763" t="s">
        <v>1873</v>
      </c>
      <c r="C59" s="2671"/>
      <c r="D59" s="2671"/>
      <c r="E59" s="2671"/>
      <c r="F59" s="2671"/>
      <c r="G59" s="2671"/>
      <c r="H59" s="2671"/>
      <c r="I59" s="2671"/>
      <c r="J59" s="2671"/>
      <c r="K59" s="2671"/>
      <c r="L59" s="2671"/>
      <c r="M59" s="2671"/>
      <c r="N59" s="2671"/>
      <c r="O59" s="2671"/>
      <c r="P59" s="2671"/>
      <c r="Q59" s="2671"/>
      <c r="R59" s="2671"/>
      <c r="S59" s="2671"/>
      <c r="T59" s="2671"/>
      <c r="U59" s="2671"/>
      <c r="V59" s="2671"/>
      <c r="W59" s="2671"/>
      <c r="X59" s="2671"/>
      <c r="Y59" s="2671"/>
      <c r="Z59" s="2671"/>
      <c r="AA59" s="2671"/>
      <c r="AB59" s="2671"/>
      <c r="AC59" s="2671"/>
      <c r="AD59" s="2671"/>
      <c r="AE59" s="2671"/>
      <c r="AF59" s="2671"/>
      <c r="AG59" s="2671"/>
      <c r="AH59" s="2671"/>
      <c r="AI59" s="2671"/>
      <c r="AJ59" s="2671"/>
      <c r="AK59" s="2671"/>
    </row>
    <row r="60" spans="2:39" ht="18" hidden="1" customHeight="1"/>
    <row r="61" spans="2:39" ht="18" hidden="1" customHeight="1">
      <c r="B61" s="2173" t="s">
        <v>1874</v>
      </c>
      <c r="C61" s="1777"/>
      <c r="D61" s="1777"/>
      <c r="E61" s="1777"/>
      <c r="F61" s="1777"/>
      <c r="G61" s="1777"/>
      <c r="H61" s="1777"/>
      <c r="I61" s="1777"/>
      <c r="J61" s="1777"/>
      <c r="K61" s="1777"/>
      <c r="L61" s="1777"/>
      <c r="M61" s="1777"/>
      <c r="N61" s="1777"/>
      <c r="O61" s="1777"/>
      <c r="P61" s="1777"/>
      <c r="Q61" s="1777"/>
      <c r="R61" s="1777"/>
      <c r="S61" s="1777"/>
      <c r="T61" s="1777"/>
      <c r="U61" s="1777"/>
      <c r="V61" s="1777"/>
      <c r="W61" s="1777"/>
      <c r="X61" s="1777"/>
      <c r="Y61" s="1777"/>
      <c r="Z61" s="1777"/>
      <c r="AA61" s="1777"/>
      <c r="AB61" s="1777"/>
      <c r="AC61" s="1777"/>
      <c r="AD61" s="1777"/>
      <c r="AE61" s="1777"/>
      <c r="AF61" s="1777"/>
      <c r="AG61" s="1777"/>
      <c r="AH61" s="1777"/>
      <c r="AI61" s="1777"/>
      <c r="AJ61" s="1777"/>
      <c r="AK61" s="1777"/>
      <c r="AL61" s="1777"/>
      <c r="AM61" s="1778"/>
    </row>
    <row r="62" spans="2:39" ht="69.75" hidden="1" customHeight="1">
      <c r="B62" s="2003"/>
      <c r="C62" s="1861"/>
      <c r="D62" s="1861"/>
      <c r="E62" s="1861"/>
      <c r="F62" s="1861"/>
      <c r="G62" s="1861"/>
      <c r="H62" s="1861"/>
      <c r="I62" s="1861"/>
      <c r="J62" s="1861"/>
      <c r="K62" s="1861"/>
      <c r="L62" s="1861"/>
      <c r="M62" s="1861"/>
      <c r="N62" s="1861"/>
      <c r="O62" s="1861"/>
      <c r="P62" s="1861"/>
      <c r="Q62" s="1861"/>
      <c r="R62" s="1861"/>
      <c r="S62" s="1861"/>
      <c r="T62" s="1861"/>
      <c r="U62" s="1861"/>
      <c r="V62" s="1861"/>
      <c r="W62" s="1861"/>
      <c r="X62" s="1861"/>
      <c r="Y62" s="1861"/>
      <c r="Z62" s="1861"/>
      <c r="AA62" s="1861"/>
      <c r="AB62" s="1861"/>
      <c r="AC62" s="1861"/>
      <c r="AD62" s="1861"/>
      <c r="AE62" s="1861"/>
      <c r="AF62" s="1861"/>
      <c r="AG62" s="1861"/>
      <c r="AH62" s="1861"/>
      <c r="AI62" s="1861"/>
      <c r="AJ62" s="1861"/>
      <c r="AK62" s="1861"/>
      <c r="AL62" s="1861"/>
      <c r="AM62" s="1862"/>
    </row>
    <row r="63" spans="2:39" ht="18" customHeight="1">
      <c r="B63" s="1648"/>
      <c r="C63" s="1648"/>
      <c r="D63" s="1648"/>
      <c r="E63" s="1648"/>
      <c r="F63" s="1648"/>
    </row>
    <row r="64" spans="2:39" ht="18" customHeight="1">
      <c r="B64" s="2529" t="s">
        <v>461</v>
      </c>
      <c r="C64" s="2671"/>
      <c r="D64" s="2671"/>
      <c r="E64" s="2671"/>
      <c r="F64" s="2671"/>
      <c r="G64" s="2671"/>
      <c r="H64" s="2671"/>
      <c r="I64" s="2671"/>
      <c r="J64" s="2671"/>
      <c r="K64" s="2671"/>
      <c r="L64" s="2671"/>
      <c r="M64" s="2671"/>
      <c r="N64" s="2671"/>
      <c r="O64" s="2671"/>
      <c r="P64" s="2671"/>
      <c r="Q64" s="2671"/>
      <c r="R64" s="2671"/>
      <c r="S64" s="2671"/>
      <c r="T64" s="2671"/>
      <c r="U64" s="2671"/>
      <c r="V64" s="2671"/>
      <c r="W64" s="2671"/>
      <c r="X64" s="2671"/>
      <c r="Y64" s="2671"/>
      <c r="Z64" s="2671"/>
      <c r="AA64" s="2671"/>
      <c r="AB64" s="2671"/>
      <c r="AC64" s="2671"/>
      <c r="AD64" s="2671"/>
      <c r="AE64" s="2671"/>
      <c r="AF64" s="2671"/>
      <c r="AG64" s="2671"/>
      <c r="AH64" s="2671"/>
      <c r="AI64" s="2671"/>
      <c r="AJ64" s="2671"/>
      <c r="AK64" s="2671"/>
      <c r="AL64" s="2671"/>
      <c r="AM64" s="2671"/>
    </row>
  </sheetData>
  <sheetProtection algorithmName="SHA-512" hashValue="NFI1hCY7UZ43Q9F+VDe3glGK+GKc+cRVT6mfN+WzjIiZH0QACTl1ZBKw44a+yBo2kG8k2VDSvameh+6wVtneaA==" saltValue="JSdgmLrq67eH7h+dmPYVkg==" spinCount="100000" sheet="1" objects="1" scenarios="1"/>
  <mergeCells count="189">
    <mergeCell ref="AB46:AE46"/>
    <mergeCell ref="AB31:AE31"/>
    <mergeCell ref="AJ32:AM32"/>
    <mergeCell ref="C9:AI9"/>
    <mergeCell ref="AJ33:AM33"/>
    <mergeCell ref="B42:D42"/>
    <mergeCell ref="AF41:AI41"/>
    <mergeCell ref="AF23:AI23"/>
    <mergeCell ref="X41:AA41"/>
    <mergeCell ref="AJ26:AM26"/>
    <mergeCell ref="AJ9:AM9"/>
    <mergeCell ref="M43:P43"/>
    <mergeCell ref="AB20:AE20"/>
    <mergeCell ref="B13:C15"/>
    <mergeCell ref="AB45:AE45"/>
    <mergeCell ref="D25:AA25"/>
    <mergeCell ref="D15:O15"/>
    <mergeCell ref="B37:O37"/>
    <mergeCell ref="AB44:AE44"/>
    <mergeCell ref="AJ28:AM28"/>
    <mergeCell ref="C10:AI10"/>
    <mergeCell ref="F4:Z4"/>
    <mergeCell ref="M52:O52"/>
    <mergeCell ref="AB14:AE15"/>
    <mergeCell ref="AB21:AE21"/>
    <mergeCell ref="B51:L51"/>
    <mergeCell ref="X42:AA42"/>
    <mergeCell ref="F47:L47"/>
    <mergeCell ref="AJ30:AM30"/>
    <mergeCell ref="B43:D43"/>
    <mergeCell ref="P14:T14"/>
    <mergeCell ref="D31:AA31"/>
    <mergeCell ref="M45:P45"/>
    <mergeCell ref="AB23:AE23"/>
    <mergeCell ref="E45:H45"/>
    <mergeCell ref="D21:AA21"/>
    <mergeCell ref="AF32:AI32"/>
    <mergeCell ref="B38:AI38"/>
    <mergeCell ref="AJ14:AM15"/>
    <mergeCell ref="AF7:AI7"/>
    <mergeCell ref="D27:AA27"/>
    <mergeCell ref="B44:D44"/>
    <mergeCell ref="I44:L44"/>
    <mergeCell ref="AF26:AI26"/>
    <mergeCell ref="AF40:AI40"/>
    <mergeCell ref="M47:P47"/>
    <mergeCell ref="D32:AA32"/>
    <mergeCell ref="AN19:AO31"/>
    <mergeCell ref="M44:P44"/>
    <mergeCell ref="AF24:AI24"/>
    <mergeCell ref="B12:AM12"/>
    <mergeCell ref="AF33:AI33"/>
    <mergeCell ref="D18:AA18"/>
    <mergeCell ref="D22:AA22"/>
    <mergeCell ref="I42:L42"/>
    <mergeCell ref="AF42:AI42"/>
    <mergeCell ref="AF13:AI13"/>
    <mergeCell ref="AJ21:AM21"/>
    <mergeCell ref="AB24:AE24"/>
    <mergeCell ref="AB42:AE42"/>
    <mergeCell ref="AF22:AI22"/>
    <mergeCell ref="AF18:AI18"/>
    <mergeCell ref="U14:AA15"/>
    <mergeCell ref="M42:P42"/>
    <mergeCell ref="U44:W44"/>
    <mergeCell ref="AJ16:AM16"/>
    <mergeCell ref="AB19:AE19"/>
    <mergeCell ref="AB18:AE18"/>
    <mergeCell ref="D16:AA16"/>
    <mergeCell ref="AI4:AM4"/>
    <mergeCell ref="B45:D45"/>
    <mergeCell ref="B61:AM61"/>
    <mergeCell ref="AJ8:AM8"/>
    <mergeCell ref="D14:O14"/>
    <mergeCell ref="U40:W40"/>
    <mergeCell ref="I41:L41"/>
    <mergeCell ref="AF16:AI16"/>
    <mergeCell ref="AF25:AI25"/>
    <mergeCell ref="AJ10:AM10"/>
    <mergeCell ref="AJ19:AM19"/>
    <mergeCell ref="AB22:AE22"/>
    <mergeCell ref="D20:AA20"/>
    <mergeCell ref="B46:D46"/>
    <mergeCell ref="K56:N56"/>
    <mergeCell ref="C8:AE8"/>
    <mergeCell ref="I43:L43"/>
    <mergeCell ref="AF30:AI30"/>
    <mergeCell ref="AF45:AI45"/>
    <mergeCell ref="B56:J56"/>
    <mergeCell ref="B7:B8"/>
    <mergeCell ref="AF20:AI20"/>
    <mergeCell ref="U48:AE48"/>
    <mergeCell ref="AF27:AI27"/>
    <mergeCell ref="B64:AM64"/>
    <mergeCell ref="X45:AA45"/>
    <mergeCell ref="B58:AK58"/>
    <mergeCell ref="B54:L54"/>
    <mergeCell ref="AF31:AI31"/>
    <mergeCell ref="AJ29:AM29"/>
    <mergeCell ref="B35:AM35"/>
    <mergeCell ref="AF28:AI28"/>
    <mergeCell ref="X46:AA46"/>
    <mergeCell ref="B52:L52"/>
    <mergeCell ref="AJ31:AM31"/>
    <mergeCell ref="AF43:AI43"/>
    <mergeCell ref="I45:L45"/>
    <mergeCell ref="AL58:AM58"/>
    <mergeCell ref="B36:F36"/>
    <mergeCell ref="M51:O51"/>
    <mergeCell ref="B59:AK59"/>
    <mergeCell ref="B53:L53"/>
    <mergeCell ref="X43:AA43"/>
    <mergeCell ref="I46:L46"/>
    <mergeCell ref="B62:AM62"/>
    <mergeCell ref="M46:P46"/>
    <mergeCell ref="I50:T50"/>
    <mergeCell ref="M53:O53"/>
    <mergeCell ref="B2:AM2"/>
    <mergeCell ref="B17:C32"/>
    <mergeCell ref="B11:AM11"/>
    <mergeCell ref="B9:B10"/>
    <mergeCell ref="AB32:AE32"/>
    <mergeCell ref="M48:P48"/>
    <mergeCell ref="AB26:AE26"/>
    <mergeCell ref="B41:D41"/>
    <mergeCell ref="AB41:AE41"/>
    <mergeCell ref="AJ23:AM23"/>
    <mergeCell ref="D24:AA24"/>
    <mergeCell ref="AJ7:AM7"/>
    <mergeCell ref="AB16:AE16"/>
    <mergeCell ref="AB25:AE25"/>
    <mergeCell ref="B34:AM34"/>
    <mergeCell ref="D26:AA26"/>
    <mergeCell ref="U46:W46"/>
    <mergeCell ref="M40:P40"/>
    <mergeCell ref="AB27:AE27"/>
    <mergeCell ref="D13:AE13"/>
    <mergeCell ref="AJ18:AM18"/>
    <mergeCell ref="D19:AA19"/>
    <mergeCell ref="E46:H46"/>
    <mergeCell ref="C7:AE7"/>
    <mergeCell ref="B6:AM6"/>
    <mergeCell ref="M54:O54"/>
    <mergeCell ref="M41:P41"/>
    <mergeCell ref="U41:W41"/>
    <mergeCell ref="AF8:AI8"/>
    <mergeCell ref="X40:AE40"/>
    <mergeCell ref="AF47:AI47"/>
    <mergeCell ref="E41:H41"/>
    <mergeCell ref="AJ20:AM20"/>
    <mergeCell ref="AJ25:AM25"/>
    <mergeCell ref="AB28:AE28"/>
    <mergeCell ref="U43:W43"/>
    <mergeCell ref="X44:AA44"/>
    <mergeCell ref="AF19:AI19"/>
    <mergeCell ref="B50:H50"/>
    <mergeCell ref="AF46:AI46"/>
    <mergeCell ref="AJ13:AM13"/>
    <mergeCell ref="U45:W45"/>
    <mergeCell ref="P15:T15"/>
    <mergeCell ref="AB43:AE43"/>
    <mergeCell ref="AF21:AI21"/>
    <mergeCell ref="T37:AA37"/>
    <mergeCell ref="AJ24:AM24"/>
    <mergeCell ref="AJ27:AM27"/>
    <mergeCell ref="B4:E4"/>
    <mergeCell ref="B48:L48"/>
    <mergeCell ref="D17:AM17"/>
    <mergeCell ref="E43:H43"/>
    <mergeCell ref="AJ22:AM22"/>
    <mergeCell ref="AF14:AI15"/>
    <mergeCell ref="U42:W42"/>
    <mergeCell ref="AB30:AE30"/>
    <mergeCell ref="B40:D40"/>
    <mergeCell ref="Y47:AE47"/>
    <mergeCell ref="D28:AA28"/>
    <mergeCell ref="AF48:AI48"/>
    <mergeCell ref="AB29:AE29"/>
    <mergeCell ref="E42:H42"/>
    <mergeCell ref="E40:L40"/>
    <mergeCell ref="AA4:AH4"/>
    <mergeCell ref="D30:AA30"/>
    <mergeCell ref="B33:AE33"/>
    <mergeCell ref="E44:H44"/>
    <mergeCell ref="AF29:AI29"/>
    <mergeCell ref="D29:AA29"/>
    <mergeCell ref="D23:AA23"/>
    <mergeCell ref="AJ38:AM38"/>
    <mergeCell ref="AF44:AI44"/>
  </mergeCells>
  <dataValidations count="1">
    <dataValidation type="list" allowBlank="1" showInputMessage="1" showErrorMessage="1" sqref="AJ38:AM38 AL58" xr:uid="{00000000-0002-0000-1100-000000000000}">
      <formula1>"Yes,No"</formula1>
    </dataValidation>
  </dataValidations>
  <hyperlinks>
    <hyperlink ref="R37" r:id="rId1" display="Pooled Transition Reserve Policy" xr:uid="{00000000-0004-0000-1100-000000000000}"/>
    <hyperlink ref="S37" r:id="rId2" display="Pooled Transition Reserve Policy" xr:uid="{00000000-0004-0000-1100-000001000000}"/>
    <hyperlink ref="T37" r:id="rId3" xr:uid="{00000000-0004-0000-1100-000002000000}"/>
  </hyperlinks>
  <printOptions horizontalCentered="1"/>
  <pageMargins left="0" right="0.25" top="0" bottom="0" header="0.25" footer="0.25"/>
  <pageSetup scale="65" orientation="portrait" r:id="rId4"/>
  <headerFooter>
    <oddFooter>&amp;L&amp;F&amp;C&amp;P of &amp;N&amp;R &amp;A</oddFooter>
  </headerFooter>
  <legacyDrawing r:id="rId5"/>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CashFlow"/>
  <dimension ref="A2:EB356"/>
  <sheetViews>
    <sheetView showGridLines="0" zoomScaleNormal="100" zoomScaleSheetLayoutView="100" workbookViewId="0">
      <selection activeCell="U18" sqref="U18:W18"/>
    </sheetView>
  </sheetViews>
  <sheetFormatPr defaultColWidth="9.28515625" defaultRowHeight="18" customHeight="1" outlineLevelRow="1"/>
  <cols>
    <col min="1" max="1" width="7.42578125" style="17" customWidth="1"/>
    <col min="2" max="11" width="4.28515625" style="53" customWidth="1"/>
    <col min="12" max="12" width="4.28515625" style="485" customWidth="1"/>
    <col min="13" max="71" width="4.28515625" style="17" customWidth="1"/>
    <col min="72" max="131" width="4.28515625" style="17" hidden="1" customWidth="1"/>
    <col min="132" max="132" width="9.28515625" style="29" customWidth="1"/>
    <col min="133" max="133" width="9.28515625" style="17" customWidth="1"/>
    <col min="134" max="16384" width="9.28515625" style="17"/>
  </cols>
  <sheetData>
    <row r="2" spans="1:132" ht="18" customHeight="1">
      <c r="B2" s="2940" t="s">
        <v>1875</v>
      </c>
      <c r="C2" s="2821"/>
      <c r="D2" s="2821"/>
      <c r="E2" s="2821"/>
      <c r="F2" s="2821"/>
      <c r="G2" s="2821"/>
      <c r="H2" s="2821"/>
      <c r="I2" s="2821"/>
      <c r="J2" s="2821"/>
      <c r="K2" s="2821"/>
      <c r="L2" s="2438"/>
      <c r="M2" s="2435"/>
      <c r="N2" s="2435"/>
      <c r="O2" s="2435"/>
      <c r="P2" s="2435"/>
      <c r="Q2" s="2435"/>
      <c r="R2" s="2435"/>
      <c r="S2" s="2435"/>
      <c r="T2" s="2435"/>
      <c r="U2" s="2435"/>
      <c r="V2" s="2435"/>
      <c r="W2" s="2435"/>
      <c r="X2" s="2435"/>
      <c r="Y2" s="2435"/>
      <c r="Z2" s="2435"/>
      <c r="AA2" s="2435"/>
      <c r="AB2" s="2435"/>
      <c r="AC2" s="2435"/>
      <c r="AD2" s="2435"/>
      <c r="AE2" s="2435"/>
      <c r="AF2" s="2435"/>
      <c r="AG2" s="2435"/>
      <c r="AH2" s="2435"/>
      <c r="AI2" s="2435"/>
      <c r="AJ2" s="2435"/>
      <c r="AK2" s="2435"/>
      <c r="AL2" s="2435"/>
      <c r="AM2" s="2435"/>
      <c r="AN2" s="2435"/>
      <c r="AO2" s="2435"/>
      <c r="AP2" s="2435"/>
      <c r="AQ2" s="2435"/>
      <c r="AR2" s="2435"/>
      <c r="AS2" s="2435"/>
      <c r="AT2" s="2435"/>
      <c r="AU2" s="2435"/>
      <c r="AV2" s="2435"/>
      <c r="AW2" s="2435"/>
      <c r="AX2" s="2435"/>
      <c r="AY2" s="2435"/>
      <c r="AZ2" s="2435"/>
      <c r="BA2" s="2435"/>
      <c r="BB2" s="2435"/>
      <c r="BC2" s="2435"/>
      <c r="BD2" s="2435"/>
      <c r="BE2" s="2435"/>
      <c r="BF2" s="2435"/>
      <c r="BG2" s="2435"/>
      <c r="BH2" s="2435"/>
      <c r="BI2" s="2435"/>
      <c r="BJ2" s="2435"/>
      <c r="BK2" s="2435"/>
      <c r="BL2" s="2435"/>
      <c r="BM2" s="2435"/>
      <c r="BN2" s="2435"/>
      <c r="BO2" s="2435"/>
      <c r="BP2" s="2435"/>
      <c r="BQ2" s="2965"/>
      <c r="BR2" s="2435"/>
      <c r="BS2" s="2435"/>
    </row>
    <row r="3" spans="1:132" s="39" customFormat="1" ht="18" customHeight="1">
      <c r="A3" s="17"/>
      <c r="B3" s="1385"/>
      <c r="C3" s="1385"/>
      <c r="D3" s="1385"/>
      <c r="E3" s="1385"/>
      <c r="F3" s="1385"/>
      <c r="G3" s="1385"/>
      <c r="H3" s="1385"/>
      <c r="I3" s="1385"/>
      <c r="J3" s="1385"/>
      <c r="K3" s="1385"/>
      <c r="L3" s="714"/>
      <c r="M3" s="714"/>
      <c r="N3" s="714"/>
      <c r="O3" s="714"/>
      <c r="P3" s="714"/>
      <c r="Q3" s="714"/>
      <c r="R3" s="714"/>
      <c r="S3" s="714"/>
      <c r="T3" s="713" t="s">
        <v>1876</v>
      </c>
      <c r="U3" s="713"/>
      <c r="V3" s="713"/>
      <c r="W3" s="713"/>
      <c r="X3" s="713"/>
      <c r="Y3" s="191">
        <f>IF($T$3&lt;&gt;"Proposed Rents",1,0)</f>
        <v>1</v>
      </c>
      <c r="AA3" s="41"/>
      <c r="AB3" s="192"/>
      <c r="AC3" s="38"/>
      <c r="AE3" s="40"/>
      <c r="AF3" s="41"/>
      <c r="AG3" s="42"/>
      <c r="AH3" s="42"/>
      <c r="AI3" s="42"/>
      <c r="AJ3" s="42"/>
      <c r="AK3" s="43"/>
      <c r="AL3" s="42"/>
      <c r="AM3" s="42"/>
      <c r="AN3" s="42"/>
      <c r="AO3" s="43"/>
      <c r="AP3" s="42"/>
      <c r="AQ3" s="42"/>
      <c r="AR3" s="42"/>
      <c r="AS3" s="42"/>
      <c r="AT3" s="42"/>
      <c r="AU3" s="43"/>
      <c r="AV3" s="42"/>
      <c r="AW3" s="42"/>
      <c r="AX3" s="42"/>
      <c r="AY3" s="42"/>
      <c r="AZ3" s="42"/>
      <c r="BA3" s="42"/>
      <c r="BB3" s="42"/>
      <c r="BC3" s="42"/>
      <c r="BD3" s="42"/>
      <c r="BE3" s="42"/>
      <c r="BF3" s="42"/>
      <c r="BG3" s="42"/>
      <c r="BH3" s="42"/>
      <c r="BI3" s="42"/>
      <c r="BJ3" s="42"/>
      <c r="BK3" s="42"/>
      <c r="BL3" s="42"/>
      <c r="BM3" s="42"/>
      <c r="BN3" s="42"/>
      <c r="BO3" s="42"/>
      <c r="BP3" s="42"/>
      <c r="BQ3" s="42"/>
      <c r="BR3" s="42"/>
      <c r="BS3" s="42"/>
      <c r="BT3" s="42"/>
      <c r="BU3" s="42"/>
      <c r="BV3" s="42"/>
      <c r="BW3" s="42"/>
      <c r="BX3" s="42"/>
      <c r="BY3" s="42"/>
      <c r="BZ3" s="42"/>
      <c r="CA3" s="42"/>
      <c r="CB3" s="42"/>
      <c r="CC3" s="42"/>
      <c r="CD3" s="42"/>
      <c r="CE3" s="42"/>
      <c r="CF3" s="42"/>
      <c r="CG3" s="42"/>
      <c r="CH3" s="42"/>
      <c r="CI3" s="42"/>
      <c r="CJ3" s="42"/>
      <c r="CK3" s="42"/>
      <c r="CL3" s="42"/>
      <c r="CM3" s="42"/>
      <c r="CN3" s="42"/>
      <c r="CO3" s="42"/>
      <c r="CP3" s="42"/>
      <c r="CQ3" s="42"/>
      <c r="CR3" s="42"/>
      <c r="CS3" s="42"/>
      <c r="CT3" s="42"/>
      <c r="CU3" s="42"/>
      <c r="CV3" s="42"/>
      <c r="CW3" s="42"/>
      <c r="CX3" s="42"/>
      <c r="CY3" s="42"/>
      <c r="CZ3" s="42"/>
      <c r="DA3" s="42"/>
      <c r="DB3" s="42"/>
      <c r="DC3" s="42"/>
      <c r="DD3" s="42"/>
      <c r="DE3" s="42"/>
      <c r="DF3" s="42"/>
      <c r="DG3" s="42"/>
      <c r="DH3" s="42"/>
      <c r="DI3" s="42"/>
      <c r="DJ3" s="42"/>
      <c r="DK3" s="42"/>
      <c r="DL3" s="42"/>
      <c r="DM3" s="42"/>
      <c r="DN3" s="42"/>
      <c r="DO3" s="42"/>
      <c r="DP3" s="42"/>
      <c r="DQ3" s="42"/>
      <c r="DR3" s="42"/>
      <c r="DS3" s="42"/>
      <c r="DT3" s="42"/>
      <c r="DU3" s="42"/>
      <c r="DV3" s="42"/>
      <c r="DW3" s="42"/>
      <c r="DX3" s="42"/>
      <c r="DY3" s="42"/>
      <c r="DZ3" s="42"/>
      <c r="EA3" s="42"/>
      <c r="EB3" s="70"/>
    </row>
    <row r="4" spans="1:132" s="44" customFormat="1" ht="18" customHeight="1">
      <c r="B4" s="2886" t="s">
        <v>1877</v>
      </c>
      <c r="C4" s="1777"/>
      <c r="D4" s="1777"/>
      <c r="E4" s="1777"/>
      <c r="F4" s="1777"/>
      <c r="G4" s="1777"/>
      <c r="H4" s="1777"/>
      <c r="I4" s="1778"/>
      <c r="J4" s="2955" t="s">
        <v>1878</v>
      </c>
      <c r="K4" s="1778"/>
      <c r="L4" s="2843" t="s">
        <v>1879</v>
      </c>
      <c r="M4" s="1777"/>
      <c r="N4" s="1777"/>
      <c r="O4" s="2789" t="s">
        <v>1880</v>
      </c>
      <c r="P4" s="1777"/>
      <c r="Q4" s="1777"/>
      <c r="R4" s="2789" t="s">
        <v>1881</v>
      </c>
      <c r="S4" s="1777"/>
      <c r="T4" s="1777"/>
      <c r="U4" s="2789" t="s">
        <v>1882</v>
      </c>
      <c r="V4" s="1777"/>
      <c r="W4" s="1777"/>
      <c r="X4" s="2789" t="s">
        <v>1883</v>
      </c>
      <c r="Y4" s="1777"/>
      <c r="Z4" s="1777"/>
      <c r="AA4" s="2789" t="s">
        <v>1884</v>
      </c>
      <c r="AB4" s="1777"/>
      <c r="AC4" s="1777"/>
      <c r="AD4" s="2789" t="s">
        <v>1885</v>
      </c>
      <c r="AE4" s="1777"/>
      <c r="AF4" s="1777"/>
      <c r="AG4" s="2789" t="s">
        <v>1886</v>
      </c>
      <c r="AH4" s="1777"/>
      <c r="AI4" s="1777"/>
      <c r="AJ4" s="2789" t="s">
        <v>1887</v>
      </c>
      <c r="AK4" s="1777"/>
      <c r="AL4" s="1777"/>
      <c r="AM4" s="2789" t="s">
        <v>1888</v>
      </c>
      <c r="AN4" s="1777"/>
      <c r="AO4" s="1777"/>
      <c r="AP4" s="2789" t="s">
        <v>1889</v>
      </c>
      <c r="AQ4" s="1777"/>
      <c r="AR4" s="1777"/>
      <c r="AS4" s="2789" t="s">
        <v>1890</v>
      </c>
      <c r="AT4" s="1777"/>
      <c r="AU4" s="1777"/>
      <c r="AV4" s="2789" t="s">
        <v>1891</v>
      </c>
      <c r="AW4" s="1777"/>
      <c r="AX4" s="1777"/>
      <c r="AY4" s="2789" t="s">
        <v>1892</v>
      </c>
      <c r="AZ4" s="1777"/>
      <c r="BA4" s="1777"/>
      <c r="BB4" s="2789" t="s">
        <v>1893</v>
      </c>
      <c r="BC4" s="1777"/>
      <c r="BD4" s="1777"/>
      <c r="BE4" s="2789" t="s">
        <v>1894</v>
      </c>
      <c r="BF4" s="1777"/>
      <c r="BG4" s="1777"/>
      <c r="BH4" s="2789" t="s">
        <v>1895</v>
      </c>
      <c r="BI4" s="1777"/>
      <c r="BJ4" s="1777"/>
      <c r="BK4" s="2789" t="s">
        <v>1896</v>
      </c>
      <c r="BL4" s="1777"/>
      <c r="BM4" s="1777"/>
      <c r="BN4" s="2789" t="s">
        <v>1897</v>
      </c>
      <c r="BO4" s="1777"/>
      <c r="BP4" s="1777"/>
      <c r="BQ4" s="2789" t="s">
        <v>1898</v>
      </c>
      <c r="BR4" s="1777"/>
      <c r="BS4" s="1777"/>
      <c r="BT4" s="2789" t="s">
        <v>1899</v>
      </c>
      <c r="BU4" s="1777"/>
      <c r="BV4" s="1777"/>
      <c r="BW4" s="2789" t="s">
        <v>1900</v>
      </c>
      <c r="BX4" s="1777"/>
      <c r="BY4" s="1777"/>
      <c r="BZ4" s="2789" t="s">
        <v>1901</v>
      </c>
      <c r="CA4" s="1777"/>
      <c r="CB4" s="1777"/>
      <c r="CC4" s="2789" t="s">
        <v>1902</v>
      </c>
      <c r="CD4" s="1777"/>
      <c r="CE4" s="1777"/>
      <c r="CF4" s="2789" t="s">
        <v>1903</v>
      </c>
      <c r="CG4" s="1777"/>
      <c r="CH4" s="1777"/>
      <c r="CI4" s="2789" t="s">
        <v>1904</v>
      </c>
      <c r="CJ4" s="1777"/>
      <c r="CK4" s="1777"/>
      <c r="CL4" s="2789" t="s">
        <v>1905</v>
      </c>
      <c r="CM4" s="1777"/>
      <c r="CN4" s="1777"/>
      <c r="CO4" s="2789" t="s">
        <v>1906</v>
      </c>
      <c r="CP4" s="1777"/>
      <c r="CQ4" s="1777"/>
      <c r="CR4" s="2789" t="s">
        <v>1907</v>
      </c>
      <c r="CS4" s="1777"/>
      <c r="CT4" s="1777"/>
      <c r="CU4" s="2789" t="s">
        <v>1908</v>
      </c>
      <c r="CV4" s="1777"/>
      <c r="CW4" s="1777"/>
      <c r="CX4" s="2789" t="s">
        <v>1909</v>
      </c>
      <c r="CY4" s="1777"/>
      <c r="CZ4" s="1777"/>
      <c r="DA4" s="2789" t="s">
        <v>1910</v>
      </c>
      <c r="DB4" s="1777"/>
      <c r="DC4" s="1777"/>
      <c r="DD4" s="2789" t="s">
        <v>1911</v>
      </c>
      <c r="DE4" s="1777"/>
      <c r="DF4" s="1777"/>
      <c r="DG4" s="2789" t="s">
        <v>1912</v>
      </c>
      <c r="DH4" s="1777"/>
      <c r="DI4" s="1777"/>
      <c r="DJ4" s="2789" t="s">
        <v>1913</v>
      </c>
      <c r="DK4" s="1777"/>
      <c r="DL4" s="1777"/>
      <c r="DM4" s="2789" t="s">
        <v>1914</v>
      </c>
      <c r="DN4" s="1777"/>
      <c r="DO4" s="1777"/>
      <c r="DP4" s="2789" t="s">
        <v>1915</v>
      </c>
      <c r="DQ4" s="1777"/>
      <c r="DR4" s="1777"/>
      <c r="DS4" s="2789" t="s">
        <v>1916</v>
      </c>
      <c r="DT4" s="1777"/>
      <c r="DU4" s="1777"/>
      <c r="DV4" s="2789" t="s">
        <v>1917</v>
      </c>
      <c r="DW4" s="1777"/>
      <c r="DX4" s="1777"/>
      <c r="DY4" s="2789" t="s">
        <v>1918</v>
      </c>
      <c r="DZ4" s="1777"/>
      <c r="EA4" s="1777"/>
      <c r="EB4" s="322"/>
    </row>
    <row r="5" spans="1:132" ht="18" customHeight="1">
      <c r="B5" s="2986" t="s">
        <v>1919</v>
      </c>
      <c r="C5" s="1953"/>
      <c r="D5" s="1953"/>
      <c r="E5" s="1953"/>
      <c r="F5" s="1953"/>
      <c r="G5" s="1953"/>
      <c r="H5" s="1953"/>
      <c r="I5" s="1770"/>
      <c r="J5" s="2887">
        <v>2.5000000000000001E-2</v>
      </c>
      <c r="K5" s="1778"/>
      <c r="L5" s="2792">
        <f>'Unit Mix'!$AV$8*12</f>
        <v>0</v>
      </c>
      <c r="M5" s="2435"/>
      <c r="N5" s="2435"/>
      <c r="O5" s="2798">
        <f>L5*(1+$J$5)</f>
        <v>0</v>
      </c>
      <c r="P5" s="1953"/>
      <c r="Q5" s="1953"/>
      <c r="R5" s="2798">
        <f>O5*(1+$J$5)</f>
        <v>0</v>
      </c>
      <c r="S5" s="1953"/>
      <c r="T5" s="1953"/>
      <c r="U5" s="2798">
        <f>R5*(1+$J$5)</f>
        <v>0</v>
      </c>
      <c r="V5" s="1953"/>
      <c r="W5" s="1953"/>
      <c r="X5" s="2798">
        <f>U5*(1+$J$5)</f>
        <v>0</v>
      </c>
      <c r="Y5" s="1953"/>
      <c r="Z5" s="1953"/>
      <c r="AA5" s="2798">
        <f>X5*(1+$J$5)</f>
        <v>0</v>
      </c>
      <c r="AB5" s="1953"/>
      <c r="AC5" s="1953"/>
      <c r="AD5" s="2798">
        <f>AA5*(1+$J$5)</f>
        <v>0</v>
      </c>
      <c r="AE5" s="1953"/>
      <c r="AF5" s="1953"/>
      <c r="AG5" s="2798">
        <f>AD5*(1+$J$5)</f>
        <v>0</v>
      </c>
      <c r="AH5" s="1953"/>
      <c r="AI5" s="1953"/>
      <c r="AJ5" s="2798">
        <f>AG5*(1+$J$5)</f>
        <v>0</v>
      </c>
      <c r="AK5" s="1953"/>
      <c r="AL5" s="1953"/>
      <c r="AM5" s="2798">
        <f>AJ5*(1+$J$5)</f>
        <v>0</v>
      </c>
      <c r="AN5" s="1953"/>
      <c r="AO5" s="1953"/>
      <c r="AP5" s="2798">
        <f>AM5*(1+$J$5)</f>
        <v>0</v>
      </c>
      <c r="AQ5" s="1953"/>
      <c r="AR5" s="1953"/>
      <c r="AS5" s="2798">
        <f>AP5*(1+$J$5)</f>
        <v>0</v>
      </c>
      <c r="AT5" s="1953"/>
      <c r="AU5" s="1953"/>
      <c r="AV5" s="2798">
        <f>AS5*(1+$J$5)</f>
        <v>0</v>
      </c>
      <c r="AW5" s="1953"/>
      <c r="AX5" s="1953"/>
      <c r="AY5" s="2798">
        <f>AV5*(1+$J$5)</f>
        <v>0</v>
      </c>
      <c r="AZ5" s="1953"/>
      <c r="BA5" s="1953"/>
      <c r="BB5" s="2798">
        <f>AY5*(1+$J$5)</f>
        <v>0</v>
      </c>
      <c r="BC5" s="1953"/>
      <c r="BD5" s="1953"/>
      <c r="BE5" s="2963">
        <f>BB5*(1+$J$5)</f>
        <v>0</v>
      </c>
      <c r="BF5" s="1953"/>
      <c r="BG5" s="1953"/>
      <c r="BH5" s="2798">
        <f>BE5*(1+$J$5)</f>
        <v>0</v>
      </c>
      <c r="BI5" s="1953"/>
      <c r="BJ5" s="1953"/>
      <c r="BK5" s="2798">
        <f>BH5*(1+$J$5)</f>
        <v>0</v>
      </c>
      <c r="BL5" s="1953"/>
      <c r="BM5" s="1953"/>
      <c r="BN5" s="2798">
        <f>BK5*(1+$J$5)</f>
        <v>0</v>
      </c>
      <c r="BO5" s="1953"/>
      <c r="BP5" s="1953"/>
      <c r="BQ5" s="2798">
        <f>BN5*(1+$J$5)</f>
        <v>0</v>
      </c>
      <c r="BR5" s="1953"/>
      <c r="BS5" s="1953"/>
      <c r="BT5" s="2963">
        <f>BQ5*(1+$J$5)</f>
        <v>0</v>
      </c>
      <c r="BU5" s="1953"/>
      <c r="BV5" s="1953"/>
      <c r="BW5" s="2798">
        <f>BT5*(1+$J$5)</f>
        <v>0</v>
      </c>
      <c r="BX5" s="1953"/>
      <c r="BY5" s="1953"/>
      <c r="BZ5" s="2798">
        <f>BW5*(1+$J$5)</f>
        <v>0</v>
      </c>
      <c r="CA5" s="1953"/>
      <c r="CB5" s="1953"/>
      <c r="CC5" s="2798">
        <f>BZ5*(1+$J$5)</f>
        <v>0</v>
      </c>
      <c r="CD5" s="1953"/>
      <c r="CE5" s="1953"/>
      <c r="CF5" s="2798">
        <f>CC5*(1+$J$5)</f>
        <v>0</v>
      </c>
      <c r="CG5" s="1953"/>
      <c r="CH5" s="1953"/>
      <c r="CI5" s="2798">
        <f>CF5*(1+$J$5)</f>
        <v>0</v>
      </c>
      <c r="CJ5" s="1953"/>
      <c r="CK5" s="1953"/>
      <c r="CL5" s="2798">
        <f>CI5*(1+$J$5)</f>
        <v>0</v>
      </c>
      <c r="CM5" s="1953"/>
      <c r="CN5" s="1953"/>
      <c r="CO5" s="2798">
        <f>CL5*(1+$J$5)</f>
        <v>0</v>
      </c>
      <c r="CP5" s="1953"/>
      <c r="CQ5" s="1953"/>
      <c r="CR5" s="2798">
        <f>CO5*(1+$J$5)</f>
        <v>0</v>
      </c>
      <c r="CS5" s="1953"/>
      <c r="CT5" s="1953"/>
      <c r="CU5" s="2798">
        <f>CR5*(1+$J$5)</f>
        <v>0</v>
      </c>
      <c r="CV5" s="1953"/>
      <c r="CW5" s="1953"/>
      <c r="CX5" s="2798">
        <f>CU5*(1+$J$5)</f>
        <v>0</v>
      </c>
      <c r="CY5" s="1953"/>
      <c r="CZ5" s="1953"/>
      <c r="DA5" s="2798">
        <f>CX5*(1+$J$5)</f>
        <v>0</v>
      </c>
      <c r="DB5" s="1953"/>
      <c r="DC5" s="1953"/>
      <c r="DD5" s="2798">
        <f>DA5*(1+$J$5)</f>
        <v>0</v>
      </c>
      <c r="DE5" s="1953"/>
      <c r="DF5" s="1953"/>
      <c r="DG5" s="2798">
        <f>DD5*(1+$J$5)</f>
        <v>0</v>
      </c>
      <c r="DH5" s="1953"/>
      <c r="DI5" s="1953"/>
      <c r="DJ5" s="2798">
        <f>DG5*(1+$J$5)</f>
        <v>0</v>
      </c>
      <c r="DK5" s="1953"/>
      <c r="DL5" s="1953"/>
      <c r="DM5" s="2798">
        <f>DJ5*(1+$J$5)</f>
        <v>0</v>
      </c>
      <c r="DN5" s="1953"/>
      <c r="DO5" s="1953"/>
      <c r="DP5" s="2798">
        <f>DM5*(1+$J$5)</f>
        <v>0</v>
      </c>
      <c r="DQ5" s="1953"/>
      <c r="DR5" s="1953"/>
      <c r="DS5" s="2798">
        <f>DP5*(1+$J$5)</f>
        <v>0</v>
      </c>
      <c r="DT5" s="1953"/>
      <c r="DU5" s="1953"/>
      <c r="DV5" s="2798">
        <f>DS5*(1+$J$5)</f>
        <v>0</v>
      </c>
      <c r="DW5" s="1953"/>
      <c r="DX5" s="1953"/>
      <c r="DY5" s="2798">
        <f>DV5*(1+$J$5)</f>
        <v>0</v>
      </c>
      <c r="DZ5" s="1953"/>
      <c r="EA5" s="1953"/>
      <c r="EB5" s="773"/>
    </row>
    <row r="6" spans="1:132" ht="18" customHeight="1">
      <c r="B6" s="2892" t="s">
        <v>1920</v>
      </c>
      <c r="C6" s="2821"/>
      <c r="D6" s="2821"/>
      <c r="E6" s="2821"/>
      <c r="F6" s="2821"/>
      <c r="G6" s="2821"/>
      <c r="H6" s="2821"/>
      <c r="I6" s="2821"/>
      <c r="J6" s="2887">
        <v>2.5000000000000001E-2</v>
      </c>
      <c r="K6" s="1778"/>
      <c r="L6" s="2856">
        <f>'Unit Mix'!$AU$8*12</f>
        <v>0</v>
      </c>
      <c r="M6" s="2435"/>
      <c r="N6" s="2435"/>
      <c r="O6" s="2792">
        <f>L6*(1+$J$6)</f>
        <v>0</v>
      </c>
      <c r="P6" s="2435"/>
      <c r="Q6" s="2435"/>
      <c r="R6" s="2792">
        <f>O6*(1+$J$6)</f>
        <v>0</v>
      </c>
      <c r="S6" s="2435"/>
      <c r="T6" s="2435"/>
      <c r="U6" s="2792">
        <f>R6*(1+$J$6)</f>
        <v>0</v>
      </c>
      <c r="V6" s="2435"/>
      <c r="W6" s="2435"/>
      <c r="X6" s="2792">
        <f>U6*(1+$J$6)</f>
        <v>0</v>
      </c>
      <c r="Y6" s="2435"/>
      <c r="Z6" s="2435"/>
      <c r="AA6" s="2792">
        <f>X6*(1+$J$6)</f>
        <v>0</v>
      </c>
      <c r="AB6" s="2435"/>
      <c r="AC6" s="2435"/>
      <c r="AD6" s="2792">
        <f>AA6*(1+$J$6)</f>
        <v>0</v>
      </c>
      <c r="AE6" s="2435"/>
      <c r="AF6" s="2435"/>
      <c r="AG6" s="2792">
        <f>AD6*(1+$J$6)</f>
        <v>0</v>
      </c>
      <c r="AH6" s="2435"/>
      <c r="AI6" s="2435"/>
      <c r="AJ6" s="2792">
        <f>AG6*(1+$J$6)</f>
        <v>0</v>
      </c>
      <c r="AK6" s="2435"/>
      <c r="AL6" s="2435"/>
      <c r="AM6" s="2792">
        <f>AJ6*(1+$J$6)</f>
        <v>0</v>
      </c>
      <c r="AN6" s="2435"/>
      <c r="AO6" s="2435"/>
      <c r="AP6" s="2792">
        <f>AM6*(1+$J$6)</f>
        <v>0</v>
      </c>
      <c r="AQ6" s="2435"/>
      <c r="AR6" s="2435"/>
      <c r="AS6" s="2792">
        <f>AP6*(1+$J$6)</f>
        <v>0</v>
      </c>
      <c r="AT6" s="2435"/>
      <c r="AU6" s="2435"/>
      <c r="AV6" s="2792">
        <f>AS6*(1+$J$6)</f>
        <v>0</v>
      </c>
      <c r="AW6" s="2435"/>
      <c r="AX6" s="2435"/>
      <c r="AY6" s="2792">
        <f>AV6*(1+$J$6)</f>
        <v>0</v>
      </c>
      <c r="AZ6" s="2435"/>
      <c r="BA6" s="2435"/>
      <c r="BB6" s="2792">
        <f>AY6*(1+$J$6)</f>
        <v>0</v>
      </c>
      <c r="BC6" s="2435"/>
      <c r="BD6" s="2435"/>
      <c r="BE6" s="2792">
        <f>BB6*(1+$J$6)</f>
        <v>0</v>
      </c>
      <c r="BF6" s="2435"/>
      <c r="BG6" s="2435"/>
      <c r="BH6" s="2792">
        <f>BE6*(1+$J$6)</f>
        <v>0</v>
      </c>
      <c r="BI6" s="2435"/>
      <c r="BJ6" s="2435"/>
      <c r="BK6" s="2792">
        <f>BH6*(1+$J$6)</f>
        <v>0</v>
      </c>
      <c r="BL6" s="2435"/>
      <c r="BM6" s="2435"/>
      <c r="BN6" s="2792">
        <f>BK6*(1+$J$6)</f>
        <v>0</v>
      </c>
      <c r="BO6" s="2435"/>
      <c r="BP6" s="2435"/>
      <c r="BQ6" s="2792">
        <f>BN6*(1+$J$6)</f>
        <v>0</v>
      </c>
      <c r="BR6" s="2435"/>
      <c r="BS6" s="2435"/>
      <c r="BT6" s="2792">
        <f>BQ6*(1+$J$6)</f>
        <v>0</v>
      </c>
      <c r="BU6" s="2435"/>
      <c r="BV6" s="2435"/>
      <c r="BW6" s="2792">
        <f>BT6*(1+$J$6)</f>
        <v>0</v>
      </c>
      <c r="BX6" s="2435"/>
      <c r="BY6" s="2435"/>
      <c r="BZ6" s="2792">
        <f>BW6*(1+$J$6)</f>
        <v>0</v>
      </c>
      <c r="CA6" s="2435"/>
      <c r="CB6" s="2435"/>
      <c r="CC6" s="2792">
        <f>BZ6*(1+$J$6)</f>
        <v>0</v>
      </c>
      <c r="CD6" s="2435"/>
      <c r="CE6" s="2435"/>
      <c r="CF6" s="2792">
        <f>CC6*(1+$J$6)</f>
        <v>0</v>
      </c>
      <c r="CG6" s="2435"/>
      <c r="CH6" s="2435"/>
      <c r="CI6" s="2792">
        <f>CF6*(1+$J$6)</f>
        <v>0</v>
      </c>
      <c r="CJ6" s="2435"/>
      <c r="CK6" s="2435"/>
      <c r="CL6" s="2792">
        <f>CI6*(1+$J$6)</f>
        <v>0</v>
      </c>
      <c r="CM6" s="2435"/>
      <c r="CN6" s="2435"/>
      <c r="CO6" s="2792">
        <f>CL6*(1+$J$6)</f>
        <v>0</v>
      </c>
      <c r="CP6" s="2435"/>
      <c r="CQ6" s="2435"/>
      <c r="CR6" s="2792">
        <f>CO6*(1+$J$6)</f>
        <v>0</v>
      </c>
      <c r="CS6" s="2435"/>
      <c r="CT6" s="2435"/>
      <c r="CU6" s="2792">
        <f>CR6*(1+$J$6)</f>
        <v>0</v>
      </c>
      <c r="CV6" s="2435"/>
      <c r="CW6" s="2435"/>
      <c r="CX6" s="2792">
        <f>CU6*(1+$J$6)</f>
        <v>0</v>
      </c>
      <c r="CY6" s="2435"/>
      <c r="CZ6" s="2435"/>
      <c r="DA6" s="2792">
        <f>CX6*(1+$J$6)</f>
        <v>0</v>
      </c>
      <c r="DB6" s="2435"/>
      <c r="DC6" s="2435"/>
      <c r="DD6" s="2792">
        <f>DA6*(1+$J$6)</f>
        <v>0</v>
      </c>
      <c r="DE6" s="2435"/>
      <c r="DF6" s="2435"/>
      <c r="DG6" s="2792">
        <f>DD6*(1+$J$6)</f>
        <v>0</v>
      </c>
      <c r="DH6" s="2435"/>
      <c r="DI6" s="2435"/>
      <c r="DJ6" s="2792">
        <f>DG6*(1+$J$6)</f>
        <v>0</v>
      </c>
      <c r="DK6" s="2435"/>
      <c r="DL6" s="2435"/>
      <c r="DM6" s="2792">
        <f>DJ6*(1+$J$6)</f>
        <v>0</v>
      </c>
      <c r="DN6" s="2435"/>
      <c r="DO6" s="2435"/>
      <c r="DP6" s="2792">
        <f>DM6*(1+$J$6)</f>
        <v>0</v>
      </c>
      <c r="DQ6" s="2435"/>
      <c r="DR6" s="2435"/>
      <c r="DS6" s="2792">
        <f>DP6*(1+$J$6)</f>
        <v>0</v>
      </c>
      <c r="DT6" s="2435"/>
      <c r="DU6" s="2435"/>
      <c r="DV6" s="2792">
        <f>DS6*(1+$J$6)</f>
        <v>0</v>
      </c>
      <c r="DW6" s="2435"/>
      <c r="DX6" s="2435"/>
      <c r="DY6" s="2792">
        <f>DV6*(1+$J$6)</f>
        <v>0</v>
      </c>
      <c r="DZ6" s="2435"/>
      <c r="EA6" s="2435"/>
      <c r="EB6" s="773"/>
    </row>
    <row r="7" spans="1:132" ht="18" customHeight="1">
      <c r="B7" s="2892" t="s">
        <v>1921</v>
      </c>
      <c r="C7" s="2821"/>
      <c r="D7" s="2821"/>
      <c r="E7" s="2821"/>
      <c r="F7" s="2821"/>
      <c r="G7" s="2821"/>
      <c r="H7" s="2821"/>
      <c r="I7" s="2821"/>
      <c r="J7" s="2854">
        <v>2.5000000000000001E-2</v>
      </c>
      <c r="K7" s="1862"/>
      <c r="L7" s="2791">
        <f>SUM('Unit Mix'!$AS$82:$AT$93)*12</f>
        <v>0</v>
      </c>
      <c r="M7" s="2435"/>
      <c r="N7" s="2435"/>
      <c r="O7" s="2792">
        <f>L7*(1+$J$7)</f>
        <v>0</v>
      </c>
      <c r="P7" s="2435"/>
      <c r="Q7" s="2435"/>
      <c r="R7" s="2792">
        <f>O7*(1+$J$7)</f>
        <v>0</v>
      </c>
      <c r="S7" s="2435"/>
      <c r="T7" s="2435"/>
      <c r="U7" s="2792">
        <f>R7*(1+$J$7)</f>
        <v>0</v>
      </c>
      <c r="V7" s="2435"/>
      <c r="W7" s="2435"/>
      <c r="X7" s="2792">
        <f>U7*(1+$J$7)</f>
        <v>0</v>
      </c>
      <c r="Y7" s="2435"/>
      <c r="Z7" s="2435"/>
      <c r="AA7" s="2792">
        <f>X7*(1+$J$7)</f>
        <v>0</v>
      </c>
      <c r="AB7" s="2435"/>
      <c r="AC7" s="2435"/>
      <c r="AD7" s="2792">
        <f>AA7*(1+$J$7)</f>
        <v>0</v>
      </c>
      <c r="AE7" s="2435"/>
      <c r="AF7" s="2435"/>
      <c r="AG7" s="2792">
        <f>AD7*(1+$J$7)</f>
        <v>0</v>
      </c>
      <c r="AH7" s="2435"/>
      <c r="AI7" s="2435"/>
      <c r="AJ7" s="2792">
        <f>AG7*(1+$J$7)</f>
        <v>0</v>
      </c>
      <c r="AK7" s="2435"/>
      <c r="AL7" s="2435"/>
      <c r="AM7" s="2792">
        <f>AJ7*(1+$J$7)</f>
        <v>0</v>
      </c>
      <c r="AN7" s="2435"/>
      <c r="AO7" s="2435"/>
      <c r="AP7" s="2792">
        <f>AM7*(1+$J$7)</f>
        <v>0</v>
      </c>
      <c r="AQ7" s="2435"/>
      <c r="AR7" s="2435"/>
      <c r="AS7" s="2792">
        <f>AP7*(1+$J$7)</f>
        <v>0</v>
      </c>
      <c r="AT7" s="2435"/>
      <c r="AU7" s="2435"/>
      <c r="AV7" s="2792">
        <f>AS7*(1+$J$7)</f>
        <v>0</v>
      </c>
      <c r="AW7" s="2435"/>
      <c r="AX7" s="2435"/>
      <c r="AY7" s="2792">
        <f>AV7*(1+$J$7)</f>
        <v>0</v>
      </c>
      <c r="AZ7" s="2435"/>
      <c r="BA7" s="2435"/>
      <c r="BB7" s="2792">
        <f>AY7*(1+$J$7)</f>
        <v>0</v>
      </c>
      <c r="BC7" s="2435"/>
      <c r="BD7" s="2435"/>
      <c r="BE7" s="2840">
        <f>BB7*(1+$J$7)</f>
        <v>0</v>
      </c>
      <c r="BF7" s="2435"/>
      <c r="BG7" s="2435"/>
      <c r="BH7" s="2792">
        <f>BE7*(1+$J$7)</f>
        <v>0</v>
      </c>
      <c r="BI7" s="2435"/>
      <c r="BJ7" s="2435"/>
      <c r="BK7" s="2792">
        <f>BH7*(1+$J$7)</f>
        <v>0</v>
      </c>
      <c r="BL7" s="2435"/>
      <c r="BM7" s="2435"/>
      <c r="BN7" s="2792">
        <f>BK7*(1+$J$7)</f>
        <v>0</v>
      </c>
      <c r="BO7" s="2435"/>
      <c r="BP7" s="2435"/>
      <c r="BQ7" s="2792">
        <f>BN7*(1+$J$7)</f>
        <v>0</v>
      </c>
      <c r="BR7" s="2435"/>
      <c r="BS7" s="2435"/>
      <c r="BT7" s="2840">
        <f>BQ7*(1+$J$7)</f>
        <v>0</v>
      </c>
      <c r="BU7" s="2435"/>
      <c r="BV7" s="2435"/>
      <c r="BW7" s="2792">
        <f>BT7*(1+$J$7)</f>
        <v>0</v>
      </c>
      <c r="BX7" s="2435"/>
      <c r="BY7" s="2435"/>
      <c r="BZ7" s="2792">
        <f>BW7*(1+$J$7)</f>
        <v>0</v>
      </c>
      <c r="CA7" s="2435"/>
      <c r="CB7" s="2435"/>
      <c r="CC7" s="2792">
        <f>BZ7*(1+$J$7)</f>
        <v>0</v>
      </c>
      <c r="CD7" s="2435"/>
      <c r="CE7" s="2435"/>
      <c r="CF7" s="2792">
        <f>CC7*(1+$J$7)</f>
        <v>0</v>
      </c>
      <c r="CG7" s="2435"/>
      <c r="CH7" s="2435"/>
      <c r="CI7" s="2792">
        <f>CF7*(1+$J$7)</f>
        <v>0</v>
      </c>
      <c r="CJ7" s="2435"/>
      <c r="CK7" s="2435"/>
      <c r="CL7" s="2792">
        <f>CI7*(1+$J$7)</f>
        <v>0</v>
      </c>
      <c r="CM7" s="2435"/>
      <c r="CN7" s="2435"/>
      <c r="CO7" s="2792">
        <f>CL7*(1+$J$7)</f>
        <v>0</v>
      </c>
      <c r="CP7" s="2435"/>
      <c r="CQ7" s="2435"/>
      <c r="CR7" s="2792">
        <f>CO7*(1+$J$7)</f>
        <v>0</v>
      </c>
      <c r="CS7" s="2435"/>
      <c r="CT7" s="2435"/>
      <c r="CU7" s="2792">
        <f>CR7*(1+$J$7)</f>
        <v>0</v>
      </c>
      <c r="CV7" s="2435"/>
      <c r="CW7" s="2435"/>
      <c r="CX7" s="2792">
        <f>CU7*(1+$J$7)</f>
        <v>0</v>
      </c>
      <c r="CY7" s="2435"/>
      <c r="CZ7" s="2435"/>
      <c r="DA7" s="2792">
        <f>CX7*(1+$J$7)</f>
        <v>0</v>
      </c>
      <c r="DB7" s="2435"/>
      <c r="DC7" s="2435"/>
      <c r="DD7" s="2792">
        <f>DA7*(1+$J$7)</f>
        <v>0</v>
      </c>
      <c r="DE7" s="2435"/>
      <c r="DF7" s="2435"/>
      <c r="DG7" s="2792">
        <f>DD7*(1+$J$7)</f>
        <v>0</v>
      </c>
      <c r="DH7" s="2435"/>
      <c r="DI7" s="2435"/>
      <c r="DJ7" s="2792">
        <f>DG7*(1+$J$7)</f>
        <v>0</v>
      </c>
      <c r="DK7" s="2435"/>
      <c r="DL7" s="2435"/>
      <c r="DM7" s="2792">
        <f>DJ7*(1+$J$7)</f>
        <v>0</v>
      </c>
      <c r="DN7" s="2435"/>
      <c r="DO7" s="2435"/>
      <c r="DP7" s="2792">
        <f>DM7*(1+$J$7)</f>
        <v>0</v>
      </c>
      <c r="DQ7" s="2435"/>
      <c r="DR7" s="2435"/>
      <c r="DS7" s="2792">
        <f>DP7*(1+$J$7)</f>
        <v>0</v>
      </c>
      <c r="DT7" s="2435"/>
      <c r="DU7" s="2435"/>
      <c r="DV7" s="2792">
        <f>DS7*(1+$J$7)</f>
        <v>0</v>
      </c>
      <c r="DW7" s="2435"/>
      <c r="DX7" s="2435"/>
      <c r="DY7" s="2792">
        <f>DV7*(1+$J$7)</f>
        <v>0</v>
      </c>
      <c r="DZ7" s="2435"/>
      <c r="EA7" s="2435"/>
      <c r="EB7" s="773"/>
    </row>
    <row r="8" spans="1:132" ht="18" customHeight="1">
      <c r="B8" s="2987" t="s">
        <v>1687</v>
      </c>
      <c r="C8" s="2821"/>
      <c r="D8" s="2821"/>
      <c r="E8" s="2821"/>
      <c r="F8" s="2821"/>
      <c r="G8" s="2821"/>
      <c r="H8" s="2821"/>
      <c r="I8" s="2821"/>
      <c r="J8" s="2854">
        <v>2.5000000000000001E-2</v>
      </c>
      <c r="K8" s="1862"/>
      <c r="L8" s="2797">
        <v>0</v>
      </c>
      <c r="M8" s="2022"/>
      <c r="N8" s="2022"/>
      <c r="O8" s="2797">
        <v>0</v>
      </c>
      <c r="P8" s="2022"/>
      <c r="Q8" s="2022"/>
      <c r="R8" s="2797">
        <v>0</v>
      </c>
      <c r="S8" s="2022"/>
      <c r="T8" s="2022"/>
      <c r="U8" s="2797">
        <v>0</v>
      </c>
      <c r="V8" s="2022"/>
      <c r="W8" s="2022"/>
      <c r="X8" s="2797">
        <v>0</v>
      </c>
      <c r="Y8" s="2022"/>
      <c r="Z8" s="2022"/>
      <c r="AA8" s="2797">
        <v>0</v>
      </c>
      <c r="AB8" s="2022"/>
      <c r="AC8" s="2022"/>
      <c r="AD8" s="2797">
        <v>0</v>
      </c>
      <c r="AE8" s="2022"/>
      <c r="AF8" s="2022"/>
      <c r="AG8" s="2797">
        <v>0</v>
      </c>
      <c r="AH8" s="2022"/>
      <c r="AI8" s="2022"/>
      <c r="AJ8" s="2797">
        <v>0</v>
      </c>
      <c r="AK8" s="2022"/>
      <c r="AL8" s="2022"/>
      <c r="AM8" s="2797">
        <v>0</v>
      </c>
      <c r="AN8" s="2022"/>
      <c r="AO8" s="2022"/>
      <c r="AP8" s="2797">
        <v>0</v>
      </c>
      <c r="AQ8" s="2022"/>
      <c r="AR8" s="2022"/>
      <c r="AS8" s="2797">
        <v>0</v>
      </c>
      <c r="AT8" s="2022"/>
      <c r="AU8" s="2022"/>
      <c r="AV8" s="2797">
        <v>0</v>
      </c>
      <c r="AW8" s="2022"/>
      <c r="AX8" s="2022"/>
      <c r="AY8" s="2797">
        <v>0</v>
      </c>
      <c r="AZ8" s="2022"/>
      <c r="BA8" s="2022"/>
      <c r="BB8" s="2797">
        <v>0</v>
      </c>
      <c r="BC8" s="2022"/>
      <c r="BD8" s="2022"/>
      <c r="BE8" s="2797">
        <v>0</v>
      </c>
      <c r="BF8" s="2022"/>
      <c r="BG8" s="2022"/>
      <c r="BH8" s="2797">
        <v>0</v>
      </c>
      <c r="BI8" s="2022"/>
      <c r="BJ8" s="2022"/>
      <c r="BK8" s="2797">
        <v>0</v>
      </c>
      <c r="BL8" s="2022"/>
      <c r="BM8" s="2022"/>
      <c r="BN8" s="2797">
        <v>0</v>
      </c>
      <c r="BO8" s="2022"/>
      <c r="BP8" s="2022"/>
      <c r="BQ8" s="2797">
        <v>0</v>
      </c>
      <c r="BR8" s="2022"/>
      <c r="BS8" s="2022"/>
      <c r="BT8" s="2797">
        <v>0</v>
      </c>
      <c r="BU8" s="2022"/>
      <c r="BV8" s="2022"/>
      <c r="BW8" s="2797">
        <v>0</v>
      </c>
      <c r="BX8" s="2022"/>
      <c r="BY8" s="2022"/>
      <c r="BZ8" s="2797">
        <v>0</v>
      </c>
      <c r="CA8" s="2022"/>
      <c r="CB8" s="2022"/>
      <c r="CC8" s="2797">
        <v>0</v>
      </c>
      <c r="CD8" s="2022"/>
      <c r="CE8" s="2022"/>
      <c r="CF8" s="2797">
        <v>0</v>
      </c>
      <c r="CG8" s="2022"/>
      <c r="CH8" s="2022"/>
      <c r="CI8" s="2797">
        <v>0</v>
      </c>
      <c r="CJ8" s="2022"/>
      <c r="CK8" s="2022"/>
      <c r="CL8" s="2797">
        <v>0</v>
      </c>
      <c r="CM8" s="2022"/>
      <c r="CN8" s="2022"/>
      <c r="CO8" s="2797">
        <v>0</v>
      </c>
      <c r="CP8" s="2022"/>
      <c r="CQ8" s="2022"/>
      <c r="CR8" s="2797">
        <v>0</v>
      </c>
      <c r="CS8" s="2022"/>
      <c r="CT8" s="2022"/>
      <c r="CU8" s="2797">
        <v>0</v>
      </c>
      <c r="CV8" s="2022"/>
      <c r="CW8" s="2022"/>
      <c r="CX8" s="2797">
        <v>0</v>
      </c>
      <c r="CY8" s="2022"/>
      <c r="CZ8" s="2022"/>
      <c r="DA8" s="2797">
        <v>0</v>
      </c>
      <c r="DB8" s="2022"/>
      <c r="DC8" s="2022"/>
      <c r="DD8" s="2797">
        <v>0</v>
      </c>
      <c r="DE8" s="2022"/>
      <c r="DF8" s="2022"/>
      <c r="DG8" s="2797">
        <v>0</v>
      </c>
      <c r="DH8" s="2022"/>
      <c r="DI8" s="2022"/>
      <c r="DJ8" s="2797">
        <v>0</v>
      </c>
      <c r="DK8" s="2022"/>
      <c r="DL8" s="2022"/>
      <c r="DM8" s="2797">
        <v>0</v>
      </c>
      <c r="DN8" s="2022"/>
      <c r="DO8" s="2022"/>
      <c r="DP8" s="2797">
        <v>0</v>
      </c>
      <c r="DQ8" s="2022"/>
      <c r="DR8" s="2022"/>
      <c r="DS8" s="2797">
        <v>0</v>
      </c>
      <c r="DT8" s="2022"/>
      <c r="DU8" s="2022"/>
      <c r="DV8" s="2797">
        <v>0</v>
      </c>
      <c r="DW8" s="2022"/>
      <c r="DX8" s="2022"/>
      <c r="DY8" s="2797">
        <v>0</v>
      </c>
      <c r="DZ8" s="2022"/>
      <c r="EA8" s="2022"/>
      <c r="EB8" s="773"/>
    </row>
    <row r="9" spans="1:132" ht="18" customHeight="1">
      <c r="B9" s="2925" t="str">
        <f>IF('Unit Mix'!$AW$7&gt;0,'Unit Mix'!$AW$7,"")</f>
        <v/>
      </c>
      <c r="C9" s="2821"/>
      <c r="D9" s="2821"/>
      <c r="E9" s="2821"/>
      <c r="F9" s="2821"/>
      <c r="G9" s="2821"/>
      <c r="H9" s="2821"/>
      <c r="I9" s="2821"/>
      <c r="J9" s="2854">
        <v>2.5000000000000001E-2</v>
      </c>
      <c r="K9" s="1862"/>
      <c r="L9" s="2792">
        <f>'Operating Budget'!$E$37</f>
        <v>0</v>
      </c>
      <c r="M9" s="2435"/>
      <c r="N9" s="2435"/>
      <c r="O9" s="2792">
        <f>L9*(1+$J$9)</f>
        <v>0</v>
      </c>
      <c r="P9" s="2435"/>
      <c r="Q9" s="2435"/>
      <c r="R9" s="2792">
        <f>O9*(1+$J$9)</f>
        <v>0</v>
      </c>
      <c r="S9" s="2435"/>
      <c r="T9" s="2435"/>
      <c r="U9" s="2792">
        <f>R9*(1+$J$9)</f>
        <v>0</v>
      </c>
      <c r="V9" s="2435"/>
      <c r="W9" s="2435"/>
      <c r="X9" s="2792">
        <f>U9*(1+$J$9)</f>
        <v>0</v>
      </c>
      <c r="Y9" s="2435"/>
      <c r="Z9" s="2435"/>
      <c r="AA9" s="2792">
        <f>X9*(1+$J$9)</f>
        <v>0</v>
      </c>
      <c r="AB9" s="2435"/>
      <c r="AC9" s="2435"/>
      <c r="AD9" s="2792">
        <f>AA9*(1+$J$9)</f>
        <v>0</v>
      </c>
      <c r="AE9" s="2435"/>
      <c r="AF9" s="2435"/>
      <c r="AG9" s="2792">
        <f>AD9*(1+$J$9)</f>
        <v>0</v>
      </c>
      <c r="AH9" s="2435"/>
      <c r="AI9" s="2435"/>
      <c r="AJ9" s="2792">
        <f>AG9*(1+$J$9)</f>
        <v>0</v>
      </c>
      <c r="AK9" s="2435"/>
      <c r="AL9" s="2435"/>
      <c r="AM9" s="2792">
        <f>AJ9*(1+$J$9)</f>
        <v>0</v>
      </c>
      <c r="AN9" s="2435"/>
      <c r="AO9" s="2435"/>
      <c r="AP9" s="2792">
        <f>AM9*(1+$J$9)</f>
        <v>0</v>
      </c>
      <c r="AQ9" s="2435"/>
      <c r="AR9" s="2435"/>
      <c r="AS9" s="2792">
        <f>AP9*(1+$J$9)</f>
        <v>0</v>
      </c>
      <c r="AT9" s="2435"/>
      <c r="AU9" s="2435"/>
      <c r="AV9" s="2792">
        <f>AS9*(1+$J$9)</f>
        <v>0</v>
      </c>
      <c r="AW9" s="2435"/>
      <c r="AX9" s="2435"/>
      <c r="AY9" s="2792">
        <f>AV9*(1+$J$9)</f>
        <v>0</v>
      </c>
      <c r="AZ9" s="2435"/>
      <c r="BA9" s="2435"/>
      <c r="BB9" s="2792">
        <f>AY9*(1+$J$9)</f>
        <v>0</v>
      </c>
      <c r="BC9" s="2435"/>
      <c r="BD9" s="2435"/>
      <c r="BE9" s="2797">
        <f>BB9*(1+$J$9)</f>
        <v>0</v>
      </c>
      <c r="BF9" s="2022"/>
      <c r="BG9" s="2022"/>
      <c r="BH9" s="2797">
        <f>BE9*(1+$J$9)</f>
        <v>0</v>
      </c>
      <c r="BI9" s="2022"/>
      <c r="BJ9" s="2022"/>
      <c r="BK9" s="2792">
        <f>BH9*(1+$J$9)</f>
        <v>0</v>
      </c>
      <c r="BL9" s="2435"/>
      <c r="BM9" s="2435"/>
      <c r="BN9" s="2792">
        <f>BK9*(1+$J$9)</f>
        <v>0</v>
      </c>
      <c r="BO9" s="2435"/>
      <c r="BP9" s="2435"/>
      <c r="BQ9" s="2792">
        <f>BN9*(1+$J$9)</f>
        <v>0</v>
      </c>
      <c r="BR9" s="2435"/>
      <c r="BS9" s="2435"/>
      <c r="BT9" s="2797">
        <f>BQ9*(1+$J$9)</f>
        <v>0</v>
      </c>
      <c r="BU9" s="2022"/>
      <c r="BV9" s="2022"/>
      <c r="BW9" s="2797">
        <f>BT9*(1+$J$9)</f>
        <v>0</v>
      </c>
      <c r="BX9" s="2022"/>
      <c r="BY9" s="2022"/>
      <c r="BZ9" s="2792">
        <f>BW9*(1+$J$9)</f>
        <v>0</v>
      </c>
      <c r="CA9" s="2435"/>
      <c r="CB9" s="2435"/>
      <c r="CC9" s="2792">
        <f>BZ9*(1+$J$9)</f>
        <v>0</v>
      </c>
      <c r="CD9" s="2435"/>
      <c r="CE9" s="2435"/>
      <c r="CF9" s="2792">
        <f>CC9*(1+$J$9)</f>
        <v>0</v>
      </c>
      <c r="CG9" s="2435"/>
      <c r="CH9" s="2435"/>
      <c r="CI9" s="2792">
        <f>CF9*(1+$J$9)</f>
        <v>0</v>
      </c>
      <c r="CJ9" s="2435"/>
      <c r="CK9" s="2435"/>
      <c r="CL9" s="2792">
        <f>CI9*(1+$J$9)</f>
        <v>0</v>
      </c>
      <c r="CM9" s="2435"/>
      <c r="CN9" s="2435"/>
      <c r="CO9" s="2792">
        <f>CL9*(1+$J$9)</f>
        <v>0</v>
      </c>
      <c r="CP9" s="2435"/>
      <c r="CQ9" s="2435"/>
      <c r="CR9" s="2792">
        <f>CO9*(1+$J$9)</f>
        <v>0</v>
      </c>
      <c r="CS9" s="2435"/>
      <c r="CT9" s="2435"/>
      <c r="CU9" s="2792">
        <f>CR9*(1+$J$9)</f>
        <v>0</v>
      </c>
      <c r="CV9" s="2435"/>
      <c r="CW9" s="2435"/>
      <c r="CX9" s="2792">
        <f>CU9*(1+$J$9)</f>
        <v>0</v>
      </c>
      <c r="CY9" s="2435"/>
      <c r="CZ9" s="2435"/>
      <c r="DA9" s="2792">
        <f>CX9*(1+$J$9)</f>
        <v>0</v>
      </c>
      <c r="DB9" s="2435"/>
      <c r="DC9" s="2435"/>
      <c r="DD9" s="2792">
        <f>DA9*(1+$J$9)</f>
        <v>0</v>
      </c>
      <c r="DE9" s="2435"/>
      <c r="DF9" s="2435"/>
      <c r="DG9" s="2792">
        <f>DD9*(1+$J$9)</f>
        <v>0</v>
      </c>
      <c r="DH9" s="2435"/>
      <c r="DI9" s="2435"/>
      <c r="DJ9" s="2792">
        <f>DG9*(1+$J$9)</f>
        <v>0</v>
      </c>
      <c r="DK9" s="2435"/>
      <c r="DL9" s="2435"/>
      <c r="DM9" s="2792">
        <f>DJ9*(1+$J$9)</f>
        <v>0</v>
      </c>
      <c r="DN9" s="2435"/>
      <c r="DO9" s="2435"/>
      <c r="DP9" s="2792">
        <f>DM9*(1+$J$9)</f>
        <v>0</v>
      </c>
      <c r="DQ9" s="2435"/>
      <c r="DR9" s="2435"/>
      <c r="DS9" s="2792">
        <f>DP9*(1+$J$9)</f>
        <v>0</v>
      </c>
      <c r="DT9" s="2435"/>
      <c r="DU9" s="2435"/>
      <c r="DV9" s="2792">
        <f>DS9*(1+$J$9)</f>
        <v>0</v>
      </c>
      <c r="DW9" s="2435"/>
      <c r="DX9" s="2435"/>
      <c r="DY9" s="2792">
        <f>DV9*(1+$J$9)</f>
        <v>0</v>
      </c>
      <c r="DZ9" s="2435"/>
      <c r="EA9" s="2435"/>
      <c r="EB9" s="773"/>
    </row>
    <row r="10" spans="1:132" ht="18" customHeight="1">
      <c r="B10" s="2925" t="str">
        <f>IF('Unit Mix'!$BB$7&gt;0,'Unit Mix'!$BB$7,"")</f>
        <v/>
      </c>
      <c r="C10" s="2821"/>
      <c r="D10" s="2821"/>
      <c r="E10" s="2821"/>
      <c r="F10" s="2821"/>
      <c r="G10" s="2821"/>
      <c r="H10" s="2821"/>
      <c r="I10" s="2821"/>
      <c r="J10" s="2854">
        <v>2.5000000000000001E-2</v>
      </c>
      <c r="K10" s="1862"/>
      <c r="L10" s="2792">
        <f>'Operating Budget'!$E$38</f>
        <v>0</v>
      </c>
      <c r="M10" s="2435"/>
      <c r="N10" s="2435"/>
      <c r="O10" s="2792">
        <f>L10*(1+$J$10)</f>
        <v>0</v>
      </c>
      <c r="P10" s="2435"/>
      <c r="Q10" s="2435"/>
      <c r="R10" s="2792">
        <f>O10*(1+$J$10)</f>
        <v>0</v>
      </c>
      <c r="S10" s="2435"/>
      <c r="T10" s="2435"/>
      <c r="U10" s="2792">
        <f>R10*(1+$J$10)</f>
        <v>0</v>
      </c>
      <c r="V10" s="2435"/>
      <c r="W10" s="2435"/>
      <c r="X10" s="2792">
        <f>U10*(1+$J$10)</f>
        <v>0</v>
      </c>
      <c r="Y10" s="2435"/>
      <c r="Z10" s="2435"/>
      <c r="AA10" s="2792">
        <f>X10*(1+$J$10)</f>
        <v>0</v>
      </c>
      <c r="AB10" s="2435"/>
      <c r="AC10" s="2435"/>
      <c r="AD10" s="2792">
        <f>AA10*(1+$J$10)</f>
        <v>0</v>
      </c>
      <c r="AE10" s="2435"/>
      <c r="AF10" s="2435"/>
      <c r="AG10" s="2792">
        <f>AD10*(1+$J$10)</f>
        <v>0</v>
      </c>
      <c r="AH10" s="2435"/>
      <c r="AI10" s="2435"/>
      <c r="AJ10" s="2792">
        <f>AG10*(1+$J$10)</f>
        <v>0</v>
      </c>
      <c r="AK10" s="2435"/>
      <c r="AL10" s="2435"/>
      <c r="AM10" s="2792">
        <f>AJ10*(1+$J$10)</f>
        <v>0</v>
      </c>
      <c r="AN10" s="2435"/>
      <c r="AO10" s="2435"/>
      <c r="AP10" s="2792">
        <f>AM10*(1+$J$10)</f>
        <v>0</v>
      </c>
      <c r="AQ10" s="2435"/>
      <c r="AR10" s="2435"/>
      <c r="AS10" s="2792">
        <f>AP10*(1+$J$10)</f>
        <v>0</v>
      </c>
      <c r="AT10" s="2435"/>
      <c r="AU10" s="2435"/>
      <c r="AV10" s="2792">
        <f>AS10*(1+$J$10)</f>
        <v>0</v>
      </c>
      <c r="AW10" s="2435"/>
      <c r="AX10" s="2435"/>
      <c r="AY10" s="2792">
        <f>AV10*(1+$J$10)</f>
        <v>0</v>
      </c>
      <c r="AZ10" s="2435"/>
      <c r="BA10" s="2435"/>
      <c r="BB10" s="2792">
        <f>AY10*(1+$J$10)</f>
        <v>0</v>
      </c>
      <c r="BC10" s="2435"/>
      <c r="BD10" s="2435"/>
      <c r="BE10" s="2797">
        <f>BB10*(1+$J$10)</f>
        <v>0</v>
      </c>
      <c r="BF10" s="2022"/>
      <c r="BG10" s="2022"/>
      <c r="BH10" s="2797">
        <f>BE10*(1+$J$10)</f>
        <v>0</v>
      </c>
      <c r="BI10" s="2022"/>
      <c r="BJ10" s="2022"/>
      <c r="BK10" s="2792">
        <f>BH10*(1+$J$10)</f>
        <v>0</v>
      </c>
      <c r="BL10" s="2435"/>
      <c r="BM10" s="2435"/>
      <c r="BN10" s="2792">
        <f>BK10*(1+$J$10)</f>
        <v>0</v>
      </c>
      <c r="BO10" s="2435"/>
      <c r="BP10" s="2435"/>
      <c r="BQ10" s="2792">
        <f>BN10*(1+$J$10)</f>
        <v>0</v>
      </c>
      <c r="BR10" s="2435"/>
      <c r="BS10" s="2435"/>
      <c r="BT10" s="2797">
        <f>BQ10*(1+$J$10)</f>
        <v>0</v>
      </c>
      <c r="BU10" s="2022"/>
      <c r="BV10" s="2022"/>
      <c r="BW10" s="2797">
        <f>BT10*(1+$J$10)</f>
        <v>0</v>
      </c>
      <c r="BX10" s="2022"/>
      <c r="BY10" s="2022"/>
      <c r="BZ10" s="2792">
        <f>BW10*(1+$J$10)</f>
        <v>0</v>
      </c>
      <c r="CA10" s="2435"/>
      <c r="CB10" s="2435"/>
      <c r="CC10" s="2792">
        <f>BZ10*(1+$J$10)</f>
        <v>0</v>
      </c>
      <c r="CD10" s="2435"/>
      <c r="CE10" s="2435"/>
      <c r="CF10" s="2792">
        <f>CC10*(1+$J$10)</f>
        <v>0</v>
      </c>
      <c r="CG10" s="2435"/>
      <c r="CH10" s="2435"/>
      <c r="CI10" s="2792">
        <f>CF10*(1+$J$10)</f>
        <v>0</v>
      </c>
      <c r="CJ10" s="2435"/>
      <c r="CK10" s="2435"/>
      <c r="CL10" s="2792">
        <f>CI10*(1+$J$10)</f>
        <v>0</v>
      </c>
      <c r="CM10" s="2435"/>
      <c r="CN10" s="2435"/>
      <c r="CO10" s="2792">
        <f>CL10*(1+$J$10)</f>
        <v>0</v>
      </c>
      <c r="CP10" s="2435"/>
      <c r="CQ10" s="2435"/>
      <c r="CR10" s="2792">
        <f>CO10*(1+$J$10)</f>
        <v>0</v>
      </c>
      <c r="CS10" s="2435"/>
      <c r="CT10" s="2435"/>
      <c r="CU10" s="2792">
        <f>CR10*(1+$J$10)</f>
        <v>0</v>
      </c>
      <c r="CV10" s="2435"/>
      <c r="CW10" s="2435"/>
      <c r="CX10" s="2792">
        <f>CU10*(1+$J$10)</f>
        <v>0</v>
      </c>
      <c r="CY10" s="2435"/>
      <c r="CZ10" s="2435"/>
      <c r="DA10" s="2792">
        <f>CX10*(1+$J$10)</f>
        <v>0</v>
      </c>
      <c r="DB10" s="2435"/>
      <c r="DC10" s="2435"/>
      <c r="DD10" s="2792">
        <f>DA10*(1+$J$10)</f>
        <v>0</v>
      </c>
      <c r="DE10" s="2435"/>
      <c r="DF10" s="2435"/>
      <c r="DG10" s="2792">
        <f>DD10*(1+$J$10)</f>
        <v>0</v>
      </c>
      <c r="DH10" s="2435"/>
      <c r="DI10" s="2435"/>
      <c r="DJ10" s="2792">
        <f>DG10*(1+$J$10)</f>
        <v>0</v>
      </c>
      <c r="DK10" s="2435"/>
      <c r="DL10" s="2435"/>
      <c r="DM10" s="2792">
        <f>DJ10*(1+$J$10)</f>
        <v>0</v>
      </c>
      <c r="DN10" s="2435"/>
      <c r="DO10" s="2435"/>
      <c r="DP10" s="2792">
        <f>DM10*(1+$J$10)</f>
        <v>0</v>
      </c>
      <c r="DQ10" s="2435"/>
      <c r="DR10" s="2435"/>
      <c r="DS10" s="2792">
        <f>DP10*(1+$J$10)</f>
        <v>0</v>
      </c>
      <c r="DT10" s="2435"/>
      <c r="DU10" s="2435"/>
      <c r="DV10" s="2792">
        <f>DS10*(1+$J$10)</f>
        <v>0</v>
      </c>
      <c r="DW10" s="2435"/>
      <c r="DX10" s="2435"/>
      <c r="DY10" s="2792">
        <f>DV10*(1+$J$10)</f>
        <v>0</v>
      </c>
      <c r="DZ10" s="2435"/>
      <c r="EA10" s="2435"/>
      <c r="EB10" s="773"/>
    </row>
    <row r="11" spans="1:132" ht="18" customHeight="1">
      <c r="B11" s="2931" t="str">
        <f>'Operating Budget'!$D$39</f>
        <v>Operating Subsidies</v>
      </c>
      <c r="C11" s="2821"/>
      <c r="D11" s="2821"/>
      <c r="E11" s="2821"/>
      <c r="F11" s="2821"/>
      <c r="G11" s="2821"/>
      <c r="H11" s="2821"/>
      <c r="I11" s="2821"/>
      <c r="J11" s="2854">
        <v>0.02</v>
      </c>
      <c r="K11" s="1862"/>
      <c r="L11" s="2952">
        <f>'Operating Budget'!$E$39</f>
        <v>0</v>
      </c>
      <c r="M11" s="2435"/>
      <c r="N11" s="2435"/>
      <c r="O11" s="2796">
        <f>L11*(1+$J$11)</f>
        <v>0</v>
      </c>
      <c r="P11" s="2435"/>
      <c r="Q11" s="2435"/>
      <c r="R11" s="2796">
        <f>O11*(1+$J$11)</f>
        <v>0</v>
      </c>
      <c r="S11" s="2435"/>
      <c r="T11" s="2435"/>
      <c r="U11" s="2796">
        <f>R11*(1+$J$11)</f>
        <v>0</v>
      </c>
      <c r="V11" s="2435"/>
      <c r="W11" s="2435"/>
      <c r="X11" s="2796">
        <f>U11*(1+$J$11)</f>
        <v>0</v>
      </c>
      <c r="Y11" s="2435"/>
      <c r="Z11" s="2435"/>
      <c r="AA11" s="2796">
        <f>X11*(1+$J$11)</f>
        <v>0</v>
      </c>
      <c r="AB11" s="2435"/>
      <c r="AC11" s="2435"/>
      <c r="AD11" s="2796">
        <f>AA11*(1+$J$11)</f>
        <v>0</v>
      </c>
      <c r="AE11" s="2435"/>
      <c r="AF11" s="2435"/>
      <c r="AG11" s="2796">
        <f>AD11*(1+$J$11)</f>
        <v>0</v>
      </c>
      <c r="AH11" s="2435"/>
      <c r="AI11" s="2435"/>
      <c r="AJ11" s="2796">
        <f>AG11*(1+$J$11)</f>
        <v>0</v>
      </c>
      <c r="AK11" s="2435"/>
      <c r="AL11" s="2435"/>
      <c r="AM11" s="2796">
        <f>AJ11*(1+$J$11)</f>
        <v>0</v>
      </c>
      <c r="AN11" s="2435"/>
      <c r="AO11" s="2435"/>
      <c r="AP11" s="2796">
        <f>AM11*(1+$J$11)</f>
        <v>0</v>
      </c>
      <c r="AQ11" s="2435"/>
      <c r="AR11" s="2435"/>
      <c r="AS11" s="2796">
        <f>AP11*(1+$J$11)</f>
        <v>0</v>
      </c>
      <c r="AT11" s="2435"/>
      <c r="AU11" s="2435"/>
      <c r="AV11" s="2796">
        <f>AS11*(1+$J$11)</f>
        <v>0</v>
      </c>
      <c r="AW11" s="2435"/>
      <c r="AX11" s="2435"/>
      <c r="AY11" s="2796">
        <f>AV11*(1+$J$11)</f>
        <v>0</v>
      </c>
      <c r="AZ11" s="2435"/>
      <c r="BA11" s="2435"/>
      <c r="BB11" s="2796">
        <f>AY11*(1+$J$11)</f>
        <v>0</v>
      </c>
      <c r="BC11" s="2435"/>
      <c r="BD11" s="2435"/>
      <c r="BE11" s="2841">
        <f>BB11*(1+$J$11)</f>
        <v>0</v>
      </c>
      <c r="BF11" s="2022"/>
      <c r="BG11" s="2022"/>
      <c r="BH11" s="2841">
        <f>BE11*(1+$J$11)</f>
        <v>0</v>
      </c>
      <c r="BI11" s="2022"/>
      <c r="BJ11" s="2022"/>
      <c r="BK11" s="2796">
        <f>BH11*(1+$J$11)</f>
        <v>0</v>
      </c>
      <c r="BL11" s="2435"/>
      <c r="BM11" s="2435"/>
      <c r="BN11" s="2796">
        <f>BK11*(1+$J$11)</f>
        <v>0</v>
      </c>
      <c r="BO11" s="2435"/>
      <c r="BP11" s="2435"/>
      <c r="BQ11" s="2796">
        <f>BN11*(1+$J$11)</f>
        <v>0</v>
      </c>
      <c r="BR11" s="2435"/>
      <c r="BS11" s="2435"/>
      <c r="BT11" s="2841">
        <f>BQ11*(1+$J$11)</f>
        <v>0</v>
      </c>
      <c r="BU11" s="2022"/>
      <c r="BV11" s="2022"/>
      <c r="BW11" s="2841">
        <f>BT11*(1+$J$11)</f>
        <v>0</v>
      </c>
      <c r="BX11" s="2022"/>
      <c r="BY11" s="2022"/>
      <c r="BZ11" s="2796">
        <f>BW11*(1+$J$11)</f>
        <v>0</v>
      </c>
      <c r="CA11" s="2435"/>
      <c r="CB11" s="2435"/>
      <c r="CC11" s="2796">
        <f>BZ11*(1+$J$11)</f>
        <v>0</v>
      </c>
      <c r="CD11" s="2435"/>
      <c r="CE11" s="2435"/>
      <c r="CF11" s="2796">
        <f>CC11*(1+$J$11)</f>
        <v>0</v>
      </c>
      <c r="CG11" s="2435"/>
      <c r="CH11" s="2435"/>
      <c r="CI11" s="2796">
        <f>CF11*(1+$J$11)</f>
        <v>0</v>
      </c>
      <c r="CJ11" s="2435"/>
      <c r="CK11" s="2435"/>
      <c r="CL11" s="2796">
        <f>CI11*(1+$J$11)</f>
        <v>0</v>
      </c>
      <c r="CM11" s="2435"/>
      <c r="CN11" s="2435"/>
      <c r="CO11" s="2796">
        <f>CL11*(1+$J$11)</f>
        <v>0</v>
      </c>
      <c r="CP11" s="2435"/>
      <c r="CQ11" s="2435"/>
      <c r="CR11" s="2796">
        <f>CO11*(1+$J$11)</f>
        <v>0</v>
      </c>
      <c r="CS11" s="2435"/>
      <c r="CT11" s="2435"/>
      <c r="CU11" s="2796">
        <f>CR11*(1+$J$11)</f>
        <v>0</v>
      </c>
      <c r="CV11" s="2435"/>
      <c r="CW11" s="2435"/>
      <c r="CX11" s="2796">
        <f>CU11*(1+$J$11)</f>
        <v>0</v>
      </c>
      <c r="CY11" s="2435"/>
      <c r="CZ11" s="2435"/>
      <c r="DA11" s="2796">
        <f>CX11*(1+$J$11)</f>
        <v>0</v>
      </c>
      <c r="DB11" s="2435"/>
      <c r="DC11" s="2435"/>
      <c r="DD11" s="2796">
        <f>DA11*(1+$J$11)</f>
        <v>0</v>
      </c>
      <c r="DE11" s="2435"/>
      <c r="DF11" s="2435"/>
      <c r="DG11" s="2796">
        <f>DD11*(1+$J$11)</f>
        <v>0</v>
      </c>
      <c r="DH11" s="2435"/>
      <c r="DI11" s="2435"/>
      <c r="DJ11" s="2796">
        <f>DG11*(1+$J$11)</f>
        <v>0</v>
      </c>
      <c r="DK11" s="2435"/>
      <c r="DL11" s="2435"/>
      <c r="DM11" s="2796">
        <f>DJ11*(1+$J$11)</f>
        <v>0</v>
      </c>
      <c r="DN11" s="2435"/>
      <c r="DO11" s="2435"/>
      <c r="DP11" s="2796">
        <f>DM11*(1+$J$11)</f>
        <v>0</v>
      </c>
      <c r="DQ11" s="2435"/>
      <c r="DR11" s="2435"/>
      <c r="DS11" s="2796">
        <f>DP11*(1+$J$11)</f>
        <v>0</v>
      </c>
      <c r="DT11" s="2435"/>
      <c r="DU11" s="2435"/>
      <c r="DV11" s="2796">
        <f>DS11*(1+$J$11)</f>
        <v>0</v>
      </c>
      <c r="DW11" s="2435"/>
      <c r="DX11" s="2435"/>
      <c r="DY11" s="2796">
        <f>DV11*(1+$J$11)</f>
        <v>0</v>
      </c>
      <c r="DZ11" s="2435"/>
      <c r="EA11" s="2435"/>
      <c r="EB11" s="773"/>
    </row>
    <row r="12" spans="1:132" ht="18" customHeight="1">
      <c r="B12" s="2931" t="str">
        <f>'Operating Budget'!$D$40</f>
        <v>Other: (Specify)</v>
      </c>
      <c r="C12" s="2821"/>
      <c r="D12" s="2821"/>
      <c r="E12" s="2821"/>
      <c r="F12" s="2821"/>
      <c r="G12" s="2821"/>
      <c r="H12" s="2821"/>
      <c r="I12" s="2821"/>
      <c r="J12" s="2854">
        <f>J9</f>
        <v>2.5000000000000001E-2</v>
      </c>
      <c r="K12" s="1862"/>
      <c r="L12" s="2825">
        <v>0</v>
      </c>
      <c r="M12" s="2022"/>
      <c r="N12" s="2022"/>
      <c r="O12" s="2790">
        <v>0</v>
      </c>
      <c r="P12" s="2022"/>
      <c r="Q12" s="2022"/>
      <c r="R12" s="2790">
        <v>0</v>
      </c>
      <c r="S12" s="2022"/>
      <c r="T12" s="2022"/>
      <c r="U12" s="2790">
        <v>0</v>
      </c>
      <c r="V12" s="2022"/>
      <c r="W12" s="2022"/>
      <c r="X12" s="2790">
        <v>0</v>
      </c>
      <c r="Y12" s="2022"/>
      <c r="Z12" s="2022"/>
      <c r="AA12" s="2790">
        <v>0</v>
      </c>
      <c r="AB12" s="2022"/>
      <c r="AC12" s="2022"/>
      <c r="AD12" s="2790">
        <v>0</v>
      </c>
      <c r="AE12" s="2022"/>
      <c r="AF12" s="2022"/>
      <c r="AG12" s="2790">
        <v>0</v>
      </c>
      <c r="AH12" s="2022"/>
      <c r="AI12" s="2022"/>
      <c r="AJ12" s="2790">
        <v>0</v>
      </c>
      <c r="AK12" s="2022"/>
      <c r="AL12" s="2022"/>
      <c r="AM12" s="2790">
        <v>0</v>
      </c>
      <c r="AN12" s="2022"/>
      <c r="AO12" s="2022"/>
      <c r="AP12" s="2790">
        <v>0</v>
      </c>
      <c r="AQ12" s="2022"/>
      <c r="AR12" s="2022"/>
      <c r="AS12" s="2790">
        <v>0</v>
      </c>
      <c r="AT12" s="2022"/>
      <c r="AU12" s="2022"/>
      <c r="AV12" s="2790">
        <v>0</v>
      </c>
      <c r="AW12" s="2022"/>
      <c r="AX12" s="2022"/>
      <c r="AY12" s="2790">
        <v>0</v>
      </c>
      <c r="AZ12" s="2022"/>
      <c r="BA12" s="2022"/>
      <c r="BB12" s="2790">
        <v>0</v>
      </c>
      <c r="BC12" s="2022"/>
      <c r="BD12" s="2022"/>
      <c r="BE12" s="2790">
        <v>0</v>
      </c>
      <c r="BF12" s="2022"/>
      <c r="BG12" s="2022"/>
      <c r="BH12" s="2790">
        <v>0</v>
      </c>
      <c r="BI12" s="2022"/>
      <c r="BJ12" s="2022"/>
      <c r="BK12" s="2790">
        <v>0</v>
      </c>
      <c r="BL12" s="2022"/>
      <c r="BM12" s="2022"/>
      <c r="BN12" s="2790">
        <v>0</v>
      </c>
      <c r="BO12" s="2022"/>
      <c r="BP12" s="2022"/>
      <c r="BQ12" s="2790">
        <v>0</v>
      </c>
      <c r="BR12" s="2022"/>
      <c r="BS12" s="2022"/>
      <c r="BT12" s="2790">
        <v>0</v>
      </c>
      <c r="BU12" s="2022"/>
      <c r="BV12" s="2022"/>
      <c r="BW12" s="2790">
        <v>0</v>
      </c>
      <c r="BX12" s="2022"/>
      <c r="BY12" s="2022"/>
      <c r="BZ12" s="2790">
        <v>0</v>
      </c>
      <c r="CA12" s="2022"/>
      <c r="CB12" s="2022"/>
      <c r="CC12" s="2790">
        <v>0</v>
      </c>
      <c r="CD12" s="2022"/>
      <c r="CE12" s="2022"/>
      <c r="CF12" s="2790">
        <v>0</v>
      </c>
      <c r="CG12" s="2022"/>
      <c r="CH12" s="2022"/>
      <c r="CI12" s="2790">
        <v>0</v>
      </c>
      <c r="CJ12" s="2022"/>
      <c r="CK12" s="2022"/>
      <c r="CL12" s="2790">
        <v>0</v>
      </c>
      <c r="CM12" s="2022"/>
      <c r="CN12" s="2022"/>
      <c r="CO12" s="2790">
        <v>0</v>
      </c>
      <c r="CP12" s="2022"/>
      <c r="CQ12" s="2022"/>
      <c r="CR12" s="2790">
        <v>0</v>
      </c>
      <c r="CS12" s="2022"/>
      <c r="CT12" s="2022"/>
      <c r="CU12" s="2790">
        <v>0</v>
      </c>
      <c r="CV12" s="2022"/>
      <c r="CW12" s="2022"/>
      <c r="CX12" s="2790">
        <v>0</v>
      </c>
      <c r="CY12" s="2022"/>
      <c r="CZ12" s="2022"/>
      <c r="DA12" s="2790">
        <v>0</v>
      </c>
      <c r="DB12" s="2022"/>
      <c r="DC12" s="2022"/>
      <c r="DD12" s="2790">
        <v>0</v>
      </c>
      <c r="DE12" s="2022"/>
      <c r="DF12" s="2022"/>
      <c r="DG12" s="2790">
        <v>0</v>
      </c>
      <c r="DH12" s="2022"/>
      <c r="DI12" s="2022"/>
      <c r="DJ12" s="2790">
        <v>0</v>
      </c>
      <c r="DK12" s="2022"/>
      <c r="DL12" s="2022"/>
      <c r="DM12" s="2790">
        <v>0</v>
      </c>
      <c r="DN12" s="2022"/>
      <c r="DO12" s="2022"/>
      <c r="DP12" s="2790">
        <v>0</v>
      </c>
      <c r="DQ12" s="2022"/>
      <c r="DR12" s="2022"/>
      <c r="DS12" s="2790">
        <v>0</v>
      </c>
      <c r="DT12" s="2022"/>
      <c r="DU12" s="2022"/>
      <c r="DV12" s="2790">
        <v>0</v>
      </c>
      <c r="DW12" s="2022"/>
      <c r="DX12" s="2022"/>
      <c r="DY12" s="2790">
        <v>0</v>
      </c>
      <c r="DZ12" s="2022"/>
      <c r="EA12" s="2022"/>
      <c r="EB12" s="773"/>
    </row>
    <row r="13" spans="1:132" ht="18" customHeight="1">
      <c r="B13" s="2931" t="str">
        <f>'Operating Budget'!$D$41</f>
        <v>Other: (Specify)</v>
      </c>
      <c r="C13" s="2821"/>
      <c r="D13" s="2821"/>
      <c r="E13" s="2821"/>
      <c r="F13" s="2821"/>
      <c r="G13" s="2821"/>
      <c r="H13" s="2821"/>
      <c r="I13" s="2821"/>
      <c r="J13" s="2854">
        <f>J10</f>
        <v>2.5000000000000001E-2</v>
      </c>
      <c r="K13" s="1862"/>
      <c r="L13" s="2962">
        <v>0</v>
      </c>
      <c r="M13" s="1869"/>
      <c r="N13" s="1869"/>
      <c r="O13" s="2808">
        <v>0</v>
      </c>
      <c r="P13" s="1869"/>
      <c r="Q13" s="1869"/>
      <c r="R13" s="2808">
        <v>0</v>
      </c>
      <c r="S13" s="1869"/>
      <c r="T13" s="1869"/>
      <c r="U13" s="2808">
        <v>0</v>
      </c>
      <c r="V13" s="1869"/>
      <c r="W13" s="1869"/>
      <c r="X13" s="2808">
        <v>0</v>
      </c>
      <c r="Y13" s="1869"/>
      <c r="Z13" s="1869"/>
      <c r="AA13" s="2808">
        <v>0</v>
      </c>
      <c r="AB13" s="1869"/>
      <c r="AC13" s="1869"/>
      <c r="AD13" s="2808">
        <v>0</v>
      </c>
      <c r="AE13" s="1869"/>
      <c r="AF13" s="1869"/>
      <c r="AG13" s="2808">
        <v>0</v>
      </c>
      <c r="AH13" s="1869"/>
      <c r="AI13" s="1869"/>
      <c r="AJ13" s="2808">
        <v>0</v>
      </c>
      <c r="AK13" s="1869"/>
      <c r="AL13" s="1869"/>
      <c r="AM13" s="2808">
        <v>0</v>
      </c>
      <c r="AN13" s="1869"/>
      <c r="AO13" s="1869"/>
      <c r="AP13" s="2808">
        <v>0</v>
      </c>
      <c r="AQ13" s="1869"/>
      <c r="AR13" s="1869"/>
      <c r="AS13" s="2808">
        <v>0</v>
      </c>
      <c r="AT13" s="1869"/>
      <c r="AU13" s="1869"/>
      <c r="AV13" s="2808">
        <v>0</v>
      </c>
      <c r="AW13" s="1869"/>
      <c r="AX13" s="1869"/>
      <c r="AY13" s="2808">
        <v>0</v>
      </c>
      <c r="AZ13" s="1869"/>
      <c r="BA13" s="1869"/>
      <c r="BB13" s="2808">
        <v>0</v>
      </c>
      <c r="BC13" s="1869"/>
      <c r="BD13" s="1869"/>
      <c r="BE13" s="2808">
        <v>0</v>
      </c>
      <c r="BF13" s="1869"/>
      <c r="BG13" s="1869"/>
      <c r="BH13" s="2808">
        <v>0</v>
      </c>
      <c r="BI13" s="1869"/>
      <c r="BJ13" s="1869"/>
      <c r="BK13" s="2808">
        <v>0</v>
      </c>
      <c r="BL13" s="1869"/>
      <c r="BM13" s="1869"/>
      <c r="BN13" s="2808">
        <v>0</v>
      </c>
      <c r="BO13" s="1869"/>
      <c r="BP13" s="1869"/>
      <c r="BQ13" s="2808">
        <v>0</v>
      </c>
      <c r="BR13" s="1869"/>
      <c r="BS13" s="1869"/>
      <c r="BT13" s="2808">
        <v>0</v>
      </c>
      <c r="BU13" s="1869"/>
      <c r="BV13" s="1869"/>
      <c r="BW13" s="2808">
        <v>0</v>
      </c>
      <c r="BX13" s="1869"/>
      <c r="BY13" s="1869"/>
      <c r="BZ13" s="2808">
        <v>0</v>
      </c>
      <c r="CA13" s="1869"/>
      <c r="CB13" s="1869"/>
      <c r="CC13" s="2808">
        <v>0</v>
      </c>
      <c r="CD13" s="1869"/>
      <c r="CE13" s="1869"/>
      <c r="CF13" s="2808">
        <v>0</v>
      </c>
      <c r="CG13" s="1869"/>
      <c r="CH13" s="1869"/>
      <c r="CI13" s="2808">
        <v>0</v>
      </c>
      <c r="CJ13" s="1869"/>
      <c r="CK13" s="1869"/>
      <c r="CL13" s="2808">
        <v>0</v>
      </c>
      <c r="CM13" s="1869"/>
      <c r="CN13" s="1869"/>
      <c r="CO13" s="2808">
        <v>0</v>
      </c>
      <c r="CP13" s="1869"/>
      <c r="CQ13" s="1869"/>
      <c r="CR13" s="2808">
        <v>0</v>
      </c>
      <c r="CS13" s="1869"/>
      <c r="CT13" s="1869"/>
      <c r="CU13" s="2808">
        <v>0</v>
      </c>
      <c r="CV13" s="1869"/>
      <c r="CW13" s="1869"/>
      <c r="CX13" s="2808">
        <v>0</v>
      </c>
      <c r="CY13" s="1869"/>
      <c r="CZ13" s="1869"/>
      <c r="DA13" s="2808">
        <v>0</v>
      </c>
      <c r="DB13" s="1869"/>
      <c r="DC13" s="1869"/>
      <c r="DD13" s="2808">
        <v>0</v>
      </c>
      <c r="DE13" s="1869"/>
      <c r="DF13" s="1869"/>
      <c r="DG13" s="2808">
        <v>0</v>
      </c>
      <c r="DH13" s="1869"/>
      <c r="DI13" s="1869"/>
      <c r="DJ13" s="2808">
        <v>0</v>
      </c>
      <c r="DK13" s="1869"/>
      <c r="DL13" s="1869"/>
      <c r="DM13" s="2808">
        <v>0</v>
      </c>
      <c r="DN13" s="1869"/>
      <c r="DO13" s="1869"/>
      <c r="DP13" s="2808">
        <v>0</v>
      </c>
      <c r="DQ13" s="1869"/>
      <c r="DR13" s="1869"/>
      <c r="DS13" s="2808">
        <v>0</v>
      </c>
      <c r="DT13" s="1869"/>
      <c r="DU13" s="1869"/>
      <c r="DV13" s="2808">
        <v>0</v>
      </c>
      <c r="DW13" s="1869"/>
      <c r="DX13" s="1869"/>
      <c r="DY13" s="2808">
        <v>0</v>
      </c>
      <c r="DZ13" s="1869"/>
      <c r="EA13" s="1869"/>
      <c r="EB13" s="773"/>
    </row>
    <row r="14" spans="1:132" s="44" customFormat="1" ht="18" customHeight="1" thickBot="1">
      <c r="B14" s="2959" t="s">
        <v>1922</v>
      </c>
      <c r="C14" s="2803"/>
      <c r="D14" s="2803"/>
      <c r="E14" s="2803"/>
      <c r="F14" s="2803"/>
      <c r="G14" s="2803"/>
      <c r="H14" s="2803"/>
      <c r="I14" s="2803"/>
      <c r="J14" s="2803"/>
      <c r="K14" s="2816"/>
      <c r="L14" s="2957">
        <f>SUM(L5:N13)</f>
        <v>0</v>
      </c>
      <c r="M14" s="2803"/>
      <c r="N14" s="2803"/>
      <c r="O14" s="2809">
        <f>SUM(O5:Q13)</f>
        <v>0</v>
      </c>
      <c r="P14" s="2810"/>
      <c r="Q14" s="2810"/>
      <c r="R14" s="2809">
        <f>SUM(R5:T13)</f>
        <v>0</v>
      </c>
      <c r="S14" s="2810"/>
      <c r="T14" s="2810"/>
      <c r="U14" s="2809">
        <f>SUM(U5:W13)</f>
        <v>0</v>
      </c>
      <c r="V14" s="2810"/>
      <c r="W14" s="2810"/>
      <c r="X14" s="2809">
        <f>SUM(X5:Z13)</f>
        <v>0</v>
      </c>
      <c r="Y14" s="2810"/>
      <c r="Z14" s="2810"/>
      <c r="AA14" s="2809">
        <f>SUM(AA5:AC13)</f>
        <v>0</v>
      </c>
      <c r="AB14" s="2810"/>
      <c r="AC14" s="2810"/>
      <c r="AD14" s="2809">
        <f>SUM(AD5:AF13)</f>
        <v>0</v>
      </c>
      <c r="AE14" s="2810"/>
      <c r="AF14" s="2810"/>
      <c r="AG14" s="2809">
        <f>SUM(AG5:AI13)</f>
        <v>0</v>
      </c>
      <c r="AH14" s="2810"/>
      <c r="AI14" s="2810"/>
      <c r="AJ14" s="2809">
        <f>SUM(AJ5:AL13)</f>
        <v>0</v>
      </c>
      <c r="AK14" s="2810"/>
      <c r="AL14" s="2810"/>
      <c r="AM14" s="2809">
        <f>SUM(AM5:AO13)</f>
        <v>0</v>
      </c>
      <c r="AN14" s="2810"/>
      <c r="AO14" s="2810"/>
      <c r="AP14" s="2809">
        <f>SUM(AP5:AR13)</f>
        <v>0</v>
      </c>
      <c r="AQ14" s="2810"/>
      <c r="AR14" s="2810"/>
      <c r="AS14" s="2809">
        <f>SUM(AS5:AU13)</f>
        <v>0</v>
      </c>
      <c r="AT14" s="2810"/>
      <c r="AU14" s="2810"/>
      <c r="AV14" s="2809">
        <f>SUM(AV5:AX13)</f>
        <v>0</v>
      </c>
      <c r="AW14" s="2810"/>
      <c r="AX14" s="2810"/>
      <c r="AY14" s="2809">
        <f>SUM(AY5:BA13)</f>
        <v>0</v>
      </c>
      <c r="AZ14" s="2810"/>
      <c r="BA14" s="2810"/>
      <c r="BB14" s="2809">
        <f>SUM(BB5:BD13)</f>
        <v>0</v>
      </c>
      <c r="BC14" s="2810"/>
      <c r="BD14" s="2810"/>
      <c r="BE14" s="2809">
        <f>SUM(BE5:BG13)</f>
        <v>0</v>
      </c>
      <c r="BF14" s="2810"/>
      <c r="BG14" s="2810"/>
      <c r="BH14" s="2809">
        <f>SUM(BH5:BJ13)</f>
        <v>0</v>
      </c>
      <c r="BI14" s="2810"/>
      <c r="BJ14" s="2810"/>
      <c r="BK14" s="2809">
        <f>SUM(BK5:BM13)</f>
        <v>0</v>
      </c>
      <c r="BL14" s="2810"/>
      <c r="BM14" s="2810"/>
      <c r="BN14" s="2809">
        <f>SUM(BN5:BP13)</f>
        <v>0</v>
      </c>
      <c r="BO14" s="2810"/>
      <c r="BP14" s="2810"/>
      <c r="BQ14" s="2905">
        <f>SUM(BQ5:BS13)</f>
        <v>0</v>
      </c>
      <c r="BR14" s="2810"/>
      <c r="BS14" s="2906"/>
      <c r="BT14" s="2844">
        <f>SUM(BT5:BT12)</f>
        <v>0</v>
      </c>
      <c r="BU14" s="2803"/>
      <c r="BV14" s="2803"/>
      <c r="BW14" s="2844">
        <f>SUM(BW5:BW12)</f>
        <v>0</v>
      </c>
      <c r="BX14" s="2803"/>
      <c r="BY14" s="2803"/>
      <c r="BZ14" s="2844">
        <f>SUM(BZ5:BZ12)</f>
        <v>0</v>
      </c>
      <c r="CA14" s="2803"/>
      <c r="CB14" s="2803"/>
      <c r="CC14" s="2844">
        <f>SUM(CC5:CC12)</f>
        <v>0</v>
      </c>
      <c r="CD14" s="2803"/>
      <c r="CE14" s="2803"/>
      <c r="CF14" s="2844">
        <f>SUM(CF5:CF12)</f>
        <v>0</v>
      </c>
      <c r="CG14" s="2803"/>
      <c r="CH14" s="2803"/>
      <c r="CI14" s="2844">
        <f>SUM(CI5:CI12)</f>
        <v>0</v>
      </c>
      <c r="CJ14" s="2803"/>
      <c r="CK14" s="2803"/>
      <c r="CL14" s="2844">
        <f>SUM(CL5:CL12)</f>
        <v>0</v>
      </c>
      <c r="CM14" s="2803"/>
      <c r="CN14" s="2803"/>
      <c r="CO14" s="2844">
        <f>SUM(CO5:CO12)</f>
        <v>0</v>
      </c>
      <c r="CP14" s="2803"/>
      <c r="CQ14" s="2803"/>
      <c r="CR14" s="2844">
        <f>SUM(CR5:CR12)</f>
        <v>0</v>
      </c>
      <c r="CS14" s="2803"/>
      <c r="CT14" s="2803"/>
      <c r="CU14" s="2844">
        <f>SUM(CU5:CU12)</f>
        <v>0</v>
      </c>
      <c r="CV14" s="2803"/>
      <c r="CW14" s="2803"/>
      <c r="CX14" s="2844">
        <f>SUM(CX5:CX12)</f>
        <v>0</v>
      </c>
      <c r="CY14" s="2803"/>
      <c r="CZ14" s="2803"/>
      <c r="DA14" s="2844">
        <f>SUM(DA5:DA12)</f>
        <v>0</v>
      </c>
      <c r="DB14" s="2803"/>
      <c r="DC14" s="2803"/>
      <c r="DD14" s="2844">
        <f>SUM(DD5:DD12)</f>
        <v>0</v>
      </c>
      <c r="DE14" s="2803"/>
      <c r="DF14" s="2803"/>
      <c r="DG14" s="2844">
        <f>SUM(DG5:DG12)</f>
        <v>0</v>
      </c>
      <c r="DH14" s="2803"/>
      <c r="DI14" s="2803"/>
      <c r="DJ14" s="2844">
        <f>SUM(DJ5:DJ12)</f>
        <v>0</v>
      </c>
      <c r="DK14" s="2803"/>
      <c r="DL14" s="2803"/>
      <c r="DM14" s="2844">
        <f>SUM(DM5:DM12)</f>
        <v>0</v>
      </c>
      <c r="DN14" s="2803"/>
      <c r="DO14" s="2803"/>
      <c r="DP14" s="2844">
        <f>SUM(DP5:DP12)</f>
        <v>0</v>
      </c>
      <c r="DQ14" s="2803"/>
      <c r="DR14" s="2803"/>
      <c r="DS14" s="2844">
        <f>SUM(DS5:DS12)</f>
        <v>0</v>
      </c>
      <c r="DT14" s="2803"/>
      <c r="DU14" s="2803"/>
      <c r="DV14" s="2844">
        <f>SUM(DV5:DV12)</f>
        <v>0</v>
      </c>
      <c r="DW14" s="2803"/>
      <c r="DX14" s="2803"/>
      <c r="DY14" s="2844">
        <f>SUM(DY5:DY12)</f>
        <v>0</v>
      </c>
      <c r="DZ14" s="2803"/>
      <c r="EA14" s="2803"/>
      <c r="EB14" s="322"/>
    </row>
    <row r="15" spans="1:132" ht="9" customHeight="1" thickTop="1">
      <c r="B15" s="1386"/>
      <c r="C15" s="1386"/>
      <c r="D15" s="1386"/>
      <c r="E15" s="1386"/>
      <c r="F15" s="1386"/>
      <c r="G15" s="1386"/>
      <c r="H15" s="1386"/>
      <c r="I15" s="1386"/>
      <c r="J15" s="1386"/>
      <c r="K15" s="1386"/>
      <c r="L15" s="1387"/>
      <c r="M15" s="1387"/>
      <c r="N15" s="1387"/>
      <c r="O15" s="1387"/>
      <c r="P15" s="1387"/>
      <c r="Q15" s="1387"/>
      <c r="R15" s="1387"/>
      <c r="S15" s="1387"/>
      <c r="T15" s="1387"/>
      <c r="U15" s="1387"/>
      <c r="V15" s="1387"/>
      <c r="W15" s="1387"/>
      <c r="X15" s="1387"/>
      <c r="Y15" s="1387"/>
      <c r="Z15" s="1387"/>
      <c r="AA15" s="1387"/>
      <c r="AB15" s="1387"/>
      <c r="AC15" s="1387"/>
      <c r="AD15" s="1387"/>
      <c r="AE15" s="1387"/>
      <c r="AF15" s="1387"/>
      <c r="AG15" s="1387"/>
      <c r="AH15" s="1387"/>
      <c r="AI15" s="1387"/>
      <c r="AJ15" s="1387"/>
      <c r="AK15" s="1387"/>
      <c r="AL15" s="1387"/>
      <c r="AM15" s="1387"/>
      <c r="AN15" s="1387"/>
      <c r="AO15" s="1387"/>
      <c r="AP15" s="1387"/>
      <c r="AQ15" s="1387"/>
      <c r="AR15" s="1387"/>
      <c r="AS15" s="1387"/>
      <c r="AT15" s="1387"/>
      <c r="AU15" s="1387"/>
      <c r="AV15" s="1387"/>
      <c r="AW15" s="1387"/>
      <c r="AX15" s="1387"/>
      <c r="AY15" s="1387"/>
      <c r="AZ15" s="1387"/>
      <c r="BA15" s="1387"/>
      <c r="BB15" s="1387"/>
      <c r="BC15" s="1387"/>
      <c r="BD15" s="1387"/>
      <c r="BE15" s="1387"/>
      <c r="BF15" s="1387"/>
      <c r="BG15" s="1387"/>
      <c r="BH15" s="1387"/>
      <c r="BI15" s="1387"/>
      <c r="BJ15" s="1387"/>
      <c r="BK15" s="1387"/>
      <c r="BL15" s="1387"/>
      <c r="BM15" s="1387"/>
      <c r="BN15" s="1387"/>
      <c r="BO15" s="1387"/>
      <c r="BP15" s="1387"/>
      <c r="BQ15" s="1387"/>
      <c r="BR15" s="1387"/>
      <c r="BS15" s="1387"/>
      <c r="BT15" s="1387"/>
      <c r="BU15" s="1387"/>
      <c r="BV15" s="1387"/>
      <c r="BW15" s="1387"/>
      <c r="BX15" s="1387"/>
      <c r="BY15" s="1387"/>
      <c r="BZ15" s="1387"/>
      <c r="CA15" s="1387"/>
      <c r="CB15" s="1387"/>
      <c r="CC15" s="1387"/>
      <c r="CD15" s="1387"/>
      <c r="CE15" s="1387"/>
      <c r="CF15" s="1387"/>
      <c r="CG15" s="1387"/>
      <c r="CH15" s="1387"/>
      <c r="CI15" s="1387"/>
      <c r="CJ15" s="1387"/>
      <c r="CK15" s="1387"/>
      <c r="CL15" s="1387"/>
      <c r="CM15" s="1387"/>
      <c r="CN15" s="1387"/>
      <c r="CO15" s="1387"/>
      <c r="CP15" s="1387"/>
      <c r="CQ15" s="1387"/>
      <c r="CR15" s="1387"/>
      <c r="CS15" s="1387"/>
      <c r="CT15" s="1387"/>
      <c r="CU15" s="1387"/>
      <c r="CV15" s="1387"/>
      <c r="CW15" s="1387"/>
      <c r="CX15" s="1387"/>
      <c r="CY15" s="1387"/>
      <c r="CZ15" s="1387"/>
      <c r="DA15" s="1387"/>
      <c r="DB15" s="1387"/>
      <c r="DC15" s="1387"/>
      <c r="DD15" s="1387"/>
      <c r="DE15" s="1387"/>
      <c r="DF15" s="1387"/>
      <c r="DG15" s="1387"/>
      <c r="DH15" s="1387"/>
      <c r="DI15" s="1387"/>
      <c r="DJ15" s="1387"/>
      <c r="DK15" s="1387"/>
      <c r="DL15" s="1387"/>
      <c r="DM15" s="1387"/>
      <c r="DN15" s="1387"/>
      <c r="DO15" s="1387"/>
      <c r="DP15" s="1387"/>
      <c r="DQ15" s="1387"/>
      <c r="DR15" s="1387"/>
      <c r="DS15" s="1387"/>
      <c r="DT15" s="1387"/>
      <c r="DU15" s="1387"/>
      <c r="DV15" s="1387"/>
      <c r="DW15" s="1387"/>
      <c r="DX15" s="1387"/>
      <c r="DY15" s="1387"/>
      <c r="DZ15" s="1387"/>
      <c r="EA15" s="1387"/>
    </row>
    <row r="16" spans="1:132" s="29" customFormat="1" ht="18" customHeight="1">
      <c r="B16" s="2920" t="s">
        <v>1923</v>
      </c>
      <c r="C16" s="1777"/>
      <c r="D16" s="1777"/>
      <c r="E16" s="1777"/>
      <c r="F16" s="1777"/>
      <c r="G16" s="1777"/>
      <c r="H16" s="1777"/>
      <c r="I16" s="1777"/>
      <c r="J16" s="1777"/>
      <c r="K16" s="1778"/>
      <c r="L16" s="2843" t="s">
        <v>1879</v>
      </c>
      <c r="M16" s="1777"/>
      <c r="N16" s="1777"/>
      <c r="O16" s="2789" t="s">
        <v>1880</v>
      </c>
      <c r="P16" s="1777"/>
      <c r="Q16" s="1777"/>
      <c r="R16" s="2789" t="s">
        <v>1881</v>
      </c>
      <c r="S16" s="1777"/>
      <c r="T16" s="1777"/>
      <c r="U16" s="2789" t="s">
        <v>1882</v>
      </c>
      <c r="V16" s="1777"/>
      <c r="W16" s="1777"/>
      <c r="X16" s="2789" t="s">
        <v>1883</v>
      </c>
      <c r="Y16" s="1777"/>
      <c r="Z16" s="1777"/>
      <c r="AA16" s="2789" t="s">
        <v>1884</v>
      </c>
      <c r="AB16" s="1777"/>
      <c r="AC16" s="1777"/>
      <c r="AD16" s="2789" t="s">
        <v>1885</v>
      </c>
      <c r="AE16" s="1777"/>
      <c r="AF16" s="1777"/>
      <c r="AG16" s="2789" t="s">
        <v>1886</v>
      </c>
      <c r="AH16" s="1777"/>
      <c r="AI16" s="1777"/>
      <c r="AJ16" s="2789" t="s">
        <v>1887</v>
      </c>
      <c r="AK16" s="1777"/>
      <c r="AL16" s="1777"/>
      <c r="AM16" s="2789" t="s">
        <v>1888</v>
      </c>
      <c r="AN16" s="1777"/>
      <c r="AO16" s="1777"/>
      <c r="AP16" s="2789" t="s">
        <v>1889</v>
      </c>
      <c r="AQ16" s="1777"/>
      <c r="AR16" s="1777"/>
      <c r="AS16" s="2789" t="s">
        <v>1890</v>
      </c>
      <c r="AT16" s="1777"/>
      <c r="AU16" s="1777"/>
      <c r="AV16" s="2789" t="s">
        <v>1891</v>
      </c>
      <c r="AW16" s="1777"/>
      <c r="AX16" s="1777"/>
      <c r="AY16" s="2789" t="s">
        <v>1892</v>
      </c>
      <c r="AZ16" s="1777"/>
      <c r="BA16" s="1777"/>
      <c r="BB16" s="2789" t="s">
        <v>1893</v>
      </c>
      <c r="BC16" s="1777"/>
      <c r="BD16" s="1777"/>
      <c r="BE16" s="2789" t="s">
        <v>1894</v>
      </c>
      <c r="BF16" s="1777"/>
      <c r="BG16" s="1777"/>
      <c r="BH16" s="2789" t="s">
        <v>1895</v>
      </c>
      <c r="BI16" s="1777"/>
      <c r="BJ16" s="1777"/>
      <c r="BK16" s="2789" t="s">
        <v>1896</v>
      </c>
      <c r="BL16" s="1777"/>
      <c r="BM16" s="1777"/>
      <c r="BN16" s="2789" t="s">
        <v>1897</v>
      </c>
      <c r="BO16" s="1777"/>
      <c r="BP16" s="1777"/>
      <c r="BQ16" s="2789" t="s">
        <v>1898</v>
      </c>
      <c r="BR16" s="1777"/>
      <c r="BS16" s="1777"/>
      <c r="BT16" s="2789" t="s">
        <v>1899</v>
      </c>
      <c r="BU16" s="1777"/>
      <c r="BV16" s="1777"/>
      <c r="BW16" s="2789" t="s">
        <v>1900</v>
      </c>
      <c r="BX16" s="1777"/>
      <c r="BY16" s="1777"/>
      <c r="BZ16" s="2789" t="s">
        <v>1901</v>
      </c>
      <c r="CA16" s="1777"/>
      <c r="CB16" s="1777"/>
      <c r="CC16" s="2789" t="s">
        <v>1902</v>
      </c>
      <c r="CD16" s="1777"/>
      <c r="CE16" s="1777"/>
      <c r="CF16" s="2789" t="s">
        <v>1903</v>
      </c>
      <c r="CG16" s="1777"/>
      <c r="CH16" s="1777"/>
      <c r="CI16" s="2789" t="s">
        <v>1904</v>
      </c>
      <c r="CJ16" s="1777"/>
      <c r="CK16" s="1777"/>
      <c r="CL16" s="2789" t="s">
        <v>1905</v>
      </c>
      <c r="CM16" s="1777"/>
      <c r="CN16" s="1777"/>
      <c r="CO16" s="2789" t="s">
        <v>1906</v>
      </c>
      <c r="CP16" s="1777"/>
      <c r="CQ16" s="1777"/>
      <c r="CR16" s="2789" t="s">
        <v>1907</v>
      </c>
      <c r="CS16" s="1777"/>
      <c r="CT16" s="1777"/>
      <c r="CU16" s="2789" t="s">
        <v>1908</v>
      </c>
      <c r="CV16" s="1777"/>
      <c r="CW16" s="1777"/>
      <c r="CX16" s="2789" t="s">
        <v>1909</v>
      </c>
      <c r="CY16" s="1777"/>
      <c r="CZ16" s="1777"/>
      <c r="DA16" s="2789" t="s">
        <v>1910</v>
      </c>
      <c r="DB16" s="1777"/>
      <c r="DC16" s="1777"/>
      <c r="DD16" s="2789" t="s">
        <v>1911</v>
      </c>
      <c r="DE16" s="1777"/>
      <c r="DF16" s="1777"/>
      <c r="DG16" s="2789" t="s">
        <v>1912</v>
      </c>
      <c r="DH16" s="1777"/>
      <c r="DI16" s="1777"/>
      <c r="DJ16" s="2789" t="s">
        <v>1913</v>
      </c>
      <c r="DK16" s="1777"/>
      <c r="DL16" s="1777"/>
      <c r="DM16" s="2789" t="s">
        <v>1914</v>
      </c>
      <c r="DN16" s="1777"/>
      <c r="DO16" s="1777"/>
      <c r="DP16" s="2789" t="s">
        <v>1915</v>
      </c>
      <c r="DQ16" s="1777"/>
      <c r="DR16" s="1777"/>
      <c r="DS16" s="2789" t="s">
        <v>1916</v>
      </c>
      <c r="DT16" s="1777"/>
      <c r="DU16" s="1777"/>
      <c r="DV16" s="2789" t="s">
        <v>1917</v>
      </c>
      <c r="DW16" s="1777"/>
      <c r="DX16" s="1777"/>
      <c r="DY16" s="2895" t="s">
        <v>1918</v>
      </c>
      <c r="DZ16" s="1777"/>
      <c r="EA16" s="1778"/>
      <c r="EB16" s="773"/>
    </row>
    <row r="17" spans="2:132" ht="18" customHeight="1">
      <c r="B17" s="2892" t="s">
        <v>1924</v>
      </c>
      <c r="C17" s="2821"/>
      <c r="D17" s="2821"/>
      <c r="E17" s="2821"/>
      <c r="F17" s="2821"/>
      <c r="G17" s="2821"/>
      <c r="H17" s="2821"/>
      <c r="I17" s="2821"/>
      <c r="J17" s="2854">
        <v>2.5000000000000001E-2</v>
      </c>
      <c r="K17" s="1862"/>
      <c r="L17" s="2927">
        <f>'Operating Budget'!$E$42</f>
        <v>0</v>
      </c>
      <c r="M17" s="1953"/>
      <c r="N17" s="1953"/>
      <c r="O17" s="2798">
        <f>L17*(1+$J$17)</f>
        <v>0</v>
      </c>
      <c r="P17" s="1953"/>
      <c r="Q17" s="1953"/>
      <c r="R17" s="2798">
        <f>O17*(1+$J$17)</f>
        <v>0</v>
      </c>
      <c r="S17" s="1953"/>
      <c r="T17" s="1953"/>
      <c r="U17" s="2798">
        <f>R17*(1+$J$17)</f>
        <v>0</v>
      </c>
      <c r="V17" s="1953"/>
      <c r="W17" s="1953"/>
      <c r="X17" s="2798">
        <f>U17*(1+$J$17)</f>
        <v>0</v>
      </c>
      <c r="Y17" s="1953"/>
      <c r="Z17" s="1953"/>
      <c r="AA17" s="2798">
        <f>X17*(1+$J$17)</f>
        <v>0</v>
      </c>
      <c r="AB17" s="1953"/>
      <c r="AC17" s="1953"/>
      <c r="AD17" s="2798">
        <f>AA17*(1+$J$17)</f>
        <v>0</v>
      </c>
      <c r="AE17" s="1953"/>
      <c r="AF17" s="1953"/>
      <c r="AG17" s="2798">
        <f>AD17*(1+$J$17)</f>
        <v>0</v>
      </c>
      <c r="AH17" s="1953"/>
      <c r="AI17" s="1953"/>
      <c r="AJ17" s="2798">
        <f>AG17*(1+$J$17)</f>
        <v>0</v>
      </c>
      <c r="AK17" s="1953"/>
      <c r="AL17" s="1953"/>
      <c r="AM17" s="2798">
        <f>AJ17*(1+$J$17)</f>
        <v>0</v>
      </c>
      <c r="AN17" s="1953"/>
      <c r="AO17" s="1953"/>
      <c r="AP17" s="2798">
        <f>AM17*(1+$J$17)</f>
        <v>0</v>
      </c>
      <c r="AQ17" s="1953"/>
      <c r="AR17" s="1953"/>
      <c r="AS17" s="2798">
        <f>AP17*(1+$J$17)</f>
        <v>0</v>
      </c>
      <c r="AT17" s="1953"/>
      <c r="AU17" s="1953"/>
      <c r="AV17" s="2798">
        <f>AS17*(1+$J$17)</f>
        <v>0</v>
      </c>
      <c r="AW17" s="1953"/>
      <c r="AX17" s="1953"/>
      <c r="AY17" s="2798">
        <f>AV17*(1+$J$17)</f>
        <v>0</v>
      </c>
      <c r="AZ17" s="1953"/>
      <c r="BA17" s="1953"/>
      <c r="BB17" s="2798">
        <f>AY17*(1+$J$17)</f>
        <v>0</v>
      </c>
      <c r="BC17" s="1953"/>
      <c r="BD17" s="1953"/>
      <c r="BE17" s="2798">
        <f>BB17*(1+$J$17)</f>
        <v>0</v>
      </c>
      <c r="BF17" s="1953"/>
      <c r="BG17" s="1953"/>
      <c r="BH17" s="2798">
        <f>BE17*(1+$J$17)</f>
        <v>0</v>
      </c>
      <c r="BI17" s="1953"/>
      <c r="BJ17" s="1953"/>
      <c r="BK17" s="2798">
        <f>BH17*(1+$J$17)</f>
        <v>0</v>
      </c>
      <c r="BL17" s="1953"/>
      <c r="BM17" s="1953"/>
      <c r="BN17" s="2798">
        <f>BK17*(1+$J$17)</f>
        <v>0</v>
      </c>
      <c r="BO17" s="1953"/>
      <c r="BP17" s="1953"/>
      <c r="BQ17" s="2798">
        <f>BN17*(1+$J$17)</f>
        <v>0</v>
      </c>
      <c r="BR17" s="1953"/>
      <c r="BS17" s="1953"/>
      <c r="BT17" s="2798">
        <f>BQ17*(1+$J$17)</f>
        <v>0</v>
      </c>
      <c r="BU17" s="1953"/>
      <c r="BV17" s="1953"/>
      <c r="BW17" s="2798">
        <f>BT17*(1+$J$17)</f>
        <v>0</v>
      </c>
      <c r="BX17" s="1953"/>
      <c r="BY17" s="1953"/>
      <c r="BZ17" s="2798">
        <f>BW17*(1+$J$17)</f>
        <v>0</v>
      </c>
      <c r="CA17" s="1953"/>
      <c r="CB17" s="1953"/>
      <c r="CC17" s="2798">
        <f>BZ17*(1+$J$17)</f>
        <v>0</v>
      </c>
      <c r="CD17" s="1953"/>
      <c r="CE17" s="1953"/>
      <c r="CF17" s="2798">
        <f>CC17*(1+$J$17)</f>
        <v>0</v>
      </c>
      <c r="CG17" s="1953"/>
      <c r="CH17" s="1953"/>
      <c r="CI17" s="2798">
        <f>CF17*(1+$J$17)</f>
        <v>0</v>
      </c>
      <c r="CJ17" s="1953"/>
      <c r="CK17" s="1953"/>
      <c r="CL17" s="2798">
        <f>CI17*(1+$J$17)</f>
        <v>0</v>
      </c>
      <c r="CM17" s="1953"/>
      <c r="CN17" s="1953"/>
      <c r="CO17" s="2798">
        <f>CL17*(1+$J$17)</f>
        <v>0</v>
      </c>
      <c r="CP17" s="1953"/>
      <c r="CQ17" s="1953"/>
      <c r="CR17" s="2798">
        <f>CO17*(1+$J$17)</f>
        <v>0</v>
      </c>
      <c r="CS17" s="1953"/>
      <c r="CT17" s="1953"/>
      <c r="CU17" s="2798">
        <f>CR17*(1+$J$17)</f>
        <v>0</v>
      </c>
      <c r="CV17" s="1953"/>
      <c r="CW17" s="1953"/>
      <c r="CX17" s="2798">
        <f>CU17*(1+$J$17)</f>
        <v>0</v>
      </c>
      <c r="CY17" s="1953"/>
      <c r="CZ17" s="1953"/>
      <c r="DA17" s="2798">
        <f>CX17*(1+$J$17)</f>
        <v>0</v>
      </c>
      <c r="DB17" s="1953"/>
      <c r="DC17" s="1953"/>
      <c r="DD17" s="2798">
        <f>DA17*(1+$J$17)</f>
        <v>0</v>
      </c>
      <c r="DE17" s="1953"/>
      <c r="DF17" s="1953"/>
      <c r="DG17" s="2798">
        <f>DD17*(1+$J$17)</f>
        <v>0</v>
      </c>
      <c r="DH17" s="1953"/>
      <c r="DI17" s="1953"/>
      <c r="DJ17" s="2798">
        <f>DG17*(1+$J$17)</f>
        <v>0</v>
      </c>
      <c r="DK17" s="1953"/>
      <c r="DL17" s="1953"/>
      <c r="DM17" s="2798">
        <f>DJ17*(1+$J$17)</f>
        <v>0</v>
      </c>
      <c r="DN17" s="1953"/>
      <c r="DO17" s="1953"/>
      <c r="DP17" s="2798">
        <f>DM17*(1+$J$17)</f>
        <v>0</v>
      </c>
      <c r="DQ17" s="1953"/>
      <c r="DR17" s="1953"/>
      <c r="DS17" s="2798">
        <f>DP17*(1+$J$17)</f>
        <v>0</v>
      </c>
      <c r="DT17" s="1953"/>
      <c r="DU17" s="1953"/>
      <c r="DV17" s="2798">
        <f>DS17*(1+$J$17)</f>
        <v>0</v>
      </c>
      <c r="DW17" s="1953"/>
      <c r="DX17" s="1953"/>
      <c r="DY17" s="2838">
        <f>DV17*(1+$J$17)</f>
        <v>0</v>
      </c>
      <c r="DZ17" s="1953"/>
      <c r="EA17" s="1770"/>
      <c r="EB17" s="773"/>
    </row>
    <row r="18" spans="2:132" ht="18" customHeight="1">
      <c r="B18" s="2923" t="s">
        <v>1925</v>
      </c>
      <c r="C18" s="2821"/>
      <c r="D18" s="2821"/>
      <c r="E18" s="2821"/>
      <c r="F18" s="2821"/>
      <c r="G18" s="2821"/>
      <c r="H18" s="2821"/>
      <c r="I18" s="2821"/>
      <c r="J18" s="2854">
        <v>2.5000000000000001E-2</v>
      </c>
      <c r="K18" s="1862"/>
      <c r="L18" s="2849">
        <f>'Operating Budget'!$E$43+'Operating Budget'!$E$44</f>
        <v>0</v>
      </c>
      <c r="M18" s="2435"/>
      <c r="N18" s="2435"/>
      <c r="O18" s="2791">
        <f>L18*(1+$J$18)</f>
        <v>0</v>
      </c>
      <c r="P18" s="2435"/>
      <c r="Q18" s="2435"/>
      <c r="R18" s="2791">
        <f>O18*(1+$J$18)</f>
        <v>0</v>
      </c>
      <c r="S18" s="2435"/>
      <c r="T18" s="2435"/>
      <c r="U18" s="2791">
        <f>R18*(1+$J$18)</f>
        <v>0</v>
      </c>
      <c r="V18" s="2435"/>
      <c r="W18" s="2435"/>
      <c r="X18" s="2791">
        <f>U18*(1+$J$18)</f>
        <v>0</v>
      </c>
      <c r="Y18" s="2435"/>
      <c r="Z18" s="2435"/>
      <c r="AA18" s="2791">
        <f>X18*(1+$J$18)</f>
        <v>0</v>
      </c>
      <c r="AB18" s="2435"/>
      <c r="AC18" s="2435"/>
      <c r="AD18" s="2791">
        <f>AA18*(1+$J$18)</f>
        <v>0</v>
      </c>
      <c r="AE18" s="2435"/>
      <c r="AF18" s="2435"/>
      <c r="AG18" s="2791">
        <f>AD18*(1+$J$18)</f>
        <v>0</v>
      </c>
      <c r="AH18" s="2435"/>
      <c r="AI18" s="2435"/>
      <c r="AJ18" s="2791">
        <f>AG18*(1+$J$18)</f>
        <v>0</v>
      </c>
      <c r="AK18" s="2435"/>
      <c r="AL18" s="2435"/>
      <c r="AM18" s="2791">
        <f>AJ18*(1+$J$18)</f>
        <v>0</v>
      </c>
      <c r="AN18" s="2435"/>
      <c r="AO18" s="2435"/>
      <c r="AP18" s="2791">
        <f>AM18*(1+$J$18)</f>
        <v>0</v>
      </c>
      <c r="AQ18" s="2435"/>
      <c r="AR18" s="2435"/>
      <c r="AS18" s="2791">
        <f>AP18*(1+$J$18)</f>
        <v>0</v>
      </c>
      <c r="AT18" s="2435"/>
      <c r="AU18" s="2435"/>
      <c r="AV18" s="2791">
        <f>AS18*(1+$J$18)</f>
        <v>0</v>
      </c>
      <c r="AW18" s="2435"/>
      <c r="AX18" s="2435"/>
      <c r="AY18" s="2791">
        <f>AV18*(1+$J$18)</f>
        <v>0</v>
      </c>
      <c r="AZ18" s="2435"/>
      <c r="BA18" s="2435"/>
      <c r="BB18" s="2791">
        <f>AY18*(1+$J$18)</f>
        <v>0</v>
      </c>
      <c r="BC18" s="2435"/>
      <c r="BD18" s="2435"/>
      <c r="BE18" s="2791">
        <f>BB18*(1+$J$18)</f>
        <v>0</v>
      </c>
      <c r="BF18" s="2435"/>
      <c r="BG18" s="2435"/>
      <c r="BH18" s="2791">
        <f>BE18*(1+$J$18)</f>
        <v>0</v>
      </c>
      <c r="BI18" s="2435"/>
      <c r="BJ18" s="2435"/>
      <c r="BK18" s="2791">
        <f>BH18*(1+$J$18)</f>
        <v>0</v>
      </c>
      <c r="BL18" s="2435"/>
      <c r="BM18" s="2435"/>
      <c r="BN18" s="2791">
        <f>BK18*(1+$J$18)</f>
        <v>0</v>
      </c>
      <c r="BO18" s="2435"/>
      <c r="BP18" s="2435"/>
      <c r="BQ18" s="2791">
        <f>BN18*(1+$J$18)</f>
        <v>0</v>
      </c>
      <c r="BR18" s="2435"/>
      <c r="BS18" s="2435"/>
      <c r="BT18" s="2791">
        <f>BQ18*(1+$J$18)</f>
        <v>0</v>
      </c>
      <c r="BU18" s="2435"/>
      <c r="BV18" s="2435"/>
      <c r="BW18" s="2791">
        <f>BT18*(1+$J$18)</f>
        <v>0</v>
      </c>
      <c r="BX18" s="2435"/>
      <c r="BY18" s="2435"/>
      <c r="BZ18" s="2791">
        <f>BW18*(1+$J$18)</f>
        <v>0</v>
      </c>
      <c r="CA18" s="2435"/>
      <c r="CB18" s="2435"/>
      <c r="CC18" s="2791">
        <f>BZ18*(1+$J$18)</f>
        <v>0</v>
      </c>
      <c r="CD18" s="2435"/>
      <c r="CE18" s="2435"/>
      <c r="CF18" s="2791">
        <f>CC18*(1+$J$18)</f>
        <v>0</v>
      </c>
      <c r="CG18" s="2435"/>
      <c r="CH18" s="2435"/>
      <c r="CI18" s="2791">
        <f>CF18*(1+$J$18)</f>
        <v>0</v>
      </c>
      <c r="CJ18" s="2435"/>
      <c r="CK18" s="2435"/>
      <c r="CL18" s="2791">
        <f>CI18*(1+$J$18)</f>
        <v>0</v>
      </c>
      <c r="CM18" s="2435"/>
      <c r="CN18" s="2435"/>
      <c r="CO18" s="2791">
        <f>CL18*(1+$J$18)</f>
        <v>0</v>
      </c>
      <c r="CP18" s="2435"/>
      <c r="CQ18" s="2435"/>
      <c r="CR18" s="2791">
        <f>CO18*(1+$J$18)</f>
        <v>0</v>
      </c>
      <c r="CS18" s="2435"/>
      <c r="CT18" s="2435"/>
      <c r="CU18" s="2791">
        <f>CR18*(1+$J$18)</f>
        <v>0</v>
      </c>
      <c r="CV18" s="2435"/>
      <c r="CW18" s="2435"/>
      <c r="CX18" s="2791">
        <f>CU18*(1+$J$18)</f>
        <v>0</v>
      </c>
      <c r="CY18" s="2435"/>
      <c r="CZ18" s="2435"/>
      <c r="DA18" s="2791">
        <f>CX18*(1+$J$18)</f>
        <v>0</v>
      </c>
      <c r="DB18" s="2435"/>
      <c r="DC18" s="2435"/>
      <c r="DD18" s="2791">
        <f>DA18*(1+$J$18)</f>
        <v>0</v>
      </c>
      <c r="DE18" s="2435"/>
      <c r="DF18" s="2435"/>
      <c r="DG18" s="2791">
        <f>DD18*(1+$J$18)</f>
        <v>0</v>
      </c>
      <c r="DH18" s="2435"/>
      <c r="DI18" s="2435"/>
      <c r="DJ18" s="2791">
        <f>DG18*(1+$J$18)</f>
        <v>0</v>
      </c>
      <c r="DK18" s="2435"/>
      <c r="DL18" s="2435"/>
      <c r="DM18" s="2791">
        <f>DJ18*(1+$J$18)</f>
        <v>0</v>
      </c>
      <c r="DN18" s="2435"/>
      <c r="DO18" s="2435"/>
      <c r="DP18" s="2791">
        <f>DM18*(1+$J$18)</f>
        <v>0</v>
      </c>
      <c r="DQ18" s="2435"/>
      <c r="DR18" s="2435"/>
      <c r="DS18" s="2791">
        <f>DP18*(1+$J$18)</f>
        <v>0</v>
      </c>
      <c r="DT18" s="2435"/>
      <c r="DU18" s="2435"/>
      <c r="DV18" s="2791">
        <f>DS18*(1+$J$18)</f>
        <v>0</v>
      </c>
      <c r="DW18" s="2435"/>
      <c r="DX18" s="2435"/>
      <c r="DY18" s="2835">
        <f>DV18*(1+$J$18)</f>
        <v>0</v>
      </c>
      <c r="DZ18" s="2435"/>
      <c r="EA18" s="1889"/>
      <c r="EB18" s="773"/>
    </row>
    <row r="19" spans="2:132" ht="18" customHeight="1">
      <c r="B19" s="2925" t="s">
        <v>270</v>
      </c>
      <c r="C19" s="2821"/>
      <c r="D19" s="2821"/>
      <c r="E19" s="2821"/>
      <c r="F19" s="2821"/>
      <c r="G19" s="2821"/>
      <c r="H19" s="2821"/>
      <c r="I19" s="2821"/>
      <c r="J19" s="2854">
        <v>2.5000000000000001E-2</v>
      </c>
      <c r="K19" s="1862"/>
      <c r="L19" s="2849">
        <f>'Operating Budget'!$F$45</f>
        <v>0</v>
      </c>
      <c r="M19" s="2435"/>
      <c r="N19" s="2435"/>
      <c r="O19" s="2791">
        <f>L19*(1+$J$19)</f>
        <v>0</v>
      </c>
      <c r="P19" s="2435"/>
      <c r="Q19" s="2435"/>
      <c r="R19" s="2791">
        <f>O19*(1+$J$19)</f>
        <v>0</v>
      </c>
      <c r="S19" s="2435"/>
      <c r="T19" s="2435"/>
      <c r="U19" s="2791">
        <f>R19*(1+$J$19)</f>
        <v>0</v>
      </c>
      <c r="V19" s="2435"/>
      <c r="W19" s="2435"/>
      <c r="X19" s="2791">
        <f>U19*(1+$J$19)</f>
        <v>0</v>
      </c>
      <c r="Y19" s="2435"/>
      <c r="Z19" s="2435"/>
      <c r="AA19" s="2791">
        <f>X19*(1+$J$19)</f>
        <v>0</v>
      </c>
      <c r="AB19" s="2435"/>
      <c r="AC19" s="2435"/>
      <c r="AD19" s="2791">
        <f>AA19*(1+$J$19)</f>
        <v>0</v>
      </c>
      <c r="AE19" s="2435"/>
      <c r="AF19" s="2435"/>
      <c r="AG19" s="2791">
        <f>AD19*(1+$J$19)</f>
        <v>0</v>
      </c>
      <c r="AH19" s="2435"/>
      <c r="AI19" s="2435"/>
      <c r="AJ19" s="2791">
        <f>AG19*(1+$J$19)</f>
        <v>0</v>
      </c>
      <c r="AK19" s="2435"/>
      <c r="AL19" s="2435"/>
      <c r="AM19" s="2791">
        <f>AJ19*(1+$J$19)</f>
        <v>0</v>
      </c>
      <c r="AN19" s="2435"/>
      <c r="AO19" s="2435"/>
      <c r="AP19" s="2791">
        <f>AM19*(1+$J$19)</f>
        <v>0</v>
      </c>
      <c r="AQ19" s="2435"/>
      <c r="AR19" s="2435"/>
      <c r="AS19" s="2791">
        <f>AP19*(1+$J$19)</f>
        <v>0</v>
      </c>
      <c r="AT19" s="2435"/>
      <c r="AU19" s="2435"/>
      <c r="AV19" s="2791">
        <f>AS19*(1+$J$19)</f>
        <v>0</v>
      </c>
      <c r="AW19" s="2435"/>
      <c r="AX19" s="2435"/>
      <c r="AY19" s="2791">
        <f>AV19*(1+$J$19)</f>
        <v>0</v>
      </c>
      <c r="AZ19" s="2435"/>
      <c r="BA19" s="2435"/>
      <c r="BB19" s="2791">
        <f>AY19*(1+$J$19)</f>
        <v>0</v>
      </c>
      <c r="BC19" s="2435"/>
      <c r="BD19" s="2435"/>
      <c r="BE19" s="2791">
        <f>BB19*(1+$J$19)</f>
        <v>0</v>
      </c>
      <c r="BF19" s="2435"/>
      <c r="BG19" s="2435"/>
      <c r="BH19" s="2791">
        <f>BE19*(1+$J$19)</f>
        <v>0</v>
      </c>
      <c r="BI19" s="2435"/>
      <c r="BJ19" s="2435"/>
      <c r="BK19" s="2791">
        <f>BH19*(1+$J$19)</f>
        <v>0</v>
      </c>
      <c r="BL19" s="2435"/>
      <c r="BM19" s="2435"/>
      <c r="BN19" s="2791">
        <f>BK19*(1+$J$19)</f>
        <v>0</v>
      </c>
      <c r="BO19" s="2435"/>
      <c r="BP19" s="2435"/>
      <c r="BQ19" s="2791">
        <f>BN19*(1+$J$19)</f>
        <v>0</v>
      </c>
      <c r="BR19" s="2435"/>
      <c r="BS19" s="2435"/>
      <c r="BT19" s="2791">
        <f>BQ19*(1+$J$19)</f>
        <v>0</v>
      </c>
      <c r="BU19" s="2435"/>
      <c r="BV19" s="2435"/>
      <c r="BW19" s="2791">
        <f>BT19*(1+$J$19)</f>
        <v>0</v>
      </c>
      <c r="BX19" s="2435"/>
      <c r="BY19" s="2435"/>
      <c r="BZ19" s="2791">
        <f>BW19*(1+$J$19)</f>
        <v>0</v>
      </c>
      <c r="CA19" s="2435"/>
      <c r="CB19" s="2435"/>
      <c r="CC19" s="2791">
        <f>BZ19*(1+$J$19)</f>
        <v>0</v>
      </c>
      <c r="CD19" s="2435"/>
      <c r="CE19" s="2435"/>
      <c r="CF19" s="2791">
        <f>CC19*(1+$J$19)</f>
        <v>0</v>
      </c>
      <c r="CG19" s="2435"/>
      <c r="CH19" s="2435"/>
      <c r="CI19" s="2791">
        <f>CF19*(1+$J$19)</f>
        <v>0</v>
      </c>
      <c r="CJ19" s="2435"/>
      <c r="CK19" s="2435"/>
      <c r="CL19" s="2791">
        <f>CI19*(1+$J$19)</f>
        <v>0</v>
      </c>
      <c r="CM19" s="2435"/>
      <c r="CN19" s="2435"/>
      <c r="CO19" s="2791">
        <f>CL19*(1+$J$19)</f>
        <v>0</v>
      </c>
      <c r="CP19" s="2435"/>
      <c r="CQ19" s="2435"/>
      <c r="CR19" s="2791">
        <f>CO19*(1+$J$19)</f>
        <v>0</v>
      </c>
      <c r="CS19" s="2435"/>
      <c r="CT19" s="2435"/>
      <c r="CU19" s="2791">
        <f>CR19*(1+$J$19)</f>
        <v>0</v>
      </c>
      <c r="CV19" s="2435"/>
      <c r="CW19" s="2435"/>
      <c r="CX19" s="2791">
        <f>CU19*(1+$J$19)</f>
        <v>0</v>
      </c>
      <c r="CY19" s="2435"/>
      <c r="CZ19" s="2435"/>
      <c r="DA19" s="2791">
        <f>CX19*(1+$J$19)</f>
        <v>0</v>
      </c>
      <c r="DB19" s="2435"/>
      <c r="DC19" s="2435"/>
      <c r="DD19" s="2791">
        <f>DA19*(1+$J$19)</f>
        <v>0</v>
      </c>
      <c r="DE19" s="2435"/>
      <c r="DF19" s="2435"/>
      <c r="DG19" s="2791">
        <f>DD19*(1+$J$19)</f>
        <v>0</v>
      </c>
      <c r="DH19" s="2435"/>
      <c r="DI19" s="2435"/>
      <c r="DJ19" s="2791">
        <f>DG19*(1+$J$19)</f>
        <v>0</v>
      </c>
      <c r="DK19" s="2435"/>
      <c r="DL19" s="2435"/>
      <c r="DM19" s="2791">
        <f>DJ19*(1+$J$19)</f>
        <v>0</v>
      </c>
      <c r="DN19" s="2435"/>
      <c r="DO19" s="2435"/>
      <c r="DP19" s="2791">
        <f>DM19*(1+$J$19)</f>
        <v>0</v>
      </c>
      <c r="DQ19" s="2435"/>
      <c r="DR19" s="2435"/>
      <c r="DS19" s="2791">
        <f>DP19*(1+$J$19)</f>
        <v>0</v>
      </c>
      <c r="DT19" s="2435"/>
      <c r="DU19" s="2435"/>
      <c r="DV19" s="2791">
        <f>DS19*(1+$J$19)</f>
        <v>0</v>
      </c>
      <c r="DW19" s="2435"/>
      <c r="DX19" s="2435"/>
      <c r="DY19" s="2835">
        <f>DV19*(1+$J$19)</f>
        <v>0</v>
      </c>
      <c r="DZ19" s="2435"/>
      <c r="EA19" s="1889"/>
      <c r="EB19" s="773"/>
    </row>
    <row r="20" spans="2:132" ht="18" customHeight="1">
      <c r="B20" s="2842" t="s">
        <v>1926</v>
      </c>
      <c r="C20" s="2821"/>
      <c r="D20" s="2821"/>
      <c r="E20" s="2821"/>
      <c r="F20" s="2821"/>
      <c r="G20" s="2821"/>
      <c r="H20" s="2821"/>
      <c r="I20" s="2821"/>
      <c r="J20" s="2821"/>
      <c r="K20" s="2821"/>
      <c r="L20" s="2856">
        <f>SUM(L17:L19)</f>
        <v>0</v>
      </c>
      <c r="M20" s="2435"/>
      <c r="N20" s="2435"/>
      <c r="O20" s="2792">
        <f>SUM(O17:O19)</f>
        <v>0</v>
      </c>
      <c r="P20" s="2435"/>
      <c r="Q20" s="2435"/>
      <c r="R20" s="2792">
        <f>SUM(R17:R19)</f>
        <v>0</v>
      </c>
      <c r="S20" s="2435"/>
      <c r="T20" s="2435"/>
      <c r="U20" s="2792">
        <f>SUM(U17:U19)</f>
        <v>0</v>
      </c>
      <c r="V20" s="2435"/>
      <c r="W20" s="2435"/>
      <c r="X20" s="2792">
        <f>SUM(X17:X19)</f>
        <v>0</v>
      </c>
      <c r="Y20" s="2435"/>
      <c r="Z20" s="2435"/>
      <c r="AA20" s="2792">
        <f>SUM(AA17:AA19)</f>
        <v>0</v>
      </c>
      <c r="AB20" s="2435"/>
      <c r="AC20" s="2435"/>
      <c r="AD20" s="2792">
        <f>SUM(AD17:AD19)</f>
        <v>0</v>
      </c>
      <c r="AE20" s="2435"/>
      <c r="AF20" s="2435"/>
      <c r="AG20" s="2792">
        <f>SUM(AG17:AG19)</f>
        <v>0</v>
      </c>
      <c r="AH20" s="2435"/>
      <c r="AI20" s="2435"/>
      <c r="AJ20" s="2792">
        <f>SUM(AJ17:AJ19)</f>
        <v>0</v>
      </c>
      <c r="AK20" s="2435"/>
      <c r="AL20" s="2435"/>
      <c r="AM20" s="2792">
        <f>SUM(AM17:AM19)</f>
        <v>0</v>
      </c>
      <c r="AN20" s="2435"/>
      <c r="AO20" s="2435"/>
      <c r="AP20" s="2792">
        <f>SUM(AP17:AP19)</f>
        <v>0</v>
      </c>
      <c r="AQ20" s="2435"/>
      <c r="AR20" s="2435"/>
      <c r="AS20" s="2792">
        <f>SUM(AS17:AS19)</f>
        <v>0</v>
      </c>
      <c r="AT20" s="2435"/>
      <c r="AU20" s="2435"/>
      <c r="AV20" s="2792">
        <f>SUM(AV17:AV19)</f>
        <v>0</v>
      </c>
      <c r="AW20" s="2435"/>
      <c r="AX20" s="2435"/>
      <c r="AY20" s="2792">
        <f>SUM(AY17:AY19)</f>
        <v>0</v>
      </c>
      <c r="AZ20" s="2435"/>
      <c r="BA20" s="2435"/>
      <c r="BB20" s="2792">
        <f>SUM(BB17:BB19)</f>
        <v>0</v>
      </c>
      <c r="BC20" s="2435"/>
      <c r="BD20" s="2435"/>
      <c r="BE20" s="2792">
        <f>SUM(BE17:BE19)</f>
        <v>0</v>
      </c>
      <c r="BF20" s="2435"/>
      <c r="BG20" s="2435"/>
      <c r="BH20" s="2792">
        <f>SUM(BH17:BH19)</f>
        <v>0</v>
      </c>
      <c r="BI20" s="2435"/>
      <c r="BJ20" s="2435"/>
      <c r="BK20" s="2792">
        <f>SUM(BK17:BK19)</f>
        <v>0</v>
      </c>
      <c r="BL20" s="2435"/>
      <c r="BM20" s="2435"/>
      <c r="BN20" s="2792">
        <f>SUM(BN17:BN19)</f>
        <v>0</v>
      </c>
      <c r="BO20" s="2435"/>
      <c r="BP20" s="2435"/>
      <c r="BQ20" s="2792">
        <f>SUM(BQ17:BQ19)</f>
        <v>0</v>
      </c>
      <c r="BR20" s="2435"/>
      <c r="BS20" s="2435"/>
      <c r="BT20" s="2792">
        <f>SUM(BT17:BT19)</f>
        <v>0</v>
      </c>
      <c r="BU20" s="2435"/>
      <c r="BV20" s="2435"/>
      <c r="BW20" s="2792">
        <f>SUM(BW17:BW19)</f>
        <v>0</v>
      </c>
      <c r="BX20" s="2435"/>
      <c r="BY20" s="2435"/>
      <c r="BZ20" s="2792">
        <f>SUM(BZ17:BZ19)</f>
        <v>0</v>
      </c>
      <c r="CA20" s="2435"/>
      <c r="CB20" s="2435"/>
      <c r="CC20" s="2792">
        <f>SUM(CC17:CC19)</f>
        <v>0</v>
      </c>
      <c r="CD20" s="2435"/>
      <c r="CE20" s="2435"/>
      <c r="CF20" s="2792">
        <f>SUM(CF17:CF19)</f>
        <v>0</v>
      </c>
      <c r="CG20" s="2435"/>
      <c r="CH20" s="2435"/>
      <c r="CI20" s="2792">
        <f>SUM(CI17:CI19)</f>
        <v>0</v>
      </c>
      <c r="CJ20" s="2435"/>
      <c r="CK20" s="2435"/>
      <c r="CL20" s="2792">
        <f>SUM(CL17:CL19)</f>
        <v>0</v>
      </c>
      <c r="CM20" s="2435"/>
      <c r="CN20" s="2435"/>
      <c r="CO20" s="2792">
        <f>SUM(CO17:CO19)</f>
        <v>0</v>
      </c>
      <c r="CP20" s="2435"/>
      <c r="CQ20" s="2435"/>
      <c r="CR20" s="2792">
        <f>SUM(CR17:CR19)</f>
        <v>0</v>
      </c>
      <c r="CS20" s="2435"/>
      <c r="CT20" s="2435"/>
      <c r="CU20" s="2792">
        <f>SUM(CU17:CU19)</f>
        <v>0</v>
      </c>
      <c r="CV20" s="2435"/>
      <c r="CW20" s="2435"/>
      <c r="CX20" s="2792">
        <f>SUM(CX17:CX19)</f>
        <v>0</v>
      </c>
      <c r="CY20" s="2435"/>
      <c r="CZ20" s="2435"/>
      <c r="DA20" s="2792">
        <f>SUM(DA17:DA19)</f>
        <v>0</v>
      </c>
      <c r="DB20" s="2435"/>
      <c r="DC20" s="2435"/>
      <c r="DD20" s="2792">
        <f>SUM(DD17:DD19)</f>
        <v>0</v>
      </c>
      <c r="DE20" s="2435"/>
      <c r="DF20" s="2435"/>
      <c r="DG20" s="2792">
        <f>SUM(DG17:DG19)</f>
        <v>0</v>
      </c>
      <c r="DH20" s="2435"/>
      <c r="DI20" s="2435"/>
      <c r="DJ20" s="2792">
        <f>SUM(DJ17:DJ19)</f>
        <v>0</v>
      </c>
      <c r="DK20" s="2435"/>
      <c r="DL20" s="2435"/>
      <c r="DM20" s="2792">
        <f>SUM(DM17:DM19)</f>
        <v>0</v>
      </c>
      <c r="DN20" s="2435"/>
      <c r="DO20" s="2435"/>
      <c r="DP20" s="2792">
        <f>SUM(DP17:DP19)</f>
        <v>0</v>
      </c>
      <c r="DQ20" s="2435"/>
      <c r="DR20" s="2435"/>
      <c r="DS20" s="2792">
        <f>SUM(DS17:DS19)</f>
        <v>0</v>
      </c>
      <c r="DT20" s="2435"/>
      <c r="DU20" s="2435"/>
      <c r="DV20" s="2792">
        <f>SUM(DV17:DV19)</f>
        <v>0</v>
      </c>
      <c r="DW20" s="2435"/>
      <c r="DX20" s="2435"/>
      <c r="DY20" s="2832">
        <f>SUM(DY17:DY19)</f>
        <v>0</v>
      </c>
      <c r="DZ20" s="2435"/>
      <c r="EA20" s="1889"/>
      <c r="EB20" s="773"/>
    </row>
    <row r="21" spans="2:132" s="26" customFormat="1" ht="18" customHeight="1" thickBot="1">
      <c r="B21" s="2982" t="s">
        <v>1927</v>
      </c>
      <c r="C21" s="2803"/>
      <c r="D21" s="2803"/>
      <c r="E21" s="2803"/>
      <c r="F21" s="2803"/>
      <c r="G21" s="2803"/>
      <c r="H21" s="2803"/>
      <c r="I21" s="2803"/>
      <c r="J21" s="2803"/>
      <c r="K21" s="2816"/>
      <c r="L21" s="2958">
        <f>L14+L20</f>
        <v>0</v>
      </c>
      <c r="M21" s="2810"/>
      <c r="N21" s="2810"/>
      <c r="O21" s="2833">
        <f>O14+O20</f>
        <v>0</v>
      </c>
      <c r="P21" s="2810"/>
      <c r="Q21" s="2810"/>
      <c r="R21" s="2833">
        <f>R14+R20</f>
        <v>0</v>
      </c>
      <c r="S21" s="2810"/>
      <c r="T21" s="2810"/>
      <c r="U21" s="2833">
        <f>U14+U20</f>
        <v>0</v>
      </c>
      <c r="V21" s="2810"/>
      <c r="W21" s="2810"/>
      <c r="X21" s="2833">
        <f>X14+X20</f>
        <v>0</v>
      </c>
      <c r="Y21" s="2810"/>
      <c r="Z21" s="2810"/>
      <c r="AA21" s="2833">
        <f>AA14+AA20</f>
        <v>0</v>
      </c>
      <c r="AB21" s="2810"/>
      <c r="AC21" s="2810"/>
      <c r="AD21" s="2833">
        <f>AD14+AD20</f>
        <v>0</v>
      </c>
      <c r="AE21" s="2810"/>
      <c r="AF21" s="2810"/>
      <c r="AG21" s="2833">
        <f>AG14+AG20</f>
        <v>0</v>
      </c>
      <c r="AH21" s="2810"/>
      <c r="AI21" s="2810"/>
      <c r="AJ21" s="2833">
        <f>AJ14+AJ20</f>
        <v>0</v>
      </c>
      <c r="AK21" s="2810"/>
      <c r="AL21" s="2810"/>
      <c r="AM21" s="2833">
        <f>AM14+AM20</f>
        <v>0</v>
      </c>
      <c r="AN21" s="2810"/>
      <c r="AO21" s="2810"/>
      <c r="AP21" s="2833">
        <f>AP14+AP20</f>
        <v>0</v>
      </c>
      <c r="AQ21" s="2810"/>
      <c r="AR21" s="2810"/>
      <c r="AS21" s="2833">
        <f>AS14+AS20</f>
        <v>0</v>
      </c>
      <c r="AT21" s="2810"/>
      <c r="AU21" s="2810"/>
      <c r="AV21" s="2833">
        <f>AV14+AV20</f>
        <v>0</v>
      </c>
      <c r="AW21" s="2810"/>
      <c r="AX21" s="2810"/>
      <c r="AY21" s="2833">
        <f>AY14+AY20</f>
        <v>0</v>
      </c>
      <c r="AZ21" s="2810"/>
      <c r="BA21" s="2810"/>
      <c r="BB21" s="2833">
        <f>BB14+BB20</f>
        <v>0</v>
      </c>
      <c r="BC21" s="2810"/>
      <c r="BD21" s="2810"/>
      <c r="BE21" s="2833">
        <f>BE14+BE20</f>
        <v>0</v>
      </c>
      <c r="BF21" s="2810"/>
      <c r="BG21" s="2810"/>
      <c r="BH21" s="2833">
        <f>BH14+BH20</f>
        <v>0</v>
      </c>
      <c r="BI21" s="2810"/>
      <c r="BJ21" s="2810"/>
      <c r="BK21" s="2833">
        <f>BK14+BK20</f>
        <v>0</v>
      </c>
      <c r="BL21" s="2810"/>
      <c r="BM21" s="2810"/>
      <c r="BN21" s="2833">
        <f>BN14+BN20</f>
        <v>0</v>
      </c>
      <c r="BO21" s="2810"/>
      <c r="BP21" s="2810"/>
      <c r="BQ21" s="2833">
        <f>BQ14+BQ20</f>
        <v>0</v>
      </c>
      <c r="BR21" s="2810"/>
      <c r="BS21" s="2810"/>
      <c r="BT21" s="2833">
        <f>BT14+BT20</f>
        <v>0</v>
      </c>
      <c r="BU21" s="2810"/>
      <c r="BV21" s="2810"/>
      <c r="BW21" s="2833">
        <f>BW14+BW20</f>
        <v>0</v>
      </c>
      <c r="BX21" s="2810"/>
      <c r="BY21" s="2810"/>
      <c r="BZ21" s="2833">
        <f>BZ14+BZ20</f>
        <v>0</v>
      </c>
      <c r="CA21" s="2810"/>
      <c r="CB21" s="2810"/>
      <c r="CC21" s="2833">
        <f>CC14+CC20</f>
        <v>0</v>
      </c>
      <c r="CD21" s="2810"/>
      <c r="CE21" s="2810"/>
      <c r="CF21" s="2833">
        <f>CF14+CF20</f>
        <v>0</v>
      </c>
      <c r="CG21" s="2810"/>
      <c r="CH21" s="2810"/>
      <c r="CI21" s="2833">
        <f>CI14+CI20</f>
        <v>0</v>
      </c>
      <c r="CJ21" s="2810"/>
      <c r="CK21" s="2810"/>
      <c r="CL21" s="2833">
        <f>CL14+CL20</f>
        <v>0</v>
      </c>
      <c r="CM21" s="2810"/>
      <c r="CN21" s="2810"/>
      <c r="CO21" s="2833">
        <f>CO14+CO20</f>
        <v>0</v>
      </c>
      <c r="CP21" s="2810"/>
      <c r="CQ21" s="2810"/>
      <c r="CR21" s="2833">
        <f>CR14+CR20</f>
        <v>0</v>
      </c>
      <c r="CS21" s="2810"/>
      <c r="CT21" s="2810"/>
      <c r="CU21" s="2833">
        <f>CU14+CU20</f>
        <v>0</v>
      </c>
      <c r="CV21" s="2810"/>
      <c r="CW21" s="2810"/>
      <c r="CX21" s="2833">
        <f>CX14+CX20</f>
        <v>0</v>
      </c>
      <c r="CY21" s="2810"/>
      <c r="CZ21" s="2810"/>
      <c r="DA21" s="2833">
        <f>DA14+DA20</f>
        <v>0</v>
      </c>
      <c r="DB21" s="2810"/>
      <c r="DC21" s="2810"/>
      <c r="DD21" s="2833">
        <f>DD14+DD20</f>
        <v>0</v>
      </c>
      <c r="DE21" s="2810"/>
      <c r="DF21" s="2810"/>
      <c r="DG21" s="2833">
        <f>DG14+DG20</f>
        <v>0</v>
      </c>
      <c r="DH21" s="2810"/>
      <c r="DI21" s="2810"/>
      <c r="DJ21" s="2833">
        <f>DJ14+DJ20</f>
        <v>0</v>
      </c>
      <c r="DK21" s="2810"/>
      <c r="DL21" s="2810"/>
      <c r="DM21" s="2833">
        <f>DM14+DM20</f>
        <v>0</v>
      </c>
      <c r="DN21" s="2810"/>
      <c r="DO21" s="2810"/>
      <c r="DP21" s="2833">
        <f>DP14+DP20</f>
        <v>0</v>
      </c>
      <c r="DQ21" s="2810"/>
      <c r="DR21" s="2810"/>
      <c r="DS21" s="2833">
        <f>DS14+DS20</f>
        <v>0</v>
      </c>
      <c r="DT21" s="2810"/>
      <c r="DU21" s="2810"/>
      <c r="DV21" s="2833">
        <f>DV14+DV20</f>
        <v>0</v>
      </c>
      <c r="DW21" s="2810"/>
      <c r="DX21" s="2810"/>
      <c r="DY21" s="2967">
        <f>DY14+DY20</f>
        <v>0</v>
      </c>
      <c r="DZ21" s="2810"/>
      <c r="EA21" s="2906"/>
      <c r="EB21" s="774"/>
    </row>
    <row r="22" spans="2:132" ht="9" customHeight="1" thickTop="1">
      <c r="B22" s="694"/>
      <c r="C22" s="694"/>
      <c r="D22" s="694"/>
      <c r="E22" s="694"/>
      <c r="F22" s="694"/>
      <c r="G22" s="694"/>
      <c r="H22" s="694"/>
      <c r="I22" s="694"/>
      <c r="J22" s="694"/>
      <c r="K22" s="694"/>
      <c r="L22" s="45"/>
      <c r="M22" s="45"/>
      <c r="N22" s="45"/>
      <c r="O22" s="45"/>
      <c r="P22" s="45"/>
      <c r="Q22" s="45"/>
      <c r="R22" s="45"/>
      <c r="S22" s="45"/>
      <c r="T22" s="45"/>
      <c r="U22" s="45"/>
      <c r="V22" s="45"/>
      <c r="W22" s="45"/>
      <c r="X22" s="45"/>
      <c r="Y22" s="45"/>
      <c r="Z22" s="45"/>
      <c r="AA22" s="45"/>
      <c r="AB22" s="45"/>
      <c r="AC22" s="45"/>
      <c r="AD22" s="45"/>
      <c r="AE22" s="45"/>
      <c r="AF22" s="45"/>
      <c r="AG22" s="45"/>
      <c r="AH22" s="45"/>
      <c r="AI22" s="45"/>
      <c r="AJ22" s="45"/>
      <c r="AK22" s="45"/>
      <c r="AL22" s="45"/>
      <c r="AM22" s="45"/>
      <c r="AN22" s="45"/>
      <c r="AO22" s="45"/>
      <c r="AP22" s="45"/>
      <c r="AQ22" s="45"/>
      <c r="AR22" s="45"/>
      <c r="AS22" s="45"/>
      <c r="AT22" s="45"/>
      <c r="AU22" s="45"/>
      <c r="AV22" s="45"/>
      <c r="AW22" s="45"/>
      <c r="AX22" s="45"/>
      <c r="AY22" s="45"/>
      <c r="AZ22" s="45"/>
      <c r="BA22" s="45"/>
      <c r="BB22" s="45"/>
      <c r="BC22" s="45"/>
      <c r="BD22" s="45"/>
      <c r="BE22" s="45"/>
      <c r="BF22" s="45"/>
      <c r="BG22" s="45"/>
      <c r="BH22" s="45"/>
      <c r="BI22" s="45"/>
      <c r="BJ22" s="45"/>
      <c r="BK22" s="45"/>
      <c r="BL22" s="45"/>
      <c r="BM22" s="45"/>
      <c r="BN22" s="45"/>
      <c r="BO22" s="45"/>
      <c r="BP22" s="45"/>
      <c r="BQ22" s="45"/>
      <c r="BR22" s="45"/>
      <c r="BS22" s="45"/>
      <c r="BT22" s="45"/>
      <c r="BU22" s="45"/>
      <c r="BV22" s="45"/>
      <c r="BW22" s="45"/>
      <c r="BX22" s="45"/>
      <c r="BY22" s="45"/>
      <c r="BZ22" s="45"/>
      <c r="CA22" s="45"/>
      <c r="CB22" s="45"/>
      <c r="CC22" s="45"/>
      <c r="CD22" s="45"/>
      <c r="CE22" s="45"/>
      <c r="CF22" s="45"/>
      <c r="CG22" s="45"/>
      <c r="CH22" s="45"/>
      <c r="CI22" s="45"/>
      <c r="CJ22" s="45"/>
      <c r="CK22" s="45"/>
      <c r="CL22" s="45"/>
      <c r="CM22" s="45"/>
      <c r="CN22" s="45"/>
      <c r="CO22" s="45"/>
      <c r="CP22" s="45"/>
      <c r="CQ22" s="45"/>
      <c r="CR22" s="45"/>
      <c r="CS22" s="45"/>
      <c r="CT22" s="45"/>
      <c r="CU22" s="45"/>
      <c r="CV22" s="45"/>
      <c r="CW22" s="45"/>
      <c r="CX22" s="45"/>
      <c r="CY22" s="45"/>
      <c r="CZ22" s="45"/>
      <c r="DA22" s="45"/>
      <c r="DB22" s="45"/>
      <c r="DC22" s="45"/>
      <c r="DD22" s="45"/>
      <c r="DE22" s="45"/>
      <c r="DF22" s="45"/>
      <c r="DG22" s="45"/>
      <c r="DH22" s="45"/>
      <c r="DI22" s="45"/>
      <c r="DJ22" s="45"/>
      <c r="DK22" s="45"/>
      <c r="DL22" s="45"/>
      <c r="DM22" s="45"/>
      <c r="DN22" s="45"/>
      <c r="DO22" s="45"/>
      <c r="DP22" s="45"/>
      <c r="DQ22" s="45"/>
      <c r="DR22" s="45"/>
      <c r="DS22" s="45"/>
      <c r="DT22" s="45"/>
      <c r="DU22" s="45"/>
      <c r="DV22" s="45"/>
      <c r="DW22" s="45"/>
      <c r="DX22" s="45"/>
      <c r="DY22" s="45"/>
      <c r="DZ22" s="45"/>
      <c r="EA22" s="46"/>
    </row>
    <row r="23" spans="2:132" s="29" customFormat="1" ht="18" customHeight="1">
      <c r="B23" s="2920" t="s">
        <v>1928</v>
      </c>
      <c r="C23" s="1777"/>
      <c r="D23" s="1777"/>
      <c r="E23" s="1777"/>
      <c r="F23" s="1777"/>
      <c r="G23" s="1777"/>
      <c r="H23" s="1777"/>
      <c r="I23" s="1777"/>
      <c r="J23" s="1777"/>
      <c r="K23" s="1778"/>
      <c r="L23" s="2843" t="s">
        <v>1879</v>
      </c>
      <c r="M23" s="1777"/>
      <c r="N23" s="1777"/>
      <c r="O23" s="2789" t="s">
        <v>1880</v>
      </c>
      <c r="P23" s="1777"/>
      <c r="Q23" s="1777"/>
      <c r="R23" s="2789" t="s">
        <v>1881</v>
      </c>
      <c r="S23" s="1777"/>
      <c r="T23" s="1777"/>
      <c r="U23" s="2789" t="s">
        <v>1882</v>
      </c>
      <c r="V23" s="1777"/>
      <c r="W23" s="1777"/>
      <c r="X23" s="2789" t="s">
        <v>1883</v>
      </c>
      <c r="Y23" s="1777"/>
      <c r="Z23" s="1777"/>
      <c r="AA23" s="2789" t="s">
        <v>1884</v>
      </c>
      <c r="AB23" s="1777"/>
      <c r="AC23" s="1777"/>
      <c r="AD23" s="2789" t="s">
        <v>1885</v>
      </c>
      <c r="AE23" s="1777"/>
      <c r="AF23" s="1777"/>
      <c r="AG23" s="2789" t="s">
        <v>1886</v>
      </c>
      <c r="AH23" s="1777"/>
      <c r="AI23" s="1777"/>
      <c r="AJ23" s="2789" t="s">
        <v>1887</v>
      </c>
      <c r="AK23" s="1777"/>
      <c r="AL23" s="1777"/>
      <c r="AM23" s="2789" t="s">
        <v>1888</v>
      </c>
      <c r="AN23" s="1777"/>
      <c r="AO23" s="1777"/>
      <c r="AP23" s="2789" t="s">
        <v>1889</v>
      </c>
      <c r="AQ23" s="1777"/>
      <c r="AR23" s="1777"/>
      <c r="AS23" s="2789" t="s">
        <v>1890</v>
      </c>
      <c r="AT23" s="1777"/>
      <c r="AU23" s="1777"/>
      <c r="AV23" s="2789" t="s">
        <v>1891</v>
      </c>
      <c r="AW23" s="1777"/>
      <c r="AX23" s="1777"/>
      <c r="AY23" s="2789" t="s">
        <v>1892</v>
      </c>
      <c r="AZ23" s="1777"/>
      <c r="BA23" s="1777"/>
      <c r="BB23" s="2789" t="s">
        <v>1893</v>
      </c>
      <c r="BC23" s="1777"/>
      <c r="BD23" s="1777"/>
      <c r="BE23" s="2789" t="s">
        <v>1894</v>
      </c>
      <c r="BF23" s="1777"/>
      <c r="BG23" s="1777"/>
      <c r="BH23" s="2789" t="s">
        <v>1895</v>
      </c>
      <c r="BI23" s="1777"/>
      <c r="BJ23" s="1777"/>
      <c r="BK23" s="2789" t="s">
        <v>1896</v>
      </c>
      <c r="BL23" s="1777"/>
      <c r="BM23" s="1777"/>
      <c r="BN23" s="2789" t="s">
        <v>1897</v>
      </c>
      <c r="BO23" s="1777"/>
      <c r="BP23" s="1777"/>
      <c r="BQ23" s="2789" t="s">
        <v>1898</v>
      </c>
      <c r="BR23" s="1777"/>
      <c r="BS23" s="1777"/>
      <c r="BT23" s="2789" t="s">
        <v>1899</v>
      </c>
      <c r="BU23" s="1777"/>
      <c r="BV23" s="1777"/>
      <c r="BW23" s="2789" t="s">
        <v>1900</v>
      </c>
      <c r="BX23" s="1777"/>
      <c r="BY23" s="1777"/>
      <c r="BZ23" s="2789" t="s">
        <v>1901</v>
      </c>
      <c r="CA23" s="1777"/>
      <c r="CB23" s="1777"/>
      <c r="CC23" s="2789" t="s">
        <v>1902</v>
      </c>
      <c r="CD23" s="1777"/>
      <c r="CE23" s="1777"/>
      <c r="CF23" s="2789" t="s">
        <v>1903</v>
      </c>
      <c r="CG23" s="1777"/>
      <c r="CH23" s="1777"/>
      <c r="CI23" s="2789" t="s">
        <v>1904</v>
      </c>
      <c r="CJ23" s="1777"/>
      <c r="CK23" s="1777"/>
      <c r="CL23" s="2789" t="s">
        <v>1905</v>
      </c>
      <c r="CM23" s="1777"/>
      <c r="CN23" s="1777"/>
      <c r="CO23" s="2789" t="s">
        <v>1906</v>
      </c>
      <c r="CP23" s="1777"/>
      <c r="CQ23" s="1777"/>
      <c r="CR23" s="2789" t="s">
        <v>1907</v>
      </c>
      <c r="CS23" s="1777"/>
      <c r="CT23" s="1777"/>
      <c r="CU23" s="2789" t="s">
        <v>1908</v>
      </c>
      <c r="CV23" s="1777"/>
      <c r="CW23" s="1777"/>
      <c r="CX23" s="2789" t="s">
        <v>1909</v>
      </c>
      <c r="CY23" s="1777"/>
      <c r="CZ23" s="1777"/>
      <c r="DA23" s="2789" t="s">
        <v>1910</v>
      </c>
      <c r="DB23" s="1777"/>
      <c r="DC23" s="1777"/>
      <c r="DD23" s="2789" t="s">
        <v>1911</v>
      </c>
      <c r="DE23" s="1777"/>
      <c r="DF23" s="1777"/>
      <c r="DG23" s="2789" t="s">
        <v>1912</v>
      </c>
      <c r="DH23" s="1777"/>
      <c r="DI23" s="1777"/>
      <c r="DJ23" s="2789" t="s">
        <v>1913</v>
      </c>
      <c r="DK23" s="1777"/>
      <c r="DL23" s="1777"/>
      <c r="DM23" s="2789" t="s">
        <v>1914</v>
      </c>
      <c r="DN23" s="1777"/>
      <c r="DO23" s="1777"/>
      <c r="DP23" s="2789" t="s">
        <v>1915</v>
      </c>
      <c r="DQ23" s="1777"/>
      <c r="DR23" s="1777"/>
      <c r="DS23" s="2789" t="s">
        <v>1916</v>
      </c>
      <c r="DT23" s="1777"/>
      <c r="DU23" s="1777"/>
      <c r="DV23" s="2789" t="s">
        <v>1917</v>
      </c>
      <c r="DW23" s="1777"/>
      <c r="DX23" s="1777"/>
      <c r="DY23" s="2895" t="s">
        <v>1918</v>
      </c>
      <c r="DZ23" s="1777"/>
      <c r="EA23" s="1778"/>
      <c r="EB23" s="773"/>
    </row>
    <row r="24" spans="2:132" ht="18" customHeight="1">
      <c r="B24" s="2916" t="str">
        <f>'Operating Budget'!D46</f>
        <v>Vacancy Rate:  Restricted Units</v>
      </c>
      <c r="C24" s="1953"/>
      <c r="D24" s="1953"/>
      <c r="E24" s="1953"/>
      <c r="F24" s="1953"/>
      <c r="G24" s="1953"/>
      <c r="H24" s="1953"/>
      <c r="I24" s="1770"/>
      <c r="J24" s="2882">
        <f>'Operating Budget'!$E$46</f>
        <v>0.05</v>
      </c>
      <c r="K24" s="1778"/>
      <c r="L24" s="2983">
        <f>+$J24*L5</f>
        <v>0</v>
      </c>
      <c r="M24" s="1953"/>
      <c r="N24" s="1953"/>
      <c r="O24" s="2839">
        <f>+$J24*O5</f>
        <v>0</v>
      </c>
      <c r="P24" s="1953"/>
      <c r="Q24" s="1953"/>
      <c r="R24" s="2839">
        <f>+$J24*R5</f>
        <v>0</v>
      </c>
      <c r="S24" s="1953"/>
      <c r="T24" s="1953"/>
      <c r="U24" s="2839">
        <f>+$J24*U5</f>
        <v>0</v>
      </c>
      <c r="V24" s="1953"/>
      <c r="W24" s="1953"/>
      <c r="X24" s="2839">
        <f>+$J24*X5</f>
        <v>0</v>
      </c>
      <c r="Y24" s="1953"/>
      <c r="Z24" s="1953"/>
      <c r="AA24" s="2839">
        <f>+$J24*AA5</f>
        <v>0</v>
      </c>
      <c r="AB24" s="1953"/>
      <c r="AC24" s="1953"/>
      <c r="AD24" s="2839">
        <f>+$J24*AD5</f>
        <v>0</v>
      </c>
      <c r="AE24" s="1953"/>
      <c r="AF24" s="1953"/>
      <c r="AG24" s="2839">
        <f>+$J24*AG5</f>
        <v>0</v>
      </c>
      <c r="AH24" s="1953"/>
      <c r="AI24" s="1953"/>
      <c r="AJ24" s="2839">
        <f>+$J24*AJ5</f>
        <v>0</v>
      </c>
      <c r="AK24" s="1953"/>
      <c r="AL24" s="1953"/>
      <c r="AM24" s="2839">
        <f>+$J24*AM5</f>
        <v>0</v>
      </c>
      <c r="AN24" s="1953"/>
      <c r="AO24" s="1953"/>
      <c r="AP24" s="2839">
        <f>+$J24*AP5</f>
        <v>0</v>
      </c>
      <c r="AQ24" s="1953"/>
      <c r="AR24" s="1953"/>
      <c r="AS24" s="2839">
        <f>+$J24*AS5</f>
        <v>0</v>
      </c>
      <c r="AT24" s="1953"/>
      <c r="AU24" s="1953"/>
      <c r="AV24" s="2839">
        <f>+$J24*AV5</f>
        <v>0</v>
      </c>
      <c r="AW24" s="1953"/>
      <c r="AX24" s="1953"/>
      <c r="AY24" s="2839">
        <f>+$J24*AY5</f>
        <v>0</v>
      </c>
      <c r="AZ24" s="1953"/>
      <c r="BA24" s="1953"/>
      <c r="BB24" s="2839">
        <f>+$J24*BB5</f>
        <v>0</v>
      </c>
      <c r="BC24" s="1953"/>
      <c r="BD24" s="1953"/>
      <c r="BE24" s="2839">
        <f>+$J24*BE5</f>
        <v>0</v>
      </c>
      <c r="BF24" s="1953"/>
      <c r="BG24" s="1953"/>
      <c r="BH24" s="2839">
        <f>+$J24*BH5</f>
        <v>0</v>
      </c>
      <c r="BI24" s="1953"/>
      <c r="BJ24" s="1953"/>
      <c r="BK24" s="2839">
        <f>+$J24*BK5</f>
        <v>0</v>
      </c>
      <c r="BL24" s="1953"/>
      <c r="BM24" s="1953"/>
      <c r="BN24" s="2839">
        <f>+$J24*BN5</f>
        <v>0</v>
      </c>
      <c r="BO24" s="1953"/>
      <c r="BP24" s="1953"/>
      <c r="BQ24" s="2839">
        <f>+$J24*BQ5</f>
        <v>0</v>
      </c>
      <c r="BR24" s="1953"/>
      <c r="BS24" s="1953"/>
      <c r="BT24" s="2839">
        <f>+$J24*BT5</f>
        <v>0</v>
      </c>
      <c r="BU24" s="1953"/>
      <c r="BV24" s="1953"/>
      <c r="BW24" s="2839">
        <f>+$J24*BW5</f>
        <v>0</v>
      </c>
      <c r="BX24" s="1953"/>
      <c r="BY24" s="1953"/>
      <c r="BZ24" s="2839">
        <f>+$J24*BZ5</f>
        <v>0</v>
      </c>
      <c r="CA24" s="1953"/>
      <c r="CB24" s="1953"/>
      <c r="CC24" s="2839">
        <f>+$J24*CC5</f>
        <v>0</v>
      </c>
      <c r="CD24" s="1953"/>
      <c r="CE24" s="1953"/>
      <c r="CF24" s="2839">
        <f>+$J24*CF5</f>
        <v>0</v>
      </c>
      <c r="CG24" s="1953"/>
      <c r="CH24" s="1953"/>
      <c r="CI24" s="2839">
        <f>+$J24*CI5</f>
        <v>0</v>
      </c>
      <c r="CJ24" s="1953"/>
      <c r="CK24" s="1953"/>
      <c r="CL24" s="2839">
        <f>+$J24*CL5</f>
        <v>0</v>
      </c>
      <c r="CM24" s="1953"/>
      <c r="CN24" s="1953"/>
      <c r="CO24" s="2839">
        <f>+$J24*CO5</f>
        <v>0</v>
      </c>
      <c r="CP24" s="1953"/>
      <c r="CQ24" s="1953"/>
      <c r="CR24" s="2839">
        <f>+$J24*CR5</f>
        <v>0</v>
      </c>
      <c r="CS24" s="1953"/>
      <c r="CT24" s="1953"/>
      <c r="CU24" s="2839">
        <f>+$J24*CU5</f>
        <v>0</v>
      </c>
      <c r="CV24" s="1953"/>
      <c r="CW24" s="1953"/>
      <c r="CX24" s="2839">
        <f>+$J24*CX5</f>
        <v>0</v>
      </c>
      <c r="CY24" s="1953"/>
      <c r="CZ24" s="1953"/>
      <c r="DA24" s="2839">
        <f>+$J24*DA5</f>
        <v>0</v>
      </c>
      <c r="DB24" s="1953"/>
      <c r="DC24" s="1953"/>
      <c r="DD24" s="2839">
        <f>+$J24*DD5</f>
        <v>0</v>
      </c>
      <c r="DE24" s="1953"/>
      <c r="DF24" s="1953"/>
      <c r="DG24" s="2839">
        <f>+$J24*DG5</f>
        <v>0</v>
      </c>
      <c r="DH24" s="1953"/>
      <c r="DI24" s="1953"/>
      <c r="DJ24" s="2839">
        <f>+$J24*DJ5</f>
        <v>0</v>
      </c>
      <c r="DK24" s="1953"/>
      <c r="DL24" s="1953"/>
      <c r="DM24" s="2839">
        <f>+$J24*DM5</f>
        <v>0</v>
      </c>
      <c r="DN24" s="1953"/>
      <c r="DO24" s="1953"/>
      <c r="DP24" s="2839">
        <f>+$J24*DP5</f>
        <v>0</v>
      </c>
      <c r="DQ24" s="1953"/>
      <c r="DR24" s="1953"/>
      <c r="DS24" s="2839">
        <f>+$J24*DS5</f>
        <v>0</v>
      </c>
      <c r="DT24" s="1953"/>
      <c r="DU24" s="1953"/>
      <c r="DV24" s="2839">
        <f>+$J24*DV5</f>
        <v>0</v>
      </c>
      <c r="DW24" s="1953"/>
      <c r="DX24" s="1953"/>
      <c r="DY24" s="2966">
        <f>+$J24*DY5</f>
        <v>0</v>
      </c>
      <c r="DZ24" s="1953"/>
      <c r="EA24" s="1770"/>
      <c r="EB24" s="773"/>
    </row>
    <row r="25" spans="2:132" ht="18" customHeight="1">
      <c r="B25" s="2900" t="str">
        <f>'Operating Budget'!D47</f>
        <v>Vacancy Rate:  Proposed Units</v>
      </c>
      <c r="C25" s="2821"/>
      <c r="D25" s="2821"/>
      <c r="E25" s="2821"/>
      <c r="F25" s="2821"/>
      <c r="G25" s="2821"/>
      <c r="H25" s="2821"/>
      <c r="I25" s="1889"/>
      <c r="J25" s="2882">
        <f>'Operating Budget'!$E$47</f>
        <v>0.05</v>
      </c>
      <c r="K25" s="1778"/>
      <c r="L25" s="2922">
        <f>+$J25*L6</f>
        <v>0</v>
      </c>
      <c r="M25" s="2435"/>
      <c r="N25" s="2435"/>
      <c r="O25" s="2794">
        <f>+$J25*O6</f>
        <v>0</v>
      </c>
      <c r="P25" s="2435"/>
      <c r="Q25" s="2435"/>
      <c r="R25" s="2794">
        <f>+$J25*R6</f>
        <v>0</v>
      </c>
      <c r="S25" s="2435"/>
      <c r="T25" s="2435"/>
      <c r="U25" s="2794">
        <f>+$J25*U6</f>
        <v>0</v>
      </c>
      <c r="V25" s="2435"/>
      <c r="W25" s="2435"/>
      <c r="X25" s="2794">
        <f>+$J25*X6</f>
        <v>0</v>
      </c>
      <c r="Y25" s="2435"/>
      <c r="Z25" s="2435"/>
      <c r="AA25" s="2794">
        <f>+$J25*AA6</f>
        <v>0</v>
      </c>
      <c r="AB25" s="2435"/>
      <c r="AC25" s="2435"/>
      <c r="AD25" s="2794">
        <f>+$J25*AD6</f>
        <v>0</v>
      </c>
      <c r="AE25" s="2435"/>
      <c r="AF25" s="2435"/>
      <c r="AG25" s="2794">
        <f>+$J25*AG6</f>
        <v>0</v>
      </c>
      <c r="AH25" s="2435"/>
      <c r="AI25" s="2435"/>
      <c r="AJ25" s="2794">
        <f>+$J25*AJ6</f>
        <v>0</v>
      </c>
      <c r="AK25" s="2435"/>
      <c r="AL25" s="2435"/>
      <c r="AM25" s="2794">
        <f>+$J25*AM6</f>
        <v>0</v>
      </c>
      <c r="AN25" s="2435"/>
      <c r="AO25" s="2435"/>
      <c r="AP25" s="2794">
        <f>+$J25*AP6</f>
        <v>0</v>
      </c>
      <c r="AQ25" s="2435"/>
      <c r="AR25" s="2435"/>
      <c r="AS25" s="2794">
        <f>+$J25*AS6</f>
        <v>0</v>
      </c>
      <c r="AT25" s="2435"/>
      <c r="AU25" s="2435"/>
      <c r="AV25" s="2794">
        <f>+$J25*AV6</f>
        <v>0</v>
      </c>
      <c r="AW25" s="2435"/>
      <c r="AX25" s="2435"/>
      <c r="AY25" s="2794">
        <f>+$J25*AY6</f>
        <v>0</v>
      </c>
      <c r="AZ25" s="2435"/>
      <c r="BA25" s="2435"/>
      <c r="BB25" s="2794">
        <f>+$J25*BB6</f>
        <v>0</v>
      </c>
      <c r="BC25" s="2435"/>
      <c r="BD25" s="2435"/>
      <c r="BE25" s="2794">
        <f>+$J25*BE6</f>
        <v>0</v>
      </c>
      <c r="BF25" s="2435"/>
      <c r="BG25" s="2435"/>
      <c r="BH25" s="2794">
        <f>+$J25*BH6</f>
        <v>0</v>
      </c>
      <c r="BI25" s="2435"/>
      <c r="BJ25" s="2435"/>
      <c r="BK25" s="2794">
        <f>+$J25*BK6</f>
        <v>0</v>
      </c>
      <c r="BL25" s="2435"/>
      <c r="BM25" s="2435"/>
      <c r="BN25" s="2794">
        <f>+$J25*BN6</f>
        <v>0</v>
      </c>
      <c r="BO25" s="2435"/>
      <c r="BP25" s="2435"/>
      <c r="BQ25" s="2794">
        <f>+$J25*BQ6</f>
        <v>0</v>
      </c>
      <c r="BR25" s="2435"/>
      <c r="BS25" s="2435"/>
      <c r="BT25" s="2794">
        <f>+$J25*BT6</f>
        <v>0</v>
      </c>
      <c r="BU25" s="2435"/>
      <c r="BV25" s="2435"/>
      <c r="BW25" s="2794">
        <f>+$J25*BW6</f>
        <v>0</v>
      </c>
      <c r="BX25" s="2435"/>
      <c r="BY25" s="2435"/>
      <c r="BZ25" s="2794">
        <f>+$J25*BZ6</f>
        <v>0</v>
      </c>
      <c r="CA25" s="2435"/>
      <c r="CB25" s="2435"/>
      <c r="CC25" s="2794">
        <f>+$J25*CC6</f>
        <v>0</v>
      </c>
      <c r="CD25" s="2435"/>
      <c r="CE25" s="2435"/>
      <c r="CF25" s="2794">
        <f>+$J25*CF6</f>
        <v>0</v>
      </c>
      <c r="CG25" s="2435"/>
      <c r="CH25" s="2435"/>
      <c r="CI25" s="2794">
        <f>+$J25*CI6</f>
        <v>0</v>
      </c>
      <c r="CJ25" s="2435"/>
      <c r="CK25" s="2435"/>
      <c r="CL25" s="2794">
        <f>+$J25*CL6</f>
        <v>0</v>
      </c>
      <c r="CM25" s="2435"/>
      <c r="CN25" s="2435"/>
      <c r="CO25" s="2794">
        <f>+$J25*CO6</f>
        <v>0</v>
      </c>
      <c r="CP25" s="2435"/>
      <c r="CQ25" s="2435"/>
      <c r="CR25" s="2794">
        <f>+$J25*CR6</f>
        <v>0</v>
      </c>
      <c r="CS25" s="2435"/>
      <c r="CT25" s="2435"/>
      <c r="CU25" s="2794">
        <f>+$J25*CU6</f>
        <v>0</v>
      </c>
      <c r="CV25" s="2435"/>
      <c r="CW25" s="2435"/>
      <c r="CX25" s="2794">
        <f>+$J25*CX6</f>
        <v>0</v>
      </c>
      <c r="CY25" s="2435"/>
      <c r="CZ25" s="2435"/>
      <c r="DA25" s="2794">
        <f>+$J25*DA6</f>
        <v>0</v>
      </c>
      <c r="DB25" s="2435"/>
      <c r="DC25" s="2435"/>
      <c r="DD25" s="2794">
        <f>+$J25*DD6</f>
        <v>0</v>
      </c>
      <c r="DE25" s="2435"/>
      <c r="DF25" s="2435"/>
      <c r="DG25" s="2794">
        <f>+$J25*DG6</f>
        <v>0</v>
      </c>
      <c r="DH25" s="2435"/>
      <c r="DI25" s="2435"/>
      <c r="DJ25" s="2794">
        <f>+$J25*DJ6</f>
        <v>0</v>
      </c>
      <c r="DK25" s="2435"/>
      <c r="DL25" s="2435"/>
      <c r="DM25" s="2794">
        <f>+$J25*DM6</f>
        <v>0</v>
      </c>
      <c r="DN25" s="2435"/>
      <c r="DO25" s="2435"/>
      <c r="DP25" s="2794">
        <f>+$J25*DP6</f>
        <v>0</v>
      </c>
      <c r="DQ25" s="2435"/>
      <c r="DR25" s="2435"/>
      <c r="DS25" s="2794">
        <f>+$J25*DS6</f>
        <v>0</v>
      </c>
      <c r="DT25" s="2435"/>
      <c r="DU25" s="2435"/>
      <c r="DV25" s="2794">
        <f>+$J25*DV6</f>
        <v>0</v>
      </c>
      <c r="DW25" s="2435"/>
      <c r="DX25" s="2435"/>
      <c r="DY25" s="2896">
        <f>+$J25*DY6</f>
        <v>0</v>
      </c>
      <c r="DZ25" s="2435"/>
      <c r="EA25" s="1889"/>
      <c r="EB25" s="773"/>
    </row>
    <row r="26" spans="2:132" ht="18" customHeight="1">
      <c r="B26" s="2900" t="str">
        <f>'Operating Budget'!D48</f>
        <v>Vacancy Rate:  Unrestricted Units</v>
      </c>
      <c r="C26" s="2821"/>
      <c r="D26" s="2821"/>
      <c r="E26" s="2821"/>
      <c r="F26" s="2821"/>
      <c r="G26" s="2821"/>
      <c r="H26" s="2821"/>
      <c r="I26" s="1889"/>
      <c r="J26" s="2882">
        <f>'Operating Budget'!$E$48</f>
        <v>0.05</v>
      </c>
      <c r="K26" s="1778"/>
      <c r="L26" s="2922">
        <f>+$J26*L7</f>
        <v>0</v>
      </c>
      <c r="M26" s="2435"/>
      <c r="N26" s="2435"/>
      <c r="O26" s="2794">
        <f>+$J26*O7</f>
        <v>0</v>
      </c>
      <c r="P26" s="2435"/>
      <c r="Q26" s="2435"/>
      <c r="R26" s="2794">
        <f>+$J26*R7</f>
        <v>0</v>
      </c>
      <c r="S26" s="2435"/>
      <c r="T26" s="2435"/>
      <c r="U26" s="2794">
        <f>+$J26*U7</f>
        <v>0</v>
      </c>
      <c r="V26" s="2435"/>
      <c r="W26" s="2435"/>
      <c r="X26" s="2794">
        <f>+$J26*X7</f>
        <v>0</v>
      </c>
      <c r="Y26" s="2435"/>
      <c r="Z26" s="2435"/>
      <c r="AA26" s="2794">
        <f>+$J26*AA7</f>
        <v>0</v>
      </c>
      <c r="AB26" s="2435"/>
      <c r="AC26" s="2435"/>
      <c r="AD26" s="2794">
        <f>+$J26*AD7</f>
        <v>0</v>
      </c>
      <c r="AE26" s="2435"/>
      <c r="AF26" s="2435"/>
      <c r="AG26" s="2794">
        <f>+$J26*AG7</f>
        <v>0</v>
      </c>
      <c r="AH26" s="2435"/>
      <c r="AI26" s="2435"/>
      <c r="AJ26" s="2794">
        <f>+$J26*AJ7</f>
        <v>0</v>
      </c>
      <c r="AK26" s="2435"/>
      <c r="AL26" s="2435"/>
      <c r="AM26" s="2794">
        <f>+$J26*AM7</f>
        <v>0</v>
      </c>
      <c r="AN26" s="2435"/>
      <c r="AO26" s="2435"/>
      <c r="AP26" s="2794">
        <f>+$J26*AP7</f>
        <v>0</v>
      </c>
      <c r="AQ26" s="2435"/>
      <c r="AR26" s="2435"/>
      <c r="AS26" s="2794">
        <f>+$J26*AS7</f>
        <v>0</v>
      </c>
      <c r="AT26" s="2435"/>
      <c r="AU26" s="2435"/>
      <c r="AV26" s="2794">
        <f>+$J26*AV7</f>
        <v>0</v>
      </c>
      <c r="AW26" s="2435"/>
      <c r="AX26" s="2435"/>
      <c r="AY26" s="2794">
        <f>+$J26*AY7</f>
        <v>0</v>
      </c>
      <c r="AZ26" s="2435"/>
      <c r="BA26" s="2435"/>
      <c r="BB26" s="2794">
        <f>+$J26*BB7</f>
        <v>0</v>
      </c>
      <c r="BC26" s="2435"/>
      <c r="BD26" s="2435"/>
      <c r="BE26" s="2794">
        <f>+$J26*BE7</f>
        <v>0</v>
      </c>
      <c r="BF26" s="2435"/>
      <c r="BG26" s="2435"/>
      <c r="BH26" s="2794">
        <f>+$J26*BH7</f>
        <v>0</v>
      </c>
      <c r="BI26" s="2435"/>
      <c r="BJ26" s="2435"/>
      <c r="BK26" s="2794">
        <f>+$J26*BK7</f>
        <v>0</v>
      </c>
      <c r="BL26" s="2435"/>
      <c r="BM26" s="2435"/>
      <c r="BN26" s="2794">
        <f>+$J26*BN7</f>
        <v>0</v>
      </c>
      <c r="BO26" s="2435"/>
      <c r="BP26" s="2435"/>
      <c r="BQ26" s="2794">
        <f>+$J26*BQ7</f>
        <v>0</v>
      </c>
      <c r="BR26" s="2435"/>
      <c r="BS26" s="2435"/>
      <c r="BT26" s="2794">
        <f>+$J26*BT7</f>
        <v>0</v>
      </c>
      <c r="BU26" s="2435"/>
      <c r="BV26" s="2435"/>
      <c r="BW26" s="2794">
        <f>+$J26*BW7</f>
        <v>0</v>
      </c>
      <c r="BX26" s="2435"/>
      <c r="BY26" s="2435"/>
      <c r="BZ26" s="2794">
        <f>+$J26*BZ7</f>
        <v>0</v>
      </c>
      <c r="CA26" s="2435"/>
      <c r="CB26" s="2435"/>
      <c r="CC26" s="2794">
        <f>+$J26*CC7</f>
        <v>0</v>
      </c>
      <c r="CD26" s="2435"/>
      <c r="CE26" s="2435"/>
      <c r="CF26" s="2794">
        <f>+$J26*CF7</f>
        <v>0</v>
      </c>
      <c r="CG26" s="2435"/>
      <c r="CH26" s="2435"/>
      <c r="CI26" s="2794">
        <f>+$J26*CI7</f>
        <v>0</v>
      </c>
      <c r="CJ26" s="2435"/>
      <c r="CK26" s="2435"/>
      <c r="CL26" s="2794">
        <f>+$J26*CL7</f>
        <v>0</v>
      </c>
      <c r="CM26" s="2435"/>
      <c r="CN26" s="2435"/>
      <c r="CO26" s="2794">
        <f>+$J26*CO7</f>
        <v>0</v>
      </c>
      <c r="CP26" s="2435"/>
      <c r="CQ26" s="2435"/>
      <c r="CR26" s="2794">
        <f>+$J26*CR7</f>
        <v>0</v>
      </c>
      <c r="CS26" s="2435"/>
      <c r="CT26" s="2435"/>
      <c r="CU26" s="2794">
        <f>+$J26*CU7</f>
        <v>0</v>
      </c>
      <c r="CV26" s="2435"/>
      <c r="CW26" s="2435"/>
      <c r="CX26" s="2794">
        <f>+$J26*CX7</f>
        <v>0</v>
      </c>
      <c r="CY26" s="2435"/>
      <c r="CZ26" s="2435"/>
      <c r="DA26" s="2794">
        <f>+$J26*DA7</f>
        <v>0</v>
      </c>
      <c r="DB26" s="2435"/>
      <c r="DC26" s="2435"/>
      <c r="DD26" s="2794">
        <f>+$J26*DD7</f>
        <v>0</v>
      </c>
      <c r="DE26" s="2435"/>
      <c r="DF26" s="2435"/>
      <c r="DG26" s="2794">
        <f>+$J26*DG7</f>
        <v>0</v>
      </c>
      <c r="DH26" s="2435"/>
      <c r="DI26" s="2435"/>
      <c r="DJ26" s="2794">
        <f>+$J26*DJ7</f>
        <v>0</v>
      </c>
      <c r="DK26" s="2435"/>
      <c r="DL26" s="2435"/>
      <c r="DM26" s="2794">
        <f>+$J26*DM7</f>
        <v>0</v>
      </c>
      <c r="DN26" s="2435"/>
      <c r="DO26" s="2435"/>
      <c r="DP26" s="2794">
        <f>+$J26*DP7</f>
        <v>0</v>
      </c>
      <c r="DQ26" s="2435"/>
      <c r="DR26" s="2435"/>
      <c r="DS26" s="2794">
        <f>+$J26*DS7</f>
        <v>0</v>
      </c>
      <c r="DT26" s="2435"/>
      <c r="DU26" s="2435"/>
      <c r="DV26" s="2794">
        <f>+$J26*DV7</f>
        <v>0</v>
      </c>
      <c r="DW26" s="2435"/>
      <c r="DX26" s="2435"/>
      <c r="DY26" s="2896">
        <f>+$J26*DY7</f>
        <v>0</v>
      </c>
      <c r="DZ26" s="2435"/>
      <c r="EA26" s="1889"/>
      <c r="EB26" s="773"/>
    </row>
    <row r="27" spans="2:132" ht="36" customHeight="1">
      <c r="B27" s="2917" t="str">
        <f>'Operating Budget'!D49</f>
        <v>Vacancy Rate:  Tenant Assistance Payments</v>
      </c>
      <c r="C27" s="2821"/>
      <c r="D27" s="2821"/>
      <c r="E27" s="2821"/>
      <c r="F27" s="2821"/>
      <c r="G27" s="2821"/>
      <c r="H27" s="2821"/>
      <c r="I27" s="1889"/>
      <c r="J27" s="2882">
        <f>'Operating Budget'!$E$49</f>
        <v>0.05</v>
      </c>
      <c r="K27" s="1778"/>
      <c r="L27" s="2914">
        <f>+$J27*(L8+L9+L10)</f>
        <v>0</v>
      </c>
      <c r="M27" s="2435"/>
      <c r="N27" s="2435"/>
      <c r="O27" s="2834">
        <f>+$J27*(O8+O9+O10)</f>
        <v>0</v>
      </c>
      <c r="P27" s="2435"/>
      <c r="Q27" s="2435"/>
      <c r="R27" s="2834">
        <f>+$J27*(R8+R9+R10)</f>
        <v>0</v>
      </c>
      <c r="S27" s="2435"/>
      <c r="T27" s="2435"/>
      <c r="U27" s="2834">
        <f>+$J27*(U8+U9+U10)</f>
        <v>0</v>
      </c>
      <c r="V27" s="2435"/>
      <c r="W27" s="2435"/>
      <c r="X27" s="2834">
        <f>+$J27*(X8+X9+X10)</f>
        <v>0</v>
      </c>
      <c r="Y27" s="2435"/>
      <c r="Z27" s="2435"/>
      <c r="AA27" s="2834">
        <f>+$J27*(AA8+AA9+AA10)</f>
        <v>0</v>
      </c>
      <c r="AB27" s="2435"/>
      <c r="AC27" s="2435"/>
      <c r="AD27" s="2834">
        <f>+$J27*(AD8+AD9+AD10)</f>
        <v>0</v>
      </c>
      <c r="AE27" s="2435"/>
      <c r="AF27" s="2435"/>
      <c r="AG27" s="2834">
        <f>+$J27*(AG8+AG9+AG10)</f>
        <v>0</v>
      </c>
      <c r="AH27" s="2435"/>
      <c r="AI27" s="2435"/>
      <c r="AJ27" s="2834">
        <f>+$J27*(AJ8+AJ9+AJ10)</f>
        <v>0</v>
      </c>
      <c r="AK27" s="2435"/>
      <c r="AL27" s="2435"/>
      <c r="AM27" s="2834">
        <f>+$J27*(AM8+AM9+AM10)</f>
        <v>0</v>
      </c>
      <c r="AN27" s="2435"/>
      <c r="AO27" s="2435"/>
      <c r="AP27" s="2834">
        <f>+$J27*(AP8+AP9+AP10)</f>
        <v>0</v>
      </c>
      <c r="AQ27" s="2435"/>
      <c r="AR27" s="2435"/>
      <c r="AS27" s="2834">
        <f>+$J27*(AS8+AS9+AS10)</f>
        <v>0</v>
      </c>
      <c r="AT27" s="2435"/>
      <c r="AU27" s="2435"/>
      <c r="AV27" s="2834">
        <f>+$J27*(AV8+AV9+AV10)</f>
        <v>0</v>
      </c>
      <c r="AW27" s="2435"/>
      <c r="AX27" s="2435"/>
      <c r="AY27" s="2834">
        <f>+$J27*(AY8+AY9+AY10)</f>
        <v>0</v>
      </c>
      <c r="AZ27" s="2435"/>
      <c r="BA27" s="2435"/>
      <c r="BB27" s="2834">
        <f>+$J27*(BB8+BB9+BB10)</f>
        <v>0</v>
      </c>
      <c r="BC27" s="2435"/>
      <c r="BD27" s="2435"/>
      <c r="BE27" s="2834">
        <f>+$J27*(BE8+BE9+BE10)</f>
        <v>0</v>
      </c>
      <c r="BF27" s="2435"/>
      <c r="BG27" s="2435"/>
      <c r="BH27" s="2834">
        <f>+$J27*(BH8+BH9+BH10)</f>
        <v>0</v>
      </c>
      <c r="BI27" s="2435"/>
      <c r="BJ27" s="2435"/>
      <c r="BK27" s="2834">
        <f>+$J27*(BK8+BK9+BK10)</f>
        <v>0</v>
      </c>
      <c r="BL27" s="2435"/>
      <c r="BM27" s="2435"/>
      <c r="BN27" s="2834">
        <f>+$J27*(BN8+BN9+BN10)</f>
        <v>0</v>
      </c>
      <c r="BO27" s="2435"/>
      <c r="BP27" s="2435"/>
      <c r="BQ27" s="2834">
        <f>+$J27*(BQ8+BQ9+BQ10)</f>
        <v>0</v>
      </c>
      <c r="BR27" s="2435"/>
      <c r="BS27" s="2435"/>
      <c r="BT27" s="2834">
        <f>+$J27*(BT8+BT9+BT10)</f>
        <v>0</v>
      </c>
      <c r="BU27" s="2435"/>
      <c r="BV27" s="2435"/>
      <c r="BW27" s="2834">
        <f>+$J27*(BW8+BW9+BW10)</f>
        <v>0</v>
      </c>
      <c r="BX27" s="2435"/>
      <c r="BY27" s="2435"/>
      <c r="BZ27" s="2834">
        <f>+$J27*(BZ8+BZ9+BZ10)</f>
        <v>0</v>
      </c>
      <c r="CA27" s="2435"/>
      <c r="CB27" s="2435"/>
      <c r="CC27" s="2834">
        <f>+$J27*(CC8+CC9+CC10)</f>
        <v>0</v>
      </c>
      <c r="CD27" s="2435"/>
      <c r="CE27" s="2435"/>
      <c r="CF27" s="2834">
        <f>+$J27*(CF8+CF9+CF10)</f>
        <v>0</v>
      </c>
      <c r="CG27" s="2435"/>
      <c r="CH27" s="2435"/>
      <c r="CI27" s="2834">
        <f>+$J27*(CI8+CI9+CI10)</f>
        <v>0</v>
      </c>
      <c r="CJ27" s="2435"/>
      <c r="CK27" s="2435"/>
      <c r="CL27" s="2834">
        <f>+$J27*(CL8+CL9+CL10)</f>
        <v>0</v>
      </c>
      <c r="CM27" s="2435"/>
      <c r="CN27" s="2435"/>
      <c r="CO27" s="2834">
        <f>+$J27*(CO8+CO9+CO10)</f>
        <v>0</v>
      </c>
      <c r="CP27" s="2435"/>
      <c r="CQ27" s="2435"/>
      <c r="CR27" s="2834">
        <f>+$J27*(CR8+CR9+CR10)</f>
        <v>0</v>
      </c>
      <c r="CS27" s="2435"/>
      <c r="CT27" s="2435"/>
      <c r="CU27" s="2834">
        <f>+$J27*(CU8+CU9+CU10)</f>
        <v>0</v>
      </c>
      <c r="CV27" s="2435"/>
      <c r="CW27" s="2435"/>
      <c r="CX27" s="2834">
        <f>+$J27*(CX8+CX9+CX10)</f>
        <v>0</v>
      </c>
      <c r="CY27" s="2435"/>
      <c r="CZ27" s="2435"/>
      <c r="DA27" s="2834">
        <f>+$J27*(DA8+DA9+DA10)</f>
        <v>0</v>
      </c>
      <c r="DB27" s="2435"/>
      <c r="DC27" s="2435"/>
      <c r="DD27" s="2834">
        <f>+$J27*(DD8+DD9+DD10)</f>
        <v>0</v>
      </c>
      <c r="DE27" s="2435"/>
      <c r="DF27" s="2435"/>
      <c r="DG27" s="2834">
        <f>+$J27*(DG8+DG9+DG10)</f>
        <v>0</v>
      </c>
      <c r="DH27" s="2435"/>
      <c r="DI27" s="2435"/>
      <c r="DJ27" s="2834">
        <f>+$J27*(DJ8+DJ9+DJ10)</f>
        <v>0</v>
      </c>
      <c r="DK27" s="2435"/>
      <c r="DL27" s="2435"/>
      <c r="DM27" s="2834">
        <f>+$J27*(DM8+DM9+DM10)</f>
        <v>0</v>
      </c>
      <c r="DN27" s="2435"/>
      <c r="DO27" s="2435"/>
      <c r="DP27" s="2834">
        <f>+$J27*(DP8+DP9+DP10)</f>
        <v>0</v>
      </c>
      <c r="DQ27" s="2435"/>
      <c r="DR27" s="2435"/>
      <c r="DS27" s="2834">
        <f>+$J27*(DS8+DS9+DS10)</f>
        <v>0</v>
      </c>
      <c r="DT27" s="2435"/>
      <c r="DU27" s="2435"/>
      <c r="DV27" s="2834">
        <f>+$J27*(DV8+DV9+DV10)</f>
        <v>0</v>
      </c>
      <c r="DW27" s="2435"/>
      <c r="DX27" s="2435"/>
      <c r="DY27" s="2934">
        <f>+$J27*(DY8+DY9+DY10)</f>
        <v>0</v>
      </c>
      <c r="DZ27" s="2435"/>
      <c r="EA27" s="1889"/>
      <c r="EB27" s="773"/>
    </row>
    <row r="28" spans="2:132" ht="18" customHeight="1">
      <c r="B28" s="2900" t="str">
        <f>'Operating Budget'!D50</f>
        <v>Vacancy Rate:  Other (Specify)</v>
      </c>
      <c r="C28" s="2821"/>
      <c r="D28" s="2821"/>
      <c r="E28" s="2821"/>
      <c r="F28" s="2821"/>
      <c r="G28" s="2821"/>
      <c r="H28" s="2821"/>
      <c r="I28" s="1889"/>
      <c r="J28" s="2882">
        <f>'Operating Budget'!$E$50</f>
        <v>0.05</v>
      </c>
      <c r="K28" s="1778"/>
      <c r="L28" s="2922">
        <f>+$J28*L12</f>
        <v>0</v>
      </c>
      <c r="M28" s="2435"/>
      <c r="N28" s="2435"/>
      <c r="O28" s="2794">
        <f>+$J28*O12</f>
        <v>0</v>
      </c>
      <c r="P28" s="2435"/>
      <c r="Q28" s="2435"/>
      <c r="R28" s="2794">
        <f>+$J28*R12</f>
        <v>0</v>
      </c>
      <c r="S28" s="2435"/>
      <c r="T28" s="2435"/>
      <c r="U28" s="2794">
        <f>+$J28*U12</f>
        <v>0</v>
      </c>
      <c r="V28" s="2435"/>
      <c r="W28" s="2435"/>
      <c r="X28" s="2794">
        <f>+$J28*X12</f>
        <v>0</v>
      </c>
      <c r="Y28" s="2435"/>
      <c r="Z28" s="2435"/>
      <c r="AA28" s="2794">
        <f>+$J28*AA12</f>
        <v>0</v>
      </c>
      <c r="AB28" s="2435"/>
      <c r="AC28" s="2435"/>
      <c r="AD28" s="2794">
        <f>+$J28*AD12</f>
        <v>0</v>
      </c>
      <c r="AE28" s="2435"/>
      <c r="AF28" s="2435"/>
      <c r="AG28" s="2794">
        <f>+$J28*AG12</f>
        <v>0</v>
      </c>
      <c r="AH28" s="2435"/>
      <c r="AI28" s="2435"/>
      <c r="AJ28" s="2794">
        <f>+$J28*AJ12</f>
        <v>0</v>
      </c>
      <c r="AK28" s="2435"/>
      <c r="AL28" s="2435"/>
      <c r="AM28" s="2794">
        <f>+$J28*AM12</f>
        <v>0</v>
      </c>
      <c r="AN28" s="2435"/>
      <c r="AO28" s="2435"/>
      <c r="AP28" s="2794">
        <f>+$J28*AP12</f>
        <v>0</v>
      </c>
      <c r="AQ28" s="2435"/>
      <c r="AR28" s="2435"/>
      <c r="AS28" s="2794">
        <f>+$J28*AS12</f>
        <v>0</v>
      </c>
      <c r="AT28" s="2435"/>
      <c r="AU28" s="2435"/>
      <c r="AV28" s="2794">
        <f>+$J28*AV12</f>
        <v>0</v>
      </c>
      <c r="AW28" s="2435"/>
      <c r="AX28" s="2435"/>
      <c r="AY28" s="2794">
        <f>+$J28*AY12</f>
        <v>0</v>
      </c>
      <c r="AZ28" s="2435"/>
      <c r="BA28" s="2435"/>
      <c r="BB28" s="2794">
        <f>+$J28*BB12</f>
        <v>0</v>
      </c>
      <c r="BC28" s="2435"/>
      <c r="BD28" s="2435"/>
      <c r="BE28" s="2794">
        <f>+$J28*BE12</f>
        <v>0</v>
      </c>
      <c r="BF28" s="2435"/>
      <c r="BG28" s="2435"/>
      <c r="BH28" s="2794">
        <f>+$J28*BH12</f>
        <v>0</v>
      </c>
      <c r="BI28" s="2435"/>
      <c r="BJ28" s="2435"/>
      <c r="BK28" s="2794">
        <f>+$J28*BK12</f>
        <v>0</v>
      </c>
      <c r="BL28" s="2435"/>
      <c r="BM28" s="2435"/>
      <c r="BN28" s="2794">
        <f>+$J28*BN12</f>
        <v>0</v>
      </c>
      <c r="BO28" s="2435"/>
      <c r="BP28" s="2435"/>
      <c r="BQ28" s="2794">
        <f>+$J28*BQ12</f>
        <v>0</v>
      </c>
      <c r="BR28" s="2435"/>
      <c r="BS28" s="2435"/>
      <c r="BT28" s="2794">
        <f>+$J28*BT12</f>
        <v>0</v>
      </c>
      <c r="BU28" s="2435"/>
      <c r="BV28" s="2435"/>
      <c r="BW28" s="2794">
        <f>+$J28*BW12</f>
        <v>0</v>
      </c>
      <c r="BX28" s="2435"/>
      <c r="BY28" s="2435"/>
      <c r="BZ28" s="2794">
        <f>+$J28*BZ12</f>
        <v>0</v>
      </c>
      <c r="CA28" s="2435"/>
      <c r="CB28" s="2435"/>
      <c r="CC28" s="2794">
        <f>+$J28*CC12</f>
        <v>0</v>
      </c>
      <c r="CD28" s="2435"/>
      <c r="CE28" s="2435"/>
      <c r="CF28" s="2794">
        <f>+$J28*CF12</f>
        <v>0</v>
      </c>
      <c r="CG28" s="2435"/>
      <c r="CH28" s="2435"/>
      <c r="CI28" s="2794">
        <f>+$J28*CI12</f>
        <v>0</v>
      </c>
      <c r="CJ28" s="2435"/>
      <c r="CK28" s="2435"/>
      <c r="CL28" s="2794">
        <f>+$J28*CL12</f>
        <v>0</v>
      </c>
      <c r="CM28" s="2435"/>
      <c r="CN28" s="2435"/>
      <c r="CO28" s="2794">
        <f>+$J28*CO12</f>
        <v>0</v>
      </c>
      <c r="CP28" s="2435"/>
      <c r="CQ28" s="2435"/>
      <c r="CR28" s="2794">
        <f>+$J28*CR12</f>
        <v>0</v>
      </c>
      <c r="CS28" s="2435"/>
      <c r="CT28" s="2435"/>
      <c r="CU28" s="2794">
        <f>+$J28*CU12</f>
        <v>0</v>
      </c>
      <c r="CV28" s="2435"/>
      <c r="CW28" s="2435"/>
      <c r="CX28" s="2794">
        <f>+$J28*CX12</f>
        <v>0</v>
      </c>
      <c r="CY28" s="2435"/>
      <c r="CZ28" s="2435"/>
      <c r="DA28" s="2794">
        <f>+$J28*DA12</f>
        <v>0</v>
      </c>
      <c r="DB28" s="2435"/>
      <c r="DC28" s="2435"/>
      <c r="DD28" s="2794">
        <f>+$J28*DD12</f>
        <v>0</v>
      </c>
      <c r="DE28" s="2435"/>
      <c r="DF28" s="2435"/>
      <c r="DG28" s="2794">
        <f>+$J28*DG12</f>
        <v>0</v>
      </c>
      <c r="DH28" s="2435"/>
      <c r="DI28" s="2435"/>
      <c r="DJ28" s="2794">
        <f>+$J28*DJ12</f>
        <v>0</v>
      </c>
      <c r="DK28" s="2435"/>
      <c r="DL28" s="2435"/>
      <c r="DM28" s="2794">
        <f>+$J28*DM12</f>
        <v>0</v>
      </c>
      <c r="DN28" s="2435"/>
      <c r="DO28" s="2435"/>
      <c r="DP28" s="2794">
        <f>+$J28*DP12</f>
        <v>0</v>
      </c>
      <c r="DQ28" s="2435"/>
      <c r="DR28" s="2435"/>
      <c r="DS28" s="2794">
        <f>+$J28*DS12</f>
        <v>0</v>
      </c>
      <c r="DT28" s="2435"/>
      <c r="DU28" s="2435"/>
      <c r="DV28" s="2794">
        <f>+$J28*DV12</f>
        <v>0</v>
      </c>
      <c r="DW28" s="2435"/>
      <c r="DX28" s="2435"/>
      <c r="DY28" s="2896">
        <f>+$J28*DY12</f>
        <v>0</v>
      </c>
      <c r="DZ28" s="2435"/>
      <c r="EA28" s="1889"/>
      <c r="EB28" s="773"/>
    </row>
    <row r="29" spans="2:132" ht="36" customHeight="1">
      <c r="B29" s="2917" t="str">
        <f>'Operating Budget'!D51</f>
        <v xml:space="preserve">Vacancy Rate:  Laundry &amp; Vending &amp; Other Income  </v>
      </c>
      <c r="C29" s="2821"/>
      <c r="D29" s="2821"/>
      <c r="E29" s="2821"/>
      <c r="F29" s="2821"/>
      <c r="G29" s="2821"/>
      <c r="H29" s="2821"/>
      <c r="I29" s="1889"/>
      <c r="J29" s="2882">
        <f>'Operating Budget'!$E$51</f>
        <v>0.05</v>
      </c>
      <c r="K29" s="1778"/>
      <c r="L29" s="2922">
        <f>+$J29*(L17+L18)</f>
        <v>0</v>
      </c>
      <c r="M29" s="2435"/>
      <c r="N29" s="2435"/>
      <c r="O29" s="2794">
        <f>+$J29*(O17+O18)</f>
        <v>0</v>
      </c>
      <c r="P29" s="2435"/>
      <c r="Q29" s="2435"/>
      <c r="R29" s="2794">
        <f>+$J29*(R17+R18)</f>
        <v>0</v>
      </c>
      <c r="S29" s="2435"/>
      <c r="T29" s="2435"/>
      <c r="U29" s="2794">
        <f>+$J29*(U17+U18)</f>
        <v>0</v>
      </c>
      <c r="V29" s="2435"/>
      <c r="W29" s="2435"/>
      <c r="X29" s="2794">
        <f>+$J29*(X17+X18)</f>
        <v>0</v>
      </c>
      <c r="Y29" s="2435"/>
      <c r="Z29" s="2435"/>
      <c r="AA29" s="2794">
        <f>+$J29*(AA17+AA18)</f>
        <v>0</v>
      </c>
      <c r="AB29" s="2435"/>
      <c r="AC29" s="2435"/>
      <c r="AD29" s="2794">
        <f>+$J29*(AD17+AD18)</f>
        <v>0</v>
      </c>
      <c r="AE29" s="2435"/>
      <c r="AF29" s="2435"/>
      <c r="AG29" s="2794">
        <f>+$J29*(AG17+AG18)</f>
        <v>0</v>
      </c>
      <c r="AH29" s="2435"/>
      <c r="AI29" s="2435"/>
      <c r="AJ29" s="2794">
        <f>+$J29*(AJ17+AJ18)</f>
        <v>0</v>
      </c>
      <c r="AK29" s="2435"/>
      <c r="AL29" s="2435"/>
      <c r="AM29" s="2794">
        <f>+$J29*(AM17+AM18)</f>
        <v>0</v>
      </c>
      <c r="AN29" s="2435"/>
      <c r="AO29" s="2435"/>
      <c r="AP29" s="2794">
        <f>+$J29*(AP17+AP18)</f>
        <v>0</v>
      </c>
      <c r="AQ29" s="2435"/>
      <c r="AR29" s="2435"/>
      <c r="AS29" s="2794">
        <f>+$J29*(AS17+AS18)</f>
        <v>0</v>
      </c>
      <c r="AT29" s="2435"/>
      <c r="AU29" s="2435"/>
      <c r="AV29" s="2794">
        <f>+$J29*(AV17+AV18)</f>
        <v>0</v>
      </c>
      <c r="AW29" s="2435"/>
      <c r="AX29" s="2435"/>
      <c r="AY29" s="2794">
        <f>+$J29*(AY17+AY18)</f>
        <v>0</v>
      </c>
      <c r="AZ29" s="2435"/>
      <c r="BA29" s="2435"/>
      <c r="BB29" s="2794">
        <f>+$J29*(BB17+BB18)</f>
        <v>0</v>
      </c>
      <c r="BC29" s="2435"/>
      <c r="BD29" s="2435"/>
      <c r="BE29" s="2794">
        <f>+$J29*(BE17+BE18)</f>
        <v>0</v>
      </c>
      <c r="BF29" s="2435"/>
      <c r="BG29" s="2435"/>
      <c r="BH29" s="2794">
        <f>+$J29*(BH17+BH18)</f>
        <v>0</v>
      </c>
      <c r="BI29" s="2435"/>
      <c r="BJ29" s="2435"/>
      <c r="BK29" s="2794">
        <f>+$J29*(BK17+BK18)</f>
        <v>0</v>
      </c>
      <c r="BL29" s="2435"/>
      <c r="BM29" s="2435"/>
      <c r="BN29" s="2794">
        <f>+$J29*(BN17+BN18)</f>
        <v>0</v>
      </c>
      <c r="BO29" s="2435"/>
      <c r="BP29" s="2435"/>
      <c r="BQ29" s="2794">
        <f>+$J29*(BQ17+BQ18)</f>
        <v>0</v>
      </c>
      <c r="BR29" s="2435"/>
      <c r="BS29" s="2435"/>
      <c r="BT29" s="2794">
        <f>+$J29*(BT17+BT18)</f>
        <v>0</v>
      </c>
      <c r="BU29" s="2435"/>
      <c r="BV29" s="2435"/>
      <c r="BW29" s="2794">
        <f>+$J29*(BW17+BW18)</f>
        <v>0</v>
      </c>
      <c r="BX29" s="2435"/>
      <c r="BY29" s="2435"/>
      <c r="BZ29" s="2794">
        <f>+$J29*(BZ17+BZ18)</f>
        <v>0</v>
      </c>
      <c r="CA29" s="2435"/>
      <c r="CB29" s="2435"/>
      <c r="CC29" s="2794">
        <f>+$J29*(CC17+CC18)</f>
        <v>0</v>
      </c>
      <c r="CD29" s="2435"/>
      <c r="CE29" s="2435"/>
      <c r="CF29" s="2794">
        <f>+$J29*(CF17+CF18)</f>
        <v>0</v>
      </c>
      <c r="CG29" s="2435"/>
      <c r="CH29" s="2435"/>
      <c r="CI29" s="2794">
        <f>+$J29*(CI17+CI18)</f>
        <v>0</v>
      </c>
      <c r="CJ29" s="2435"/>
      <c r="CK29" s="2435"/>
      <c r="CL29" s="2794">
        <f>+$J29*(CL17+CL18)</f>
        <v>0</v>
      </c>
      <c r="CM29" s="2435"/>
      <c r="CN29" s="2435"/>
      <c r="CO29" s="2794">
        <f>+$J29*(CO17+CO18)</f>
        <v>0</v>
      </c>
      <c r="CP29" s="2435"/>
      <c r="CQ29" s="2435"/>
      <c r="CR29" s="2794">
        <f>+$J29*(CR17+CR18)</f>
        <v>0</v>
      </c>
      <c r="CS29" s="2435"/>
      <c r="CT29" s="2435"/>
      <c r="CU29" s="2794">
        <f>+$J29*(CU17+CU18)</f>
        <v>0</v>
      </c>
      <c r="CV29" s="2435"/>
      <c r="CW29" s="2435"/>
      <c r="CX29" s="2794">
        <f>+$J29*(CX17+CX18)</f>
        <v>0</v>
      </c>
      <c r="CY29" s="2435"/>
      <c r="CZ29" s="2435"/>
      <c r="DA29" s="2794">
        <f>+$J29*(DA17+DA18)</f>
        <v>0</v>
      </c>
      <c r="DB29" s="2435"/>
      <c r="DC29" s="2435"/>
      <c r="DD29" s="2794">
        <f>+$J29*(DD17+DD18)</f>
        <v>0</v>
      </c>
      <c r="DE29" s="2435"/>
      <c r="DF29" s="2435"/>
      <c r="DG29" s="2794">
        <f>+$J29*(DG17+DG18)</f>
        <v>0</v>
      </c>
      <c r="DH29" s="2435"/>
      <c r="DI29" s="2435"/>
      <c r="DJ29" s="2794">
        <f>+$J29*(DJ17+DJ18)</f>
        <v>0</v>
      </c>
      <c r="DK29" s="2435"/>
      <c r="DL29" s="2435"/>
      <c r="DM29" s="2794">
        <f>+$J29*(DM17+DM18)</f>
        <v>0</v>
      </c>
      <c r="DN29" s="2435"/>
      <c r="DO29" s="2435"/>
      <c r="DP29" s="2794">
        <f>+$J29*(DP17+DP18)</f>
        <v>0</v>
      </c>
      <c r="DQ29" s="2435"/>
      <c r="DR29" s="2435"/>
      <c r="DS29" s="2794">
        <f>+$J29*(DS17+DS18)</f>
        <v>0</v>
      </c>
      <c r="DT29" s="2435"/>
      <c r="DU29" s="2435"/>
      <c r="DV29" s="2794">
        <f>+$J29*(DV17+DV18)</f>
        <v>0</v>
      </c>
      <c r="DW29" s="2435"/>
      <c r="DX29" s="2435"/>
      <c r="DY29" s="2896">
        <f>+$J29*(DY17+DY18)</f>
        <v>0</v>
      </c>
      <c r="DZ29" s="2435"/>
      <c r="EA29" s="1889"/>
      <c r="EB29" s="773"/>
    </row>
    <row r="30" spans="2:132" ht="18" customHeight="1">
      <c r="B30" s="2926" t="str">
        <f>'Operating Budget'!D52</f>
        <v xml:space="preserve">Vacancy Rate:  Commercial Income </v>
      </c>
      <c r="C30" s="1877"/>
      <c r="D30" s="1877"/>
      <c r="E30" s="1877"/>
      <c r="F30" s="1877"/>
      <c r="G30" s="1877"/>
      <c r="H30" s="1877"/>
      <c r="I30" s="1772"/>
      <c r="J30" s="2882">
        <f>'Operating Budget'!$F$52</f>
        <v>0.5</v>
      </c>
      <c r="K30" s="1778"/>
      <c r="L30" s="2922">
        <f>+$J30*L19</f>
        <v>0</v>
      </c>
      <c r="M30" s="2435"/>
      <c r="N30" s="2435"/>
      <c r="O30" s="2794">
        <f>+$J30*O19</f>
        <v>0</v>
      </c>
      <c r="P30" s="2435"/>
      <c r="Q30" s="2435"/>
      <c r="R30" s="2794">
        <f>+$J30*R19</f>
        <v>0</v>
      </c>
      <c r="S30" s="2435"/>
      <c r="T30" s="2435"/>
      <c r="U30" s="2794">
        <f>+$J30*U19</f>
        <v>0</v>
      </c>
      <c r="V30" s="2435"/>
      <c r="W30" s="2435"/>
      <c r="X30" s="2794">
        <f>+$J30*X19</f>
        <v>0</v>
      </c>
      <c r="Y30" s="2435"/>
      <c r="Z30" s="2435"/>
      <c r="AA30" s="2794">
        <f>+$J30*AA19</f>
        <v>0</v>
      </c>
      <c r="AB30" s="2435"/>
      <c r="AC30" s="2435"/>
      <c r="AD30" s="2794">
        <f>+$J30*AD19</f>
        <v>0</v>
      </c>
      <c r="AE30" s="2435"/>
      <c r="AF30" s="2435"/>
      <c r="AG30" s="2794">
        <f>+$J30*AG19</f>
        <v>0</v>
      </c>
      <c r="AH30" s="2435"/>
      <c r="AI30" s="2435"/>
      <c r="AJ30" s="2794">
        <f>+$J30*AJ19</f>
        <v>0</v>
      </c>
      <c r="AK30" s="2435"/>
      <c r="AL30" s="2435"/>
      <c r="AM30" s="2794">
        <f>+$J30*AM19</f>
        <v>0</v>
      </c>
      <c r="AN30" s="2435"/>
      <c r="AO30" s="2435"/>
      <c r="AP30" s="2794">
        <f>+$J30*AP19</f>
        <v>0</v>
      </c>
      <c r="AQ30" s="2435"/>
      <c r="AR30" s="2435"/>
      <c r="AS30" s="2794">
        <f>+$J30*AS19</f>
        <v>0</v>
      </c>
      <c r="AT30" s="2435"/>
      <c r="AU30" s="2435"/>
      <c r="AV30" s="2794">
        <f>+$J30*AV19</f>
        <v>0</v>
      </c>
      <c r="AW30" s="2435"/>
      <c r="AX30" s="2435"/>
      <c r="AY30" s="2794">
        <f>+$J30*AY19</f>
        <v>0</v>
      </c>
      <c r="AZ30" s="2435"/>
      <c r="BA30" s="2435"/>
      <c r="BB30" s="2794">
        <f>+$J30*BB19</f>
        <v>0</v>
      </c>
      <c r="BC30" s="2435"/>
      <c r="BD30" s="2435"/>
      <c r="BE30" s="2794">
        <f>+$J30*BE19</f>
        <v>0</v>
      </c>
      <c r="BF30" s="2435"/>
      <c r="BG30" s="2435"/>
      <c r="BH30" s="2794">
        <f>+$J30*BH19</f>
        <v>0</v>
      </c>
      <c r="BI30" s="2435"/>
      <c r="BJ30" s="2435"/>
      <c r="BK30" s="2794">
        <f>+$J30*BK19</f>
        <v>0</v>
      </c>
      <c r="BL30" s="2435"/>
      <c r="BM30" s="2435"/>
      <c r="BN30" s="2794">
        <f>+$J30*BN19</f>
        <v>0</v>
      </c>
      <c r="BO30" s="2435"/>
      <c r="BP30" s="2435"/>
      <c r="BQ30" s="2794">
        <f>+$J30*BQ19</f>
        <v>0</v>
      </c>
      <c r="BR30" s="2435"/>
      <c r="BS30" s="2435"/>
      <c r="BT30" s="2794">
        <f>+$J30*BT19</f>
        <v>0</v>
      </c>
      <c r="BU30" s="2435"/>
      <c r="BV30" s="2435"/>
      <c r="BW30" s="2794">
        <f>+$J30*BW19</f>
        <v>0</v>
      </c>
      <c r="BX30" s="2435"/>
      <c r="BY30" s="2435"/>
      <c r="BZ30" s="2794">
        <f>+$J30*BZ19</f>
        <v>0</v>
      </c>
      <c r="CA30" s="2435"/>
      <c r="CB30" s="2435"/>
      <c r="CC30" s="2794">
        <f>+$J30*CC19</f>
        <v>0</v>
      </c>
      <c r="CD30" s="2435"/>
      <c r="CE30" s="2435"/>
      <c r="CF30" s="2794">
        <f>+$J30*CF19</f>
        <v>0</v>
      </c>
      <c r="CG30" s="2435"/>
      <c r="CH30" s="2435"/>
      <c r="CI30" s="2794">
        <f>+$J30*CI19</f>
        <v>0</v>
      </c>
      <c r="CJ30" s="2435"/>
      <c r="CK30" s="2435"/>
      <c r="CL30" s="2794">
        <f>+$J30*CL19</f>
        <v>0</v>
      </c>
      <c r="CM30" s="2435"/>
      <c r="CN30" s="2435"/>
      <c r="CO30" s="2794">
        <f>+$J30*CO19</f>
        <v>0</v>
      </c>
      <c r="CP30" s="2435"/>
      <c r="CQ30" s="2435"/>
      <c r="CR30" s="2794">
        <f>+$J30*CR19</f>
        <v>0</v>
      </c>
      <c r="CS30" s="2435"/>
      <c r="CT30" s="2435"/>
      <c r="CU30" s="2794">
        <f>+$J30*CU19</f>
        <v>0</v>
      </c>
      <c r="CV30" s="2435"/>
      <c r="CW30" s="2435"/>
      <c r="CX30" s="2794">
        <f>+$J30*CX19</f>
        <v>0</v>
      </c>
      <c r="CY30" s="2435"/>
      <c r="CZ30" s="2435"/>
      <c r="DA30" s="2794">
        <f>+$J30*DA19</f>
        <v>0</v>
      </c>
      <c r="DB30" s="2435"/>
      <c r="DC30" s="2435"/>
      <c r="DD30" s="2794">
        <f>+$J30*DD19</f>
        <v>0</v>
      </c>
      <c r="DE30" s="2435"/>
      <c r="DF30" s="2435"/>
      <c r="DG30" s="2794">
        <f>+$J30*DG19</f>
        <v>0</v>
      </c>
      <c r="DH30" s="2435"/>
      <c r="DI30" s="2435"/>
      <c r="DJ30" s="2794">
        <f>+$J30*DJ19</f>
        <v>0</v>
      </c>
      <c r="DK30" s="2435"/>
      <c r="DL30" s="2435"/>
      <c r="DM30" s="2794">
        <f>+$J30*DM19</f>
        <v>0</v>
      </c>
      <c r="DN30" s="2435"/>
      <c r="DO30" s="2435"/>
      <c r="DP30" s="2794">
        <f>+$J30*DP19</f>
        <v>0</v>
      </c>
      <c r="DQ30" s="2435"/>
      <c r="DR30" s="2435"/>
      <c r="DS30" s="2794">
        <f>+$J30*DS19</f>
        <v>0</v>
      </c>
      <c r="DT30" s="2435"/>
      <c r="DU30" s="2435"/>
      <c r="DV30" s="2794">
        <f>+$J30*DV19</f>
        <v>0</v>
      </c>
      <c r="DW30" s="2435"/>
      <c r="DX30" s="2435"/>
      <c r="DY30" s="2896">
        <f>+$J30*DY19</f>
        <v>0</v>
      </c>
      <c r="DZ30" s="2435"/>
      <c r="EA30" s="1889"/>
      <c r="EB30" s="773"/>
    </row>
    <row r="31" spans="2:132" s="28" customFormat="1" ht="18" customHeight="1">
      <c r="B31" s="2892" t="s">
        <v>1929</v>
      </c>
      <c r="C31" s="2439"/>
      <c r="D31" s="2439"/>
      <c r="E31" s="2439"/>
      <c r="F31" s="2439"/>
      <c r="G31" s="2439"/>
      <c r="H31" s="2439"/>
      <c r="I31" s="2439"/>
      <c r="J31" s="2439"/>
      <c r="K31" s="2439"/>
      <c r="L31" s="2824">
        <f>SUM(L24:N30)</f>
        <v>0</v>
      </c>
      <c r="M31" s="1877"/>
      <c r="N31" s="1877"/>
      <c r="O31" s="2823">
        <f>SUM(O24:Q30)</f>
        <v>0</v>
      </c>
      <c r="P31" s="1877"/>
      <c r="Q31" s="1877"/>
      <c r="R31" s="2823">
        <f>SUM(R24:T30)</f>
        <v>0</v>
      </c>
      <c r="S31" s="1877"/>
      <c r="T31" s="1877"/>
      <c r="U31" s="2823">
        <f>SUM(U24:W30)</f>
        <v>0</v>
      </c>
      <c r="V31" s="1877"/>
      <c r="W31" s="1877"/>
      <c r="X31" s="2823">
        <f>SUM(X24:Z30)</f>
        <v>0</v>
      </c>
      <c r="Y31" s="1877"/>
      <c r="Z31" s="1877"/>
      <c r="AA31" s="2823">
        <f>SUM(AA24:AC30)</f>
        <v>0</v>
      </c>
      <c r="AB31" s="1877"/>
      <c r="AC31" s="1877"/>
      <c r="AD31" s="2823">
        <f>SUM(AD24:AF30)</f>
        <v>0</v>
      </c>
      <c r="AE31" s="1877"/>
      <c r="AF31" s="1877"/>
      <c r="AG31" s="2823">
        <f>SUM(AG24:AI30)</f>
        <v>0</v>
      </c>
      <c r="AH31" s="1877"/>
      <c r="AI31" s="1877"/>
      <c r="AJ31" s="2823">
        <f>SUM(AJ24:AL30)</f>
        <v>0</v>
      </c>
      <c r="AK31" s="1877"/>
      <c r="AL31" s="1877"/>
      <c r="AM31" s="2823">
        <f>SUM(AM24:AO30)</f>
        <v>0</v>
      </c>
      <c r="AN31" s="1877"/>
      <c r="AO31" s="1877"/>
      <c r="AP31" s="2823">
        <f>SUM(AP24:AR30)</f>
        <v>0</v>
      </c>
      <c r="AQ31" s="1877"/>
      <c r="AR31" s="1877"/>
      <c r="AS31" s="2823">
        <f>SUM(AS24:AU30)</f>
        <v>0</v>
      </c>
      <c r="AT31" s="1877"/>
      <c r="AU31" s="1877"/>
      <c r="AV31" s="2823">
        <f>SUM(AV24:AX30)</f>
        <v>0</v>
      </c>
      <c r="AW31" s="1877"/>
      <c r="AX31" s="1877"/>
      <c r="AY31" s="2823">
        <f>SUM(AY24:BA30)</f>
        <v>0</v>
      </c>
      <c r="AZ31" s="1877"/>
      <c r="BA31" s="1877"/>
      <c r="BB31" s="2823">
        <f>SUM(BB24:BD30)</f>
        <v>0</v>
      </c>
      <c r="BC31" s="1877"/>
      <c r="BD31" s="1877"/>
      <c r="BE31" s="2823">
        <f>SUM(BE24:BG30)</f>
        <v>0</v>
      </c>
      <c r="BF31" s="1877"/>
      <c r="BG31" s="1877"/>
      <c r="BH31" s="2823">
        <f>SUM(BH24:BJ30)</f>
        <v>0</v>
      </c>
      <c r="BI31" s="1877"/>
      <c r="BJ31" s="1877"/>
      <c r="BK31" s="2823">
        <f>SUM(BK24:BM30)</f>
        <v>0</v>
      </c>
      <c r="BL31" s="1877"/>
      <c r="BM31" s="1877"/>
      <c r="BN31" s="2823">
        <f>SUM(BN24:BP30)</f>
        <v>0</v>
      </c>
      <c r="BO31" s="1877"/>
      <c r="BP31" s="1877"/>
      <c r="BQ31" s="2823">
        <f>SUM(BQ24:BS30)</f>
        <v>0</v>
      </c>
      <c r="BR31" s="1877"/>
      <c r="BS31" s="1877"/>
      <c r="BT31" s="2823">
        <f>SUM(BT24:BV30)</f>
        <v>0</v>
      </c>
      <c r="BU31" s="1877"/>
      <c r="BV31" s="1877"/>
      <c r="BW31" s="2823">
        <f>SUM(BW24:BY30)</f>
        <v>0</v>
      </c>
      <c r="BX31" s="1877"/>
      <c r="BY31" s="1877"/>
      <c r="BZ31" s="2823">
        <f>SUM(BZ24:CB30)</f>
        <v>0</v>
      </c>
      <c r="CA31" s="1877"/>
      <c r="CB31" s="1877"/>
      <c r="CC31" s="2823">
        <f>SUM(CC24:CE30)</f>
        <v>0</v>
      </c>
      <c r="CD31" s="1877"/>
      <c r="CE31" s="1877"/>
      <c r="CF31" s="2823">
        <f>SUM(CF24:CH30)</f>
        <v>0</v>
      </c>
      <c r="CG31" s="1877"/>
      <c r="CH31" s="1877"/>
      <c r="CI31" s="2823">
        <f>SUM(CI24:CK30)</f>
        <v>0</v>
      </c>
      <c r="CJ31" s="1877"/>
      <c r="CK31" s="1877"/>
      <c r="CL31" s="2823">
        <f>SUM(CL24:CN30)</f>
        <v>0</v>
      </c>
      <c r="CM31" s="1877"/>
      <c r="CN31" s="1877"/>
      <c r="CO31" s="2823">
        <f>SUM(CO24:CQ30)</f>
        <v>0</v>
      </c>
      <c r="CP31" s="1877"/>
      <c r="CQ31" s="1877"/>
      <c r="CR31" s="2823">
        <f>SUM(CR24:CT30)</f>
        <v>0</v>
      </c>
      <c r="CS31" s="1877"/>
      <c r="CT31" s="1877"/>
      <c r="CU31" s="2823">
        <f>SUM(CU24:CW30)</f>
        <v>0</v>
      </c>
      <c r="CV31" s="1877"/>
      <c r="CW31" s="1877"/>
      <c r="CX31" s="2823">
        <f>SUM(CX24:CZ30)</f>
        <v>0</v>
      </c>
      <c r="CY31" s="1877"/>
      <c r="CZ31" s="1877"/>
      <c r="DA31" s="2823">
        <f>SUM(DA24:DC30)</f>
        <v>0</v>
      </c>
      <c r="DB31" s="1877"/>
      <c r="DC31" s="1877"/>
      <c r="DD31" s="2823">
        <f>SUM(DD24:DF30)</f>
        <v>0</v>
      </c>
      <c r="DE31" s="1877"/>
      <c r="DF31" s="1877"/>
      <c r="DG31" s="2823">
        <f>SUM(DG24:DI30)</f>
        <v>0</v>
      </c>
      <c r="DH31" s="1877"/>
      <c r="DI31" s="1877"/>
      <c r="DJ31" s="2823">
        <f>SUM(DJ24:DL30)</f>
        <v>0</v>
      </c>
      <c r="DK31" s="1877"/>
      <c r="DL31" s="1877"/>
      <c r="DM31" s="2823">
        <f>SUM(DM24:DO30)</f>
        <v>0</v>
      </c>
      <c r="DN31" s="1877"/>
      <c r="DO31" s="1877"/>
      <c r="DP31" s="2823">
        <f>SUM(DP24:DR30)</f>
        <v>0</v>
      </c>
      <c r="DQ31" s="1877"/>
      <c r="DR31" s="1877"/>
      <c r="DS31" s="2823">
        <f>SUM(DS24:DU30)</f>
        <v>0</v>
      </c>
      <c r="DT31" s="1877"/>
      <c r="DU31" s="1877"/>
      <c r="DV31" s="2823">
        <f>SUM(DV24:DX30)</f>
        <v>0</v>
      </c>
      <c r="DW31" s="1877"/>
      <c r="DX31" s="1877"/>
      <c r="DY31" s="2948">
        <f>SUM(DY24:EA30)</f>
        <v>0</v>
      </c>
      <c r="DZ31" s="1877"/>
      <c r="EA31" s="1772"/>
      <c r="EB31" s="322"/>
    </row>
    <row r="32" spans="2:132" s="28" customFormat="1" ht="18" customHeight="1" thickBot="1">
      <c r="B32" s="2891" t="s">
        <v>1930</v>
      </c>
      <c r="C32" s="2803"/>
      <c r="D32" s="2803"/>
      <c r="E32" s="2803"/>
      <c r="F32" s="2803"/>
      <c r="G32" s="2803"/>
      <c r="H32" s="2803"/>
      <c r="I32" s="2803"/>
      <c r="J32" s="2803"/>
      <c r="K32" s="2816"/>
      <c r="L32" s="2817">
        <f>L21-L31</f>
        <v>0</v>
      </c>
      <c r="M32" s="2803"/>
      <c r="N32" s="2803"/>
      <c r="O32" s="2817">
        <f>O21-O31</f>
        <v>0</v>
      </c>
      <c r="P32" s="2803"/>
      <c r="Q32" s="2803"/>
      <c r="R32" s="2817">
        <f>R21-R31</f>
        <v>0</v>
      </c>
      <c r="S32" s="2803"/>
      <c r="T32" s="2803"/>
      <c r="U32" s="2817">
        <f>U21-U31</f>
        <v>0</v>
      </c>
      <c r="V32" s="2803"/>
      <c r="W32" s="2803"/>
      <c r="X32" s="2817">
        <f>X21-X31</f>
        <v>0</v>
      </c>
      <c r="Y32" s="2803"/>
      <c r="Z32" s="2803"/>
      <c r="AA32" s="2817">
        <f>AA21-AA31</f>
        <v>0</v>
      </c>
      <c r="AB32" s="2803"/>
      <c r="AC32" s="2803"/>
      <c r="AD32" s="2817">
        <f>AD21-AD31</f>
        <v>0</v>
      </c>
      <c r="AE32" s="2803"/>
      <c r="AF32" s="2803"/>
      <c r="AG32" s="2817">
        <f>AG21-AG31</f>
        <v>0</v>
      </c>
      <c r="AH32" s="2803"/>
      <c r="AI32" s="2803"/>
      <c r="AJ32" s="2817">
        <f>AJ21-AJ31</f>
        <v>0</v>
      </c>
      <c r="AK32" s="2803"/>
      <c r="AL32" s="2803"/>
      <c r="AM32" s="2817">
        <f>AM21-AM31</f>
        <v>0</v>
      </c>
      <c r="AN32" s="2803"/>
      <c r="AO32" s="2803"/>
      <c r="AP32" s="2817">
        <f>AP21-AP31</f>
        <v>0</v>
      </c>
      <c r="AQ32" s="2803"/>
      <c r="AR32" s="2803"/>
      <c r="AS32" s="2817">
        <f>AS21-AS31</f>
        <v>0</v>
      </c>
      <c r="AT32" s="2803"/>
      <c r="AU32" s="2803"/>
      <c r="AV32" s="2817">
        <f>AV21-AV31</f>
        <v>0</v>
      </c>
      <c r="AW32" s="2803"/>
      <c r="AX32" s="2803"/>
      <c r="AY32" s="2817">
        <f>AY21-AY31</f>
        <v>0</v>
      </c>
      <c r="AZ32" s="2803"/>
      <c r="BA32" s="2803"/>
      <c r="BB32" s="2817">
        <f>BB21-BB31</f>
        <v>0</v>
      </c>
      <c r="BC32" s="2803"/>
      <c r="BD32" s="2803"/>
      <c r="BE32" s="2817">
        <f>BE21-BE31</f>
        <v>0</v>
      </c>
      <c r="BF32" s="2803"/>
      <c r="BG32" s="2803"/>
      <c r="BH32" s="2817">
        <f>BH21-BH31</f>
        <v>0</v>
      </c>
      <c r="BI32" s="2803"/>
      <c r="BJ32" s="2803"/>
      <c r="BK32" s="2817">
        <f>BK21-BK31</f>
        <v>0</v>
      </c>
      <c r="BL32" s="2803"/>
      <c r="BM32" s="2803"/>
      <c r="BN32" s="2817">
        <f>BN21-BN31</f>
        <v>0</v>
      </c>
      <c r="BO32" s="2803"/>
      <c r="BP32" s="2803"/>
      <c r="BQ32" s="2817">
        <f>BQ21-BQ31</f>
        <v>0</v>
      </c>
      <c r="BR32" s="2803"/>
      <c r="BS32" s="2803"/>
      <c r="BT32" s="2817">
        <f>BT21-BT31</f>
        <v>0</v>
      </c>
      <c r="BU32" s="2803"/>
      <c r="BV32" s="2803"/>
      <c r="BW32" s="2817">
        <f>BW21-BW31</f>
        <v>0</v>
      </c>
      <c r="BX32" s="2803"/>
      <c r="BY32" s="2803"/>
      <c r="BZ32" s="2817">
        <f>BZ21-BZ31</f>
        <v>0</v>
      </c>
      <c r="CA32" s="2803"/>
      <c r="CB32" s="2803"/>
      <c r="CC32" s="2817">
        <f>CC21-CC31</f>
        <v>0</v>
      </c>
      <c r="CD32" s="2803"/>
      <c r="CE32" s="2803"/>
      <c r="CF32" s="2817">
        <f>CF21-CF31</f>
        <v>0</v>
      </c>
      <c r="CG32" s="2803"/>
      <c r="CH32" s="2803"/>
      <c r="CI32" s="2817">
        <f>CI21-CI31</f>
        <v>0</v>
      </c>
      <c r="CJ32" s="2803"/>
      <c r="CK32" s="2803"/>
      <c r="CL32" s="2817">
        <f>CL21-CL31</f>
        <v>0</v>
      </c>
      <c r="CM32" s="2803"/>
      <c r="CN32" s="2803"/>
      <c r="CO32" s="2817">
        <f>CO21-CO31</f>
        <v>0</v>
      </c>
      <c r="CP32" s="2803"/>
      <c r="CQ32" s="2803"/>
      <c r="CR32" s="2817">
        <f>CR21-CR31</f>
        <v>0</v>
      </c>
      <c r="CS32" s="2803"/>
      <c r="CT32" s="2803"/>
      <c r="CU32" s="2817">
        <f>CU21-CU31</f>
        <v>0</v>
      </c>
      <c r="CV32" s="2803"/>
      <c r="CW32" s="2803"/>
      <c r="CX32" s="2817">
        <f>CX21-CX31</f>
        <v>0</v>
      </c>
      <c r="CY32" s="2803"/>
      <c r="CZ32" s="2803"/>
      <c r="DA32" s="2817">
        <f>DA21-DA31</f>
        <v>0</v>
      </c>
      <c r="DB32" s="2803"/>
      <c r="DC32" s="2803"/>
      <c r="DD32" s="2817">
        <f>DD21-DD31</f>
        <v>0</v>
      </c>
      <c r="DE32" s="2803"/>
      <c r="DF32" s="2803"/>
      <c r="DG32" s="2817">
        <f>DG21-DG31</f>
        <v>0</v>
      </c>
      <c r="DH32" s="2803"/>
      <c r="DI32" s="2803"/>
      <c r="DJ32" s="2817">
        <f>DJ21-DJ31</f>
        <v>0</v>
      </c>
      <c r="DK32" s="2803"/>
      <c r="DL32" s="2803"/>
      <c r="DM32" s="2817">
        <f>DM21-DM31</f>
        <v>0</v>
      </c>
      <c r="DN32" s="2803"/>
      <c r="DO32" s="2803"/>
      <c r="DP32" s="2817">
        <f>DP21-DP31</f>
        <v>0</v>
      </c>
      <c r="DQ32" s="2803"/>
      <c r="DR32" s="2803"/>
      <c r="DS32" s="2817">
        <f>DS21-DS31</f>
        <v>0</v>
      </c>
      <c r="DT32" s="2803"/>
      <c r="DU32" s="2803"/>
      <c r="DV32" s="2817">
        <f>DV21-DV31</f>
        <v>0</v>
      </c>
      <c r="DW32" s="2803"/>
      <c r="DX32" s="2803"/>
      <c r="DY32" s="2968">
        <f>DY21-DY31</f>
        <v>0</v>
      </c>
      <c r="DZ32" s="2803"/>
      <c r="EA32" s="2816"/>
      <c r="EB32" s="322"/>
    </row>
    <row r="33" spans="2:132" ht="9" customHeight="1" thickTop="1">
      <c r="D33" s="695"/>
      <c r="E33" s="695"/>
      <c r="F33" s="695"/>
      <c r="G33" s="695"/>
      <c r="H33" s="695"/>
      <c r="I33" s="695"/>
      <c r="J33" s="695"/>
      <c r="K33" s="695"/>
      <c r="L33" s="47"/>
      <c r="M33" s="48"/>
      <c r="N33" s="48"/>
      <c r="O33" s="48"/>
      <c r="P33" s="48"/>
      <c r="Q33" s="48"/>
      <c r="R33" s="48"/>
      <c r="S33" s="48"/>
      <c r="T33" s="48"/>
      <c r="U33" s="48"/>
      <c r="V33" s="48"/>
      <c r="W33" s="48"/>
      <c r="X33" s="48"/>
      <c r="Y33" s="48"/>
      <c r="Z33" s="48"/>
      <c r="AA33" s="48"/>
      <c r="AB33" s="48"/>
      <c r="AC33" s="48"/>
      <c r="AD33" s="48"/>
      <c r="AE33" s="48"/>
      <c r="AF33" s="48"/>
      <c r="AG33" s="48"/>
      <c r="AH33" s="48"/>
      <c r="AI33" s="48"/>
      <c r="AJ33" s="48"/>
      <c r="AK33" s="48"/>
      <c r="AL33" s="48"/>
      <c r="AM33" s="48"/>
      <c r="AN33" s="48"/>
      <c r="AO33" s="48"/>
      <c r="AP33" s="48"/>
      <c r="AQ33" s="48"/>
      <c r="AR33" s="48"/>
      <c r="AS33" s="48"/>
      <c r="AT33" s="48"/>
      <c r="AU33" s="48"/>
      <c r="AV33" s="48"/>
      <c r="AW33" s="48"/>
      <c r="AX33" s="48"/>
      <c r="AY33" s="48"/>
      <c r="AZ33" s="48"/>
      <c r="BA33" s="48"/>
      <c r="BB33" s="48"/>
      <c r="BC33" s="48"/>
      <c r="BD33" s="48"/>
      <c r="BE33" s="48"/>
      <c r="BF33" s="48"/>
      <c r="BG33" s="48"/>
      <c r="BH33" s="48"/>
      <c r="BI33" s="48"/>
      <c r="BJ33" s="48"/>
      <c r="BK33" s="48"/>
      <c r="BL33" s="48"/>
      <c r="BM33" s="48"/>
      <c r="BN33" s="48"/>
      <c r="BO33" s="48"/>
      <c r="BP33" s="48"/>
      <c r="BQ33" s="48"/>
      <c r="BR33" s="48"/>
      <c r="BS33" s="48"/>
      <c r="BT33" s="48"/>
      <c r="BU33" s="48"/>
      <c r="BV33" s="48"/>
      <c r="BW33" s="48"/>
      <c r="BX33" s="48"/>
      <c r="BY33" s="48"/>
      <c r="BZ33" s="48"/>
      <c r="CA33" s="48"/>
      <c r="CB33" s="48"/>
      <c r="CC33" s="48"/>
      <c r="CD33" s="48"/>
      <c r="CE33" s="48"/>
      <c r="CF33" s="48"/>
      <c r="CG33" s="48"/>
      <c r="CH33" s="48"/>
      <c r="CI33" s="48"/>
      <c r="CJ33" s="48"/>
      <c r="CK33" s="48"/>
      <c r="CL33" s="48"/>
      <c r="CM33" s="48"/>
      <c r="CN33" s="48"/>
      <c r="CO33" s="48"/>
      <c r="CP33" s="48"/>
      <c r="CQ33" s="48"/>
      <c r="CR33" s="48"/>
      <c r="CS33" s="48"/>
      <c r="CT33" s="48"/>
      <c r="CU33" s="48"/>
      <c r="CV33" s="48"/>
      <c r="CW33" s="48"/>
      <c r="CX33" s="48"/>
      <c r="CY33" s="48"/>
      <c r="CZ33" s="48"/>
      <c r="DA33" s="48"/>
      <c r="DB33" s="48"/>
      <c r="DC33" s="48"/>
      <c r="DD33" s="48"/>
      <c r="DE33" s="48"/>
      <c r="DF33" s="48"/>
      <c r="DG33" s="48"/>
      <c r="DH33" s="48"/>
      <c r="DI33" s="48"/>
      <c r="DJ33" s="48"/>
      <c r="DK33" s="48"/>
      <c r="DL33" s="48"/>
      <c r="DM33" s="48"/>
      <c r="DN33" s="48"/>
      <c r="DO33" s="48"/>
      <c r="DP33" s="48"/>
      <c r="DQ33" s="48"/>
      <c r="DR33" s="48"/>
      <c r="DS33" s="48"/>
      <c r="DT33" s="48"/>
      <c r="DU33" s="48"/>
      <c r="DV33" s="48"/>
      <c r="DW33" s="48"/>
      <c r="DX33" s="48"/>
      <c r="DY33" s="48"/>
      <c r="DZ33" s="48"/>
      <c r="EA33" s="48"/>
    </row>
    <row r="34" spans="2:132" s="29" customFormat="1" ht="18" customHeight="1">
      <c r="B34" s="2850" t="s">
        <v>1931</v>
      </c>
      <c r="C34" s="1777"/>
      <c r="D34" s="1777"/>
      <c r="E34" s="1777"/>
      <c r="F34" s="1777"/>
      <c r="G34" s="1777"/>
      <c r="H34" s="1777"/>
      <c r="I34" s="1777"/>
      <c r="J34" s="1777"/>
      <c r="K34" s="1778"/>
      <c r="L34" s="2843" t="s">
        <v>1879</v>
      </c>
      <c r="M34" s="1777"/>
      <c r="N34" s="1777"/>
      <c r="O34" s="2789" t="s">
        <v>1880</v>
      </c>
      <c r="P34" s="1777"/>
      <c r="Q34" s="1777"/>
      <c r="R34" s="2789" t="s">
        <v>1881</v>
      </c>
      <c r="S34" s="1777"/>
      <c r="T34" s="1777"/>
      <c r="U34" s="2789" t="s">
        <v>1882</v>
      </c>
      <c r="V34" s="1777"/>
      <c r="W34" s="1777"/>
      <c r="X34" s="2789" t="s">
        <v>1883</v>
      </c>
      <c r="Y34" s="1777"/>
      <c r="Z34" s="1777"/>
      <c r="AA34" s="2789" t="s">
        <v>1884</v>
      </c>
      <c r="AB34" s="1777"/>
      <c r="AC34" s="1777"/>
      <c r="AD34" s="2789" t="s">
        <v>1885</v>
      </c>
      <c r="AE34" s="1777"/>
      <c r="AF34" s="1777"/>
      <c r="AG34" s="2789" t="s">
        <v>1886</v>
      </c>
      <c r="AH34" s="1777"/>
      <c r="AI34" s="1777"/>
      <c r="AJ34" s="2789" t="s">
        <v>1887</v>
      </c>
      <c r="AK34" s="1777"/>
      <c r="AL34" s="1777"/>
      <c r="AM34" s="2789" t="s">
        <v>1888</v>
      </c>
      <c r="AN34" s="1777"/>
      <c r="AO34" s="1777"/>
      <c r="AP34" s="2789" t="s">
        <v>1889</v>
      </c>
      <c r="AQ34" s="1777"/>
      <c r="AR34" s="1777"/>
      <c r="AS34" s="2789" t="s">
        <v>1890</v>
      </c>
      <c r="AT34" s="1777"/>
      <c r="AU34" s="1777"/>
      <c r="AV34" s="2789" t="s">
        <v>1891</v>
      </c>
      <c r="AW34" s="1777"/>
      <c r="AX34" s="1777"/>
      <c r="AY34" s="2789" t="s">
        <v>1892</v>
      </c>
      <c r="AZ34" s="1777"/>
      <c r="BA34" s="1777"/>
      <c r="BB34" s="2789" t="s">
        <v>1893</v>
      </c>
      <c r="BC34" s="1777"/>
      <c r="BD34" s="1777"/>
      <c r="BE34" s="2789" t="s">
        <v>1894</v>
      </c>
      <c r="BF34" s="1777"/>
      <c r="BG34" s="1777"/>
      <c r="BH34" s="2789" t="s">
        <v>1895</v>
      </c>
      <c r="BI34" s="1777"/>
      <c r="BJ34" s="1777"/>
      <c r="BK34" s="2789" t="s">
        <v>1896</v>
      </c>
      <c r="BL34" s="1777"/>
      <c r="BM34" s="1777"/>
      <c r="BN34" s="2789" t="s">
        <v>1897</v>
      </c>
      <c r="BO34" s="1777"/>
      <c r="BP34" s="1777"/>
      <c r="BQ34" s="2789" t="s">
        <v>1898</v>
      </c>
      <c r="BR34" s="1777"/>
      <c r="BS34" s="1777"/>
      <c r="BT34" s="2789" t="s">
        <v>1899</v>
      </c>
      <c r="BU34" s="1777"/>
      <c r="BV34" s="1777"/>
      <c r="BW34" s="2789" t="s">
        <v>1900</v>
      </c>
      <c r="BX34" s="1777"/>
      <c r="BY34" s="1777"/>
      <c r="BZ34" s="2789" t="s">
        <v>1901</v>
      </c>
      <c r="CA34" s="1777"/>
      <c r="CB34" s="1777"/>
      <c r="CC34" s="2789" t="s">
        <v>1902</v>
      </c>
      <c r="CD34" s="1777"/>
      <c r="CE34" s="1777"/>
      <c r="CF34" s="2789" t="s">
        <v>1903</v>
      </c>
      <c r="CG34" s="1777"/>
      <c r="CH34" s="1777"/>
      <c r="CI34" s="2789" t="s">
        <v>1904</v>
      </c>
      <c r="CJ34" s="1777"/>
      <c r="CK34" s="1777"/>
      <c r="CL34" s="2789" t="s">
        <v>1905</v>
      </c>
      <c r="CM34" s="1777"/>
      <c r="CN34" s="1777"/>
      <c r="CO34" s="2789" t="s">
        <v>1906</v>
      </c>
      <c r="CP34" s="1777"/>
      <c r="CQ34" s="1777"/>
      <c r="CR34" s="2789" t="s">
        <v>1907</v>
      </c>
      <c r="CS34" s="1777"/>
      <c r="CT34" s="1777"/>
      <c r="CU34" s="2789" t="s">
        <v>1908</v>
      </c>
      <c r="CV34" s="1777"/>
      <c r="CW34" s="1777"/>
      <c r="CX34" s="2789" t="s">
        <v>1909</v>
      </c>
      <c r="CY34" s="1777"/>
      <c r="CZ34" s="1777"/>
      <c r="DA34" s="2789" t="s">
        <v>1910</v>
      </c>
      <c r="DB34" s="1777"/>
      <c r="DC34" s="1777"/>
      <c r="DD34" s="2789" t="s">
        <v>1911</v>
      </c>
      <c r="DE34" s="1777"/>
      <c r="DF34" s="1777"/>
      <c r="DG34" s="2789" t="s">
        <v>1912</v>
      </c>
      <c r="DH34" s="1777"/>
      <c r="DI34" s="1777"/>
      <c r="DJ34" s="2789" t="s">
        <v>1913</v>
      </c>
      <c r="DK34" s="1777"/>
      <c r="DL34" s="1777"/>
      <c r="DM34" s="2789" t="s">
        <v>1914</v>
      </c>
      <c r="DN34" s="1777"/>
      <c r="DO34" s="1777"/>
      <c r="DP34" s="2789" t="s">
        <v>1915</v>
      </c>
      <c r="DQ34" s="1777"/>
      <c r="DR34" s="1777"/>
      <c r="DS34" s="2789" t="s">
        <v>1916</v>
      </c>
      <c r="DT34" s="1777"/>
      <c r="DU34" s="1777"/>
      <c r="DV34" s="2789" t="s">
        <v>1917</v>
      </c>
      <c r="DW34" s="1777"/>
      <c r="DX34" s="1777"/>
      <c r="DY34" s="2895" t="s">
        <v>1918</v>
      </c>
      <c r="DZ34" s="1777"/>
      <c r="EA34" s="1778"/>
      <c r="EB34" s="773"/>
    </row>
    <row r="35" spans="2:132" ht="36" customHeight="1">
      <c r="B35" s="2918" t="s">
        <v>1932</v>
      </c>
      <c r="C35" s="2821"/>
      <c r="D35" s="2821"/>
      <c r="E35" s="2821"/>
      <c r="F35" s="2821"/>
      <c r="G35" s="2821"/>
      <c r="H35" s="2821"/>
      <c r="I35" s="2821"/>
      <c r="J35" s="2854">
        <v>3.5000000000000003E-2</v>
      </c>
      <c r="K35" s="1862"/>
      <c r="L35" s="2927">
        <f>+'Operating Budget'!$E$113-'Operating Budget'!$E$95-'Operating Budget'!$E$112</f>
        <v>0</v>
      </c>
      <c r="M35" s="1953"/>
      <c r="N35" s="1953"/>
      <c r="O35" s="2798">
        <f>(1+$J$35)*L35</f>
        <v>0</v>
      </c>
      <c r="P35" s="1953"/>
      <c r="Q35" s="1953"/>
      <c r="R35" s="2798">
        <f>(1+$J$35)*O35</f>
        <v>0</v>
      </c>
      <c r="S35" s="1953"/>
      <c r="T35" s="1953"/>
      <c r="U35" s="2798">
        <f>(1+$J$35)*R35</f>
        <v>0</v>
      </c>
      <c r="V35" s="1953"/>
      <c r="W35" s="1953"/>
      <c r="X35" s="2798">
        <f>(1+$J$35)*U35</f>
        <v>0</v>
      </c>
      <c r="Y35" s="1953"/>
      <c r="Z35" s="1953"/>
      <c r="AA35" s="2798">
        <f>(1+$J$35)*X35</f>
        <v>0</v>
      </c>
      <c r="AB35" s="1953"/>
      <c r="AC35" s="1953"/>
      <c r="AD35" s="2798">
        <f>(1+$J$35)*AA35</f>
        <v>0</v>
      </c>
      <c r="AE35" s="1953"/>
      <c r="AF35" s="1953"/>
      <c r="AG35" s="2798">
        <f>(1+$J$35)*AD35</f>
        <v>0</v>
      </c>
      <c r="AH35" s="1953"/>
      <c r="AI35" s="1953"/>
      <c r="AJ35" s="2798">
        <f>(1+$J$35)*AG35</f>
        <v>0</v>
      </c>
      <c r="AK35" s="1953"/>
      <c r="AL35" s="1953"/>
      <c r="AM35" s="2798">
        <f>(1+$J$35)*AJ35</f>
        <v>0</v>
      </c>
      <c r="AN35" s="1953"/>
      <c r="AO35" s="1953"/>
      <c r="AP35" s="2798">
        <f>(1+$J$35)*AM35</f>
        <v>0</v>
      </c>
      <c r="AQ35" s="1953"/>
      <c r="AR35" s="1953"/>
      <c r="AS35" s="2798">
        <f>(1+$J$35)*AP35</f>
        <v>0</v>
      </c>
      <c r="AT35" s="1953"/>
      <c r="AU35" s="1953"/>
      <c r="AV35" s="2798">
        <f>(1+$J$35)*AS35</f>
        <v>0</v>
      </c>
      <c r="AW35" s="1953"/>
      <c r="AX35" s="1953"/>
      <c r="AY35" s="2798">
        <f>(1+$J$35)*AV35</f>
        <v>0</v>
      </c>
      <c r="AZ35" s="1953"/>
      <c r="BA35" s="1953"/>
      <c r="BB35" s="2798">
        <f>(1+$J$35)*AY35</f>
        <v>0</v>
      </c>
      <c r="BC35" s="1953"/>
      <c r="BD35" s="1953"/>
      <c r="BE35" s="2798">
        <f>(1+$J$35)*BB35</f>
        <v>0</v>
      </c>
      <c r="BF35" s="1953"/>
      <c r="BG35" s="1953"/>
      <c r="BH35" s="2798">
        <f>(1+$J$35)*BE35</f>
        <v>0</v>
      </c>
      <c r="BI35" s="1953"/>
      <c r="BJ35" s="1953"/>
      <c r="BK35" s="2798">
        <f>(1+$J$35)*BH35</f>
        <v>0</v>
      </c>
      <c r="BL35" s="1953"/>
      <c r="BM35" s="1953"/>
      <c r="BN35" s="2798">
        <f>(1+$J$35)*BK35</f>
        <v>0</v>
      </c>
      <c r="BO35" s="1953"/>
      <c r="BP35" s="1953"/>
      <c r="BQ35" s="2798">
        <f>(1+$J$35)*BN35</f>
        <v>0</v>
      </c>
      <c r="BR35" s="1953"/>
      <c r="BS35" s="1953"/>
      <c r="BT35" s="2798">
        <f>(1+$J$35)*BQ35</f>
        <v>0</v>
      </c>
      <c r="BU35" s="1953"/>
      <c r="BV35" s="1953"/>
      <c r="BW35" s="2798">
        <f>(1+$J$35)*BT35</f>
        <v>0</v>
      </c>
      <c r="BX35" s="1953"/>
      <c r="BY35" s="1953"/>
      <c r="BZ35" s="2798">
        <f>(1+$J$35)*BW35</f>
        <v>0</v>
      </c>
      <c r="CA35" s="1953"/>
      <c r="CB35" s="1953"/>
      <c r="CC35" s="2798">
        <f>(1+$J$35)*BZ35</f>
        <v>0</v>
      </c>
      <c r="CD35" s="1953"/>
      <c r="CE35" s="1953"/>
      <c r="CF35" s="2798">
        <f>(1+$J$35)*CC35</f>
        <v>0</v>
      </c>
      <c r="CG35" s="1953"/>
      <c r="CH35" s="1953"/>
      <c r="CI35" s="2798">
        <f>(1+$J$35)*CF35</f>
        <v>0</v>
      </c>
      <c r="CJ35" s="1953"/>
      <c r="CK35" s="1953"/>
      <c r="CL35" s="2798">
        <f>(1+$J$35)*CI35</f>
        <v>0</v>
      </c>
      <c r="CM35" s="1953"/>
      <c r="CN35" s="1953"/>
      <c r="CO35" s="2798">
        <f>(1+$J$35)*CL35</f>
        <v>0</v>
      </c>
      <c r="CP35" s="1953"/>
      <c r="CQ35" s="1953"/>
      <c r="CR35" s="2798">
        <f>(1+$J$35)*CO35</f>
        <v>0</v>
      </c>
      <c r="CS35" s="1953"/>
      <c r="CT35" s="1953"/>
      <c r="CU35" s="2798">
        <f>(1+$J$35)*CR35</f>
        <v>0</v>
      </c>
      <c r="CV35" s="1953"/>
      <c r="CW35" s="1953"/>
      <c r="CX35" s="2798">
        <f>(1+$J$35)*CU35</f>
        <v>0</v>
      </c>
      <c r="CY35" s="1953"/>
      <c r="CZ35" s="1953"/>
      <c r="DA35" s="2798">
        <f>(1+$J$35)*CX35</f>
        <v>0</v>
      </c>
      <c r="DB35" s="1953"/>
      <c r="DC35" s="1953"/>
      <c r="DD35" s="2798">
        <f>(1+$J$35)*DA35</f>
        <v>0</v>
      </c>
      <c r="DE35" s="1953"/>
      <c r="DF35" s="1953"/>
      <c r="DG35" s="2798">
        <f>(1+$J$35)*DD35</f>
        <v>0</v>
      </c>
      <c r="DH35" s="1953"/>
      <c r="DI35" s="1953"/>
      <c r="DJ35" s="2798">
        <f>(1+$J$35)*DG35</f>
        <v>0</v>
      </c>
      <c r="DK35" s="1953"/>
      <c r="DL35" s="1953"/>
      <c r="DM35" s="2798">
        <f>(1+$J$35)*DJ35</f>
        <v>0</v>
      </c>
      <c r="DN35" s="1953"/>
      <c r="DO35" s="1953"/>
      <c r="DP35" s="2798">
        <f>(1+$J$35)*DM35</f>
        <v>0</v>
      </c>
      <c r="DQ35" s="1953"/>
      <c r="DR35" s="1953"/>
      <c r="DS35" s="2798">
        <f>(1+$J$35)*DP35</f>
        <v>0</v>
      </c>
      <c r="DT35" s="1953"/>
      <c r="DU35" s="1953"/>
      <c r="DV35" s="2798">
        <f>(1+$J$35)*DS35</f>
        <v>0</v>
      </c>
      <c r="DW35" s="1953"/>
      <c r="DX35" s="1953"/>
      <c r="DY35" s="2838">
        <f>(1+$J$35)*DV35</f>
        <v>0</v>
      </c>
      <c r="DZ35" s="1953"/>
      <c r="EA35" s="1770"/>
      <c r="EB35" s="773"/>
    </row>
    <row r="36" spans="2:132" ht="18" customHeight="1">
      <c r="B36" s="2892" t="s">
        <v>310</v>
      </c>
      <c r="C36" s="2821"/>
      <c r="D36" s="2821"/>
      <c r="E36" s="2821"/>
      <c r="F36" s="2821"/>
      <c r="G36" s="2821"/>
      <c r="H36" s="2821"/>
      <c r="I36" s="2821"/>
      <c r="J36" s="2854">
        <v>0.02</v>
      </c>
      <c r="K36" s="1862"/>
      <c r="L36" s="2856">
        <f>+'Operating Budget'!$E$95</f>
        <v>0</v>
      </c>
      <c r="M36" s="2435"/>
      <c r="N36" s="2435"/>
      <c r="O36" s="2792">
        <f>(1+$J$36)*L36</f>
        <v>0</v>
      </c>
      <c r="P36" s="2435"/>
      <c r="Q36" s="2435"/>
      <c r="R36" s="2792">
        <f>(1+$J$36)*O36</f>
        <v>0</v>
      </c>
      <c r="S36" s="2435"/>
      <c r="T36" s="2435"/>
      <c r="U36" s="2792">
        <f>(1+$J$36)*R36</f>
        <v>0</v>
      </c>
      <c r="V36" s="2435"/>
      <c r="W36" s="2435"/>
      <c r="X36" s="2792">
        <f>(1+$J$36)*U36</f>
        <v>0</v>
      </c>
      <c r="Y36" s="2435"/>
      <c r="Z36" s="2435"/>
      <c r="AA36" s="2792">
        <f>(1+$J$36)*X36</f>
        <v>0</v>
      </c>
      <c r="AB36" s="2435"/>
      <c r="AC36" s="2435"/>
      <c r="AD36" s="2792">
        <f>(1+$J$36)*AA36</f>
        <v>0</v>
      </c>
      <c r="AE36" s="2435"/>
      <c r="AF36" s="2435"/>
      <c r="AG36" s="2792">
        <f>(1+$J$36)*AD36</f>
        <v>0</v>
      </c>
      <c r="AH36" s="2435"/>
      <c r="AI36" s="2435"/>
      <c r="AJ36" s="2792">
        <f>(1+$J$36)*AG36</f>
        <v>0</v>
      </c>
      <c r="AK36" s="2435"/>
      <c r="AL36" s="2435"/>
      <c r="AM36" s="2792">
        <f>(1+$J$36)*AJ36</f>
        <v>0</v>
      </c>
      <c r="AN36" s="2435"/>
      <c r="AO36" s="2435"/>
      <c r="AP36" s="2792">
        <f>(1+$J$36)*AM36</f>
        <v>0</v>
      </c>
      <c r="AQ36" s="2435"/>
      <c r="AR36" s="2435"/>
      <c r="AS36" s="2792">
        <f>(1+$J$36)*AP36</f>
        <v>0</v>
      </c>
      <c r="AT36" s="2435"/>
      <c r="AU36" s="2435"/>
      <c r="AV36" s="2792">
        <f>(1+$J$36)*AS36</f>
        <v>0</v>
      </c>
      <c r="AW36" s="2435"/>
      <c r="AX36" s="2435"/>
      <c r="AY36" s="2792">
        <f>(1+$J$36)*AV36</f>
        <v>0</v>
      </c>
      <c r="AZ36" s="2435"/>
      <c r="BA36" s="2435"/>
      <c r="BB36" s="2792">
        <f>(1+$J$36)*AY36</f>
        <v>0</v>
      </c>
      <c r="BC36" s="2435"/>
      <c r="BD36" s="2435"/>
      <c r="BE36" s="2792">
        <f>(1+$J$36)*BB36</f>
        <v>0</v>
      </c>
      <c r="BF36" s="2435"/>
      <c r="BG36" s="2435"/>
      <c r="BH36" s="2792">
        <f>(1+$J$36)*BE36</f>
        <v>0</v>
      </c>
      <c r="BI36" s="2435"/>
      <c r="BJ36" s="2435"/>
      <c r="BK36" s="2792">
        <f>(1+$J$36)*BH36</f>
        <v>0</v>
      </c>
      <c r="BL36" s="2435"/>
      <c r="BM36" s="2435"/>
      <c r="BN36" s="2792">
        <f>(1+$J$36)*BK36</f>
        <v>0</v>
      </c>
      <c r="BO36" s="2435"/>
      <c r="BP36" s="2435"/>
      <c r="BQ36" s="2792">
        <f>(1+$J$36)*BN36</f>
        <v>0</v>
      </c>
      <c r="BR36" s="2435"/>
      <c r="BS36" s="2435"/>
      <c r="BT36" s="2792">
        <f>(1+$J$36)*BQ36</f>
        <v>0</v>
      </c>
      <c r="BU36" s="2435"/>
      <c r="BV36" s="2435"/>
      <c r="BW36" s="2792">
        <f>(1+$J$36)*BT36</f>
        <v>0</v>
      </c>
      <c r="BX36" s="2435"/>
      <c r="BY36" s="2435"/>
      <c r="BZ36" s="2792">
        <f>(1+$J$36)*BW36</f>
        <v>0</v>
      </c>
      <c r="CA36" s="2435"/>
      <c r="CB36" s="2435"/>
      <c r="CC36" s="2792">
        <f>(1+$J$36)*BZ36</f>
        <v>0</v>
      </c>
      <c r="CD36" s="2435"/>
      <c r="CE36" s="2435"/>
      <c r="CF36" s="2792">
        <f>(1+$J$36)*CC36</f>
        <v>0</v>
      </c>
      <c r="CG36" s="2435"/>
      <c r="CH36" s="2435"/>
      <c r="CI36" s="2792">
        <f>(1+$J$36)*CF36</f>
        <v>0</v>
      </c>
      <c r="CJ36" s="2435"/>
      <c r="CK36" s="2435"/>
      <c r="CL36" s="2792">
        <f>(1+$J$36)*CI36</f>
        <v>0</v>
      </c>
      <c r="CM36" s="2435"/>
      <c r="CN36" s="2435"/>
      <c r="CO36" s="2792">
        <f>(1+$J$36)*CL36</f>
        <v>0</v>
      </c>
      <c r="CP36" s="2435"/>
      <c r="CQ36" s="2435"/>
      <c r="CR36" s="2792">
        <f>(1+$J$36)*CO36</f>
        <v>0</v>
      </c>
      <c r="CS36" s="2435"/>
      <c r="CT36" s="2435"/>
      <c r="CU36" s="2792">
        <f>(1+$J$36)*CR36</f>
        <v>0</v>
      </c>
      <c r="CV36" s="2435"/>
      <c r="CW36" s="2435"/>
      <c r="CX36" s="2792">
        <f>(1+$J$36)*CU36</f>
        <v>0</v>
      </c>
      <c r="CY36" s="2435"/>
      <c r="CZ36" s="2435"/>
      <c r="DA36" s="2792">
        <f>(1+$J$36)*CX36</f>
        <v>0</v>
      </c>
      <c r="DB36" s="2435"/>
      <c r="DC36" s="2435"/>
      <c r="DD36" s="2792">
        <f>(1+$J$36)*DA36</f>
        <v>0</v>
      </c>
      <c r="DE36" s="2435"/>
      <c r="DF36" s="2435"/>
      <c r="DG36" s="2792">
        <f>(1+$J$36)*DD36</f>
        <v>0</v>
      </c>
      <c r="DH36" s="2435"/>
      <c r="DI36" s="2435"/>
      <c r="DJ36" s="2792">
        <f>(1+$J$36)*DG36</f>
        <v>0</v>
      </c>
      <c r="DK36" s="2435"/>
      <c r="DL36" s="2435"/>
      <c r="DM36" s="2792">
        <f>(1+$J$36)*DJ36</f>
        <v>0</v>
      </c>
      <c r="DN36" s="2435"/>
      <c r="DO36" s="2435"/>
      <c r="DP36" s="2792">
        <f>(1+$J$36)*DM36</f>
        <v>0</v>
      </c>
      <c r="DQ36" s="2435"/>
      <c r="DR36" s="2435"/>
      <c r="DS36" s="2792">
        <f>(1+$J$36)*DP36</f>
        <v>0</v>
      </c>
      <c r="DT36" s="2435"/>
      <c r="DU36" s="2435"/>
      <c r="DV36" s="2792">
        <f>(1+$J$36)*DS36</f>
        <v>0</v>
      </c>
      <c r="DW36" s="2435"/>
      <c r="DX36" s="2435"/>
      <c r="DY36" s="2832">
        <f>(1+$J$36)*DV36</f>
        <v>0</v>
      </c>
      <c r="DZ36" s="2435"/>
      <c r="EA36" s="1889"/>
      <c r="EB36" s="773"/>
    </row>
    <row r="37" spans="2:132" ht="18" customHeight="1">
      <c r="B37" s="2892" t="s">
        <v>433</v>
      </c>
      <c r="C37" s="2821"/>
      <c r="D37" s="2821"/>
      <c r="E37" s="2821"/>
      <c r="F37" s="2821"/>
      <c r="G37" s="2821"/>
      <c r="H37" s="2821"/>
      <c r="I37" s="2821"/>
      <c r="J37" s="2854">
        <v>3.5000000000000003E-2</v>
      </c>
      <c r="K37" s="1862"/>
      <c r="L37" s="2856">
        <f>'Operating Budget'!$E$112</f>
        <v>0</v>
      </c>
      <c r="M37" s="2435"/>
      <c r="N37" s="2435"/>
      <c r="O37" s="2792">
        <f>(1+$J$37)*L37</f>
        <v>0</v>
      </c>
      <c r="P37" s="2435"/>
      <c r="Q37" s="2435"/>
      <c r="R37" s="2792">
        <f>(1+$J$37)*O37</f>
        <v>0</v>
      </c>
      <c r="S37" s="2435"/>
      <c r="T37" s="2435"/>
      <c r="U37" s="2792">
        <f>(1+$J$37)*R37</f>
        <v>0</v>
      </c>
      <c r="V37" s="2435"/>
      <c r="W37" s="2435"/>
      <c r="X37" s="2792">
        <f>(1+$J$37)*U37</f>
        <v>0</v>
      </c>
      <c r="Y37" s="2435"/>
      <c r="Z37" s="2435"/>
      <c r="AA37" s="2792">
        <f>(1+$J$37)*X37</f>
        <v>0</v>
      </c>
      <c r="AB37" s="2435"/>
      <c r="AC37" s="2435"/>
      <c r="AD37" s="2792">
        <f>(1+$J$37)*AA37</f>
        <v>0</v>
      </c>
      <c r="AE37" s="2435"/>
      <c r="AF37" s="2435"/>
      <c r="AG37" s="2792">
        <f>(1+$J$37)*AD37</f>
        <v>0</v>
      </c>
      <c r="AH37" s="2435"/>
      <c r="AI37" s="2435"/>
      <c r="AJ37" s="2792">
        <f>(1+$J$37)*AG37</f>
        <v>0</v>
      </c>
      <c r="AK37" s="2435"/>
      <c r="AL37" s="2435"/>
      <c r="AM37" s="2792">
        <f>(1+$J$37)*AJ37</f>
        <v>0</v>
      </c>
      <c r="AN37" s="2435"/>
      <c r="AO37" s="2435"/>
      <c r="AP37" s="2792">
        <f>(1+$J$37)*AM37</f>
        <v>0</v>
      </c>
      <c r="AQ37" s="2435"/>
      <c r="AR37" s="2435"/>
      <c r="AS37" s="2792">
        <f>(1+$J$37)*AP37</f>
        <v>0</v>
      </c>
      <c r="AT37" s="2435"/>
      <c r="AU37" s="2435"/>
      <c r="AV37" s="2792">
        <f>(1+$J$37)*AS37</f>
        <v>0</v>
      </c>
      <c r="AW37" s="2435"/>
      <c r="AX37" s="2435"/>
      <c r="AY37" s="2792">
        <f>(1+$J$37)*AV37</f>
        <v>0</v>
      </c>
      <c r="AZ37" s="2435"/>
      <c r="BA37" s="2435"/>
      <c r="BB37" s="2792">
        <f>(1+$J$37)*AY37</f>
        <v>0</v>
      </c>
      <c r="BC37" s="2435"/>
      <c r="BD37" s="2435"/>
      <c r="BE37" s="2792">
        <f>(1+$J$37)*BB37</f>
        <v>0</v>
      </c>
      <c r="BF37" s="2435"/>
      <c r="BG37" s="2435"/>
      <c r="BH37" s="2792">
        <f>(1+$J$37)*BE37</f>
        <v>0</v>
      </c>
      <c r="BI37" s="2435"/>
      <c r="BJ37" s="2435"/>
      <c r="BK37" s="2792">
        <f>(1+$J$37)*BH37</f>
        <v>0</v>
      </c>
      <c r="BL37" s="2435"/>
      <c r="BM37" s="2435"/>
      <c r="BN37" s="2792">
        <f>(1+$J$37)*BK37</f>
        <v>0</v>
      </c>
      <c r="BO37" s="2435"/>
      <c r="BP37" s="2435"/>
      <c r="BQ37" s="2792">
        <f>(1+$J$37)*BN37</f>
        <v>0</v>
      </c>
      <c r="BR37" s="2435"/>
      <c r="BS37" s="2435"/>
      <c r="BT37" s="2792">
        <f>(1+$J$37)*BQ37</f>
        <v>0</v>
      </c>
      <c r="BU37" s="2435"/>
      <c r="BV37" s="2435"/>
      <c r="BW37" s="2792">
        <f>(1+$J$37)*BT37</f>
        <v>0</v>
      </c>
      <c r="BX37" s="2435"/>
      <c r="BY37" s="2435"/>
      <c r="BZ37" s="2792">
        <f>(1+$J$37)*BW37</f>
        <v>0</v>
      </c>
      <c r="CA37" s="2435"/>
      <c r="CB37" s="2435"/>
      <c r="CC37" s="2792">
        <f>(1+$J$37)*BZ37</f>
        <v>0</v>
      </c>
      <c r="CD37" s="2435"/>
      <c r="CE37" s="2435"/>
      <c r="CF37" s="2792">
        <f>(1+$J$37)*CC37</f>
        <v>0</v>
      </c>
      <c r="CG37" s="2435"/>
      <c r="CH37" s="2435"/>
      <c r="CI37" s="2792">
        <f>(1+$J$37)*CF37</f>
        <v>0</v>
      </c>
      <c r="CJ37" s="2435"/>
      <c r="CK37" s="2435"/>
      <c r="CL37" s="2792">
        <f>(1+$J$37)*CI37</f>
        <v>0</v>
      </c>
      <c r="CM37" s="2435"/>
      <c r="CN37" s="2435"/>
      <c r="CO37" s="2792">
        <f>(1+$J$37)*CL37</f>
        <v>0</v>
      </c>
      <c r="CP37" s="2435"/>
      <c r="CQ37" s="2435"/>
      <c r="CR37" s="2792">
        <f>(1+$J$37)*CO37</f>
        <v>0</v>
      </c>
      <c r="CS37" s="2435"/>
      <c r="CT37" s="2435"/>
      <c r="CU37" s="2792">
        <f>(1+$J$37)*CR37</f>
        <v>0</v>
      </c>
      <c r="CV37" s="2435"/>
      <c r="CW37" s="2435"/>
      <c r="CX37" s="2792">
        <f>(1+$J$37)*CU37</f>
        <v>0</v>
      </c>
      <c r="CY37" s="2435"/>
      <c r="CZ37" s="2435"/>
      <c r="DA37" s="2792">
        <f>(1+$J$37)*CX37</f>
        <v>0</v>
      </c>
      <c r="DB37" s="2435"/>
      <c r="DC37" s="2435"/>
      <c r="DD37" s="2792">
        <f>(1+$J$37)*DA37</f>
        <v>0</v>
      </c>
      <c r="DE37" s="2435"/>
      <c r="DF37" s="2435"/>
      <c r="DG37" s="2792">
        <f>(1+$J$37)*DD37</f>
        <v>0</v>
      </c>
      <c r="DH37" s="2435"/>
      <c r="DI37" s="2435"/>
      <c r="DJ37" s="2792">
        <f>(1+$J$37)*DG37</f>
        <v>0</v>
      </c>
      <c r="DK37" s="2435"/>
      <c r="DL37" s="2435"/>
      <c r="DM37" s="2792">
        <f>(1+$J$37)*DJ37</f>
        <v>0</v>
      </c>
      <c r="DN37" s="2435"/>
      <c r="DO37" s="2435"/>
      <c r="DP37" s="2792">
        <f>(1+$J$37)*DM37</f>
        <v>0</v>
      </c>
      <c r="DQ37" s="2435"/>
      <c r="DR37" s="2435"/>
      <c r="DS37" s="2792">
        <f>(1+$J$37)*DP37</f>
        <v>0</v>
      </c>
      <c r="DT37" s="2435"/>
      <c r="DU37" s="2435"/>
      <c r="DV37" s="2792">
        <f>(1+$J$37)*DS37</f>
        <v>0</v>
      </c>
      <c r="DW37" s="2435"/>
      <c r="DX37" s="2435"/>
      <c r="DY37" s="2832">
        <f>(1+$J$37)*DV37</f>
        <v>0</v>
      </c>
      <c r="DZ37" s="2435"/>
      <c r="EA37" s="1889"/>
      <c r="EB37" s="773"/>
    </row>
    <row r="38" spans="2:132" ht="36" customHeight="1">
      <c r="B38" s="2852" t="str">
        <f>'Operating Budget'!$D$116</f>
        <v>Required Replacement Reserve Deposits</v>
      </c>
      <c r="C38" s="2821"/>
      <c r="D38" s="2821"/>
      <c r="E38" s="2821"/>
      <c r="F38" s="2821"/>
      <c r="G38" s="2821"/>
      <c r="H38" s="2821"/>
      <c r="I38" s="2821"/>
      <c r="J38" s="2854">
        <v>0</v>
      </c>
      <c r="K38" s="1862"/>
      <c r="L38" s="2856">
        <f>+'Operating Budget'!$E$116+'Operating Budget'!$F$116</f>
        <v>0</v>
      </c>
      <c r="M38" s="2435"/>
      <c r="N38" s="2435"/>
      <c r="O38" s="2792">
        <f>(1+$J$38)*L38</f>
        <v>0</v>
      </c>
      <c r="P38" s="2435"/>
      <c r="Q38" s="2435"/>
      <c r="R38" s="2792">
        <f>(1+$J$38)*O38</f>
        <v>0</v>
      </c>
      <c r="S38" s="2435"/>
      <c r="T38" s="2435"/>
      <c r="U38" s="2792">
        <f>(1+$J$38)*R38</f>
        <v>0</v>
      </c>
      <c r="V38" s="2435"/>
      <c r="W38" s="2435"/>
      <c r="X38" s="2792">
        <f>(1+$J$38)*U38</f>
        <v>0</v>
      </c>
      <c r="Y38" s="2435"/>
      <c r="Z38" s="2435"/>
      <c r="AA38" s="2792">
        <f>(1+$J$38)*X38</f>
        <v>0</v>
      </c>
      <c r="AB38" s="2435"/>
      <c r="AC38" s="2435"/>
      <c r="AD38" s="2792">
        <f>(1+$J$38)*AA38</f>
        <v>0</v>
      </c>
      <c r="AE38" s="2435"/>
      <c r="AF38" s="2435"/>
      <c r="AG38" s="2792">
        <f>(1+$J$38)*AD38</f>
        <v>0</v>
      </c>
      <c r="AH38" s="2435"/>
      <c r="AI38" s="2435"/>
      <c r="AJ38" s="2792">
        <f>(1+$J$38)*AG38</f>
        <v>0</v>
      </c>
      <c r="AK38" s="2435"/>
      <c r="AL38" s="2435"/>
      <c r="AM38" s="2792">
        <f>(1+$J$38)*AJ38</f>
        <v>0</v>
      </c>
      <c r="AN38" s="2435"/>
      <c r="AO38" s="2435"/>
      <c r="AP38" s="2792">
        <f>(1+$J$38)*AM38</f>
        <v>0</v>
      </c>
      <c r="AQ38" s="2435"/>
      <c r="AR38" s="2435"/>
      <c r="AS38" s="2792">
        <f>(1+$J$38)*AP38</f>
        <v>0</v>
      </c>
      <c r="AT38" s="2435"/>
      <c r="AU38" s="2435"/>
      <c r="AV38" s="2792">
        <f>(1+$J$38)*AS38</f>
        <v>0</v>
      </c>
      <c r="AW38" s="2435"/>
      <c r="AX38" s="2435"/>
      <c r="AY38" s="2792">
        <f>(1+$J$38)*AV38</f>
        <v>0</v>
      </c>
      <c r="AZ38" s="2435"/>
      <c r="BA38" s="2435"/>
      <c r="BB38" s="2792">
        <f>(1+$J$38)*AY38</f>
        <v>0</v>
      </c>
      <c r="BC38" s="2435"/>
      <c r="BD38" s="2435"/>
      <c r="BE38" s="2792">
        <f>(1+$J$38)*BB38</f>
        <v>0</v>
      </c>
      <c r="BF38" s="2435"/>
      <c r="BG38" s="2435"/>
      <c r="BH38" s="2792">
        <f>(1+$J$38)*BE38</f>
        <v>0</v>
      </c>
      <c r="BI38" s="2435"/>
      <c r="BJ38" s="2435"/>
      <c r="BK38" s="2792">
        <f>(1+$J$38)*BH38</f>
        <v>0</v>
      </c>
      <c r="BL38" s="2435"/>
      <c r="BM38" s="2435"/>
      <c r="BN38" s="2792">
        <f>(1+$J$38)*BK38</f>
        <v>0</v>
      </c>
      <c r="BO38" s="2435"/>
      <c r="BP38" s="2435"/>
      <c r="BQ38" s="2792">
        <f>(1+$J$38)*BN38</f>
        <v>0</v>
      </c>
      <c r="BR38" s="2435"/>
      <c r="BS38" s="2435"/>
      <c r="BT38" s="2792">
        <f>(1+$J$38)*BQ38</f>
        <v>0</v>
      </c>
      <c r="BU38" s="2435"/>
      <c r="BV38" s="2435"/>
      <c r="BW38" s="2792">
        <f>(1+$J$38)*BT38</f>
        <v>0</v>
      </c>
      <c r="BX38" s="2435"/>
      <c r="BY38" s="2435"/>
      <c r="BZ38" s="2792">
        <f>(1+$J$38)*BW38</f>
        <v>0</v>
      </c>
      <c r="CA38" s="2435"/>
      <c r="CB38" s="2435"/>
      <c r="CC38" s="2792">
        <f>(1+$J$38)*BZ38</f>
        <v>0</v>
      </c>
      <c r="CD38" s="2435"/>
      <c r="CE38" s="2435"/>
      <c r="CF38" s="2792">
        <f>(1+$J$38)*CC38</f>
        <v>0</v>
      </c>
      <c r="CG38" s="2435"/>
      <c r="CH38" s="2435"/>
      <c r="CI38" s="2792">
        <f>(1+$J$38)*CF38</f>
        <v>0</v>
      </c>
      <c r="CJ38" s="2435"/>
      <c r="CK38" s="2435"/>
      <c r="CL38" s="2792">
        <f>(1+$J$38)*CI38</f>
        <v>0</v>
      </c>
      <c r="CM38" s="2435"/>
      <c r="CN38" s="2435"/>
      <c r="CO38" s="2792">
        <f>(1+$J$38)*CL38</f>
        <v>0</v>
      </c>
      <c r="CP38" s="2435"/>
      <c r="CQ38" s="2435"/>
      <c r="CR38" s="2792">
        <f>(1+$J$38)*CO38</f>
        <v>0</v>
      </c>
      <c r="CS38" s="2435"/>
      <c r="CT38" s="2435"/>
      <c r="CU38" s="2792">
        <f>(1+$J$38)*CR38</f>
        <v>0</v>
      </c>
      <c r="CV38" s="2435"/>
      <c r="CW38" s="2435"/>
      <c r="CX38" s="2792">
        <f>(1+$J$38)*CU38</f>
        <v>0</v>
      </c>
      <c r="CY38" s="2435"/>
      <c r="CZ38" s="2435"/>
      <c r="DA38" s="2792">
        <f>(1+$J$38)*CX38</f>
        <v>0</v>
      </c>
      <c r="DB38" s="2435"/>
      <c r="DC38" s="2435"/>
      <c r="DD38" s="2792">
        <f>(1+$J$38)*DA38</f>
        <v>0</v>
      </c>
      <c r="DE38" s="2435"/>
      <c r="DF38" s="2435"/>
      <c r="DG38" s="2792">
        <f>(1+$J$38)*DD38</f>
        <v>0</v>
      </c>
      <c r="DH38" s="2435"/>
      <c r="DI38" s="2435"/>
      <c r="DJ38" s="2792">
        <f>(1+$J$38)*DG38</f>
        <v>0</v>
      </c>
      <c r="DK38" s="2435"/>
      <c r="DL38" s="2435"/>
      <c r="DM38" s="2792">
        <f>(1+$J$38)*DJ38</f>
        <v>0</v>
      </c>
      <c r="DN38" s="2435"/>
      <c r="DO38" s="2435"/>
      <c r="DP38" s="2792">
        <f>(1+$J$38)*DM38</f>
        <v>0</v>
      </c>
      <c r="DQ38" s="2435"/>
      <c r="DR38" s="2435"/>
      <c r="DS38" s="2792">
        <f>(1+$J$38)*DP38</f>
        <v>0</v>
      </c>
      <c r="DT38" s="2435"/>
      <c r="DU38" s="2435"/>
      <c r="DV38" s="2792">
        <f>(1+$J$38)*DS38</f>
        <v>0</v>
      </c>
      <c r="DW38" s="2435"/>
      <c r="DX38" s="2435"/>
      <c r="DY38" s="2832">
        <f>(1+$J$38)*DV38</f>
        <v>0</v>
      </c>
      <c r="DZ38" s="2435"/>
      <c r="EA38" s="1889"/>
      <c r="EB38" s="773"/>
    </row>
    <row r="39" spans="2:132" ht="36" customHeight="1">
      <c r="B39" s="2928" t="str">
        <f>'Operating Budget'!$D$117</f>
        <v xml:space="preserve">MHP Funded Supportive Services Reserve </v>
      </c>
      <c r="C39" s="2821"/>
      <c r="D39" s="2821"/>
      <c r="E39" s="2821"/>
      <c r="F39" s="2821"/>
      <c r="G39" s="2821"/>
      <c r="H39" s="2821"/>
      <c r="I39" s="2821"/>
      <c r="J39" s="2854">
        <v>0</v>
      </c>
      <c r="K39" s="1862"/>
      <c r="L39" s="2949"/>
      <c r="M39" s="2022"/>
      <c r="N39" s="2022"/>
      <c r="O39" s="2797"/>
      <c r="P39" s="2022"/>
      <c r="Q39" s="2022"/>
      <c r="R39" s="2797"/>
      <c r="S39" s="2022"/>
      <c r="T39" s="2022"/>
      <c r="U39" s="2797"/>
      <c r="V39" s="2022"/>
      <c r="W39" s="2022"/>
      <c r="X39" s="2797"/>
      <c r="Y39" s="2022"/>
      <c r="Z39" s="2022"/>
      <c r="AA39" s="2797"/>
      <c r="AB39" s="2022"/>
      <c r="AC39" s="2022"/>
      <c r="AD39" s="2797"/>
      <c r="AE39" s="2022"/>
      <c r="AF39" s="2022"/>
      <c r="AG39" s="2797"/>
      <c r="AH39" s="2022"/>
      <c r="AI39" s="2022"/>
      <c r="AJ39" s="2797"/>
      <c r="AK39" s="2022"/>
      <c r="AL39" s="2022"/>
      <c r="AM39" s="2797"/>
      <c r="AN39" s="2022"/>
      <c r="AO39" s="2022"/>
      <c r="AP39" s="2797"/>
      <c r="AQ39" s="2022"/>
      <c r="AR39" s="2022"/>
      <c r="AS39" s="2797"/>
      <c r="AT39" s="2022"/>
      <c r="AU39" s="2022"/>
      <c r="AV39" s="2797"/>
      <c r="AW39" s="2022"/>
      <c r="AX39" s="2022"/>
      <c r="AY39" s="2797"/>
      <c r="AZ39" s="2022"/>
      <c r="BA39" s="2022"/>
      <c r="BB39" s="2797"/>
      <c r="BC39" s="2022"/>
      <c r="BD39" s="2022"/>
      <c r="BE39" s="2797"/>
      <c r="BF39" s="2022"/>
      <c r="BG39" s="2022"/>
      <c r="BH39" s="2797"/>
      <c r="BI39" s="2022"/>
      <c r="BJ39" s="2022"/>
      <c r="BK39" s="2797"/>
      <c r="BL39" s="2022"/>
      <c r="BM39" s="2022"/>
      <c r="BN39" s="2797"/>
      <c r="BO39" s="2022"/>
      <c r="BP39" s="2022"/>
      <c r="BQ39" s="2797"/>
      <c r="BR39" s="2022"/>
      <c r="BS39" s="2022"/>
      <c r="BT39" s="2792">
        <f>(1+$J$39)*BQ39</f>
        <v>0</v>
      </c>
      <c r="BU39" s="2435"/>
      <c r="BV39" s="2435"/>
      <c r="BW39" s="2792">
        <f>(1+$J$39)*BT39</f>
        <v>0</v>
      </c>
      <c r="BX39" s="2435"/>
      <c r="BY39" s="2435"/>
      <c r="BZ39" s="2792">
        <f>(1+$J$39)*BW39</f>
        <v>0</v>
      </c>
      <c r="CA39" s="2435"/>
      <c r="CB39" s="2435"/>
      <c r="CC39" s="2792">
        <f>(1+$J$39)*BZ39</f>
        <v>0</v>
      </c>
      <c r="CD39" s="2435"/>
      <c r="CE39" s="2435"/>
      <c r="CF39" s="2792">
        <f>(1+$J$39)*CC39</f>
        <v>0</v>
      </c>
      <c r="CG39" s="2435"/>
      <c r="CH39" s="2435"/>
      <c r="CI39" s="2792">
        <f>(1+$J$39)*CF39</f>
        <v>0</v>
      </c>
      <c r="CJ39" s="2435"/>
      <c r="CK39" s="2435"/>
      <c r="CL39" s="2792">
        <f>(1+$J$39)*CI39</f>
        <v>0</v>
      </c>
      <c r="CM39" s="2435"/>
      <c r="CN39" s="2435"/>
      <c r="CO39" s="2792">
        <f>(1+$J$39)*CL39</f>
        <v>0</v>
      </c>
      <c r="CP39" s="2435"/>
      <c r="CQ39" s="2435"/>
      <c r="CR39" s="2792">
        <f>(1+$J$39)*CO39</f>
        <v>0</v>
      </c>
      <c r="CS39" s="2435"/>
      <c r="CT39" s="2435"/>
      <c r="CU39" s="2792">
        <f>(1+$J$39)*CR39</f>
        <v>0</v>
      </c>
      <c r="CV39" s="2435"/>
      <c r="CW39" s="2435"/>
      <c r="CX39" s="2792">
        <f>(1+$J$39)*CU39</f>
        <v>0</v>
      </c>
      <c r="CY39" s="2435"/>
      <c r="CZ39" s="2435"/>
      <c r="DA39" s="2792">
        <f>(1+$J$39)*CX39</f>
        <v>0</v>
      </c>
      <c r="DB39" s="2435"/>
      <c r="DC39" s="2435"/>
      <c r="DD39" s="2792">
        <f>(1+$J$39)*DA39</f>
        <v>0</v>
      </c>
      <c r="DE39" s="2435"/>
      <c r="DF39" s="2435"/>
      <c r="DG39" s="2792">
        <f>(1+$J$39)*DD39</f>
        <v>0</v>
      </c>
      <c r="DH39" s="2435"/>
      <c r="DI39" s="2435"/>
      <c r="DJ39" s="2792">
        <f>(1+$J$39)*DG39</f>
        <v>0</v>
      </c>
      <c r="DK39" s="2435"/>
      <c r="DL39" s="2435"/>
      <c r="DM39" s="2792">
        <f>(1+$J$39)*DJ39</f>
        <v>0</v>
      </c>
      <c r="DN39" s="2435"/>
      <c r="DO39" s="2435"/>
      <c r="DP39" s="2792">
        <f>(1+$J$39)*DM39</f>
        <v>0</v>
      </c>
      <c r="DQ39" s="2435"/>
      <c r="DR39" s="2435"/>
      <c r="DS39" s="2792">
        <f>(1+$J$39)*DP39</f>
        <v>0</v>
      </c>
      <c r="DT39" s="2435"/>
      <c r="DU39" s="2435"/>
      <c r="DV39" s="2792">
        <f>(1+$J$39)*DS39</f>
        <v>0</v>
      </c>
      <c r="DW39" s="2435"/>
      <c r="DX39" s="2435"/>
      <c r="DY39" s="2832">
        <f>(1+$J$39)*DV39</f>
        <v>0</v>
      </c>
      <c r="DZ39" s="2435"/>
      <c r="EA39" s="1889"/>
      <c r="EB39" s="773"/>
    </row>
    <row r="40" spans="2:132" ht="18" customHeight="1">
      <c r="B40" s="2928" t="str">
        <f>'Operating Budget'!$D$118</f>
        <v>MHP COSR Transition Reserve</v>
      </c>
      <c r="C40" s="2821"/>
      <c r="D40" s="2821"/>
      <c r="E40" s="2821"/>
      <c r="F40" s="2821"/>
      <c r="G40" s="2821"/>
      <c r="H40" s="2821"/>
      <c r="I40" s="2821"/>
      <c r="J40" s="2854">
        <v>0</v>
      </c>
      <c r="K40" s="1862"/>
      <c r="L40" s="2856">
        <f>+'Operating Budget'!$E$118+'Operating Budget'!$F$118</f>
        <v>0</v>
      </c>
      <c r="M40" s="2435"/>
      <c r="N40" s="2435"/>
      <c r="O40" s="2792">
        <f>(1+$J$40)*L40</f>
        <v>0</v>
      </c>
      <c r="P40" s="2435"/>
      <c r="Q40" s="2435"/>
      <c r="R40" s="2792">
        <f>(1+$J$40)*O40</f>
        <v>0</v>
      </c>
      <c r="S40" s="2435"/>
      <c r="T40" s="2435"/>
      <c r="U40" s="2792">
        <f>(1+$J$40)*R40</f>
        <v>0</v>
      </c>
      <c r="V40" s="2435"/>
      <c r="W40" s="2435"/>
      <c r="X40" s="2792">
        <f>(1+$J$40)*U40</f>
        <v>0</v>
      </c>
      <c r="Y40" s="2435"/>
      <c r="Z40" s="2435"/>
      <c r="AA40" s="2792">
        <f>(1+$J$40)*X40</f>
        <v>0</v>
      </c>
      <c r="AB40" s="2435"/>
      <c r="AC40" s="2435"/>
      <c r="AD40" s="2792">
        <f>(1+$J$40)*AA40</f>
        <v>0</v>
      </c>
      <c r="AE40" s="2435"/>
      <c r="AF40" s="2435"/>
      <c r="AG40" s="2792">
        <f>(1+$J$40)*AD40</f>
        <v>0</v>
      </c>
      <c r="AH40" s="2435"/>
      <c r="AI40" s="2435"/>
      <c r="AJ40" s="2792">
        <f>(1+$J$40)*AG40</f>
        <v>0</v>
      </c>
      <c r="AK40" s="2435"/>
      <c r="AL40" s="2435"/>
      <c r="AM40" s="2792">
        <f>(1+$J$40)*AJ40</f>
        <v>0</v>
      </c>
      <c r="AN40" s="2435"/>
      <c r="AO40" s="2435"/>
      <c r="AP40" s="2792">
        <f>(1+$J$40)*AM40</f>
        <v>0</v>
      </c>
      <c r="AQ40" s="2435"/>
      <c r="AR40" s="2435"/>
      <c r="AS40" s="2792">
        <f>(1+$J$40)*AP40</f>
        <v>0</v>
      </c>
      <c r="AT40" s="2435"/>
      <c r="AU40" s="2435"/>
      <c r="AV40" s="2792">
        <f>(1+$J$40)*AS40</f>
        <v>0</v>
      </c>
      <c r="AW40" s="2435"/>
      <c r="AX40" s="2435"/>
      <c r="AY40" s="2792">
        <f>(1+$J$40)*AV40</f>
        <v>0</v>
      </c>
      <c r="AZ40" s="2435"/>
      <c r="BA40" s="2435"/>
      <c r="BB40" s="2792">
        <f>(1+$J$40)*AY40</f>
        <v>0</v>
      </c>
      <c r="BC40" s="2435"/>
      <c r="BD40" s="2435"/>
      <c r="BE40" s="2792">
        <f>(1+$J$40)*BB40</f>
        <v>0</v>
      </c>
      <c r="BF40" s="2435"/>
      <c r="BG40" s="2435"/>
      <c r="BH40" s="2792">
        <f>(1+$J$40)*BE40</f>
        <v>0</v>
      </c>
      <c r="BI40" s="2435"/>
      <c r="BJ40" s="2435"/>
      <c r="BK40" s="2792">
        <f>(1+$J$40)*BH40</f>
        <v>0</v>
      </c>
      <c r="BL40" s="2435"/>
      <c r="BM40" s="2435"/>
      <c r="BN40" s="2792">
        <f>(1+$J$40)*BK40</f>
        <v>0</v>
      </c>
      <c r="BO40" s="2435"/>
      <c r="BP40" s="2435"/>
      <c r="BQ40" s="2792">
        <f>(1+$J$40)*BN40</f>
        <v>0</v>
      </c>
      <c r="BR40" s="2435"/>
      <c r="BS40" s="2435"/>
      <c r="BT40" s="2792">
        <f>(1+$J$40)*BQ40</f>
        <v>0</v>
      </c>
      <c r="BU40" s="2435"/>
      <c r="BV40" s="2435"/>
      <c r="BW40" s="2792">
        <f>(1+$J$40)*BT40</f>
        <v>0</v>
      </c>
      <c r="BX40" s="2435"/>
      <c r="BY40" s="2435"/>
      <c r="BZ40" s="2792">
        <f>(1+$J$40)*BW40</f>
        <v>0</v>
      </c>
      <c r="CA40" s="2435"/>
      <c r="CB40" s="2435"/>
      <c r="CC40" s="2792">
        <f>(1+$J$40)*BZ40</f>
        <v>0</v>
      </c>
      <c r="CD40" s="2435"/>
      <c r="CE40" s="2435"/>
      <c r="CF40" s="2792">
        <f>(1+$J$40)*CC40</f>
        <v>0</v>
      </c>
      <c r="CG40" s="2435"/>
      <c r="CH40" s="2435"/>
      <c r="CI40" s="2792">
        <f>(1+$J$40)*CF40</f>
        <v>0</v>
      </c>
      <c r="CJ40" s="2435"/>
      <c r="CK40" s="2435"/>
      <c r="CL40" s="2792">
        <f>(1+$J$40)*CI40</f>
        <v>0</v>
      </c>
      <c r="CM40" s="2435"/>
      <c r="CN40" s="2435"/>
      <c r="CO40" s="2792">
        <f>(1+$J$40)*CL40</f>
        <v>0</v>
      </c>
      <c r="CP40" s="2435"/>
      <c r="CQ40" s="2435"/>
      <c r="CR40" s="2792">
        <f>(1+$J$40)*CO40</f>
        <v>0</v>
      </c>
      <c r="CS40" s="2435"/>
      <c r="CT40" s="2435"/>
      <c r="CU40" s="2792">
        <f>(1+$J$40)*CR40</f>
        <v>0</v>
      </c>
      <c r="CV40" s="2435"/>
      <c r="CW40" s="2435"/>
      <c r="CX40" s="2792">
        <f>(1+$J$40)*CU40</f>
        <v>0</v>
      </c>
      <c r="CY40" s="2435"/>
      <c r="CZ40" s="2435"/>
      <c r="DA40" s="2792">
        <f>(1+$J$40)*CX40</f>
        <v>0</v>
      </c>
      <c r="DB40" s="2435"/>
      <c r="DC40" s="2435"/>
      <c r="DD40" s="2792">
        <f>(1+$J$40)*DA40</f>
        <v>0</v>
      </c>
      <c r="DE40" s="2435"/>
      <c r="DF40" s="2435"/>
      <c r="DG40" s="2792">
        <f>(1+$J$40)*DD40</f>
        <v>0</v>
      </c>
      <c r="DH40" s="2435"/>
      <c r="DI40" s="2435"/>
      <c r="DJ40" s="2792">
        <f>(1+$J$40)*DG40</f>
        <v>0</v>
      </c>
      <c r="DK40" s="2435"/>
      <c r="DL40" s="2435"/>
      <c r="DM40" s="2792">
        <f>(1+$J$40)*DJ40</f>
        <v>0</v>
      </c>
      <c r="DN40" s="2435"/>
      <c r="DO40" s="2435"/>
      <c r="DP40" s="2792">
        <f>(1+$J$40)*DM40</f>
        <v>0</v>
      </c>
      <c r="DQ40" s="2435"/>
      <c r="DR40" s="2435"/>
      <c r="DS40" s="2792">
        <f>(1+$J$40)*DP40</f>
        <v>0</v>
      </c>
      <c r="DT40" s="2435"/>
      <c r="DU40" s="2435"/>
      <c r="DV40" s="2792">
        <f>(1+$J$40)*DS40</f>
        <v>0</v>
      </c>
      <c r="DW40" s="2435"/>
      <c r="DX40" s="2435"/>
      <c r="DY40" s="2832">
        <f>(1+$J$40)*DV40</f>
        <v>0</v>
      </c>
      <c r="DZ40" s="2435"/>
      <c r="EA40" s="1889"/>
      <c r="EB40" s="773"/>
    </row>
    <row r="41" spans="2:132" ht="18" customHeight="1">
      <c r="B41" s="2902" t="str">
        <f>'Operating Budget'!$D$119</f>
        <v>Other Reserves: (Specify)</v>
      </c>
      <c r="C41" s="2821"/>
      <c r="D41" s="2821"/>
      <c r="E41" s="2821"/>
      <c r="F41" s="2821"/>
      <c r="G41" s="2821"/>
      <c r="H41" s="2821"/>
      <c r="I41" s="2821"/>
      <c r="J41" s="2854">
        <v>0</v>
      </c>
      <c r="K41" s="1862"/>
      <c r="L41" s="2856">
        <f>+'Operating Budget'!$E$119+'Operating Budget'!$F$119</f>
        <v>0</v>
      </c>
      <c r="M41" s="2435"/>
      <c r="N41" s="2435"/>
      <c r="O41" s="2792">
        <f>(1+$J$41)*L41</f>
        <v>0</v>
      </c>
      <c r="P41" s="2435"/>
      <c r="Q41" s="2435"/>
      <c r="R41" s="2792">
        <f>(1+$J$41)*O41</f>
        <v>0</v>
      </c>
      <c r="S41" s="2435"/>
      <c r="T41" s="2435"/>
      <c r="U41" s="2792">
        <f>(1+$J$41)*R41</f>
        <v>0</v>
      </c>
      <c r="V41" s="2435"/>
      <c r="W41" s="2435"/>
      <c r="X41" s="2792">
        <f>(1+$J$41)*U41</f>
        <v>0</v>
      </c>
      <c r="Y41" s="2435"/>
      <c r="Z41" s="2435"/>
      <c r="AA41" s="2792">
        <f>(1+$J$41)*X41</f>
        <v>0</v>
      </c>
      <c r="AB41" s="2435"/>
      <c r="AC41" s="2435"/>
      <c r="AD41" s="2792">
        <f>(1+$J$41)*AA41</f>
        <v>0</v>
      </c>
      <c r="AE41" s="2435"/>
      <c r="AF41" s="2435"/>
      <c r="AG41" s="2792">
        <f>(1+$J$41)*AD41</f>
        <v>0</v>
      </c>
      <c r="AH41" s="2435"/>
      <c r="AI41" s="2435"/>
      <c r="AJ41" s="2792">
        <f>(1+$J$41)*AG41</f>
        <v>0</v>
      </c>
      <c r="AK41" s="2435"/>
      <c r="AL41" s="2435"/>
      <c r="AM41" s="2792">
        <f>(1+$J$41)*AJ41</f>
        <v>0</v>
      </c>
      <c r="AN41" s="2435"/>
      <c r="AO41" s="2435"/>
      <c r="AP41" s="2792">
        <f>(1+$J$41)*AM41</f>
        <v>0</v>
      </c>
      <c r="AQ41" s="2435"/>
      <c r="AR41" s="2435"/>
      <c r="AS41" s="2792">
        <f>(1+$J$41)*AP41</f>
        <v>0</v>
      </c>
      <c r="AT41" s="2435"/>
      <c r="AU41" s="2435"/>
      <c r="AV41" s="2792">
        <f>(1+$J$41)*AS41</f>
        <v>0</v>
      </c>
      <c r="AW41" s="2435"/>
      <c r="AX41" s="2435"/>
      <c r="AY41" s="2792">
        <f>(1+$J$41)*AV41</f>
        <v>0</v>
      </c>
      <c r="AZ41" s="2435"/>
      <c r="BA41" s="2435"/>
      <c r="BB41" s="2792">
        <f>(1+$J$41)*AY41</f>
        <v>0</v>
      </c>
      <c r="BC41" s="2435"/>
      <c r="BD41" s="2435"/>
      <c r="BE41" s="2792">
        <f>(1+$J$41)*BB41</f>
        <v>0</v>
      </c>
      <c r="BF41" s="2435"/>
      <c r="BG41" s="2435"/>
      <c r="BH41" s="2792">
        <f>(1+$J$41)*BE41</f>
        <v>0</v>
      </c>
      <c r="BI41" s="2435"/>
      <c r="BJ41" s="2435"/>
      <c r="BK41" s="2792">
        <f>(1+$J$41)*BH41</f>
        <v>0</v>
      </c>
      <c r="BL41" s="2435"/>
      <c r="BM41" s="2435"/>
      <c r="BN41" s="2792">
        <f>(1+$J$41)*BK41</f>
        <v>0</v>
      </c>
      <c r="BO41" s="2435"/>
      <c r="BP41" s="2435"/>
      <c r="BQ41" s="2792">
        <f>(1+$J$41)*BN41</f>
        <v>0</v>
      </c>
      <c r="BR41" s="2435"/>
      <c r="BS41" s="2435"/>
      <c r="BT41" s="2792">
        <f>(1+$J$41)*BQ41</f>
        <v>0</v>
      </c>
      <c r="BU41" s="2435"/>
      <c r="BV41" s="2435"/>
      <c r="BW41" s="2792">
        <f>(1+$J$41)*BT41</f>
        <v>0</v>
      </c>
      <c r="BX41" s="2435"/>
      <c r="BY41" s="2435"/>
      <c r="BZ41" s="2792">
        <f>(1+$J$41)*BW41</f>
        <v>0</v>
      </c>
      <c r="CA41" s="2435"/>
      <c r="CB41" s="2435"/>
      <c r="CC41" s="2792">
        <f>(1+$J$41)*BZ41</f>
        <v>0</v>
      </c>
      <c r="CD41" s="2435"/>
      <c r="CE41" s="2435"/>
      <c r="CF41" s="2792">
        <f>(1+$J$41)*CC41</f>
        <v>0</v>
      </c>
      <c r="CG41" s="2435"/>
      <c r="CH41" s="2435"/>
      <c r="CI41" s="2792">
        <f>(1+$J$41)*CF41</f>
        <v>0</v>
      </c>
      <c r="CJ41" s="2435"/>
      <c r="CK41" s="2435"/>
      <c r="CL41" s="2792">
        <f>(1+$J$41)*CI41</f>
        <v>0</v>
      </c>
      <c r="CM41" s="2435"/>
      <c r="CN41" s="2435"/>
      <c r="CO41" s="2792">
        <f>(1+$J$41)*CL41</f>
        <v>0</v>
      </c>
      <c r="CP41" s="2435"/>
      <c r="CQ41" s="2435"/>
      <c r="CR41" s="2792">
        <f>(1+$J$41)*CO41</f>
        <v>0</v>
      </c>
      <c r="CS41" s="2435"/>
      <c r="CT41" s="2435"/>
      <c r="CU41" s="2792">
        <f>(1+$J$41)*CR41</f>
        <v>0</v>
      </c>
      <c r="CV41" s="2435"/>
      <c r="CW41" s="2435"/>
      <c r="CX41" s="2792">
        <f>(1+$J$41)*CU41</f>
        <v>0</v>
      </c>
      <c r="CY41" s="2435"/>
      <c r="CZ41" s="2435"/>
      <c r="DA41" s="2792">
        <f>(1+$J$41)*CX41</f>
        <v>0</v>
      </c>
      <c r="DB41" s="2435"/>
      <c r="DC41" s="2435"/>
      <c r="DD41" s="2792">
        <f>(1+$J$41)*DA41</f>
        <v>0</v>
      </c>
      <c r="DE41" s="2435"/>
      <c r="DF41" s="2435"/>
      <c r="DG41" s="2792">
        <f>(1+$J$41)*DD41</f>
        <v>0</v>
      </c>
      <c r="DH41" s="2435"/>
      <c r="DI41" s="2435"/>
      <c r="DJ41" s="2792">
        <f>(1+$J$41)*DG41</f>
        <v>0</v>
      </c>
      <c r="DK41" s="2435"/>
      <c r="DL41" s="2435"/>
      <c r="DM41" s="2792">
        <f>(1+$J$41)*DJ41</f>
        <v>0</v>
      </c>
      <c r="DN41" s="2435"/>
      <c r="DO41" s="2435"/>
      <c r="DP41" s="2792">
        <f>(1+$J$41)*DM41</f>
        <v>0</v>
      </c>
      <c r="DQ41" s="2435"/>
      <c r="DR41" s="2435"/>
      <c r="DS41" s="2792">
        <f>(1+$J$41)*DP41</f>
        <v>0</v>
      </c>
      <c r="DT41" s="2435"/>
      <c r="DU41" s="2435"/>
      <c r="DV41" s="2792">
        <f>(1+$J$41)*DS41</f>
        <v>0</v>
      </c>
      <c r="DW41" s="2435"/>
      <c r="DX41" s="2435"/>
      <c r="DY41" s="2832">
        <f>(1+$J$41)*DV41</f>
        <v>0</v>
      </c>
      <c r="DZ41" s="2435"/>
      <c r="EA41" s="1889"/>
      <c r="EB41" s="773"/>
    </row>
    <row r="42" spans="2:132" ht="18" customHeight="1">
      <c r="B42" s="2903" t="s">
        <v>1759</v>
      </c>
      <c r="C42" s="2821"/>
      <c r="D42" s="2821"/>
      <c r="E42" s="2821"/>
      <c r="F42" s="2821"/>
      <c r="G42" s="2821"/>
      <c r="H42" s="2821"/>
      <c r="I42" s="2821"/>
      <c r="J42" s="2854">
        <v>0.02</v>
      </c>
      <c r="K42" s="1862"/>
      <c r="L42" s="2849">
        <f>'Operating Budget'!$E$123+'Operating Budget'!$F$123</f>
        <v>0</v>
      </c>
      <c r="M42" s="2435"/>
      <c r="N42" s="2435"/>
      <c r="O42" s="2792">
        <f>(1+$J$42)*L42</f>
        <v>0</v>
      </c>
      <c r="P42" s="2435"/>
      <c r="Q42" s="2435"/>
      <c r="R42" s="2792">
        <f>(1+$J$42)*O42</f>
        <v>0</v>
      </c>
      <c r="S42" s="2435"/>
      <c r="T42" s="2435"/>
      <c r="U42" s="2792">
        <f>(1+$J$42)*R42</f>
        <v>0</v>
      </c>
      <c r="V42" s="2435"/>
      <c r="W42" s="2435"/>
      <c r="X42" s="2792">
        <f>(1+$J$42)*U42</f>
        <v>0</v>
      </c>
      <c r="Y42" s="2435"/>
      <c r="Z42" s="2435"/>
      <c r="AA42" s="2792">
        <f>(1+$J$42)*X42</f>
        <v>0</v>
      </c>
      <c r="AB42" s="2435"/>
      <c r="AC42" s="2435"/>
      <c r="AD42" s="2792">
        <f>(1+$J$42)*AA42</f>
        <v>0</v>
      </c>
      <c r="AE42" s="2435"/>
      <c r="AF42" s="2435"/>
      <c r="AG42" s="2792">
        <f>(1+$J$42)*AD42</f>
        <v>0</v>
      </c>
      <c r="AH42" s="2435"/>
      <c r="AI42" s="2435"/>
      <c r="AJ42" s="2792">
        <f>(1+$J$42)*AG42</f>
        <v>0</v>
      </c>
      <c r="AK42" s="2435"/>
      <c r="AL42" s="2435"/>
      <c r="AM42" s="2792">
        <f>(1+$J$42)*AJ42</f>
        <v>0</v>
      </c>
      <c r="AN42" s="2435"/>
      <c r="AO42" s="2435"/>
      <c r="AP42" s="2792">
        <f>(1+$J$42)*AM42</f>
        <v>0</v>
      </c>
      <c r="AQ42" s="2435"/>
      <c r="AR42" s="2435"/>
      <c r="AS42" s="2792">
        <f>(1+$J$42)*AP42</f>
        <v>0</v>
      </c>
      <c r="AT42" s="2435"/>
      <c r="AU42" s="2435"/>
      <c r="AV42" s="2792">
        <f>(1+$J$42)*AS42</f>
        <v>0</v>
      </c>
      <c r="AW42" s="2435"/>
      <c r="AX42" s="2435"/>
      <c r="AY42" s="2792">
        <f>(1+$J$42)*AV42</f>
        <v>0</v>
      </c>
      <c r="AZ42" s="2435"/>
      <c r="BA42" s="2435"/>
      <c r="BB42" s="2792">
        <f>(1+$J$42)*AY42</f>
        <v>0</v>
      </c>
      <c r="BC42" s="2435"/>
      <c r="BD42" s="2435"/>
      <c r="BE42" s="2792">
        <f>(1+$J$42)*BB42</f>
        <v>0</v>
      </c>
      <c r="BF42" s="2435"/>
      <c r="BG42" s="2435"/>
      <c r="BH42" s="2792">
        <f>(1+$J$42)*BE42</f>
        <v>0</v>
      </c>
      <c r="BI42" s="2435"/>
      <c r="BJ42" s="2435"/>
      <c r="BK42" s="2792">
        <f>(1+$J$42)*BH42</f>
        <v>0</v>
      </c>
      <c r="BL42" s="2435"/>
      <c r="BM42" s="2435"/>
      <c r="BN42" s="2792">
        <f>(1+$J$42)*BK42</f>
        <v>0</v>
      </c>
      <c r="BO42" s="2435"/>
      <c r="BP42" s="2435"/>
      <c r="BQ42" s="2792">
        <f>(1+$J$42)*BN42</f>
        <v>0</v>
      </c>
      <c r="BR42" s="2435"/>
      <c r="BS42" s="2435"/>
      <c r="BT42" s="2792">
        <f>(1+$J$42)*BQ42</f>
        <v>0</v>
      </c>
      <c r="BU42" s="2435"/>
      <c r="BV42" s="2435"/>
      <c r="BW42" s="2792">
        <f>(1+$J$42)*BT42</f>
        <v>0</v>
      </c>
      <c r="BX42" s="2435"/>
      <c r="BY42" s="2435"/>
      <c r="BZ42" s="2792">
        <f>(1+$J$42)*BW42</f>
        <v>0</v>
      </c>
      <c r="CA42" s="2435"/>
      <c r="CB42" s="2435"/>
      <c r="CC42" s="2792">
        <f>(1+$J$42)*BZ42</f>
        <v>0</v>
      </c>
      <c r="CD42" s="2435"/>
      <c r="CE42" s="2435"/>
      <c r="CF42" s="2792">
        <f>(1+$J$42)*CC42</f>
        <v>0</v>
      </c>
      <c r="CG42" s="2435"/>
      <c r="CH42" s="2435"/>
      <c r="CI42" s="2792">
        <f>(1+$J$42)*CF42</f>
        <v>0</v>
      </c>
      <c r="CJ42" s="2435"/>
      <c r="CK42" s="2435"/>
      <c r="CL42" s="2792">
        <f>(1+$J$42)*CI42</f>
        <v>0</v>
      </c>
      <c r="CM42" s="2435"/>
      <c r="CN42" s="2435"/>
      <c r="CO42" s="2792">
        <f>(1+$J$42)*CL42</f>
        <v>0</v>
      </c>
      <c r="CP42" s="2435"/>
      <c r="CQ42" s="2435"/>
      <c r="CR42" s="2792">
        <f>(1+$J$42)*CO42</f>
        <v>0</v>
      </c>
      <c r="CS42" s="2435"/>
      <c r="CT42" s="2435"/>
      <c r="CU42" s="2792">
        <f>(1+$J$42)*CR42</f>
        <v>0</v>
      </c>
      <c r="CV42" s="2435"/>
      <c r="CW42" s="2435"/>
      <c r="CX42" s="2792">
        <f>(1+$J$42)*CU42</f>
        <v>0</v>
      </c>
      <c r="CY42" s="2435"/>
      <c r="CZ42" s="2435"/>
      <c r="DA42" s="2792">
        <f>(1+$J$42)*CX42</f>
        <v>0</v>
      </c>
      <c r="DB42" s="2435"/>
      <c r="DC42" s="2435"/>
      <c r="DD42" s="2792">
        <f>(1+$J$42)*DA42</f>
        <v>0</v>
      </c>
      <c r="DE42" s="2435"/>
      <c r="DF42" s="2435"/>
      <c r="DG42" s="2792">
        <f>(1+$J$42)*DD42</f>
        <v>0</v>
      </c>
      <c r="DH42" s="2435"/>
      <c r="DI42" s="2435"/>
      <c r="DJ42" s="2792">
        <f>(1+$J$42)*DG42</f>
        <v>0</v>
      </c>
      <c r="DK42" s="2435"/>
      <c r="DL42" s="2435"/>
      <c r="DM42" s="2792">
        <f>(1+$J$42)*DJ42</f>
        <v>0</v>
      </c>
      <c r="DN42" s="2435"/>
      <c r="DO42" s="2435"/>
      <c r="DP42" s="2792">
        <f>(1+$J$42)*DM42</f>
        <v>0</v>
      </c>
      <c r="DQ42" s="2435"/>
      <c r="DR42" s="2435"/>
      <c r="DS42" s="2792">
        <f>(1+$J$42)*DP42</f>
        <v>0</v>
      </c>
      <c r="DT42" s="2435"/>
      <c r="DU42" s="2435"/>
      <c r="DV42" s="2792">
        <f>(1+$J$42)*DS42</f>
        <v>0</v>
      </c>
      <c r="DW42" s="2435"/>
      <c r="DX42" s="2435"/>
      <c r="DY42" s="2832">
        <f>(1+$J$42)*DV42</f>
        <v>0</v>
      </c>
      <c r="DZ42" s="2435"/>
      <c r="EA42" s="1889"/>
      <c r="EB42" s="773"/>
    </row>
    <row r="43" spans="2:132" ht="18" customHeight="1">
      <c r="B43" s="2892" t="s">
        <v>1933</v>
      </c>
      <c r="C43" s="2821"/>
      <c r="D43" s="2821"/>
      <c r="E43" s="2821"/>
      <c r="F43" s="2821"/>
      <c r="G43" s="2821"/>
      <c r="H43" s="2821"/>
      <c r="I43" s="2821"/>
      <c r="J43" s="2854">
        <v>3.5000000000000003E-2</v>
      </c>
      <c r="K43" s="1862"/>
      <c r="L43" s="2856">
        <f>'Operating Budget'!$F$113</f>
        <v>0</v>
      </c>
      <c r="M43" s="2435"/>
      <c r="N43" s="2435"/>
      <c r="O43" s="2792">
        <f>(1+$J$43)*L43</f>
        <v>0</v>
      </c>
      <c r="P43" s="2435"/>
      <c r="Q43" s="2435"/>
      <c r="R43" s="2792">
        <f>(1+$J$43)*O43</f>
        <v>0</v>
      </c>
      <c r="S43" s="2435"/>
      <c r="T43" s="2435"/>
      <c r="U43" s="2792">
        <f>(1+$J$43)*R43</f>
        <v>0</v>
      </c>
      <c r="V43" s="2435"/>
      <c r="W43" s="2435"/>
      <c r="X43" s="2792">
        <f>(1+$J$43)*U43</f>
        <v>0</v>
      </c>
      <c r="Y43" s="2435"/>
      <c r="Z43" s="2435"/>
      <c r="AA43" s="2792">
        <f>(1+$J$43)*X43</f>
        <v>0</v>
      </c>
      <c r="AB43" s="2435"/>
      <c r="AC43" s="2435"/>
      <c r="AD43" s="2792">
        <f>(1+$J$43)*AA43</f>
        <v>0</v>
      </c>
      <c r="AE43" s="2435"/>
      <c r="AF43" s="2435"/>
      <c r="AG43" s="2792">
        <f>(1+$J$43)*AD43</f>
        <v>0</v>
      </c>
      <c r="AH43" s="2435"/>
      <c r="AI43" s="2435"/>
      <c r="AJ43" s="2792">
        <f>(1+$J$43)*AG43</f>
        <v>0</v>
      </c>
      <c r="AK43" s="2435"/>
      <c r="AL43" s="2435"/>
      <c r="AM43" s="2792">
        <f>(1+$J$43)*AJ43</f>
        <v>0</v>
      </c>
      <c r="AN43" s="2435"/>
      <c r="AO43" s="2435"/>
      <c r="AP43" s="2792">
        <f>(1+$J$43)*AM43</f>
        <v>0</v>
      </c>
      <c r="AQ43" s="2435"/>
      <c r="AR43" s="2435"/>
      <c r="AS43" s="2792">
        <f>(1+$J$43)*AP43</f>
        <v>0</v>
      </c>
      <c r="AT43" s="2435"/>
      <c r="AU43" s="2435"/>
      <c r="AV43" s="2792">
        <f>(1+$J$43)*AS43</f>
        <v>0</v>
      </c>
      <c r="AW43" s="2435"/>
      <c r="AX43" s="2435"/>
      <c r="AY43" s="2792">
        <f>(1+$J$43)*AV43</f>
        <v>0</v>
      </c>
      <c r="AZ43" s="2435"/>
      <c r="BA43" s="2435"/>
      <c r="BB43" s="2792">
        <f>(1+$J$43)*AY43</f>
        <v>0</v>
      </c>
      <c r="BC43" s="2435"/>
      <c r="BD43" s="2435"/>
      <c r="BE43" s="2792">
        <f>(1+$J$43)*BB43</f>
        <v>0</v>
      </c>
      <c r="BF43" s="2435"/>
      <c r="BG43" s="2435"/>
      <c r="BH43" s="2792">
        <f>(1+$J$43)*BE43</f>
        <v>0</v>
      </c>
      <c r="BI43" s="2435"/>
      <c r="BJ43" s="2435"/>
      <c r="BK43" s="2792">
        <f>(1+$J$43)*BH43</f>
        <v>0</v>
      </c>
      <c r="BL43" s="2435"/>
      <c r="BM43" s="2435"/>
      <c r="BN43" s="2792">
        <f>(1+$J$43)*BK43</f>
        <v>0</v>
      </c>
      <c r="BO43" s="2435"/>
      <c r="BP43" s="2435"/>
      <c r="BQ43" s="2792">
        <f>(1+$J$43)*BN43</f>
        <v>0</v>
      </c>
      <c r="BR43" s="2435"/>
      <c r="BS43" s="2435"/>
      <c r="BT43" s="2792">
        <f>(1+$J$43)*BQ43</f>
        <v>0</v>
      </c>
      <c r="BU43" s="2435"/>
      <c r="BV43" s="2435"/>
      <c r="BW43" s="2792">
        <f>(1+$J$43)*BT43</f>
        <v>0</v>
      </c>
      <c r="BX43" s="2435"/>
      <c r="BY43" s="2435"/>
      <c r="BZ43" s="2792">
        <f>(1+$J$43)*BW43</f>
        <v>0</v>
      </c>
      <c r="CA43" s="2435"/>
      <c r="CB43" s="2435"/>
      <c r="CC43" s="2792">
        <f>(1+$J$43)*BZ43</f>
        <v>0</v>
      </c>
      <c r="CD43" s="2435"/>
      <c r="CE43" s="2435"/>
      <c r="CF43" s="2792">
        <f>(1+$J$43)*CC43</f>
        <v>0</v>
      </c>
      <c r="CG43" s="2435"/>
      <c r="CH43" s="2435"/>
      <c r="CI43" s="2792">
        <f>(1+$J$43)*CF43</f>
        <v>0</v>
      </c>
      <c r="CJ43" s="2435"/>
      <c r="CK43" s="2435"/>
      <c r="CL43" s="2792">
        <f>(1+$J$43)*CI43</f>
        <v>0</v>
      </c>
      <c r="CM43" s="2435"/>
      <c r="CN43" s="2435"/>
      <c r="CO43" s="2792">
        <f>(1+$J$43)*CL43</f>
        <v>0</v>
      </c>
      <c r="CP43" s="2435"/>
      <c r="CQ43" s="2435"/>
      <c r="CR43" s="2792">
        <f>(1+$J$43)*CO43</f>
        <v>0</v>
      </c>
      <c r="CS43" s="2435"/>
      <c r="CT43" s="2435"/>
      <c r="CU43" s="2792">
        <f>(1+$J$43)*CR43</f>
        <v>0</v>
      </c>
      <c r="CV43" s="2435"/>
      <c r="CW43" s="2435"/>
      <c r="CX43" s="2792">
        <f>(1+$J$43)*CU43</f>
        <v>0</v>
      </c>
      <c r="CY43" s="2435"/>
      <c r="CZ43" s="2435"/>
      <c r="DA43" s="2792">
        <f>(1+$J$43)*CX43</f>
        <v>0</v>
      </c>
      <c r="DB43" s="2435"/>
      <c r="DC43" s="2435"/>
      <c r="DD43" s="2792">
        <f>(1+$J$43)*DA43</f>
        <v>0</v>
      </c>
      <c r="DE43" s="2435"/>
      <c r="DF43" s="2435"/>
      <c r="DG43" s="2792">
        <f>(1+$J$43)*DD43</f>
        <v>0</v>
      </c>
      <c r="DH43" s="2435"/>
      <c r="DI43" s="2435"/>
      <c r="DJ43" s="2792">
        <f>(1+$J$43)*DG43</f>
        <v>0</v>
      </c>
      <c r="DK43" s="2435"/>
      <c r="DL43" s="2435"/>
      <c r="DM43" s="2792">
        <f>(1+$J$43)*DJ43</f>
        <v>0</v>
      </c>
      <c r="DN43" s="2435"/>
      <c r="DO43" s="2435"/>
      <c r="DP43" s="2792">
        <f>(1+$J$43)*DM43</f>
        <v>0</v>
      </c>
      <c r="DQ43" s="2435"/>
      <c r="DR43" s="2435"/>
      <c r="DS43" s="2792">
        <f>(1+$J$43)*DP43</f>
        <v>0</v>
      </c>
      <c r="DT43" s="2435"/>
      <c r="DU43" s="2435"/>
      <c r="DV43" s="2792">
        <f>(1+$J$43)*DS43</f>
        <v>0</v>
      </c>
      <c r="DW43" s="2435"/>
      <c r="DX43" s="2435"/>
      <c r="DY43" s="2832">
        <f>(1+$J$43)*DV43</f>
        <v>0</v>
      </c>
      <c r="DZ43" s="2435"/>
      <c r="EA43" s="1889"/>
      <c r="EB43" s="773"/>
    </row>
    <row r="44" spans="2:132" s="28" customFormat="1" ht="18" customHeight="1">
      <c r="B44" s="2925" t="s">
        <v>1934</v>
      </c>
      <c r="C44" s="2439"/>
      <c r="D44" s="2439"/>
      <c r="E44" s="2439"/>
      <c r="F44" s="2439"/>
      <c r="G44" s="2439"/>
      <c r="H44" s="2439"/>
      <c r="I44" s="2439"/>
      <c r="J44" s="2439"/>
      <c r="K44" s="2439"/>
      <c r="L44" s="2824">
        <f>SUM(L35:N43)</f>
        <v>0</v>
      </c>
      <c r="M44" s="1877"/>
      <c r="N44" s="1877"/>
      <c r="O44" s="2823">
        <f>SUM(O35:Q43)</f>
        <v>0</v>
      </c>
      <c r="P44" s="1877"/>
      <c r="Q44" s="1877"/>
      <c r="R44" s="2823">
        <f>SUM(R35:T43)</f>
        <v>0</v>
      </c>
      <c r="S44" s="1877"/>
      <c r="T44" s="1877"/>
      <c r="U44" s="2823">
        <f>SUM(U35:W43)</f>
        <v>0</v>
      </c>
      <c r="V44" s="1877"/>
      <c r="W44" s="1877"/>
      <c r="X44" s="2823">
        <f>SUM(X35:Z43)</f>
        <v>0</v>
      </c>
      <c r="Y44" s="1877"/>
      <c r="Z44" s="1877"/>
      <c r="AA44" s="2823">
        <f>SUM(AA35:AC43)</f>
        <v>0</v>
      </c>
      <c r="AB44" s="1877"/>
      <c r="AC44" s="1877"/>
      <c r="AD44" s="2823">
        <f>SUM(AD35:AF43)</f>
        <v>0</v>
      </c>
      <c r="AE44" s="1877"/>
      <c r="AF44" s="1877"/>
      <c r="AG44" s="2823">
        <f>SUM(AG35:AI43)</f>
        <v>0</v>
      </c>
      <c r="AH44" s="1877"/>
      <c r="AI44" s="1877"/>
      <c r="AJ44" s="2823">
        <f>SUM(AJ35:AL43)</f>
        <v>0</v>
      </c>
      <c r="AK44" s="1877"/>
      <c r="AL44" s="1877"/>
      <c r="AM44" s="2823">
        <f>SUM(AM35:AO43)</f>
        <v>0</v>
      </c>
      <c r="AN44" s="1877"/>
      <c r="AO44" s="1877"/>
      <c r="AP44" s="2823">
        <f>SUM(AP35:AR43)</f>
        <v>0</v>
      </c>
      <c r="AQ44" s="1877"/>
      <c r="AR44" s="1877"/>
      <c r="AS44" s="2823">
        <f>SUM(AS35:AU43)</f>
        <v>0</v>
      </c>
      <c r="AT44" s="1877"/>
      <c r="AU44" s="1877"/>
      <c r="AV44" s="2823">
        <f>SUM(AV35:AX43)</f>
        <v>0</v>
      </c>
      <c r="AW44" s="1877"/>
      <c r="AX44" s="1877"/>
      <c r="AY44" s="2823">
        <f>SUM(AY35:BA43)</f>
        <v>0</v>
      </c>
      <c r="AZ44" s="1877"/>
      <c r="BA44" s="1877"/>
      <c r="BB44" s="2823">
        <f>SUM(BB35:BD43)</f>
        <v>0</v>
      </c>
      <c r="BC44" s="1877"/>
      <c r="BD44" s="1877"/>
      <c r="BE44" s="2823">
        <f>SUM(BE35:BG43)</f>
        <v>0</v>
      </c>
      <c r="BF44" s="1877"/>
      <c r="BG44" s="1877"/>
      <c r="BH44" s="2823">
        <f>SUM(BH35:BJ43)</f>
        <v>0</v>
      </c>
      <c r="BI44" s="1877"/>
      <c r="BJ44" s="1877"/>
      <c r="BK44" s="2823">
        <f>SUM(BK35:BM43)</f>
        <v>0</v>
      </c>
      <c r="BL44" s="1877"/>
      <c r="BM44" s="1877"/>
      <c r="BN44" s="2823">
        <f>SUM(BN35:BP43)</f>
        <v>0</v>
      </c>
      <c r="BO44" s="1877"/>
      <c r="BP44" s="1877"/>
      <c r="BQ44" s="2823">
        <f>SUM(BQ35:BS43)</f>
        <v>0</v>
      </c>
      <c r="BR44" s="1877"/>
      <c r="BS44" s="1877"/>
      <c r="BT44" s="2823">
        <f>SUM(BT35:BV43)</f>
        <v>0</v>
      </c>
      <c r="BU44" s="1877"/>
      <c r="BV44" s="1877"/>
      <c r="BW44" s="2823">
        <f>SUM(BW35:BY43)</f>
        <v>0</v>
      </c>
      <c r="BX44" s="1877"/>
      <c r="BY44" s="1877"/>
      <c r="BZ44" s="2823">
        <f>SUM(BZ35:CB43)</f>
        <v>0</v>
      </c>
      <c r="CA44" s="1877"/>
      <c r="CB44" s="1877"/>
      <c r="CC44" s="2823">
        <f>SUM(CC35:CE43)</f>
        <v>0</v>
      </c>
      <c r="CD44" s="1877"/>
      <c r="CE44" s="1877"/>
      <c r="CF44" s="2823">
        <f>SUM(CF35:CH43)</f>
        <v>0</v>
      </c>
      <c r="CG44" s="1877"/>
      <c r="CH44" s="1877"/>
      <c r="CI44" s="2823">
        <f>SUM(CI35:CK43)</f>
        <v>0</v>
      </c>
      <c r="CJ44" s="1877"/>
      <c r="CK44" s="1877"/>
      <c r="CL44" s="2823">
        <f>SUM(CL35:CN43)</f>
        <v>0</v>
      </c>
      <c r="CM44" s="1877"/>
      <c r="CN44" s="1877"/>
      <c r="CO44" s="2823">
        <f>SUM(CO35:CQ43)</f>
        <v>0</v>
      </c>
      <c r="CP44" s="1877"/>
      <c r="CQ44" s="1877"/>
      <c r="CR44" s="2823">
        <f>SUM(CR35:CT43)</f>
        <v>0</v>
      </c>
      <c r="CS44" s="1877"/>
      <c r="CT44" s="1877"/>
      <c r="CU44" s="2823">
        <f>SUM(CU35:CW43)</f>
        <v>0</v>
      </c>
      <c r="CV44" s="1877"/>
      <c r="CW44" s="1877"/>
      <c r="CX44" s="2823">
        <f>SUM(CX35:CZ43)</f>
        <v>0</v>
      </c>
      <c r="CY44" s="1877"/>
      <c r="CZ44" s="1877"/>
      <c r="DA44" s="2823">
        <f>SUM(DA35:DC43)</f>
        <v>0</v>
      </c>
      <c r="DB44" s="1877"/>
      <c r="DC44" s="1877"/>
      <c r="DD44" s="2823">
        <f>SUM(DD35:DF43)</f>
        <v>0</v>
      </c>
      <c r="DE44" s="1877"/>
      <c r="DF44" s="1877"/>
      <c r="DG44" s="2823">
        <f>SUM(DG35:DI43)</f>
        <v>0</v>
      </c>
      <c r="DH44" s="1877"/>
      <c r="DI44" s="1877"/>
      <c r="DJ44" s="2823">
        <f>SUM(DJ35:DL43)</f>
        <v>0</v>
      </c>
      <c r="DK44" s="1877"/>
      <c r="DL44" s="1877"/>
      <c r="DM44" s="2823">
        <f>SUM(DM35:DO43)</f>
        <v>0</v>
      </c>
      <c r="DN44" s="1877"/>
      <c r="DO44" s="1877"/>
      <c r="DP44" s="2823">
        <f>SUM(DP35:DR43)</f>
        <v>0</v>
      </c>
      <c r="DQ44" s="1877"/>
      <c r="DR44" s="1877"/>
      <c r="DS44" s="2823">
        <f>SUM(DS35:DU43)</f>
        <v>0</v>
      </c>
      <c r="DT44" s="1877"/>
      <c r="DU44" s="1877"/>
      <c r="DV44" s="2823">
        <f>SUM(DV35:DX43)</f>
        <v>0</v>
      </c>
      <c r="DW44" s="1877"/>
      <c r="DX44" s="1877"/>
      <c r="DY44" s="2948">
        <f>SUM(DY35:EA43)</f>
        <v>0</v>
      </c>
      <c r="DZ44" s="1877"/>
      <c r="EA44" s="1772"/>
      <c r="EB44" s="322"/>
    </row>
    <row r="45" spans="2:132" s="49" customFormat="1" ht="18" customHeight="1" thickBot="1">
      <c r="B45" s="2919" t="s">
        <v>1935</v>
      </c>
      <c r="C45" s="2803"/>
      <c r="D45" s="2803"/>
      <c r="E45" s="2803"/>
      <c r="F45" s="2803"/>
      <c r="G45" s="2803"/>
      <c r="H45" s="2803"/>
      <c r="I45" s="2803"/>
      <c r="J45" s="2803"/>
      <c r="K45" s="2816"/>
      <c r="L45" s="2802">
        <f>L32-L44</f>
        <v>0</v>
      </c>
      <c r="M45" s="2803"/>
      <c r="N45" s="2803"/>
      <c r="O45" s="2802">
        <f>O32-O44</f>
        <v>0</v>
      </c>
      <c r="P45" s="2803"/>
      <c r="Q45" s="2803"/>
      <c r="R45" s="2802">
        <f>R32-R44</f>
        <v>0</v>
      </c>
      <c r="S45" s="2803"/>
      <c r="T45" s="2803"/>
      <c r="U45" s="2802">
        <f>U32-U44</f>
        <v>0</v>
      </c>
      <c r="V45" s="2803"/>
      <c r="W45" s="2803"/>
      <c r="X45" s="2802">
        <f>X32-X44</f>
        <v>0</v>
      </c>
      <c r="Y45" s="2803"/>
      <c r="Z45" s="2803"/>
      <c r="AA45" s="2802">
        <f>AA32-AA44</f>
        <v>0</v>
      </c>
      <c r="AB45" s="2803"/>
      <c r="AC45" s="2803"/>
      <c r="AD45" s="2802">
        <f>AD32-AD44</f>
        <v>0</v>
      </c>
      <c r="AE45" s="2803"/>
      <c r="AF45" s="2803"/>
      <c r="AG45" s="2802">
        <f>AG32-AG44</f>
        <v>0</v>
      </c>
      <c r="AH45" s="2803"/>
      <c r="AI45" s="2803"/>
      <c r="AJ45" s="2802">
        <f>AJ32-AJ44</f>
        <v>0</v>
      </c>
      <c r="AK45" s="2803"/>
      <c r="AL45" s="2803"/>
      <c r="AM45" s="2802">
        <f>AM32-AM44</f>
        <v>0</v>
      </c>
      <c r="AN45" s="2803"/>
      <c r="AO45" s="2803"/>
      <c r="AP45" s="2802">
        <f>AP32-AP44</f>
        <v>0</v>
      </c>
      <c r="AQ45" s="2803"/>
      <c r="AR45" s="2803"/>
      <c r="AS45" s="2802">
        <f>AS32-AS44</f>
        <v>0</v>
      </c>
      <c r="AT45" s="2803"/>
      <c r="AU45" s="2803"/>
      <c r="AV45" s="2802">
        <f>AV32-AV44</f>
        <v>0</v>
      </c>
      <c r="AW45" s="2803"/>
      <c r="AX45" s="2803"/>
      <c r="AY45" s="2802">
        <f>AY32-AY44</f>
        <v>0</v>
      </c>
      <c r="AZ45" s="2803"/>
      <c r="BA45" s="2803"/>
      <c r="BB45" s="2802">
        <f>BB32-BB44</f>
        <v>0</v>
      </c>
      <c r="BC45" s="2803"/>
      <c r="BD45" s="2803"/>
      <c r="BE45" s="2802">
        <f>BE32-BE44</f>
        <v>0</v>
      </c>
      <c r="BF45" s="2803"/>
      <c r="BG45" s="2803"/>
      <c r="BH45" s="2802">
        <f>BH32-BH44</f>
        <v>0</v>
      </c>
      <c r="BI45" s="2803"/>
      <c r="BJ45" s="2803"/>
      <c r="BK45" s="2802">
        <f>BK32-BK44</f>
        <v>0</v>
      </c>
      <c r="BL45" s="2803"/>
      <c r="BM45" s="2803"/>
      <c r="BN45" s="2802">
        <f>BN32-BN44</f>
        <v>0</v>
      </c>
      <c r="BO45" s="2803"/>
      <c r="BP45" s="2803"/>
      <c r="BQ45" s="2802">
        <f>BQ32-BQ44</f>
        <v>0</v>
      </c>
      <c r="BR45" s="2803"/>
      <c r="BS45" s="2803"/>
      <c r="BT45" s="2802">
        <f>BT32-BT44</f>
        <v>0</v>
      </c>
      <c r="BU45" s="2803"/>
      <c r="BV45" s="2803"/>
      <c r="BW45" s="2802">
        <f>BW32-BW44</f>
        <v>0</v>
      </c>
      <c r="BX45" s="2803"/>
      <c r="BY45" s="2803"/>
      <c r="BZ45" s="2802">
        <f>BZ32-BZ44</f>
        <v>0</v>
      </c>
      <c r="CA45" s="2803"/>
      <c r="CB45" s="2803"/>
      <c r="CC45" s="2802">
        <f>CC32-CC44</f>
        <v>0</v>
      </c>
      <c r="CD45" s="2803"/>
      <c r="CE45" s="2803"/>
      <c r="CF45" s="2802">
        <f>CF32-CF44</f>
        <v>0</v>
      </c>
      <c r="CG45" s="2803"/>
      <c r="CH45" s="2803"/>
      <c r="CI45" s="2802">
        <f>CI32-CI44</f>
        <v>0</v>
      </c>
      <c r="CJ45" s="2803"/>
      <c r="CK45" s="2803"/>
      <c r="CL45" s="2802">
        <f>CL32-CL44</f>
        <v>0</v>
      </c>
      <c r="CM45" s="2803"/>
      <c r="CN45" s="2803"/>
      <c r="CO45" s="2802">
        <f>CO32-CO44</f>
        <v>0</v>
      </c>
      <c r="CP45" s="2803"/>
      <c r="CQ45" s="2803"/>
      <c r="CR45" s="2802">
        <f>CR32-CR44</f>
        <v>0</v>
      </c>
      <c r="CS45" s="2803"/>
      <c r="CT45" s="2803"/>
      <c r="CU45" s="2802">
        <f>CU32-CU44</f>
        <v>0</v>
      </c>
      <c r="CV45" s="2803"/>
      <c r="CW45" s="2803"/>
      <c r="CX45" s="2802">
        <f>CX32-CX44</f>
        <v>0</v>
      </c>
      <c r="CY45" s="2803"/>
      <c r="CZ45" s="2803"/>
      <c r="DA45" s="2802">
        <f>DA32-DA44</f>
        <v>0</v>
      </c>
      <c r="DB45" s="2803"/>
      <c r="DC45" s="2803"/>
      <c r="DD45" s="2802">
        <f>DD32-DD44</f>
        <v>0</v>
      </c>
      <c r="DE45" s="2803"/>
      <c r="DF45" s="2803"/>
      <c r="DG45" s="2802">
        <f>DG32-DG44</f>
        <v>0</v>
      </c>
      <c r="DH45" s="2803"/>
      <c r="DI45" s="2803"/>
      <c r="DJ45" s="2802">
        <f>DJ32-DJ44</f>
        <v>0</v>
      </c>
      <c r="DK45" s="2803"/>
      <c r="DL45" s="2803"/>
      <c r="DM45" s="2802">
        <f>DM32-DM44</f>
        <v>0</v>
      </c>
      <c r="DN45" s="2803"/>
      <c r="DO45" s="2803"/>
      <c r="DP45" s="2802">
        <f>DP32-DP44</f>
        <v>0</v>
      </c>
      <c r="DQ45" s="2803"/>
      <c r="DR45" s="2803"/>
      <c r="DS45" s="2802">
        <f>DS32-DS44</f>
        <v>0</v>
      </c>
      <c r="DT45" s="2803"/>
      <c r="DU45" s="2803"/>
      <c r="DV45" s="2802">
        <f>DV32-DV44</f>
        <v>0</v>
      </c>
      <c r="DW45" s="2803"/>
      <c r="DX45" s="2803"/>
      <c r="DY45" s="2837">
        <f>DY32-DY44</f>
        <v>0</v>
      </c>
      <c r="DZ45" s="2803"/>
      <c r="EA45" s="2816"/>
      <c r="EB45" s="775"/>
    </row>
    <row r="46" spans="2:132" ht="9" customHeight="1" thickTop="1">
      <c r="D46" s="696"/>
      <c r="E46" s="696"/>
      <c r="F46" s="696"/>
      <c r="G46" s="696"/>
      <c r="H46" s="696"/>
      <c r="I46" s="696"/>
      <c r="J46" s="696"/>
      <c r="K46" s="696"/>
      <c r="L46" s="30"/>
      <c r="M46" s="50"/>
      <c r="N46" s="50"/>
      <c r="O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c r="BK46" s="50"/>
      <c r="BL46" s="50"/>
      <c r="BM46" s="50"/>
      <c r="BN46" s="50"/>
      <c r="BO46" s="50"/>
      <c r="BP46" s="50"/>
      <c r="BQ46" s="50"/>
      <c r="BR46" s="50"/>
      <c r="BS46" s="50"/>
      <c r="BT46" s="50"/>
      <c r="BU46" s="50"/>
      <c r="BV46" s="50"/>
      <c r="BW46" s="50"/>
      <c r="BX46" s="50"/>
      <c r="BY46" s="50"/>
      <c r="BZ46" s="50"/>
      <c r="CA46" s="50"/>
      <c r="CB46" s="50"/>
      <c r="CC46" s="50"/>
      <c r="CD46" s="50"/>
      <c r="CE46" s="50"/>
      <c r="CF46" s="50"/>
      <c r="CG46" s="50"/>
      <c r="CH46" s="50"/>
      <c r="CI46" s="50"/>
      <c r="CJ46" s="50"/>
      <c r="CK46" s="50"/>
      <c r="CL46" s="50"/>
      <c r="CM46" s="50"/>
      <c r="CN46" s="50"/>
      <c r="CO46" s="50"/>
      <c r="CP46" s="50"/>
      <c r="CQ46" s="50"/>
      <c r="CR46" s="50"/>
      <c r="CS46" s="50"/>
      <c r="CT46" s="50"/>
      <c r="CU46" s="50"/>
      <c r="CV46" s="50"/>
      <c r="CW46" s="50"/>
      <c r="CX46" s="50"/>
      <c r="CY46" s="50"/>
      <c r="CZ46" s="50"/>
      <c r="DA46" s="50"/>
      <c r="DB46" s="50"/>
      <c r="DC46" s="50"/>
      <c r="DD46" s="50"/>
      <c r="DE46" s="50"/>
      <c r="DF46" s="50"/>
      <c r="DG46" s="50"/>
      <c r="DH46" s="50"/>
      <c r="DI46" s="50"/>
      <c r="DJ46" s="50"/>
      <c r="DK46" s="50"/>
      <c r="DL46" s="50"/>
      <c r="DM46" s="50"/>
      <c r="DN46" s="50"/>
      <c r="DO46" s="50"/>
      <c r="DP46" s="50"/>
      <c r="DQ46" s="50"/>
      <c r="DR46" s="50"/>
      <c r="DS46" s="50"/>
      <c r="DT46" s="50"/>
      <c r="DU46" s="50"/>
      <c r="DV46" s="50"/>
      <c r="DW46" s="50"/>
      <c r="DX46" s="50"/>
      <c r="DY46" s="50"/>
      <c r="DZ46" s="50"/>
      <c r="EA46" s="50"/>
    </row>
    <row r="47" spans="2:132" s="29" customFormat="1" ht="18" customHeight="1">
      <c r="B47" s="2920" t="s">
        <v>1936</v>
      </c>
      <c r="C47" s="1777"/>
      <c r="D47" s="1777"/>
      <c r="E47" s="1777"/>
      <c r="F47" s="1777"/>
      <c r="G47" s="1777"/>
      <c r="H47" s="1777"/>
      <c r="I47" s="1777"/>
      <c r="J47" s="1777"/>
      <c r="K47" s="1778"/>
      <c r="L47" s="2843" t="s">
        <v>1879</v>
      </c>
      <c r="M47" s="1777"/>
      <c r="N47" s="1777"/>
      <c r="O47" s="2789" t="s">
        <v>1880</v>
      </c>
      <c r="P47" s="1777"/>
      <c r="Q47" s="1777"/>
      <c r="R47" s="2789" t="s">
        <v>1881</v>
      </c>
      <c r="S47" s="1777"/>
      <c r="T47" s="1777"/>
      <c r="U47" s="2789" t="s">
        <v>1882</v>
      </c>
      <c r="V47" s="1777"/>
      <c r="W47" s="1777"/>
      <c r="X47" s="2789" t="s">
        <v>1883</v>
      </c>
      <c r="Y47" s="1777"/>
      <c r="Z47" s="1777"/>
      <c r="AA47" s="2789" t="s">
        <v>1884</v>
      </c>
      <c r="AB47" s="1777"/>
      <c r="AC47" s="1777"/>
      <c r="AD47" s="2789" t="s">
        <v>1885</v>
      </c>
      <c r="AE47" s="1777"/>
      <c r="AF47" s="1777"/>
      <c r="AG47" s="2789" t="s">
        <v>1886</v>
      </c>
      <c r="AH47" s="1777"/>
      <c r="AI47" s="1777"/>
      <c r="AJ47" s="2789" t="s">
        <v>1887</v>
      </c>
      <c r="AK47" s="1777"/>
      <c r="AL47" s="1777"/>
      <c r="AM47" s="2789" t="s">
        <v>1888</v>
      </c>
      <c r="AN47" s="1777"/>
      <c r="AO47" s="1777"/>
      <c r="AP47" s="2789" t="s">
        <v>1889</v>
      </c>
      <c r="AQ47" s="1777"/>
      <c r="AR47" s="1777"/>
      <c r="AS47" s="2789" t="s">
        <v>1890</v>
      </c>
      <c r="AT47" s="1777"/>
      <c r="AU47" s="1777"/>
      <c r="AV47" s="2789" t="s">
        <v>1891</v>
      </c>
      <c r="AW47" s="1777"/>
      <c r="AX47" s="1777"/>
      <c r="AY47" s="2789" t="s">
        <v>1892</v>
      </c>
      <c r="AZ47" s="1777"/>
      <c r="BA47" s="1777"/>
      <c r="BB47" s="2789" t="s">
        <v>1893</v>
      </c>
      <c r="BC47" s="1777"/>
      <c r="BD47" s="1777"/>
      <c r="BE47" s="2789" t="s">
        <v>1894</v>
      </c>
      <c r="BF47" s="1777"/>
      <c r="BG47" s="1777"/>
      <c r="BH47" s="2789" t="s">
        <v>1895</v>
      </c>
      <c r="BI47" s="1777"/>
      <c r="BJ47" s="1777"/>
      <c r="BK47" s="2789" t="s">
        <v>1896</v>
      </c>
      <c r="BL47" s="1777"/>
      <c r="BM47" s="1777"/>
      <c r="BN47" s="2789" t="s">
        <v>1897</v>
      </c>
      <c r="BO47" s="1777"/>
      <c r="BP47" s="1777"/>
      <c r="BQ47" s="2789" t="s">
        <v>1898</v>
      </c>
      <c r="BR47" s="1777"/>
      <c r="BS47" s="1777"/>
      <c r="BT47" s="2789" t="s">
        <v>1899</v>
      </c>
      <c r="BU47" s="1777"/>
      <c r="BV47" s="1777"/>
      <c r="BW47" s="2789" t="s">
        <v>1900</v>
      </c>
      <c r="BX47" s="1777"/>
      <c r="BY47" s="1777"/>
      <c r="BZ47" s="2789" t="s">
        <v>1901</v>
      </c>
      <c r="CA47" s="1777"/>
      <c r="CB47" s="1777"/>
      <c r="CC47" s="2789" t="s">
        <v>1902</v>
      </c>
      <c r="CD47" s="1777"/>
      <c r="CE47" s="1777"/>
      <c r="CF47" s="2789" t="s">
        <v>1903</v>
      </c>
      <c r="CG47" s="1777"/>
      <c r="CH47" s="1777"/>
      <c r="CI47" s="2789" t="s">
        <v>1904</v>
      </c>
      <c r="CJ47" s="1777"/>
      <c r="CK47" s="1777"/>
      <c r="CL47" s="2789" t="s">
        <v>1905</v>
      </c>
      <c r="CM47" s="1777"/>
      <c r="CN47" s="1777"/>
      <c r="CO47" s="2789" t="s">
        <v>1906</v>
      </c>
      <c r="CP47" s="1777"/>
      <c r="CQ47" s="1777"/>
      <c r="CR47" s="2789" t="s">
        <v>1907</v>
      </c>
      <c r="CS47" s="1777"/>
      <c r="CT47" s="1777"/>
      <c r="CU47" s="2789" t="s">
        <v>1908</v>
      </c>
      <c r="CV47" s="1777"/>
      <c r="CW47" s="1777"/>
      <c r="CX47" s="2789" t="s">
        <v>1909</v>
      </c>
      <c r="CY47" s="1777"/>
      <c r="CZ47" s="1777"/>
      <c r="DA47" s="2789" t="s">
        <v>1910</v>
      </c>
      <c r="DB47" s="1777"/>
      <c r="DC47" s="1777"/>
      <c r="DD47" s="2789" t="s">
        <v>1911</v>
      </c>
      <c r="DE47" s="1777"/>
      <c r="DF47" s="1777"/>
      <c r="DG47" s="2789" t="s">
        <v>1912</v>
      </c>
      <c r="DH47" s="1777"/>
      <c r="DI47" s="1777"/>
      <c r="DJ47" s="2789" t="s">
        <v>1913</v>
      </c>
      <c r="DK47" s="1777"/>
      <c r="DL47" s="1777"/>
      <c r="DM47" s="2789" t="s">
        <v>1914</v>
      </c>
      <c r="DN47" s="1777"/>
      <c r="DO47" s="1777"/>
      <c r="DP47" s="2789" t="s">
        <v>1915</v>
      </c>
      <c r="DQ47" s="1777"/>
      <c r="DR47" s="1777"/>
      <c r="DS47" s="2789" t="s">
        <v>1916</v>
      </c>
      <c r="DT47" s="1777"/>
      <c r="DU47" s="1777"/>
      <c r="DV47" s="2789" t="s">
        <v>1917</v>
      </c>
      <c r="DW47" s="1777"/>
      <c r="DX47" s="1777"/>
      <c r="DY47" s="2895" t="s">
        <v>1918</v>
      </c>
      <c r="DZ47" s="1777"/>
      <c r="EA47" s="1778"/>
      <c r="EB47" s="773"/>
    </row>
    <row r="48" spans="2:132" ht="18" customHeight="1">
      <c r="B48" s="2885" t="str">
        <f>'Operating Budget'!$D$128</f>
        <v>1st Mortgage Debt Service (Specify)</v>
      </c>
      <c r="C48" s="1953"/>
      <c r="D48" s="1953"/>
      <c r="E48" s="1953"/>
      <c r="F48" s="1953"/>
      <c r="G48" s="1953"/>
      <c r="H48" s="1953"/>
      <c r="I48" s="1953"/>
      <c r="J48" s="1953"/>
      <c r="K48" s="1770"/>
      <c r="L48" s="2853">
        <f>+'Operating Budget'!$E$128+'Operating Budget'!$F$128</f>
        <v>0</v>
      </c>
      <c r="M48" s="1953"/>
      <c r="N48" s="1953"/>
      <c r="O48" s="2811">
        <f>$L$48</f>
        <v>0</v>
      </c>
      <c r="P48" s="1953"/>
      <c r="Q48" s="1953"/>
      <c r="R48" s="2811">
        <f>$L$48</f>
        <v>0</v>
      </c>
      <c r="S48" s="1953"/>
      <c r="T48" s="1953"/>
      <c r="U48" s="2811">
        <f>$L$48</f>
        <v>0</v>
      </c>
      <c r="V48" s="1953"/>
      <c r="W48" s="1953"/>
      <c r="X48" s="2811">
        <f>$L$48</f>
        <v>0</v>
      </c>
      <c r="Y48" s="1953"/>
      <c r="Z48" s="1953"/>
      <c r="AA48" s="2811">
        <f>$L$48</f>
        <v>0</v>
      </c>
      <c r="AB48" s="1953"/>
      <c r="AC48" s="1953"/>
      <c r="AD48" s="2811">
        <f>$L$48</f>
        <v>0</v>
      </c>
      <c r="AE48" s="1953"/>
      <c r="AF48" s="1953"/>
      <c r="AG48" s="2811">
        <f>$L$48</f>
        <v>0</v>
      </c>
      <c r="AH48" s="1953"/>
      <c r="AI48" s="1953"/>
      <c r="AJ48" s="2811">
        <f>$L$48</f>
        <v>0</v>
      </c>
      <c r="AK48" s="1953"/>
      <c r="AL48" s="1953"/>
      <c r="AM48" s="2811">
        <f>$L$48</f>
        <v>0</v>
      </c>
      <c r="AN48" s="1953"/>
      <c r="AO48" s="1953"/>
      <c r="AP48" s="2811">
        <f>$L$48</f>
        <v>0</v>
      </c>
      <c r="AQ48" s="1953"/>
      <c r="AR48" s="1953"/>
      <c r="AS48" s="2811">
        <f>$L$48</f>
        <v>0</v>
      </c>
      <c r="AT48" s="1953"/>
      <c r="AU48" s="1953"/>
      <c r="AV48" s="2811">
        <f>$L$48</f>
        <v>0</v>
      </c>
      <c r="AW48" s="1953"/>
      <c r="AX48" s="1953"/>
      <c r="AY48" s="2811">
        <f>$L$48</f>
        <v>0</v>
      </c>
      <c r="AZ48" s="1953"/>
      <c r="BA48" s="1953"/>
      <c r="BB48" s="2811">
        <f>$L$48</f>
        <v>0</v>
      </c>
      <c r="BC48" s="1953"/>
      <c r="BD48" s="1953"/>
      <c r="BE48" s="2811">
        <f>$L$48</f>
        <v>0</v>
      </c>
      <c r="BF48" s="1953"/>
      <c r="BG48" s="1953"/>
      <c r="BH48" s="2811">
        <f>$L$48</f>
        <v>0</v>
      </c>
      <c r="BI48" s="1953"/>
      <c r="BJ48" s="1953"/>
      <c r="BK48" s="2811">
        <f>$L$48</f>
        <v>0</v>
      </c>
      <c r="BL48" s="1953"/>
      <c r="BM48" s="1953"/>
      <c r="BN48" s="2811">
        <f>$L$48</f>
        <v>0</v>
      </c>
      <c r="BO48" s="1953"/>
      <c r="BP48" s="1953"/>
      <c r="BQ48" s="2811">
        <f>$L$48</f>
        <v>0</v>
      </c>
      <c r="BR48" s="1953"/>
      <c r="BS48" s="1953"/>
      <c r="BT48" s="2811">
        <f>$L$48</f>
        <v>0</v>
      </c>
      <c r="BU48" s="1953"/>
      <c r="BV48" s="1953"/>
      <c r="BW48" s="2811">
        <f>$L$48</f>
        <v>0</v>
      </c>
      <c r="BX48" s="1953"/>
      <c r="BY48" s="1953"/>
      <c r="BZ48" s="2811">
        <f>$L$48</f>
        <v>0</v>
      </c>
      <c r="CA48" s="1953"/>
      <c r="CB48" s="1953"/>
      <c r="CC48" s="2811">
        <f>$L$48</f>
        <v>0</v>
      </c>
      <c r="CD48" s="1953"/>
      <c r="CE48" s="1953"/>
      <c r="CF48" s="2811">
        <f>$L$48</f>
        <v>0</v>
      </c>
      <c r="CG48" s="1953"/>
      <c r="CH48" s="1953"/>
      <c r="CI48" s="2811">
        <f>$L$48</f>
        <v>0</v>
      </c>
      <c r="CJ48" s="1953"/>
      <c r="CK48" s="1953"/>
      <c r="CL48" s="2811">
        <f>$L$48</f>
        <v>0</v>
      </c>
      <c r="CM48" s="1953"/>
      <c r="CN48" s="1953"/>
      <c r="CO48" s="2811">
        <f>$L$48</f>
        <v>0</v>
      </c>
      <c r="CP48" s="1953"/>
      <c r="CQ48" s="1953"/>
      <c r="CR48" s="2811">
        <f>$L$48</f>
        <v>0</v>
      </c>
      <c r="CS48" s="1953"/>
      <c r="CT48" s="1953"/>
      <c r="CU48" s="2811">
        <f>$L$48</f>
        <v>0</v>
      </c>
      <c r="CV48" s="1953"/>
      <c r="CW48" s="1953"/>
      <c r="CX48" s="2811">
        <f>$L$48</f>
        <v>0</v>
      </c>
      <c r="CY48" s="1953"/>
      <c r="CZ48" s="1953"/>
      <c r="DA48" s="2811">
        <f>$L$48</f>
        <v>0</v>
      </c>
      <c r="DB48" s="1953"/>
      <c r="DC48" s="1953"/>
      <c r="DD48" s="2811">
        <f>$L$48</f>
        <v>0</v>
      </c>
      <c r="DE48" s="1953"/>
      <c r="DF48" s="1953"/>
      <c r="DG48" s="2811">
        <f>$L$48</f>
        <v>0</v>
      </c>
      <c r="DH48" s="1953"/>
      <c r="DI48" s="1953"/>
      <c r="DJ48" s="2811">
        <f>$L$48</f>
        <v>0</v>
      </c>
      <c r="DK48" s="1953"/>
      <c r="DL48" s="1953"/>
      <c r="DM48" s="2811">
        <f>$L$48</f>
        <v>0</v>
      </c>
      <c r="DN48" s="1953"/>
      <c r="DO48" s="1953"/>
      <c r="DP48" s="2811">
        <f>$L$48</f>
        <v>0</v>
      </c>
      <c r="DQ48" s="1953"/>
      <c r="DR48" s="1953"/>
      <c r="DS48" s="2811">
        <f>$L$48</f>
        <v>0</v>
      </c>
      <c r="DT48" s="1953"/>
      <c r="DU48" s="1953"/>
      <c r="DV48" s="2811">
        <f>$L$48</f>
        <v>0</v>
      </c>
      <c r="DW48" s="1953"/>
      <c r="DX48" s="1953"/>
      <c r="DY48" s="2899">
        <f>$L$48</f>
        <v>0</v>
      </c>
      <c r="DZ48" s="1953"/>
      <c r="EA48" s="1770"/>
      <c r="EB48" s="773"/>
    </row>
    <row r="49" spans="1:132" ht="18" customHeight="1">
      <c r="B49" s="2884" t="s">
        <v>1937</v>
      </c>
      <c r="C49" s="2022"/>
      <c r="D49" s="2022"/>
      <c r="E49" s="2022"/>
      <c r="F49" s="2022"/>
      <c r="G49" s="2022"/>
      <c r="H49" s="2022"/>
      <c r="I49" s="2022"/>
      <c r="J49" s="2022"/>
      <c r="K49" s="2023"/>
      <c r="L49" s="2825">
        <v>0</v>
      </c>
      <c r="M49" s="2022"/>
      <c r="N49" s="2022"/>
      <c r="O49" s="2790">
        <v>0</v>
      </c>
      <c r="P49" s="2022"/>
      <c r="Q49" s="2022"/>
      <c r="R49" s="2790">
        <v>0</v>
      </c>
      <c r="S49" s="2022"/>
      <c r="T49" s="2022"/>
      <c r="U49" s="2790">
        <v>0</v>
      </c>
      <c r="V49" s="2022"/>
      <c r="W49" s="2022"/>
      <c r="X49" s="2790">
        <v>0</v>
      </c>
      <c r="Y49" s="2022"/>
      <c r="Z49" s="2022"/>
      <c r="AA49" s="2790">
        <v>0</v>
      </c>
      <c r="AB49" s="2022"/>
      <c r="AC49" s="2022"/>
      <c r="AD49" s="2790">
        <v>0</v>
      </c>
      <c r="AE49" s="2022"/>
      <c r="AF49" s="2022"/>
      <c r="AG49" s="2790">
        <v>0</v>
      </c>
      <c r="AH49" s="2022"/>
      <c r="AI49" s="2022"/>
      <c r="AJ49" s="2790">
        <v>0</v>
      </c>
      <c r="AK49" s="2022"/>
      <c r="AL49" s="2022"/>
      <c r="AM49" s="2790">
        <v>0</v>
      </c>
      <c r="AN49" s="2022"/>
      <c r="AO49" s="2022"/>
      <c r="AP49" s="2790">
        <v>0</v>
      </c>
      <c r="AQ49" s="2022"/>
      <c r="AR49" s="2022"/>
      <c r="AS49" s="2790">
        <v>0</v>
      </c>
      <c r="AT49" s="2022"/>
      <c r="AU49" s="2022"/>
      <c r="AV49" s="2790">
        <v>0</v>
      </c>
      <c r="AW49" s="2022"/>
      <c r="AX49" s="2022"/>
      <c r="AY49" s="2790">
        <v>0</v>
      </c>
      <c r="AZ49" s="2022"/>
      <c r="BA49" s="2022"/>
      <c r="BB49" s="2790">
        <v>0</v>
      </c>
      <c r="BC49" s="2022"/>
      <c r="BD49" s="2022"/>
      <c r="BE49" s="2790">
        <v>0</v>
      </c>
      <c r="BF49" s="2022"/>
      <c r="BG49" s="2022"/>
      <c r="BH49" s="2790">
        <v>0</v>
      </c>
      <c r="BI49" s="2022"/>
      <c r="BJ49" s="2022"/>
      <c r="BK49" s="2790">
        <v>0</v>
      </c>
      <c r="BL49" s="2022"/>
      <c r="BM49" s="2022"/>
      <c r="BN49" s="2790">
        <v>0</v>
      </c>
      <c r="BO49" s="2022"/>
      <c r="BP49" s="2022"/>
      <c r="BQ49" s="2790">
        <v>0</v>
      </c>
      <c r="BR49" s="2022"/>
      <c r="BS49" s="2022"/>
      <c r="BT49" s="2790">
        <v>0</v>
      </c>
      <c r="BU49" s="2022"/>
      <c r="BV49" s="2022"/>
      <c r="BW49" s="2790">
        <v>0</v>
      </c>
      <c r="BX49" s="2022"/>
      <c r="BY49" s="2022"/>
      <c r="BZ49" s="2790">
        <v>0</v>
      </c>
      <c r="CA49" s="2022"/>
      <c r="CB49" s="2022"/>
      <c r="CC49" s="2790">
        <v>0</v>
      </c>
      <c r="CD49" s="2022"/>
      <c r="CE49" s="2022"/>
      <c r="CF49" s="2790">
        <v>0</v>
      </c>
      <c r="CG49" s="2022"/>
      <c r="CH49" s="2022"/>
      <c r="CI49" s="2790">
        <v>0</v>
      </c>
      <c r="CJ49" s="2022"/>
      <c r="CK49" s="2022"/>
      <c r="CL49" s="2790">
        <v>0</v>
      </c>
      <c r="CM49" s="2022"/>
      <c r="CN49" s="2022"/>
      <c r="CO49" s="2790">
        <v>0</v>
      </c>
      <c r="CP49" s="2022"/>
      <c r="CQ49" s="2022"/>
      <c r="CR49" s="2790">
        <v>0</v>
      </c>
      <c r="CS49" s="2022"/>
      <c r="CT49" s="2022"/>
      <c r="CU49" s="2790">
        <v>0</v>
      </c>
      <c r="CV49" s="2022"/>
      <c r="CW49" s="2022"/>
      <c r="CX49" s="2790">
        <v>0</v>
      </c>
      <c r="CY49" s="2022"/>
      <c r="CZ49" s="2022"/>
      <c r="DA49" s="2790">
        <v>0</v>
      </c>
      <c r="DB49" s="2022"/>
      <c r="DC49" s="2022"/>
      <c r="DD49" s="2790">
        <v>0</v>
      </c>
      <c r="DE49" s="2022"/>
      <c r="DF49" s="2022"/>
      <c r="DG49" s="2790">
        <v>0</v>
      </c>
      <c r="DH49" s="2022"/>
      <c r="DI49" s="2022"/>
      <c r="DJ49" s="2790">
        <v>0</v>
      </c>
      <c r="DK49" s="2022"/>
      <c r="DL49" s="2022"/>
      <c r="DM49" s="2790">
        <v>0</v>
      </c>
      <c r="DN49" s="2022"/>
      <c r="DO49" s="2022"/>
      <c r="DP49" s="2790">
        <v>0</v>
      </c>
      <c r="DQ49" s="2022"/>
      <c r="DR49" s="2022"/>
      <c r="DS49" s="2790">
        <v>0</v>
      </c>
      <c r="DT49" s="2022"/>
      <c r="DU49" s="2022"/>
      <c r="DV49" s="2790">
        <v>0</v>
      </c>
      <c r="DW49" s="2022"/>
      <c r="DX49" s="2022"/>
      <c r="DY49" s="2935">
        <v>0</v>
      </c>
      <c r="DZ49" s="2022"/>
      <c r="EA49" s="2023"/>
      <c r="EB49" s="773"/>
    </row>
    <row r="50" spans="1:132" ht="18" customHeight="1">
      <c r="B50" s="2851" t="str">
        <f>'Operating Budget'!$D$129</f>
        <v>2nd Mortgage Debt Service (Specify)</v>
      </c>
      <c r="C50" s="2821"/>
      <c r="D50" s="2821"/>
      <c r="E50" s="2821"/>
      <c r="F50" s="2821"/>
      <c r="G50" s="2821"/>
      <c r="H50" s="2821"/>
      <c r="I50" s="2821"/>
      <c r="J50" s="2821"/>
      <c r="K50" s="1889"/>
      <c r="L50" s="2849">
        <f>+'Operating Budget'!$E$129+'Operating Budget'!$F$129</f>
        <v>0</v>
      </c>
      <c r="M50" s="2435"/>
      <c r="N50" s="2435"/>
      <c r="O50" s="2791">
        <f>$L$50</f>
        <v>0</v>
      </c>
      <c r="P50" s="2435"/>
      <c r="Q50" s="2435"/>
      <c r="R50" s="2791">
        <f>$L$50</f>
        <v>0</v>
      </c>
      <c r="S50" s="2435"/>
      <c r="T50" s="2435"/>
      <c r="U50" s="2791">
        <f>$L$50</f>
        <v>0</v>
      </c>
      <c r="V50" s="2435"/>
      <c r="W50" s="2435"/>
      <c r="X50" s="2791">
        <f>$L$50</f>
        <v>0</v>
      </c>
      <c r="Y50" s="2435"/>
      <c r="Z50" s="2435"/>
      <c r="AA50" s="2791">
        <f>$L$50</f>
        <v>0</v>
      </c>
      <c r="AB50" s="2435"/>
      <c r="AC50" s="2435"/>
      <c r="AD50" s="2791">
        <f>$L$50</f>
        <v>0</v>
      </c>
      <c r="AE50" s="2435"/>
      <c r="AF50" s="2435"/>
      <c r="AG50" s="2791">
        <f>$L$50</f>
        <v>0</v>
      </c>
      <c r="AH50" s="2435"/>
      <c r="AI50" s="2435"/>
      <c r="AJ50" s="2791">
        <f>$L$50</f>
        <v>0</v>
      </c>
      <c r="AK50" s="2435"/>
      <c r="AL50" s="2435"/>
      <c r="AM50" s="2791">
        <f>$L$50</f>
        <v>0</v>
      </c>
      <c r="AN50" s="2435"/>
      <c r="AO50" s="2435"/>
      <c r="AP50" s="2791">
        <f>$L$50</f>
        <v>0</v>
      </c>
      <c r="AQ50" s="2435"/>
      <c r="AR50" s="2435"/>
      <c r="AS50" s="2791">
        <f>$L$50</f>
        <v>0</v>
      </c>
      <c r="AT50" s="2435"/>
      <c r="AU50" s="2435"/>
      <c r="AV50" s="2791">
        <f>$L$50</f>
        <v>0</v>
      </c>
      <c r="AW50" s="2435"/>
      <c r="AX50" s="2435"/>
      <c r="AY50" s="2791">
        <f>$L$50</f>
        <v>0</v>
      </c>
      <c r="AZ50" s="2435"/>
      <c r="BA50" s="2435"/>
      <c r="BB50" s="2791">
        <f>$L$50</f>
        <v>0</v>
      </c>
      <c r="BC50" s="2435"/>
      <c r="BD50" s="2435"/>
      <c r="BE50" s="2791">
        <f>$L$50</f>
        <v>0</v>
      </c>
      <c r="BF50" s="2435"/>
      <c r="BG50" s="2435"/>
      <c r="BH50" s="2791">
        <f>$L$50</f>
        <v>0</v>
      </c>
      <c r="BI50" s="2435"/>
      <c r="BJ50" s="2435"/>
      <c r="BK50" s="2791">
        <f>$L$50</f>
        <v>0</v>
      </c>
      <c r="BL50" s="2435"/>
      <c r="BM50" s="2435"/>
      <c r="BN50" s="2791">
        <f>$L$50</f>
        <v>0</v>
      </c>
      <c r="BO50" s="2435"/>
      <c r="BP50" s="2435"/>
      <c r="BQ50" s="2791">
        <f>$L$50</f>
        <v>0</v>
      </c>
      <c r="BR50" s="2435"/>
      <c r="BS50" s="2435"/>
      <c r="BT50" s="2791">
        <f>$L$50</f>
        <v>0</v>
      </c>
      <c r="BU50" s="2435"/>
      <c r="BV50" s="2435"/>
      <c r="BW50" s="2791">
        <f>$L$50</f>
        <v>0</v>
      </c>
      <c r="BX50" s="2435"/>
      <c r="BY50" s="2435"/>
      <c r="BZ50" s="2791">
        <f>$L$50</f>
        <v>0</v>
      </c>
      <c r="CA50" s="2435"/>
      <c r="CB50" s="2435"/>
      <c r="CC50" s="2791">
        <f>$L$50</f>
        <v>0</v>
      </c>
      <c r="CD50" s="2435"/>
      <c r="CE50" s="2435"/>
      <c r="CF50" s="2791">
        <f>$L$50</f>
        <v>0</v>
      </c>
      <c r="CG50" s="2435"/>
      <c r="CH50" s="2435"/>
      <c r="CI50" s="2791">
        <f>$L$50</f>
        <v>0</v>
      </c>
      <c r="CJ50" s="2435"/>
      <c r="CK50" s="2435"/>
      <c r="CL50" s="2791">
        <f>$L$50</f>
        <v>0</v>
      </c>
      <c r="CM50" s="2435"/>
      <c r="CN50" s="2435"/>
      <c r="CO50" s="2791">
        <f>$L$50</f>
        <v>0</v>
      </c>
      <c r="CP50" s="2435"/>
      <c r="CQ50" s="2435"/>
      <c r="CR50" s="2791">
        <f>$L$50</f>
        <v>0</v>
      </c>
      <c r="CS50" s="2435"/>
      <c r="CT50" s="2435"/>
      <c r="CU50" s="2791">
        <f>$L$50</f>
        <v>0</v>
      </c>
      <c r="CV50" s="2435"/>
      <c r="CW50" s="2435"/>
      <c r="CX50" s="2791">
        <f>$L$50</f>
        <v>0</v>
      </c>
      <c r="CY50" s="2435"/>
      <c r="CZ50" s="2435"/>
      <c r="DA50" s="2791">
        <f>$L$50</f>
        <v>0</v>
      </c>
      <c r="DB50" s="2435"/>
      <c r="DC50" s="2435"/>
      <c r="DD50" s="2791">
        <f>$L$50</f>
        <v>0</v>
      </c>
      <c r="DE50" s="2435"/>
      <c r="DF50" s="2435"/>
      <c r="DG50" s="2791">
        <f>$L$50</f>
        <v>0</v>
      </c>
      <c r="DH50" s="2435"/>
      <c r="DI50" s="2435"/>
      <c r="DJ50" s="2791">
        <f>$L$50</f>
        <v>0</v>
      </c>
      <c r="DK50" s="2435"/>
      <c r="DL50" s="2435"/>
      <c r="DM50" s="2791">
        <f>$L$50</f>
        <v>0</v>
      </c>
      <c r="DN50" s="2435"/>
      <c r="DO50" s="2435"/>
      <c r="DP50" s="2791">
        <f>$L$50</f>
        <v>0</v>
      </c>
      <c r="DQ50" s="2435"/>
      <c r="DR50" s="2435"/>
      <c r="DS50" s="2791">
        <f>$L$50</f>
        <v>0</v>
      </c>
      <c r="DT50" s="2435"/>
      <c r="DU50" s="2435"/>
      <c r="DV50" s="2791">
        <f>$L$50</f>
        <v>0</v>
      </c>
      <c r="DW50" s="2435"/>
      <c r="DX50" s="2435"/>
      <c r="DY50" s="2835">
        <f>$L$50</f>
        <v>0</v>
      </c>
      <c r="DZ50" s="2435"/>
      <c r="EA50" s="1889"/>
      <c r="EB50" s="773"/>
    </row>
    <row r="51" spans="1:132" ht="18" customHeight="1">
      <c r="B51" s="2851" t="str">
        <f>'Operating Budget'!$D$130</f>
        <v>3rd Mortgage Debt Service (Specify)</v>
      </c>
      <c r="C51" s="2821"/>
      <c r="D51" s="2821"/>
      <c r="E51" s="2821"/>
      <c r="F51" s="2821"/>
      <c r="G51" s="2821"/>
      <c r="H51" s="2821"/>
      <c r="I51" s="2821"/>
      <c r="J51" s="2821"/>
      <c r="K51" s="1889"/>
      <c r="L51" s="2849">
        <f>+'Operating Budget'!$E$130+'Operating Budget'!$F$130</f>
        <v>0</v>
      </c>
      <c r="M51" s="2435"/>
      <c r="N51" s="2435"/>
      <c r="O51" s="2791">
        <f>$L$51</f>
        <v>0</v>
      </c>
      <c r="P51" s="2435"/>
      <c r="Q51" s="2435"/>
      <c r="R51" s="2791">
        <f>$L$51</f>
        <v>0</v>
      </c>
      <c r="S51" s="2435"/>
      <c r="T51" s="2435"/>
      <c r="U51" s="2791">
        <f>$L$51</f>
        <v>0</v>
      </c>
      <c r="V51" s="2435"/>
      <c r="W51" s="2435"/>
      <c r="X51" s="2791">
        <f>$L$51</f>
        <v>0</v>
      </c>
      <c r="Y51" s="2435"/>
      <c r="Z51" s="2435"/>
      <c r="AA51" s="2791">
        <f>$L$51</f>
        <v>0</v>
      </c>
      <c r="AB51" s="2435"/>
      <c r="AC51" s="2435"/>
      <c r="AD51" s="2791">
        <f>$L$51</f>
        <v>0</v>
      </c>
      <c r="AE51" s="2435"/>
      <c r="AF51" s="2435"/>
      <c r="AG51" s="2791">
        <f>$L$51</f>
        <v>0</v>
      </c>
      <c r="AH51" s="2435"/>
      <c r="AI51" s="2435"/>
      <c r="AJ51" s="2791">
        <f>$L$51</f>
        <v>0</v>
      </c>
      <c r="AK51" s="2435"/>
      <c r="AL51" s="2435"/>
      <c r="AM51" s="2791">
        <f>$L$51</f>
        <v>0</v>
      </c>
      <c r="AN51" s="2435"/>
      <c r="AO51" s="2435"/>
      <c r="AP51" s="2791">
        <f>$L$51</f>
        <v>0</v>
      </c>
      <c r="AQ51" s="2435"/>
      <c r="AR51" s="2435"/>
      <c r="AS51" s="2791">
        <f>$L$51</f>
        <v>0</v>
      </c>
      <c r="AT51" s="2435"/>
      <c r="AU51" s="2435"/>
      <c r="AV51" s="2791">
        <f>$L$51</f>
        <v>0</v>
      </c>
      <c r="AW51" s="2435"/>
      <c r="AX51" s="2435"/>
      <c r="AY51" s="2791">
        <f>$L$51</f>
        <v>0</v>
      </c>
      <c r="AZ51" s="2435"/>
      <c r="BA51" s="2435"/>
      <c r="BB51" s="2791">
        <f>$L$51</f>
        <v>0</v>
      </c>
      <c r="BC51" s="2435"/>
      <c r="BD51" s="2435"/>
      <c r="BE51" s="2791">
        <f>$L$51</f>
        <v>0</v>
      </c>
      <c r="BF51" s="2435"/>
      <c r="BG51" s="2435"/>
      <c r="BH51" s="2791">
        <f>$L$51</f>
        <v>0</v>
      </c>
      <c r="BI51" s="2435"/>
      <c r="BJ51" s="2435"/>
      <c r="BK51" s="2791">
        <f>$L$51</f>
        <v>0</v>
      </c>
      <c r="BL51" s="2435"/>
      <c r="BM51" s="2435"/>
      <c r="BN51" s="2791">
        <f>$L$51</f>
        <v>0</v>
      </c>
      <c r="BO51" s="2435"/>
      <c r="BP51" s="2435"/>
      <c r="BQ51" s="2791">
        <f>$L$51</f>
        <v>0</v>
      </c>
      <c r="BR51" s="2435"/>
      <c r="BS51" s="2435"/>
      <c r="BT51" s="2791">
        <f>$L$51</f>
        <v>0</v>
      </c>
      <c r="BU51" s="2435"/>
      <c r="BV51" s="2435"/>
      <c r="BW51" s="2791">
        <f>$L$51</f>
        <v>0</v>
      </c>
      <c r="BX51" s="2435"/>
      <c r="BY51" s="2435"/>
      <c r="BZ51" s="2791">
        <f>$L$51</f>
        <v>0</v>
      </c>
      <c r="CA51" s="2435"/>
      <c r="CB51" s="2435"/>
      <c r="CC51" s="2791">
        <f>$L$51</f>
        <v>0</v>
      </c>
      <c r="CD51" s="2435"/>
      <c r="CE51" s="2435"/>
      <c r="CF51" s="2791">
        <f>$L$51</f>
        <v>0</v>
      </c>
      <c r="CG51" s="2435"/>
      <c r="CH51" s="2435"/>
      <c r="CI51" s="2791">
        <f>$L$51</f>
        <v>0</v>
      </c>
      <c r="CJ51" s="2435"/>
      <c r="CK51" s="2435"/>
      <c r="CL51" s="2791">
        <f>$L$51</f>
        <v>0</v>
      </c>
      <c r="CM51" s="2435"/>
      <c r="CN51" s="2435"/>
      <c r="CO51" s="2791">
        <f>$L$51</f>
        <v>0</v>
      </c>
      <c r="CP51" s="2435"/>
      <c r="CQ51" s="2435"/>
      <c r="CR51" s="2791">
        <f>$L$51</f>
        <v>0</v>
      </c>
      <c r="CS51" s="2435"/>
      <c r="CT51" s="2435"/>
      <c r="CU51" s="2791">
        <f>$L$51</f>
        <v>0</v>
      </c>
      <c r="CV51" s="2435"/>
      <c r="CW51" s="2435"/>
      <c r="CX51" s="2791">
        <f>$L$51</f>
        <v>0</v>
      </c>
      <c r="CY51" s="2435"/>
      <c r="CZ51" s="2435"/>
      <c r="DA51" s="2791">
        <f>$L$51</f>
        <v>0</v>
      </c>
      <c r="DB51" s="2435"/>
      <c r="DC51" s="2435"/>
      <c r="DD51" s="2791">
        <f>$L$51</f>
        <v>0</v>
      </c>
      <c r="DE51" s="2435"/>
      <c r="DF51" s="2435"/>
      <c r="DG51" s="2791">
        <f>$L$51</f>
        <v>0</v>
      </c>
      <c r="DH51" s="2435"/>
      <c r="DI51" s="2435"/>
      <c r="DJ51" s="2791">
        <f>$L$51</f>
        <v>0</v>
      </c>
      <c r="DK51" s="2435"/>
      <c r="DL51" s="2435"/>
      <c r="DM51" s="2791">
        <f>$L$51</f>
        <v>0</v>
      </c>
      <c r="DN51" s="2435"/>
      <c r="DO51" s="2435"/>
      <c r="DP51" s="2791">
        <f>$L$51</f>
        <v>0</v>
      </c>
      <c r="DQ51" s="2435"/>
      <c r="DR51" s="2435"/>
      <c r="DS51" s="2791">
        <f>$L$51</f>
        <v>0</v>
      </c>
      <c r="DT51" s="2435"/>
      <c r="DU51" s="2435"/>
      <c r="DV51" s="2791">
        <f>$L$51</f>
        <v>0</v>
      </c>
      <c r="DW51" s="2435"/>
      <c r="DX51" s="2435"/>
      <c r="DY51" s="2835">
        <f>$L$51</f>
        <v>0</v>
      </c>
      <c r="DZ51" s="2435"/>
      <c r="EA51" s="1889"/>
      <c r="EB51" s="773"/>
    </row>
    <row r="52" spans="1:132" ht="18" hidden="1" customHeight="1">
      <c r="B52" s="2820" t="str">
        <f>'Operating Budget'!$D$131</f>
        <v>FWHG .42% Fee</v>
      </c>
      <c r="C52" s="2821"/>
      <c r="D52" s="2821"/>
      <c r="E52" s="2821"/>
      <c r="F52" s="2821"/>
      <c r="G52" s="2821"/>
      <c r="H52" s="2821"/>
      <c r="I52" s="2821"/>
      <c r="J52" s="2821"/>
      <c r="K52" s="2821"/>
      <c r="L52" s="2849">
        <f>IF(IsSerna,'Operating Budget'!$E$131+'Operating Budget'!$F$131,0)</f>
        <v>0</v>
      </c>
      <c r="M52" s="2435"/>
      <c r="N52" s="2435"/>
      <c r="O52" s="2791">
        <f>$L$52</f>
        <v>0</v>
      </c>
      <c r="P52" s="2435"/>
      <c r="Q52" s="2435"/>
      <c r="R52" s="2791">
        <f>$L$52</f>
        <v>0</v>
      </c>
      <c r="S52" s="2435"/>
      <c r="T52" s="2435"/>
      <c r="U52" s="2791">
        <f>$L$52</f>
        <v>0</v>
      </c>
      <c r="V52" s="2435"/>
      <c r="W52" s="2435"/>
      <c r="X52" s="2791">
        <f>$L$52</f>
        <v>0</v>
      </c>
      <c r="Y52" s="2435"/>
      <c r="Z52" s="2435"/>
      <c r="AA52" s="2791">
        <f>$L$52</f>
        <v>0</v>
      </c>
      <c r="AB52" s="2435"/>
      <c r="AC52" s="2435"/>
      <c r="AD52" s="2791">
        <f>$L$52</f>
        <v>0</v>
      </c>
      <c r="AE52" s="2435"/>
      <c r="AF52" s="2435"/>
      <c r="AG52" s="2791">
        <f>$L$52</f>
        <v>0</v>
      </c>
      <c r="AH52" s="2435"/>
      <c r="AI52" s="2435"/>
      <c r="AJ52" s="2791">
        <f>$L$52</f>
        <v>0</v>
      </c>
      <c r="AK52" s="2435"/>
      <c r="AL52" s="2435"/>
      <c r="AM52" s="2791">
        <f>$L$52</f>
        <v>0</v>
      </c>
      <c r="AN52" s="2435"/>
      <c r="AO52" s="2435"/>
      <c r="AP52" s="2791">
        <f>$L$52</f>
        <v>0</v>
      </c>
      <c r="AQ52" s="2435"/>
      <c r="AR52" s="2435"/>
      <c r="AS52" s="2791">
        <f>$L$52</f>
        <v>0</v>
      </c>
      <c r="AT52" s="2435"/>
      <c r="AU52" s="2435"/>
      <c r="AV52" s="2791">
        <f>$L$52</f>
        <v>0</v>
      </c>
      <c r="AW52" s="2435"/>
      <c r="AX52" s="2435"/>
      <c r="AY52" s="2791">
        <f>$L$52</f>
        <v>0</v>
      </c>
      <c r="AZ52" s="2435"/>
      <c r="BA52" s="2435"/>
      <c r="BB52" s="2791">
        <f>$L$52</f>
        <v>0</v>
      </c>
      <c r="BC52" s="2435"/>
      <c r="BD52" s="2435"/>
      <c r="BE52" s="2791">
        <f>$L$52</f>
        <v>0</v>
      </c>
      <c r="BF52" s="2435"/>
      <c r="BG52" s="2435"/>
      <c r="BH52" s="2791">
        <f>$L$52</f>
        <v>0</v>
      </c>
      <c r="BI52" s="2435"/>
      <c r="BJ52" s="2435"/>
      <c r="BK52" s="2791">
        <f>$L$52</f>
        <v>0</v>
      </c>
      <c r="BL52" s="2435"/>
      <c r="BM52" s="2435"/>
      <c r="BN52" s="2791">
        <f>$L$52</f>
        <v>0</v>
      </c>
      <c r="BO52" s="2435"/>
      <c r="BP52" s="2435"/>
      <c r="BQ52" s="2791">
        <f>$L$52</f>
        <v>0</v>
      </c>
      <c r="BR52" s="2435"/>
      <c r="BS52" s="2435"/>
      <c r="BT52" s="2791">
        <f>$L$52</f>
        <v>0</v>
      </c>
      <c r="BU52" s="2435"/>
      <c r="BV52" s="2435"/>
      <c r="BW52" s="2791">
        <f>$L$52</f>
        <v>0</v>
      </c>
      <c r="BX52" s="2435"/>
      <c r="BY52" s="2435"/>
      <c r="BZ52" s="2791">
        <f>$L$52</f>
        <v>0</v>
      </c>
      <c r="CA52" s="2435"/>
      <c r="CB52" s="2435"/>
      <c r="CC52" s="2791">
        <f>$L$52</f>
        <v>0</v>
      </c>
      <c r="CD52" s="2435"/>
      <c r="CE52" s="2435"/>
      <c r="CF52" s="2791">
        <f>$L$52</f>
        <v>0</v>
      </c>
      <c r="CG52" s="2435"/>
      <c r="CH52" s="2435"/>
      <c r="CI52" s="2791">
        <f>$L$52</f>
        <v>0</v>
      </c>
      <c r="CJ52" s="2435"/>
      <c r="CK52" s="2435"/>
      <c r="CL52" s="2791">
        <f>$L$52</f>
        <v>0</v>
      </c>
      <c r="CM52" s="2435"/>
      <c r="CN52" s="2435"/>
      <c r="CO52" s="2791">
        <f>$L$52</f>
        <v>0</v>
      </c>
      <c r="CP52" s="2435"/>
      <c r="CQ52" s="2435"/>
      <c r="CR52" s="2791">
        <f>$L$52</f>
        <v>0</v>
      </c>
      <c r="CS52" s="2435"/>
      <c r="CT52" s="2435"/>
      <c r="CU52" s="2791">
        <f>$L$52</f>
        <v>0</v>
      </c>
      <c r="CV52" s="2435"/>
      <c r="CW52" s="2435"/>
      <c r="CX52" s="2791">
        <f>$L$52</f>
        <v>0</v>
      </c>
      <c r="CY52" s="2435"/>
      <c r="CZ52" s="2435"/>
      <c r="DA52" s="2791">
        <f>$L$52</f>
        <v>0</v>
      </c>
      <c r="DB52" s="2435"/>
      <c r="DC52" s="2435"/>
      <c r="DD52" s="2791">
        <f>$L$52</f>
        <v>0</v>
      </c>
      <c r="DE52" s="2435"/>
      <c r="DF52" s="2435"/>
      <c r="DG52" s="2791">
        <f>$L$52</f>
        <v>0</v>
      </c>
      <c r="DH52" s="2435"/>
      <c r="DI52" s="2435"/>
      <c r="DJ52" s="2791">
        <f>$L$52</f>
        <v>0</v>
      </c>
      <c r="DK52" s="2435"/>
      <c r="DL52" s="2435"/>
      <c r="DM52" s="2791">
        <f>$L$52</f>
        <v>0</v>
      </c>
      <c r="DN52" s="2435"/>
      <c r="DO52" s="2435"/>
      <c r="DP52" s="2791">
        <f>$L$52</f>
        <v>0</v>
      </c>
      <c r="DQ52" s="2435"/>
      <c r="DR52" s="2435"/>
      <c r="DS52" s="2791">
        <f>$L$52</f>
        <v>0</v>
      </c>
      <c r="DT52" s="2435"/>
      <c r="DU52" s="2435"/>
      <c r="DV52" s="2791">
        <f>$L$52</f>
        <v>0</v>
      </c>
      <c r="DW52" s="2435"/>
      <c r="DX52" s="2435"/>
      <c r="DY52" s="2835">
        <f>$L$52</f>
        <v>0</v>
      </c>
      <c r="DZ52" s="2435"/>
      <c r="EA52" s="1889"/>
      <c r="EB52" s="773"/>
    </row>
    <row r="53" spans="1:132" ht="18" hidden="1" customHeight="1">
      <c r="B53" s="2820" t="str">
        <f>'Operating Budget'!$D$132</f>
        <v>SHMHP .42% Fee</v>
      </c>
      <c r="C53" s="2821"/>
      <c r="D53" s="2821"/>
      <c r="E53" s="2821"/>
      <c r="F53" s="2821"/>
      <c r="G53" s="2821"/>
      <c r="H53" s="2821"/>
      <c r="I53" s="2821"/>
      <c r="J53" s="2821"/>
      <c r="K53" s="2821"/>
      <c r="L53" s="2849">
        <f>IF(IsShmhp,'Operating Budget'!$E$132+'Operating Budget'!$F$132,0)</f>
        <v>0</v>
      </c>
      <c r="M53" s="2435"/>
      <c r="N53" s="2435"/>
      <c r="O53" s="2791">
        <f>$L$53</f>
        <v>0</v>
      </c>
      <c r="P53" s="2435"/>
      <c r="Q53" s="2435"/>
      <c r="R53" s="2791">
        <f>$L$53</f>
        <v>0</v>
      </c>
      <c r="S53" s="2435"/>
      <c r="T53" s="2435"/>
      <c r="U53" s="2791">
        <f>$L$53</f>
        <v>0</v>
      </c>
      <c r="V53" s="2435"/>
      <c r="W53" s="2435"/>
      <c r="X53" s="2791">
        <f>$L$53</f>
        <v>0</v>
      </c>
      <c r="Y53" s="2435"/>
      <c r="Z53" s="2435"/>
      <c r="AA53" s="2791">
        <f>$L$53</f>
        <v>0</v>
      </c>
      <c r="AB53" s="2435"/>
      <c r="AC53" s="2435"/>
      <c r="AD53" s="2791">
        <f>$L$53</f>
        <v>0</v>
      </c>
      <c r="AE53" s="2435"/>
      <c r="AF53" s="2435"/>
      <c r="AG53" s="2791">
        <f>$L$53</f>
        <v>0</v>
      </c>
      <c r="AH53" s="2435"/>
      <c r="AI53" s="2435"/>
      <c r="AJ53" s="2791">
        <f>$L$53</f>
        <v>0</v>
      </c>
      <c r="AK53" s="2435"/>
      <c r="AL53" s="2435"/>
      <c r="AM53" s="2791">
        <f>$L$53</f>
        <v>0</v>
      </c>
      <c r="AN53" s="2435"/>
      <c r="AO53" s="2435"/>
      <c r="AP53" s="2791">
        <f>$L$53</f>
        <v>0</v>
      </c>
      <c r="AQ53" s="2435"/>
      <c r="AR53" s="2435"/>
      <c r="AS53" s="2791">
        <f>$L$53</f>
        <v>0</v>
      </c>
      <c r="AT53" s="2435"/>
      <c r="AU53" s="2435"/>
      <c r="AV53" s="2791">
        <f>$L$53</f>
        <v>0</v>
      </c>
      <c r="AW53" s="2435"/>
      <c r="AX53" s="2435"/>
      <c r="AY53" s="2791">
        <f>$L$53</f>
        <v>0</v>
      </c>
      <c r="AZ53" s="2435"/>
      <c r="BA53" s="2435"/>
      <c r="BB53" s="2791">
        <f>$L$53</f>
        <v>0</v>
      </c>
      <c r="BC53" s="2435"/>
      <c r="BD53" s="2435"/>
      <c r="BE53" s="2791">
        <f>$L$53</f>
        <v>0</v>
      </c>
      <c r="BF53" s="2435"/>
      <c r="BG53" s="2435"/>
      <c r="BH53" s="2791">
        <f>$L$53</f>
        <v>0</v>
      </c>
      <c r="BI53" s="2435"/>
      <c r="BJ53" s="2435"/>
      <c r="BK53" s="2791">
        <f>$L$53</f>
        <v>0</v>
      </c>
      <c r="BL53" s="2435"/>
      <c r="BM53" s="2435"/>
      <c r="BN53" s="2791">
        <f>$L$53</f>
        <v>0</v>
      </c>
      <c r="BO53" s="2435"/>
      <c r="BP53" s="2435"/>
      <c r="BQ53" s="2791">
        <f>$L$53</f>
        <v>0</v>
      </c>
      <c r="BR53" s="2435"/>
      <c r="BS53" s="2435"/>
      <c r="BT53" s="2791">
        <f>$L$53</f>
        <v>0</v>
      </c>
      <c r="BU53" s="2435"/>
      <c r="BV53" s="2435"/>
      <c r="BW53" s="2791">
        <f>$L$53</f>
        <v>0</v>
      </c>
      <c r="BX53" s="2435"/>
      <c r="BY53" s="2435"/>
      <c r="BZ53" s="2791">
        <f>$L$53</f>
        <v>0</v>
      </c>
      <c r="CA53" s="2435"/>
      <c r="CB53" s="2435"/>
      <c r="CC53" s="2791">
        <f>$L$53</f>
        <v>0</v>
      </c>
      <c r="CD53" s="2435"/>
      <c r="CE53" s="2435"/>
      <c r="CF53" s="2791">
        <f>$L$53</f>
        <v>0</v>
      </c>
      <c r="CG53" s="2435"/>
      <c r="CH53" s="2435"/>
      <c r="CI53" s="2791">
        <f>$L$53</f>
        <v>0</v>
      </c>
      <c r="CJ53" s="2435"/>
      <c r="CK53" s="2435"/>
      <c r="CL53" s="2791">
        <f>$L$53</f>
        <v>0</v>
      </c>
      <c r="CM53" s="2435"/>
      <c r="CN53" s="2435"/>
      <c r="CO53" s="2791">
        <f>$L$53</f>
        <v>0</v>
      </c>
      <c r="CP53" s="2435"/>
      <c r="CQ53" s="2435"/>
      <c r="CR53" s="2791">
        <f>$L$53</f>
        <v>0</v>
      </c>
      <c r="CS53" s="2435"/>
      <c r="CT53" s="2435"/>
      <c r="CU53" s="2791">
        <f>$L$53</f>
        <v>0</v>
      </c>
      <c r="CV53" s="2435"/>
      <c r="CW53" s="2435"/>
      <c r="CX53" s="2791">
        <f>$L$53</f>
        <v>0</v>
      </c>
      <c r="CY53" s="2435"/>
      <c r="CZ53" s="2435"/>
      <c r="DA53" s="2791">
        <f>$L$53</f>
        <v>0</v>
      </c>
      <c r="DB53" s="2435"/>
      <c r="DC53" s="2435"/>
      <c r="DD53" s="2791">
        <f>$L$53</f>
        <v>0</v>
      </c>
      <c r="DE53" s="2435"/>
      <c r="DF53" s="2435"/>
      <c r="DG53" s="2791">
        <f>$L$53</f>
        <v>0</v>
      </c>
      <c r="DH53" s="2435"/>
      <c r="DI53" s="2435"/>
      <c r="DJ53" s="2791">
        <f>$L$53</f>
        <v>0</v>
      </c>
      <c r="DK53" s="2435"/>
      <c r="DL53" s="2435"/>
      <c r="DM53" s="2791">
        <f>$L$53</f>
        <v>0</v>
      </c>
      <c r="DN53" s="2435"/>
      <c r="DO53" s="2435"/>
      <c r="DP53" s="2791">
        <f>$L$53</f>
        <v>0</v>
      </c>
      <c r="DQ53" s="2435"/>
      <c r="DR53" s="2435"/>
      <c r="DS53" s="2791">
        <f>$L$53</f>
        <v>0</v>
      </c>
      <c r="DT53" s="2435"/>
      <c r="DU53" s="2435"/>
      <c r="DV53" s="2791">
        <f>$L$53</f>
        <v>0</v>
      </c>
      <c r="DW53" s="2435"/>
      <c r="DX53" s="2435"/>
      <c r="DY53" s="2835">
        <f>$L$53</f>
        <v>0</v>
      </c>
      <c r="DZ53" s="2435"/>
      <c r="EA53" s="1889"/>
      <c r="EB53" s="773"/>
    </row>
    <row r="54" spans="1:132" ht="18" customHeight="1">
      <c r="B54" s="2820" t="str">
        <f>'Operating Budget'!$D$133</f>
        <v>MHP .42% Fee</v>
      </c>
      <c r="C54" s="2821"/>
      <c r="D54" s="2821"/>
      <c r="E54" s="2821"/>
      <c r="F54" s="2821"/>
      <c r="G54" s="2821"/>
      <c r="H54" s="2821"/>
      <c r="I54" s="2821"/>
      <c r="J54" s="2821"/>
      <c r="K54" s="2821"/>
      <c r="L54" s="2849">
        <f>IF(IsMhp,'Operating Budget'!$E$133+'Operating Budget'!$F$133,0)</f>
        <v>0</v>
      </c>
      <c r="M54" s="2435"/>
      <c r="N54" s="2435"/>
      <c r="O54" s="2791">
        <f>$L$54</f>
        <v>0</v>
      </c>
      <c r="P54" s="2435"/>
      <c r="Q54" s="2435"/>
      <c r="R54" s="2791">
        <f>$L$54</f>
        <v>0</v>
      </c>
      <c r="S54" s="2435"/>
      <c r="T54" s="2435"/>
      <c r="U54" s="2791">
        <f>$L$54</f>
        <v>0</v>
      </c>
      <c r="V54" s="2435"/>
      <c r="W54" s="2435"/>
      <c r="X54" s="2791">
        <f>$L$54</f>
        <v>0</v>
      </c>
      <c r="Y54" s="2435"/>
      <c r="Z54" s="2435"/>
      <c r="AA54" s="2791">
        <f>$L$54</f>
        <v>0</v>
      </c>
      <c r="AB54" s="2435"/>
      <c r="AC54" s="2435"/>
      <c r="AD54" s="2791">
        <f>$L$54</f>
        <v>0</v>
      </c>
      <c r="AE54" s="2435"/>
      <c r="AF54" s="2435"/>
      <c r="AG54" s="2791">
        <f>$L$54</f>
        <v>0</v>
      </c>
      <c r="AH54" s="2435"/>
      <c r="AI54" s="2435"/>
      <c r="AJ54" s="2791">
        <f>$L$54</f>
        <v>0</v>
      </c>
      <c r="AK54" s="2435"/>
      <c r="AL54" s="2435"/>
      <c r="AM54" s="2791">
        <f>$L$54</f>
        <v>0</v>
      </c>
      <c r="AN54" s="2435"/>
      <c r="AO54" s="2435"/>
      <c r="AP54" s="2791">
        <f>$L$54</f>
        <v>0</v>
      </c>
      <c r="AQ54" s="2435"/>
      <c r="AR54" s="2435"/>
      <c r="AS54" s="2791">
        <f>$L$54</f>
        <v>0</v>
      </c>
      <c r="AT54" s="2435"/>
      <c r="AU54" s="2435"/>
      <c r="AV54" s="2791">
        <f>$L$54</f>
        <v>0</v>
      </c>
      <c r="AW54" s="2435"/>
      <c r="AX54" s="2435"/>
      <c r="AY54" s="2791">
        <f>$L$54</f>
        <v>0</v>
      </c>
      <c r="AZ54" s="2435"/>
      <c r="BA54" s="2435"/>
      <c r="BB54" s="2791">
        <f>$L$54</f>
        <v>0</v>
      </c>
      <c r="BC54" s="2435"/>
      <c r="BD54" s="2435"/>
      <c r="BE54" s="2791">
        <f>$L$54</f>
        <v>0</v>
      </c>
      <c r="BF54" s="2435"/>
      <c r="BG54" s="2435"/>
      <c r="BH54" s="2791">
        <f>$L$54</f>
        <v>0</v>
      </c>
      <c r="BI54" s="2435"/>
      <c r="BJ54" s="2435"/>
      <c r="BK54" s="2791">
        <f>$L$54</f>
        <v>0</v>
      </c>
      <c r="BL54" s="2435"/>
      <c r="BM54" s="2435"/>
      <c r="BN54" s="2791">
        <f>$L$54</f>
        <v>0</v>
      </c>
      <c r="BO54" s="2435"/>
      <c r="BP54" s="2435"/>
      <c r="BQ54" s="2791">
        <f>$L$54</f>
        <v>0</v>
      </c>
      <c r="BR54" s="2435"/>
      <c r="BS54" s="2435"/>
      <c r="BT54" s="2791">
        <f>$L$54</f>
        <v>0</v>
      </c>
      <c r="BU54" s="2435"/>
      <c r="BV54" s="2435"/>
      <c r="BW54" s="2791">
        <f>$L$54</f>
        <v>0</v>
      </c>
      <c r="BX54" s="2435"/>
      <c r="BY54" s="2435"/>
      <c r="BZ54" s="2791">
        <f>$L$54</f>
        <v>0</v>
      </c>
      <c r="CA54" s="2435"/>
      <c r="CB54" s="2435"/>
      <c r="CC54" s="2791">
        <f>$L$54</f>
        <v>0</v>
      </c>
      <c r="CD54" s="2435"/>
      <c r="CE54" s="2435"/>
      <c r="CF54" s="2791">
        <f>$L$54</f>
        <v>0</v>
      </c>
      <c r="CG54" s="2435"/>
      <c r="CH54" s="2435"/>
      <c r="CI54" s="2791">
        <f>$L$54</f>
        <v>0</v>
      </c>
      <c r="CJ54" s="2435"/>
      <c r="CK54" s="2435"/>
      <c r="CL54" s="2791">
        <f>$L$54</f>
        <v>0</v>
      </c>
      <c r="CM54" s="2435"/>
      <c r="CN54" s="2435"/>
      <c r="CO54" s="2791">
        <f>$L$54</f>
        <v>0</v>
      </c>
      <c r="CP54" s="2435"/>
      <c r="CQ54" s="2435"/>
      <c r="CR54" s="2791">
        <f>$L$54</f>
        <v>0</v>
      </c>
      <c r="CS54" s="2435"/>
      <c r="CT54" s="2435"/>
      <c r="CU54" s="2791">
        <f>$L$54</f>
        <v>0</v>
      </c>
      <c r="CV54" s="2435"/>
      <c r="CW54" s="2435"/>
      <c r="CX54" s="2791">
        <f>$L$54</f>
        <v>0</v>
      </c>
      <c r="CY54" s="2435"/>
      <c r="CZ54" s="2435"/>
      <c r="DA54" s="2791">
        <f>$L$54</f>
        <v>0</v>
      </c>
      <c r="DB54" s="2435"/>
      <c r="DC54" s="2435"/>
      <c r="DD54" s="2791">
        <f>$L$54</f>
        <v>0</v>
      </c>
      <c r="DE54" s="2435"/>
      <c r="DF54" s="2435"/>
      <c r="DG54" s="2791">
        <f>$L$54</f>
        <v>0</v>
      </c>
      <c r="DH54" s="2435"/>
      <c r="DI54" s="2435"/>
      <c r="DJ54" s="2791">
        <f>$L$54</f>
        <v>0</v>
      </c>
      <c r="DK54" s="2435"/>
      <c r="DL54" s="2435"/>
      <c r="DM54" s="2791">
        <f>$L$54</f>
        <v>0</v>
      </c>
      <c r="DN54" s="2435"/>
      <c r="DO54" s="2435"/>
      <c r="DP54" s="2791">
        <f>$L$54</f>
        <v>0</v>
      </c>
      <c r="DQ54" s="2435"/>
      <c r="DR54" s="2435"/>
      <c r="DS54" s="2791">
        <f>$L$54</f>
        <v>0</v>
      </c>
      <c r="DT54" s="2435"/>
      <c r="DU54" s="2435"/>
      <c r="DV54" s="2791">
        <f>$L$54</f>
        <v>0</v>
      </c>
      <c r="DW54" s="2435"/>
      <c r="DX54" s="2435"/>
      <c r="DY54" s="2835">
        <f>$L$54</f>
        <v>0</v>
      </c>
      <c r="DZ54" s="2435"/>
      <c r="EA54" s="1889"/>
      <c r="EB54" s="773"/>
    </row>
    <row r="55" spans="1:132" ht="18" hidden="1" customHeight="1">
      <c r="B55" s="2820" t="str">
        <f>'Operating Budget'!$D$134</f>
        <v>TOD .42% Fee</v>
      </c>
      <c r="C55" s="2821"/>
      <c r="D55" s="2821"/>
      <c r="E55" s="2821"/>
      <c r="F55" s="2821"/>
      <c r="G55" s="2821"/>
      <c r="H55" s="2821"/>
      <c r="I55" s="2821"/>
      <c r="J55" s="2821"/>
      <c r="K55" s="2821"/>
      <c r="L55" s="2849">
        <f>IF(IsTod,'Operating Budget'!$E$134+'Operating Budget'!$F$134,0)</f>
        <v>0</v>
      </c>
      <c r="M55" s="2435"/>
      <c r="N55" s="2435"/>
      <c r="O55" s="2791">
        <f>$L$55</f>
        <v>0</v>
      </c>
      <c r="P55" s="2435"/>
      <c r="Q55" s="2435"/>
      <c r="R55" s="2791">
        <f>$L$55</f>
        <v>0</v>
      </c>
      <c r="S55" s="2435"/>
      <c r="T55" s="2435"/>
      <c r="U55" s="2791">
        <f>$L$55</f>
        <v>0</v>
      </c>
      <c r="V55" s="2435"/>
      <c r="W55" s="2435"/>
      <c r="X55" s="2791">
        <f>$L$55</f>
        <v>0</v>
      </c>
      <c r="Y55" s="2435"/>
      <c r="Z55" s="2435"/>
      <c r="AA55" s="2791">
        <f>$L$55</f>
        <v>0</v>
      </c>
      <c r="AB55" s="2435"/>
      <c r="AC55" s="2435"/>
      <c r="AD55" s="2791">
        <f>$L$55</f>
        <v>0</v>
      </c>
      <c r="AE55" s="2435"/>
      <c r="AF55" s="2435"/>
      <c r="AG55" s="2791">
        <f>$L$55</f>
        <v>0</v>
      </c>
      <c r="AH55" s="2435"/>
      <c r="AI55" s="2435"/>
      <c r="AJ55" s="2791">
        <f>$L$55</f>
        <v>0</v>
      </c>
      <c r="AK55" s="2435"/>
      <c r="AL55" s="2435"/>
      <c r="AM55" s="2791">
        <f>$L$55</f>
        <v>0</v>
      </c>
      <c r="AN55" s="2435"/>
      <c r="AO55" s="2435"/>
      <c r="AP55" s="2791">
        <f>$L$55</f>
        <v>0</v>
      </c>
      <c r="AQ55" s="2435"/>
      <c r="AR55" s="2435"/>
      <c r="AS55" s="2791">
        <f>$L$55</f>
        <v>0</v>
      </c>
      <c r="AT55" s="2435"/>
      <c r="AU55" s="2435"/>
      <c r="AV55" s="2791">
        <f>$L$55</f>
        <v>0</v>
      </c>
      <c r="AW55" s="2435"/>
      <c r="AX55" s="2435"/>
      <c r="AY55" s="2791">
        <f>$L$55</f>
        <v>0</v>
      </c>
      <c r="AZ55" s="2435"/>
      <c r="BA55" s="2435"/>
      <c r="BB55" s="2791">
        <f>$L$55</f>
        <v>0</v>
      </c>
      <c r="BC55" s="2435"/>
      <c r="BD55" s="2435"/>
      <c r="BE55" s="2791">
        <f>$L$55</f>
        <v>0</v>
      </c>
      <c r="BF55" s="2435"/>
      <c r="BG55" s="2435"/>
      <c r="BH55" s="2791">
        <f>$L$55</f>
        <v>0</v>
      </c>
      <c r="BI55" s="2435"/>
      <c r="BJ55" s="2435"/>
      <c r="BK55" s="2791">
        <f>$L$55</f>
        <v>0</v>
      </c>
      <c r="BL55" s="2435"/>
      <c r="BM55" s="2435"/>
      <c r="BN55" s="2791">
        <f>$L$55</f>
        <v>0</v>
      </c>
      <c r="BO55" s="2435"/>
      <c r="BP55" s="2435"/>
      <c r="BQ55" s="2791">
        <f>$L$55</f>
        <v>0</v>
      </c>
      <c r="BR55" s="2435"/>
      <c r="BS55" s="2435"/>
      <c r="BT55" s="2791">
        <f>$L$55</f>
        <v>0</v>
      </c>
      <c r="BU55" s="2435"/>
      <c r="BV55" s="2435"/>
      <c r="BW55" s="2791">
        <f>$L$55</f>
        <v>0</v>
      </c>
      <c r="BX55" s="2435"/>
      <c r="BY55" s="2435"/>
      <c r="BZ55" s="2791">
        <f>$L$55</f>
        <v>0</v>
      </c>
      <c r="CA55" s="2435"/>
      <c r="CB55" s="2435"/>
      <c r="CC55" s="2791">
        <f>$L$55</f>
        <v>0</v>
      </c>
      <c r="CD55" s="2435"/>
      <c r="CE55" s="2435"/>
      <c r="CF55" s="2791">
        <f>$L$55</f>
        <v>0</v>
      </c>
      <c r="CG55" s="2435"/>
      <c r="CH55" s="2435"/>
      <c r="CI55" s="2791">
        <f>$L$55</f>
        <v>0</v>
      </c>
      <c r="CJ55" s="2435"/>
      <c r="CK55" s="2435"/>
      <c r="CL55" s="2791">
        <f>$L$55</f>
        <v>0</v>
      </c>
      <c r="CM55" s="2435"/>
      <c r="CN55" s="2435"/>
      <c r="CO55" s="2791">
        <f>$L$55</f>
        <v>0</v>
      </c>
      <c r="CP55" s="2435"/>
      <c r="CQ55" s="2435"/>
      <c r="CR55" s="2791">
        <f>$L$55</f>
        <v>0</v>
      </c>
      <c r="CS55" s="2435"/>
      <c r="CT55" s="2435"/>
      <c r="CU55" s="2791">
        <f>$L$55</f>
        <v>0</v>
      </c>
      <c r="CV55" s="2435"/>
      <c r="CW55" s="2435"/>
      <c r="CX55" s="2791">
        <f>$L$55</f>
        <v>0</v>
      </c>
      <c r="CY55" s="2435"/>
      <c r="CZ55" s="2435"/>
      <c r="DA55" s="2791">
        <f>$L$55</f>
        <v>0</v>
      </c>
      <c r="DB55" s="2435"/>
      <c r="DC55" s="2435"/>
      <c r="DD55" s="2791">
        <f>$L$55</f>
        <v>0</v>
      </c>
      <c r="DE55" s="2435"/>
      <c r="DF55" s="2435"/>
      <c r="DG55" s="2791">
        <f>$L$55</f>
        <v>0</v>
      </c>
      <c r="DH55" s="2435"/>
      <c r="DI55" s="2435"/>
      <c r="DJ55" s="2791">
        <f>$L$55</f>
        <v>0</v>
      </c>
      <c r="DK55" s="2435"/>
      <c r="DL55" s="2435"/>
      <c r="DM55" s="2791">
        <f>$L$55</f>
        <v>0</v>
      </c>
      <c r="DN55" s="2435"/>
      <c r="DO55" s="2435"/>
      <c r="DP55" s="2791">
        <f>$L$55</f>
        <v>0</v>
      </c>
      <c r="DQ55" s="2435"/>
      <c r="DR55" s="2435"/>
      <c r="DS55" s="2791">
        <f>$L$55</f>
        <v>0</v>
      </c>
      <c r="DT55" s="2435"/>
      <c r="DU55" s="2435"/>
      <c r="DV55" s="2791">
        <f>$L$55</f>
        <v>0</v>
      </c>
      <c r="DW55" s="2435"/>
      <c r="DX55" s="2435"/>
      <c r="DY55" s="2835">
        <f>$L$55</f>
        <v>0</v>
      </c>
      <c r="DZ55" s="2435"/>
      <c r="EA55" s="1889"/>
      <c r="EB55" s="773"/>
    </row>
    <row r="56" spans="1:132" ht="18" hidden="1" customHeight="1">
      <c r="B56" s="2820" t="str">
        <f>'Operating Budget'!$D$135</f>
        <v>VHHP .42% Fee</v>
      </c>
      <c r="C56" s="2821"/>
      <c r="D56" s="2821"/>
      <c r="E56" s="2821"/>
      <c r="F56" s="2821"/>
      <c r="G56" s="2821"/>
      <c r="H56" s="2821"/>
      <c r="I56" s="2821"/>
      <c r="J56" s="2821"/>
      <c r="K56" s="2821"/>
      <c r="L56" s="2849">
        <f>IF(IsVhhp,'Operating Budget'!$E$135+'Operating Budget'!$F$135,0)</f>
        <v>0</v>
      </c>
      <c r="M56" s="2435"/>
      <c r="N56" s="2435"/>
      <c r="O56" s="2791">
        <f>$L$56</f>
        <v>0</v>
      </c>
      <c r="P56" s="2435"/>
      <c r="Q56" s="2435"/>
      <c r="R56" s="2791">
        <f>$L$56</f>
        <v>0</v>
      </c>
      <c r="S56" s="2435"/>
      <c r="T56" s="2435"/>
      <c r="U56" s="2791">
        <f>$L$56</f>
        <v>0</v>
      </c>
      <c r="V56" s="2435"/>
      <c r="W56" s="2435"/>
      <c r="X56" s="2791">
        <f>$L$56</f>
        <v>0</v>
      </c>
      <c r="Y56" s="2435"/>
      <c r="Z56" s="2435"/>
      <c r="AA56" s="2791">
        <f>$L$56</f>
        <v>0</v>
      </c>
      <c r="AB56" s="2435"/>
      <c r="AC56" s="2435"/>
      <c r="AD56" s="2791">
        <f>$L$56</f>
        <v>0</v>
      </c>
      <c r="AE56" s="2435"/>
      <c r="AF56" s="2435"/>
      <c r="AG56" s="2791">
        <f>$L$56</f>
        <v>0</v>
      </c>
      <c r="AH56" s="2435"/>
      <c r="AI56" s="2435"/>
      <c r="AJ56" s="2791">
        <f>$L$56</f>
        <v>0</v>
      </c>
      <c r="AK56" s="2435"/>
      <c r="AL56" s="2435"/>
      <c r="AM56" s="2791">
        <f>$L$56</f>
        <v>0</v>
      </c>
      <c r="AN56" s="2435"/>
      <c r="AO56" s="2435"/>
      <c r="AP56" s="2791">
        <f>$L$56</f>
        <v>0</v>
      </c>
      <c r="AQ56" s="2435"/>
      <c r="AR56" s="2435"/>
      <c r="AS56" s="2791">
        <f>$L$56</f>
        <v>0</v>
      </c>
      <c r="AT56" s="2435"/>
      <c r="AU56" s="2435"/>
      <c r="AV56" s="2791">
        <f>$L$56</f>
        <v>0</v>
      </c>
      <c r="AW56" s="2435"/>
      <c r="AX56" s="2435"/>
      <c r="AY56" s="2791">
        <f>$L$56</f>
        <v>0</v>
      </c>
      <c r="AZ56" s="2435"/>
      <c r="BA56" s="2435"/>
      <c r="BB56" s="2791">
        <f>$L$56</f>
        <v>0</v>
      </c>
      <c r="BC56" s="2435"/>
      <c r="BD56" s="2435"/>
      <c r="BE56" s="2791">
        <f>$L$56</f>
        <v>0</v>
      </c>
      <c r="BF56" s="2435"/>
      <c r="BG56" s="2435"/>
      <c r="BH56" s="2791">
        <f>$L$56</f>
        <v>0</v>
      </c>
      <c r="BI56" s="2435"/>
      <c r="BJ56" s="2435"/>
      <c r="BK56" s="2791">
        <f>$L$56</f>
        <v>0</v>
      </c>
      <c r="BL56" s="2435"/>
      <c r="BM56" s="2435"/>
      <c r="BN56" s="2791">
        <f>$L$56</f>
        <v>0</v>
      </c>
      <c r="BO56" s="2435"/>
      <c r="BP56" s="2435"/>
      <c r="BQ56" s="2791">
        <f>$L$56</f>
        <v>0</v>
      </c>
      <c r="BR56" s="2435"/>
      <c r="BS56" s="2435"/>
      <c r="BT56" s="2791">
        <f>$L$56</f>
        <v>0</v>
      </c>
      <c r="BU56" s="2435"/>
      <c r="BV56" s="2435"/>
      <c r="BW56" s="2791">
        <f>$L$56</f>
        <v>0</v>
      </c>
      <c r="BX56" s="2435"/>
      <c r="BY56" s="2435"/>
      <c r="BZ56" s="2791">
        <f>$L$56</f>
        <v>0</v>
      </c>
      <c r="CA56" s="2435"/>
      <c r="CB56" s="2435"/>
      <c r="CC56" s="2791">
        <f>$L$56</f>
        <v>0</v>
      </c>
      <c r="CD56" s="2435"/>
      <c r="CE56" s="2435"/>
      <c r="CF56" s="2791">
        <f>$L$56</f>
        <v>0</v>
      </c>
      <c r="CG56" s="2435"/>
      <c r="CH56" s="2435"/>
      <c r="CI56" s="2791">
        <f>$L$56</f>
        <v>0</v>
      </c>
      <c r="CJ56" s="2435"/>
      <c r="CK56" s="2435"/>
      <c r="CL56" s="2791">
        <f>$L$56</f>
        <v>0</v>
      </c>
      <c r="CM56" s="2435"/>
      <c r="CN56" s="2435"/>
      <c r="CO56" s="2791">
        <f>$L$56</f>
        <v>0</v>
      </c>
      <c r="CP56" s="2435"/>
      <c r="CQ56" s="2435"/>
      <c r="CR56" s="2791">
        <f>$L$56</f>
        <v>0</v>
      </c>
      <c r="CS56" s="2435"/>
      <c r="CT56" s="2435"/>
      <c r="CU56" s="2791">
        <f>$L$56</f>
        <v>0</v>
      </c>
      <c r="CV56" s="2435"/>
      <c r="CW56" s="2435"/>
      <c r="CX56" s="2791">
        <f>$L$56</f>
        <v>0</v>
      </c>
      <c r="CY56" s="2435"/>
      <c r="CZ56" s="2435"/>
      <c r="DA56" s="2791">
        <f>$L$56</f>
        <v>0</v>
      </c>
      <c r="DB56" s="2435"/>
      <c r="DC56" s="2435"/>
      <c r="DD56" s="2791">
        <f>$L$56</f>
        <v>0</v>
      </c>
      <c r="DE56" s="2435"/>
      <c r="DF56" s="2435"/>
      <c r="DG56" s="2791">
        <f>$L$56</f>
        <v>0</v>
      </c>
      <c r="DH56" s="2435"/>
      <c r="DI56" s="2435"/>
      <c r="DJ56" s="2791">
        <f>$L$56</f>
        <v>0</v>
      </c>
      <c r="DK56" s="2435"/>
      <c r="DL56" s="2435"/>
      <c r="DM56" s="2791">
        <f>$L$56</f>
        <v>0</v>
      </c>
      <c r="DN56" s="2435"/>
      <c r="DO56" s="2435"/>
      <c r="DP56" s="2791">
        <f>$L$56</f>
        <v>0</v>
      </c>
      <c r="DQ56" s="2435"/>
      <c r="DR56" s="2435"/>
      <c r="DS56" s="2791">
        <f>$L$56</f>
        <v>0</v>
      </c>
      <c r="DT56" s="2435"/>
      <c r="DU56" s="2435"/>
      <c r="DV56" s="2791">
        <f>$L$56</f>
        <v>0</v>
      </c>
      <c r="DW56" s="2435"/>
      <c r="DX56" s="2435"/>
      <c r="DY56" s="2835">
        <f>$L$56</f>
        <v>0</v>
      </c>
      <c r="DZ56" s="2435"/>
      <c r="EA56" s="1889"/>
      <c r="EB56" s="773"/>
    </row>
    <row r="57" spans="1:132" ht="18" customHeight="1">
      <c r="A57" s="29"/>
      <c r="B57" s="2851" t="str">
        <f>'Operating Budget'!$D$136</f>
        <v>Other HCD .42% (Specify)</v>
      </c>
      <c r="C57" s="2821"/>
      <c r="D57" s="2821"/>
      <c r="E57" s="2821"/>
      <c r="F57" s="2821"/>
      <c r="G57" s="2821"/>
      <c r="H57" s="2821"/>
      <c r="I57" s="2821"/>
      <c r="J57" s="2821"/>
      <c r="K57" s="1889"/>
      <c r="L57" s="2849">
        <f>'Operating Budget'!$E$136+'Operating Budget'!$F$136</f>
        <v>0</v>
      </c>
      <c r="M57" s="2435"/>
      <c r="N57" s="2435"/>
      <c r="O57" s="2791">
        <f>$L$57</f>
        <v>0</v>
      </c>
      <c r="P57" s="2435"/>
      <c r="Q57" s="2435"/>
      <c r="R57" s="2791">
        <f>$L$57</f>
        <v>0</v>
      </c>
      <c r="S57" s="2435"/>
      <c r="T57" s="2435"/>
      <c r="U57" s="2791">
        <f>$L$57</f>
        <v>0</v>
      </c>
      <c r="V57" s="2435"/>
      <c r="W57" s="2435"/>
      <c r="X57" s="2791">
        <f>$L$57</f>
        <v>0</v>
      </c>
      <c r="Y57" s="2435"/>
      <c r="Z57" s="2435"/>
      <c r="AA57" s="2791">
        <f>$L$57</f>
        <v>0</v>
      </c>
      <c r="AB57" s="2435"/>
      <c r="AC57" s="2435"/>
      <c r="AD57" s="2791">
        <f>$L$57</f>
        <v>0</v>
      </c>
      <c r="AE57" s="2435"/>
      <c r="AF57" s="2435"/>
      <c r="AG57" s="2791">
        <f>$L$57</f>
        <v>0</v>
      </c>
      <c r="AH57" s="2435"/>
      <c r="AI57" s="2435"/>
      <c r="AJ57" s="2791">
        <f>$L$57</f>
        <v>0</v>
      </c>
      <c r="AK57" s="2435"/>
      <c r="AL57" s="2435"/>
      <c r="AM57" s="2791">
        <f>$L$57</f>
        <v>0</v>
      </c>
      <c r="AN57" s="2435"/>
      <c r="AO57" s="2435"/>
      <c r="AP57" s="2791">
        <f>$L$57</f>
        <v>0</v>
      </c>
      <c r="AQ57" s="2435"/>
      <c r="AR57" s="2435"/>
      <c r="AS57" s="2791">
        <f>$L$57</f>
        <v>0</v>
      </c>
      <c r="AT57" s="2435"/>
      <c r="AU57" s="2435"/>
      <c r="AV57" s="2791">
        <f>$L$57</f>
        <v>0</v>
      </c>
      <c r="AW57" s="2435"/>
      <c r="AX57" s="2435"/>
      <c r="AY57" s="2791">
        <f>$L$57</f>
        <v>0</v>
      </c>
      <c r="AZ57" s="2435"/>
      <c r="BA57" s="2435"/>
      <c r="BB57" s="2791">
        <f>$L$57</f>
        <v>0</v>
      </c>
      <c r="BC57" s="2435"/>
      <c r="BD57" s="2435"/>
      <c r="BE57" s="2791">
        <f>$L$57</f>
        <v>0</v>
      </c>
      <c r="BF57" s="2435"/>
      <c r="BG57" s="2435"/>
      <c r="BH57" s="2791">
        <f>$L$57</f>
        <v>0</v>
      </c>
      <c r="BI57" s="2435"/>
      <c r="BJ57" s="2435"/>
      <c r="BK57" s="2791">
        <f>$L$57</f>
        <v>0</v>
      </c>
      <c r="BL57" s="2435"/>
      <c r="BM57" s="2435"/>
      <c r="BN57" s="2791">
        <f>$L$57</f>
        <v>0</v>
      </c>
      <c r="BO57" s="2435"/>
      <c r="BP57" s="2435"/>
      <c r="BQ57" s="2791">
        <f>$L$57</f>
        <v>0</v>
      </c>
      <c r="BR57" s="2435"/>
      <c r="BS57" s="2435"/>
      <c r="BT57" s="2791">
        <f>$L$57</f>
        <v>0</v>
      </c>
      <c r="BU57" s="2435"/>
      <c r="BV57" s="2435"/>
      <c r="BW57" s="2791">
        <f>$L$57</f>
        <v>0</v>
      </c>
      <c r="BX57" s="2435"/>
      <c r="BY57" s="2435"/>
      <c r="BZ57" s="2791">
        <f>$L$57</f>
        <v>0</v>
      </c>
      <c r="CA57" s="2435"/>
      <c r="CB57" s="2435"/>
      <c r="CC57" s="2791">
        <f>$L$57</f>
        <v>0</v>
      </c>
      <c r="CD57" s="2435"/>
      <c r="CE57" s="2435"/>
      <c r="CF57" s="2791">
        <f>$L$57</f>
        <v>0</v>
      </c>
      <c r="CG57" s="2435"/>
      <c r="CH57" s="2435"/>
      <c r="CI57" s="2791">
        <f>$L$57</f>
        <v>0</v>
      </c>
      <c r="CJ57" s="2435"/>
      <c r="CK57" s="2435"/>
      <c r="CL57" s="2791">
        <f>$L$57</f>
        <v>0</v>
      </c>
      <c r="CM57" s="2435"/>
      <c r="CN57" s="2435"/>
      <c r="CO57" s="2791">
        <f>$L$57</f>
        <v>0</v>
      </c>
      <c r="CP57" s="2435"/>
      <c r="CQ57" s="2435"/>
      <c r="CR57" s="2791">
        <f>$L$57</f>
        <v>0</v>
      </c>
      <c r="CS57" s="2435"/>
      <c r="CT57" s="2435"/>
      <c r="CU57" s="2791">
        <f>$L$57</f>
        <v>0</v>
      </c>
      <c r="CV57" s="2435"/>
      <c r="CW57" s="2435"/>
      <c r="CX57" s="2791">
        <f>$L$57</f>
        <v>0</v>
      </c>
      <c r="CY57" s="2435"/>
      <c r="CZ57" s="2435"/>
      <c r="DA57" s="2791">
        <f>$L$57</f>
        <v>0</v>
      </c>
      <c r="DB57" s="2435"/>
      <c r="DC57" s="2435"/>
      <c r="DD57" s="2791">
        <f>$L$57</f>
        <v>0</v>
      </c>
      <c r="DE57" s="2435"/>
      <c r="DF57" s="2435"/>
      <c r="DG57" s="2791">
        <f>$L$57</f>
        <v>0</v>
      </c>
      <c r="DH57" s="2435"/>
      <c r="DI57" s="2435"/>
      <c r="DJ57" s="2791">
        <f>$L$57</f>
        <v>0</v>
      </c>
      <c r="DK57" s="2435"/>
      <c r="DL57" s="2435"/>
      <c r="DM57" s="2791">
        <f>$L$57</f>
        <v>0</v>
      </c>
      <c r="DN57" s="2435"/>
      <c r="DO57" s="2435"/>
      <c r="DP57" s="2791">
        <f>$L$57</f>
        <v>0</v>
      </c>
      <c r="DQ57" s="2435"/>
      <c r="DR57" s="2435"/>
      <c r="DS57" s="2791">
        <f>$L$57</f>
        <v>0</v>
      </c>
      <c r="DT57" s="2435"/>
      <c r="DU57" s="2435"/>
      <c r="DV57" s="2791">
        <f>$L$57</f>
        <v>0</v>
      </c>
      <c r="DW57" s="2435"/>
      <c r="DX57" s="2435"/>
      <c r="DY57" s="2835">
        <f>$L$57</f>
        <v>0</v>
      </c>
      <c r="DZ57" s="2435"/>
      <c r="EA57" s="1889"/>
      <c r="EB57" s="773"/>
    </row>
    <row r="58" spans="1:132" ht="18" customHeight="1">
      <c r="B58" s="2851" t="str">
        <f>'Operating Budget'!$D$137</f>
        <v>Other HCD .42% (Specify)</v>
      </c>
      <c r="C58" s="2821"/>
      <c r="D58" s="2821"/>
      <c r="E58" s="2821"/>
      <c r="F58" s="2821"/>
      <c r="G58" s="2821"/>
      <c r="H58" s="2821"/>
      <c r="I58" s="2821"/>
      <c r="J58" s="2821"/>
      <c r="K58" s="1889"/>
      <c r="L58" s="2849">
        <f>'Operating Budget'!$E$137+'Operating Budget'!$F$137</f>
        <v>0</v>
      </c>
      <c r="M58" s="2435"/>
      <c r="N58" s="2435"/>
      <c r="O58" s="2791">
        <f>$L$58</f>
        <v>0</v>
      </c>
      <c r="P58" s="2435"/>
      <c r="Q58" s="2435"/>
      <c r="R58" s="2791">
        <f>$L$58</f>
        <v>0</v>
      </c>
      <c r="S58" s="2435"/>
      <c r="T58" s="2435"/>
      <c r="U58" s="2791">
        <f>$L$58</f>
        <v>0</v>
      </c>
      <c r="V58" s="2435"/>
      <c r="W58" s="2435"/>
      <c r="X58" s="2791">
        <f>$L$58</f>
        <v>0</v>
      </c>
      <c r="Y58" s="2435"/>
      <c r="Z58" s="2435"/>
      <c r="AA58" s="2791">
        <f>$L$58</f>
        <v>0</v>
      </c>
      <c r="AB58" s="2435"/>
      <c r="AC58" s="2435"/>
      <c r="AD58" s="2791">
        <f>$L$58</f>
        <v>0</v>
      </c>
      <c r="AE58" s="2435"/>
      <c r="AF58" s="2435"/>
      <c r="AG58" s="2791">
        <f>$L$58</f>
        <v>0</v>
      </c>
      <c r="AH58" s="2435"/>
      <c r="AI58" s="2435"/>
      <c r="AJ58" s="2791">
        <f>$L$58</f>
        <v>0</v>
      </c>
      <c r="AK58" s="2435"/>
      <c r="AL58" s="2435"/>
      <c r="AM58" s="2791">
        <f>$L$58</f>
        <v>0</v>
      </c>
      <c r="AN58" s="2435"/>
      <c r="AO58" s="2435"/>
      <c r="AP58" s="2791">
        <f>$L$58</f>
        <v>0</v>
      </c>
      <c r="AQ58" s="2435"/>
      <c r="AR58" s="2435"/>
      <c r="AS58" s="2791">
        <f>$L$58</f>
        <v>0</v>
      </c>
      <c r="AT58" s="2435"/>
      <c r="AU58" s="2435"/>
      <c r="AV58" s="2791">
        <f>$L$58</f>
        <v>0</v>
      </c>
      <c r="AW58" s="2435"/>
      <c r="AX58" s="2435"/>
      <c r="AY58" s="2791">
        <f>$L$58</f>
        <v>0</v>
      </c>
      <c r="AZ58" s="2435"/>
      <c r="BA58" s="2435"/>
      <c r="BB58" s="2791">
        <f>$L$58</f>
        <v>0</v>
      </c>
      <c r="BC58" s="2435"/>
      <c r="BD58" s="2435"/>
      <c r="BE58" s="2791">
        <f>$L$58</f>
        <v>0</v>
      </c>
      <c r="BF58" s="2435"/>
      <c r="BG58" s="2435"/>
      <c r="BH58" s="2791">
        <f>$L$58</f>
        <v>0</v>
      </c>
      <c r="BI58" s="2435"/>
      <c r="BJ58" s="2435"/>
      <c r="BK58" s="2791">
        <f>$L$58</f>
        <v>0</v>
      </c>
      <c r="BL58" s="2435"/>
      <c r="BM58" s="2435"/>
      <c r="BN58" s="2791">
        <f>$L$58</f>
        <v>0</v>
      </c>
      <c r="BO58" s="2435"/>
      <c r="BP58" s="2435"/>
      <c r="BQ58" s="2791">
        <f>$L$58</f>
        <v>0</v>
      </c>
      <c r="BR58" s="2435"/>
      <c r="BS58" s="2435"/>
      <c r="BT58" s="2791">
        <f>$L$58</f>
        <v>0</v>
      </c>
      <c r="BU58" s="2435"/>
      <c r="BV58" s="2435"/>
      <c r="BW58" s="2791">
        <f>$L$58</f>
        <v>0</v>
      </c>
      <c r="BX58" s="2435"/>
      <c r="BY58" s="2435"/>
      <c r="BZ58" s="2791">
        <f>$L$58</f>
        <v>0</v>
      </c>
      <c r="CA58" s="2435"/>
      <c r="CB58" s="2435"/>
      <c r="CC58" s="2791">
        <f>$L$58</f>
        <v>0</v>
      </c>
      <c r="CD58" s="2435"/>
      <c r="CE58" s="2435"/>
      <c r="CF58" s="2791">
        <f>$L$58</f>
        <v>0</v>
      </c>
      <c r="CG58" s="2435"/>
      <c r="CH58" s="2435"/>
      <c r="CI58" s="2791">
        <f>$L$58</f>
        <v>0</v>
      </c>
      <c r="CJ58" s="2435"/>
      <c r="CK58" s="2435"/>
      <c r="CL58" s="2791">
        <f>$L$58</f>
        <v>0</v>
      </c>
      <c r="CM58" s="2435"/>
      <c r="CN58" s="2435"/>
      <c r="CO58" s="2791">
        <f>$L$58</f>
        <v>0</v>
      </c>
      <c r="CP58" s="2435"/>
      <c r="CQ58" s="2435"/>
      <c r="CR58" s="2791">
        <f>$L$58</f>
        <v>0</v>
      </c>
      <c r="CS58" s="2435"/>
      <c r="CT58" s="2435"/>
      <c r="CU58" s="2791">
        <f>$L$58</f>
        <v>0</v>
      </c>
      <c r="CV58" s="2435"/>
      <c r="CW58" s="2435"/>
      <c r="CX58" s="2791">
        <f>$L$58</f>
        <v>0</v>
      </c>
      <c r="CY58" s="2435"/>
      <c r="CZ58" s="2435"/>
      <c r="DA58" s="2791">
        <f>$L$58</f>
        <v>0</v>
      </c>
      <c r="DB58" s="2435"/>
      <c r="DC58" s="2435"/>
      <c r="DD58" s="2791">
        <f>$L$58</f>
        <v>0</v>
      </c>
      <c r="DE58" s="2435"/>
      <c r="DF58" s="2435"/>
      <c r="DG58" s="2791">
        <f>$L$58</f>
        <v>0</v>
      </c>
      <c r="DH58" s="2435"/>
      <c r="DI58" s="2435"/>
      <c r="DJ58" s="2791">
        <f>$L$58</f>
        <v>0</v>
      </c>
      <c r="DK58" s="2435"/>
      <c r="DL58" s="2435"/>
      <c r="DM58" s="2791">
        <f>$L$58</f>
        <v>0</v>
      </c>
      <c r="DN58" s="2435"/>
      <c r="DO58" s="2435"/>
      <c r="DP58" s="2791">
        <f>$L$58</f>
        <v>0</v>
      </c>
      <c r="DQ58" s="2435"/>
      <c r="DR58" s="2435"/>
      <c r="DS58" s="2791">
        <f>$L$58</f>
        <v>0</v>
      </c>
      <c r="DT58" s="2435"/>
      <c r="DU58" s="2435"/>
      <c r="DV58" s="2791">
        <f>$L$58</f>
        <v>0</v>
      </c>
      <c r="DW58" s="2435"/>
      <c r="DX58" s="2435"/>
      <c r="DY58" s="2835">
        <f>$L$58</f>
        <v>0</v>
      </c>
      <c r="DZ58" s="2435"/>
      <c r="EA58" s="1889"/>
      <c r="EB58" s="773"/>
    </row>
    <row r="59" spans="1:132" ht="18" customHeight="1">
      <c r="B59" s="2851" t="str">
        <f>'Operating Budget'!$D$138</f>
        <v>Bond Issuer Fee</v>
      </c>
      <c r="C59" s="2821"/>
      <c r="D59" s="2821"/>
      <c r="E59" s="2821"/>
      <c r="F59" s="2821"/>
      <c r="G59" s="2821"/>
      <c r="H59" s="2821"/>
      <c r="I59" s="2821"/>
      <c r="J59" s="2821"/>
      <c r="K59" s="1889"/>
      <c r="L59" s="2849">
        <f>'Operating Budget'!$E$138+'Operating Budget'!$F$138</f>
        <v>0</v>
      </c>
      <c r="M59" s="2435"/>
      <c r="N59" s="2435"/>
      <c r="O59" s="2791">
        <f>$L$59</f>
        <v>0</v>
      </c>
      <c r="P59" s="2435"/>
      <c r="Q59" s="2435"/>
      <c r="R59" s="2791">
        <f>$L$59</f>
        <v>0</v>
      </c>
      <c r="S59" s="2435"/>
      <c r="T59" s="2435"/>
      <c r="U59" s="2791">
        <f>$L$59</f>
        <v>0</v>
      </c>
      <c r="V59" s="2435"/>
      <c r="W59" s="2435"/>
      <c r="X59" s="2791">
        <f>$L$59</f>
        <v>0</v>
      </c>
      <c r="Y59" s="2435"/>
      <c r="Z59" s="2435"/>
      <c r="AA59" s="2791">
        <f>$L$59</f>
        <v>0</v>
      </c>
      <c r="AB59" s="2435"/>
      <c r="AC59" s="2435"/>
      <c r="AD59" s="2791">
        <f>$L$59</f>
        <v>0</v>
      </c>
      <c r="AE59" s="2435"/>
      <c r="AF59" s="2435"/>
      <c r="AG59" s="2791">
        <f>$L$59</f>
        <v>0</v>
      </c>
      <c r="AH59" s="2435"/>
      <c r="AI59" s="2435"/>
      <c r="AJ59" s="2791">
        <f>$L$59</f>
        <v>0</v>
      </c>
      <c r="AK59" s="2435"/>
      <c r="AL59" s="2435"/>
      <c r="AM59" s="2791">
        <f>$L$59</f>
        <v>0</v>
      </c>
      <c r="AN59" s="2435"/>
      <c r="AO59" s="2435"/>
      <c r="AP59" s="2791">
        <f>$L$59</f>
        <v>0</v>
      </c>
      <c r="AQ59" s="2435"/>
      <c r="AR59" s="2435"/>
      <c r="AS59" s="2791">
        <f>$L$59</f>
        <v>0</v>
      </c>
      <c r="AT59" s="2435"/>
      <c r="AU59" s="2435"/>
      <c r="AV59" s="2791">
        <f>$L$59</f>
        <v>0</v>
      </c>
      <c r="AW59" s="2435"/>
      <c r="AX59" s="2435"/>
      <c r="AY59" s="2791">
        <f>$L$59</f>
        <v>0</v>
      </c>
      <c r="AZ59" s="2435"/>
      <c r="BA59" s="2435"/>
      <c r="BB59" s="2791">
        <f>$L$59</f>
        <v>0</v>
      </c>
      <c r="BC59" s="2435"/>
      <c r="BD59" s="2435"/>
      <c r="BE59" s="2791">
        <f>$L$59</f>
        <v>0</v>
      </c>
      <c r="BF59" s="2435"/>
      <c r="BG59" s="2435"/>
      <c r="BH59" s="2791">
        <f>$L$59</f>
        <v>0</v>
      </c>
      <c r="BI59" s="2435"/>
      <c r="BJ59" s="2435"/>
      <c r="BK59" s="2791">
        <f>$L$59</f>
        <v>0</v>
      </c>
      <c r="BL59" s="2435"/>
      <c r="BM59" s="2435"/>
      <c r="BN59" s="2791">
        <f>$L$59</f>
        <v>0</v>
      </c>
      <c r="BO59" s="2435"/>
      <c r="BP59" s="2435"/>
      <c r="BQ59" s="2791">
        <f>$L$59</f>
        <v>0</v>
      </c>
      <c r="BR59" s="2435"/>
      <c r="BS59" s="2435"/>
      <c r="BT59" s="2791">
        <f>$L$59</f>
        <v>0</v>
      </c>
      <c r="BU59" s="2435"/>
      <c r="BV59" s="2435"/>
      <c r="BW59" s="2791">
        <f>$L$59</f>
        <v>0</v>
      </c>
      <c r="BX59" s="2435"/>
      <c r="BY59" s="2435"/>
      <c r="BZ59" s="2791">
        <f>$L$59</f>
        <v>0</v>
      </c>
      <c r="CA59" s="2435"/>
      <c r="CB59" s="2435"/>
      <c r="CC59" s="2791">
        <f>$L$59</f>
        <v>0</v>
      </c>
      <c r="CD59" s="2435"/>
      <c r="CE59" s="2435"/>
      <c r="CF59" s="2791">
        <f>$L$59</f>
        <v>0</v>
      </c>
      <c r="CG59" s="2435"/>
      <c r="CH59" s="2435"/>
      <c r="CI59" s="2791">
        <f>$L$59</f>
        <v>0</v>
      </c>
      <c r="CJ59" s="2435"/>
      <c r="CK59" s="2435"/>
      <c r="CL59" s="2791">
        <f>$L$59</f>
        <v>0</v>
      </c>
      <c r="CM59" s="2435"/>
      <c r="CN59" s="2435"/>
      <c r="CO59" s="2791">
        <f>$L$59</f>
        <v>0</v>
      </c>
      <c r="CP59" s="2435"/>
      <c r="CQ59" s="2435"/>
      <c r="CR59" s="2791">
        <f>$L$59</f>
        <v>0</v>
      </c>
      <c r="CS59" s="2435"/>
      <c r="CT59" s="2435"/>
      <c r="CU59" s="2791">
        <f>$L$59</f>
        <v>0</v>
      </c>
      <c r="CV59" s="2435"/>
      <c r="CW59" s="2435"/>
      <c r="CX59" s="2791">
        <f>$L$59</f>
        <v>0</v>
      </c>
      <c r="CY59" s="2435"/>
      <c r="CZ59" s="2435"/>
      <c r="DA59" s="2791">
        <f>$L$59</f>
        <v>0</v>
      </c>
      <c r="DB59" s="2435"/>
      <c r="DC59" s="2435"/>
      <c r="DD59" s="2791">
        <f>$L$59</f>
        <v>0</v>
      </c>
      <c r="DE59" s="2435"/>
      <c r="DF59" s="2435"/>
      <c r="DG59" s="2791">
        <f>$L$59</f>
        <v>0</v>
      </c>
      <c r="DH59" s="2435"/>
      <c r="DI59" s="2435"/>
      <c r="DJ59" s="2791">
        <f>$L$59</f>
        <v>0</v>
      </c>
      <c r="DK59" s="2435"/>
      <c r="DL59" s="2435"/>
      <c r="DM59" s="2791">
        <f>$L$59</f>
        <v>0</v>
      </c>
      <c r="DN59" s="2435"/>
      <c r="DO59" s="2435"/>
      <c r="DP59" s="2791">
        <f>$L$59</f>
        <v>0</v>
      </c>
      <c r="DQ59" s="2435"/>
      <c r="DR59" s="2435"/>
      <c r="DS59" s="2791">
        <f>$L$59</f>
        <v>0</v>
      </c>
      <c r="DT59" s="2435"/>
      <c r="DU59" s="2435"/>
      <c r="DV59" s="2791">
        <f>$L$59</f>
        <v>0</v>
      </c>
      <c r="DW59" s="2435"/>
      <c r="DX59" s="2435"/>
      <c r="DY59" s="2835">
        <f>$L$59</f>
        <v>0</v>
      </c>
      <c r="DZ59" s="2435"/>
      <c r="EA59" s="1889"/>
      <c r="EB59" s="773"/>
    </row>
    <row r="60" spans="1:132" ht="18" customHeight="1">
      <c r="B60" s="2851" t="str">
        <f>'Operating Budget'!$D$139</f>
        <v>Miscellaneous Financial Expenses (Specify)</v>
      </c>
      <c r="C60" s="2821"/>
      <c r="D60" s="2821"/>
      <c r="E60" s="2821"/>
      <c r="F60" s="2821"/>
      <c r="G60" s="2821"/>
      <c r="H60" s="2821"/>
      <c r="I60" s="2821"/>
      <c r="J60" s="2821"/>
      <c r="K60" s="1889"/>
      <c r="L60" s="2849">
        <f>'Operating Budget'!$E$139+'Operating Budget'!$F$139</f>
        <v>0</v>
      </c>
      <c r="M60" s="2435"/>
      <c r="N60" s="2435"/>
      <c r="O60" s="2791">
        <f>$L$60</f>
        <v>0</v>
      </c>
      <c r="P60" s="2435"/>
      <c r="Q60" s="2435"/>
      <c r="R60" s="2791">
        <f>$L$60</f>
        <v>0</v>
      </c>
      <c r="S60" s="2435"/>
      <c r="T60" s="2435"/>
      <c r="U60" s="2791">
        <f>$L$60</f>
        <v>0</v>
      </c>
      <c r="V60" s="2435"/>
      <c r="W60" s="2435"/>
      <c r="X60" s="2791">
        <f>$L$60</f>
        <v>0</v>
      </c>
      <c r="Y60" s="2435"/>
      <c r="Z60" s="2435"/>
      <c r="AA60" s="2791">
        <f>$L$60</f>
        <v>0</v>
      </c>
      <c r="AB60" s="2435"/>
      <c r="AC60" s="2435"/>
      <c r="AD60" s="2791">
        <f>$L$60</f>
        <v>0</v>
      </c>
      <c r="AE60" s="2435"/>
      <c r="AF60" s="2435"/>
      <c r="AG60" s="2791">
        <f>$L$60</f>
        <v>0</v>
      </c>
      <c r="AH60" s="2435"/>
      <c r="AI60" s="2435"/>
      <c r="AJ60" s="2791">
        <f>$L$60</f>
        <v>0</v>
      </c>
      <c r="AK60" s="2435"/>
      <c r="AL60" s="2435"/>
      <c r="AM60" s="2791">
        <f>$L$60</f>
        <v>0</v>
      </c>
      <c r="AN60" s="2435"/>
      <c r="AO60" s="2435"/>
      <c r="AP60" s="2791">
        <f>$L$60</f>
        <v>0</v>
      </c>
      <c r="AQ60" s="2435"/>
      <c r="AR60" s="2435"/>
      <c r="AS60" s="2791">
        <f>$L$60</f>
        <v>0</v>
      </c>
      <c r="AT60" s="2435"/>
      <c r="AU60" s="2435"/>
      <c r="AV60" s="2791">
        <f>$L$60</f>
        <v>0</v>
      </c>
      <c r="AW60" s="2435"/>
      <c r="AX60" s="2435"/>
      <c r="AY60" s="2791">
        <f>$L$60</f>
        <v>0</v>
      </c>
      <c r="AZ60" s="2435"/>
      <c r="BA60" s="2435"/>
      <c r="BB60" s="2791">
        <f>$L$60</f>
        <v>0</v>
      </c>
      <c r="BC60" s="2435"/>
      <c r="BD60" s="2435"/>
      <c r="BE60" s="2791">
        <f>$L$60</f>
        <v>0</v>
      </c>
      <c r="BF60" s="2435"/>
      <c r="BG60" s="2435"/>
      <c r="BH60" s="2791">
        <f>$L$60</f>
        <v>0</v>
      </c>
      <c r="BI60" s="2435"/>
      <c r="BJ60" s="2435"/>
      <c r="BK60" s="2791">
        <f>$L$60</f>
        <v>0</v>
      </c>
      <c r="BL60" s="2435"/>
      <c r="BM60" s="2435"/>
      <c r="BN60" s="2791">
        <f>$L$60</f>
        <v>0</v>
      </c>
      <c r="BO60" s="2435"/>
      <c r="BP60" s="2435"/>
      <c r="BQ60" s="2791">
        <f>$L$60</f>
        <v>0</v>
      </c>
      <c r="BR60" s="2435"/>
      <c r="BS60" s="2435"/>
      <c r="BT60" s="2791">
        <f>$L$60</f>
        <v>0</v>
      </c>
      <c r="BU60" s="2435"/>
      <c r="BV60" s="2435"/>
      <c r="BW60" s="2791">
        <f>$L$60</f>
        <v>0</v>
      </c>
      <c r="BX60" s="2435"/>
      <c r="BY60" s="2435"/>
      <c r="BZ60" s="2791">
        <f>$L$60</f>
        <v>0</v>
      </c>
      <c r="CA60" s="2435"/>
      <c r="CB60" s="2435"/>
      <c r="CC60" s="2791">
        <f>$L$60</f>
        <v>0</v>
      </c>
      <c r="CD60" s="2435"/>
      <c r="CE60" s="2435"/>
      <c r="CF60" s="2791">
        <f>$L$60</f>
        <v>0</v>
      </c>
      <c r="CG60" s="2435"/>
      <c r="CH60" s="2435"/>
      <c r="CI60" s="2791">
        <f>$L$60</f>
        <v>0</v>
      </c>
      <c r="CJ60" s="2435"/>
      <c r="CK60" s="2435"/>
      <c r="CL60" s="2791">
        <f>$L$60</f>
        <v>0</v>
      </c>
      <c r="CM60" s="2435"/>
      <c r="CN60" s="2435"/>
      <c r="CO60" s="2791">
        <f>$L$60</f>
        <v>0</v>
      </c>
      <c r="CP60" s="2435"/>
      <c r="CQ60" s="2435"/>
      <c r="CR60" s="2791">
        <f>$L$60</f>
        <v>0</v>
      </c>
      <c r="CS60" s="2435"/>
      <c r="CT60" s="2435"/>
      <c r="CU60" s="2791">
        <f>$L$60</f>
        <v>0</v>
      </c>
      <c r="CV60" s="2435"/>
      <c r="CW60" s="2435"/>
      <c r="CX60" s="2791">
        <f>$L$60</f>
        <v>0</v>
      </c>
      <c r="CY60" s="2435"/>
      <c r="CZ60" s="2435"/>
      <c r="DA60" s="2791">
        <f>$L$60</f>
        <v>0</v>
      </c>
      <c r="DB60" s="2435"/>
      <c r="DC60" s="2435"/>
      <c r="DD60" s="2791">
        <f>$L$60</f>
        <v>0</v>
      </c>
      <c r="DE60" s="2435"/>
      <c r="DF60" s="2435"/>
      <c r="DG60" s="2791">
        <f>$L$60</f>
        <v>0</v>
      </c>
      <c r="DH60" s="2435"/>
      <c r="DI60" s="2435"/>
      <c r="DJ60" s="2791">
        <f>$L$60</f>
        <v>0</v>
      </c>
      <c r="DK60" s="2435"/>
      <c r="DL60" s="2435"/>
      <c r="DM60" s="2791">
        <f>$L$60</f>
        <v>0</v>
      </c>
      <c r="DN60" s="2435"/>
      <c r="DO60" s="2435"/>
      <c r="DP60" s="2791">
        <f>$L$60</f>
        <v>0</v>
      </c>
      <c r="DQ60" s="2435"/>
      <c r="DR60" s="2435"/>
      <c r="DS60" s="2791">
        <f>$L$60</f>
        <v>0</v>
      </c>
      <c r="DT60" s="2435"/>
      <c r="DU60" s="2435"/>
      <c r="DV60" s="2791">
        <f>$L$60</f>
        <v>0</v>
      </c>
      <c r="DW60" s="2435"/>
      <c r="DX60" s="2435"/>
      <c r="DY60" s="2835">
        <f>$L$60</f>
        <v>0</v>
      </c>
      <c r="DZ60" s="2435"/>
      <c r="EA60" s="1889"/>
      <c r="EB60" s="773"/>
    </row>
    <row r="61" spans="1:132" ht="18" customHeight="1">
      <c r="B61" s="2820" t="str">
        <f>'Operating Budget'!$D$140</f>
        <v>Miscellaneous Financial Expenses (Specify)</v>
      </c>
      <c r="C61" s="2821"/>
      <c r="D61" s="2821"/>
      <c r="E61" s="2821"/>
      <c r="F61" s="2821"/>
      <c r="G61" s="2821"/>
      <c r="H61" s="2821"/>
      <c r="I61" s="2821"/>
      <c r="J61" s="2821"/>
      <c r="K61" s="2821"/>
      <c r="L61" s="2849">
        <f>'Operating Budget'!$E$140+'Operating Budget'!$F$140</f>
        <v>0</v>
      </c>
      <c r="M61" s="2435"/>
      <c r="N61" s="2435"/>
      <c r="O61" s="2791">
        <f>$L$61</f>
        <v>0</v>
      </c>
      <c r="P61" s="2435"/>
      <c r="Q61" s="2435"/>
      <c r="R61" s="2791">
        <f>$L$61</f>
        <v>0</v>
      </c>
      <c r="S61" s="2435"/>
      <c r="T61" s="2435"/>
      <c r="U61" s="2791">
        <f>$L$61</f>
        <v>0</v>
      </c>
      <c r="V61" s="2435"/>
      <c r="W61" s="2435"/>
      <c r="X61" s="2791">
        <f>$L$61</f>
        <v>0</v>
      </c>
      <c r="Y61" s="2435"/>
      <c r="Z61" s="2435"/>
      <c r="AA61" s="2791">
        <f>$L$61</f>
        <v>0</v>
      </c>
      <c r="AB61" s="2435"/>
      <c r="AC61" s="2435"/>
      <c r="AD61" s="2791">
        <f>$L$61</f>
        <v>0</v>
      </c>
      <c r="AE61" s="2435"/>
      <c r="AF61" s="2435"/>
      <c r="AG61" s="2791">
        <f>$L$61</f>
        <v>0</v>
      </c>
      <c r="AH61" s="2435"/>
      <c r="AI61" s="2435"/>
      <c r="AJ61" s="2791">
        <f>$L$61</f>
        <v>0</v>
      </c>
      <c r="AK61" s="2435"/>
      <c r="AL61" s="2435"/>
      <c r="AM61" s="2791">
        <f>$L$61</f>
        <v>0</v>
      </c>
      <c r="AN61" s="2435"/>
      <c r="AO61" s="2435"/>
      <c r="AP61" s="2791">
        <f>$L$61</f>
        <v>0</v>
      </c>
      <c r="AQ61" s="2435"/>
      <c r="AR61" s="2435"/>
      <c r="AS61" s="2791">
        <f>$L$61</f>
        <v>0</v>
      </c>
      <c r="AT61" s="2435"/>
      <c r="AU61" s="2435"/>
      <c r="AV61" s="2791">
        <f>$L$61</f>
        <v>0</v>
      </c>
      <c r="AW61" s="2435"/>
      <c r="AX61" s="2435"/>
      <c r="AY61" s="2791">
        <f>$L$61</f>
        <v>0</v>
      </c>
      <c r="AZ61" s="2435"/>
      <c r="BA61" s="2435"/>
      <c r="BB61" s="2791">
        <f>$L$61</f>
        <v>0</v>
      </c>
      <c r="BC61" s="2435"/>
      <c r="BD61" s="2435"/>
      <c r="BE61" s="2791">
        <f>$L$61</f>
        <v>0</v>
      </c>
      <c r="BF61" s="2435"/>
      <c r="BG61" s="2435"/>
      <c r="BH61" s="2791">
        <f>$L$61</f>
        <v>0</v>
      </c>
      <c r="BI61" s="2435"/>
      <c r="BJ61" s="2435"/>
      <c r="BK61" s="2791">
        <f>$L$61</f>
        <v>0</v>
      </c>
      <c r="BL61" s="2435"/>
      <c r="BM61" s="2435"/>
      <c r="BN61" s="2791">
        <f>$L$61</f>
        <v>0</v>
      </c>
      <c r="BO61" s="2435"/>
      <c r="BP61" s="2435"/>
      <c r="BQ61" s="2791">
        <f>$L$61</f>
        <v>0</v>
      </c>
      <c r="BR61" s="2435"/>
      <c r="BS61" s="2435"/>
      <c r="BT61" s="2791">
        <f>$L$61</f>
        <v>0</v>
      </c>
      <c r="BU61" s="2435"/>
      <c r="BV61" s="2435"/>
      <c r="BW61" s="2791">
        <f>$L$61</f>
        <v>0</v>
      </c>
      <c r="BX61" s="2435"/>
      <c r="BY61" s="2435"/>
      <c r="BZ61" s="2791">
        <f>$L$61</f>
        <v>0</v>
      </c>
      <c r="CA61" s="2435"/>
      <c r="CB61" s="2435"/>
      <c r="CC61" s="2791">
        <f>$L$61</f>
        <v>0</v>
      </c>
      <c r="CD61" s="2435"/>
      <c r="CE61" s="2435"/>
      <c r="CF61" s="2791">
        <f>$L$61</f>
        <v>0</v>
      </c>
      <c r="CG61" s="2435"/>
      <c r="CH61" s="2435"/>
      <c r="CI61" s="2791">
        <f>$L$61</f>
        <v>0</v>
      </c>
      <c r="CJ61" s="2435"/>
      <c r="CK61" s="2435"/>
      <c r="CL61" s="2791">
        <f>$L$61</f>
        <v>0</v>
      </c>
      <c r="CM61" s="2435"/>
      <c r="CN61" s="2435"/>
      <c r="CO61" s="2791">
        <f>$L$61</f>
        <v>0</v>
      </c>
      <c r="CP61" s="2435"/>
      <c r="CQ61" s="2435"/>
      <c r="CR61" s="2791">
        <f>$L$61</f>
        <v>0</v>
      </c>
      <c r="CS61" s="2435"/>
      <c r="CT61" s="2435"/>
      <c r="CU61" s="2791">
        <f>$L$61</f>
        <v>0</v>
      </c>
      <c r="CV61" s="2435"/>
      <c r="CW61" s="2435"/>
      <c r="CX61" s="2791">
        <f>$L$61</f>
        <v>0</v>
      </c>
      <c r="CY61" s="2435"/>
      <c r="CZ61" s="2435"/>
      <c r="DA61" s="2791">
        <f>$L$61</f>
        <v>0</v>
      </c>
      <c r="DB61" s="2435"/>
      <c r="DC61" s="2435"/>
      <c r="DD61" s="2791">
        <f>$L$61</f>
        <v>0</v>
      </c>
      <c r="DE61" s="2435"/>
      <c r="DF61" s="2435"/>
      <c r="DG61" s="2791">
        <f>$L$61</f>
        <v>0</v>
      </c>
      <c r="DH61" s="2435"/>
      <c r="DI61" s="2435"/>
      <c r="DJ61" s="2791">
        <f>$L$61</f>
        <v>0</v>
      </c>
      <c r="DK61" s="2435"/>
      <c r="DL61" s="2435"/>
      <c r="DM61" s="2791">
        <f>$L$61</f>
        <v>0</v>
      </c>
      <c r="DN61" s="2435"/>
      <c r="DO61" s="2435"/>
      <c r="DP61" s="2791">
        <f>$L$61</f>
        <v>0</v>
      </c>
      <c r="DQ61" s="2435"/>
      <c r="DR61" s="2435"/>
      <c r="DS61" s="2791">
        <f>$L$61</f>
        <v>0</v>
      </c>
      <c r="DT61" s="2435"/>
      <c r="DU61" s="2435"/>
      <c r="DV61" s="2791">
        <f>$L$61</f>
        <v>0</v>
      </c>
      <c r="DW61" s="2435"/>
      <c r="DX61" s="2435"/>
      <c r="DY61" s="2835">
        <f>$L$61</f>
        <v>0</v>
      </c>
      <c r="DZ61" s="2435"/>
      <c r="EA61" s="1889"/>
      <c r="EB61" s="773"/>
    </row>
    <row r="62" spans="1:132" s="26" customFormat="1" ht="18" customHeight="1" thickBot="1">
      <c r="B62" s="2974" t="s">
        <v>1938</v>
      </c>
      <c r="C62" s="2803"/>
      <c r="D62" s="2803"/>
      <c r="E62" s="2803"/>
      <c r="F62" s="2803"/>
      <c r="G62" s="2803"/>
      <c r="H62" s="2803"/>
      <c r="I62" s="2803"/>
      <c r="J62" s="2803"/>
      <c r="K62" s="2803"/>
      <c r="L62" s="2924">
        <f>SUM(L48:N61)-L49</f>
        <v>0</v>
      </c>
      <c r="M62" s="2803"/>
      <c r="N62" s="2803"/>
      <c r="O62" s="2802">
        <f>SUM(O48:Q61)-O49</f>
        <v>0</v>
      </c>
      <c r="P62" s="2803"/>
      <c r="Q62" s="2803"/>
      <c r="R62" s="2802">
        <f>SUM(R48:T61)-R49</f>
        <v>0</v>
      </c>
      <c r="S62" s="2803"/>
      <c r="T62" s="2803"/>
      <c r="U62" s="2802">
        <f>SUM(U48:W61)-U49</f>
        <v>0</v>
      </c>
      <c r="V62" s="2803"/>
      <c r="W62" s="2803"/>
      <c r="X62" s="2802">
        <f>SUM(X48:Z61)-X49</f>
        <v>0</v>
      </c>
      <c r="Y62" s="2803"/>
      <c r="Z62" s="2803"/>
      <c r="AA62" s="2802">
        <f>SUM(AA48:AC61)-AA49</f>
        <v>0</v>
      </c>
      <c r="AB62" s="2803"/>
      <c r="AC62" s="2803"/>
      <c r="AD62" s="2802">
        <f>SUM(AD48:AF61)-AD49</f>
        <v>0</v>
      </c>
      <c r="AE62" s="2803"/>
      <c r="AF62" s="2803"/>
      <c r="AG62" s="2802">
        <f>SUM(AG48:AI61)-AG49</f>
        <v>0</v>
      </c>
      <c r="AH62" s="2803"/>
      <c r="AI62" s="2803"/>
      <c r="AJ62" s="2802">
        <f>SUM(AJ48:AL61)-AJ49</f>
        <v>0</v>
      </c>
      <c r="AK62" s="2803"/>
      <c r="AL62" s="2803"/>
      <c r="AM62" s="2802">
        <f>SUM(AM48:AO61)-AM49</f>
        <v>0</v>
      </c>
      <c r="AN62" s="2803"/>
      <c r="AO62" s="2803"/>
      <c r="AP62" s="2802">
        <f>SUM(AP48:AR61)-AP49</f>
        <v>0</v>
      </c>
      <c r="AQ62" s="2803"/>
      <c r="AR62" s="2803"/>
      <c r="AS62" s="2802">
        <f>SUM(AS48:AU61)-AS49</f>
        <v>0</v>
      </c>
      <c r="AT62" s="2803"/>
      <c r="AU62" s="2803"/>
      <c r="AV62" s="2802">
        <f>SUM(AV48:AX61)-AV49</f>
        <v>0</v>
      </c>
      <c r="AW62" s="2803"/>
      <c r="AX62" s="2803"/>
      <c r="AY62" s="2802">
        <f>SUM(AY48:BA61)-AY49</f>
        <v>0</v>
      </c>
      <c r="AZ62" s="2803"/>
      <c r="BA62" s="2803"/>
      <c r="BB62" s="2802">
        <f>SUM(BB48:BD61)-BB49</f>
        <v>0</v>
      </c>
      <c r="BC62" s="2803"/>
      <c r="BD62" s="2803"/>
      <c r="BE62" s="2802">
        <f>SUM(BE48:BG61)-BE49</f>
        <v>0</v>
      </c>
      <c r="BF62" s="2803"/>
      <c r="BG62" s="2803"/>
      <c r="BH62" s="2802">
        <f>SUM(BH48:BJ61)-BH49</f>
        <v>0</v>
      </c>
      <c r="BI62" s="2803"/>
      <c r="BJ62" s="2803"/>
      <c r="BK62" s="2802">
        <f>SUM(BK48:BM61)-BK49</f>
        <v>0</v>
      </c>
      <c r="BL62" s="2803"/>
      <c r="BM62" s="2803"/>
      <c r="BN62" s="2802">
        <f>SUM(BN48:BP61)-BN49</f>
        <v>0</v>
      </c>
      <c r="BO62" s="2803"/>
      <c r="BP62" s="2803"/>
      <c r="BQ62" s="2802">
        <f>SUM(BQ48:BS61)-BQ49</f>
        <v>0</v>
      </c>
      <c r="BR62" s="2803"/>
      <c r="BS62" s="2803"/>
      <c r="BT62" s="2802">
        <f>SUM(BT48:BV61)-BT49</f>
        <v>0</v>
      </c>
      <c r="BU62" s="2803"/>
      <c r="BV62" s="2803"/>
      <c r="BW62" s="2802">
        <f>SUM(BW48:BY61)-BW49</f>
        <v>0</v>
      </c>
      <c r="BX62" s="2803"/>
      <c r="BY62" s="2803"/>
      <c r="BZ62" s="2802">
        <f>SUM(BZ48:CB61)-BZ49</f>
        <v>0</v>
      </c>
      <c r="CA62" s="2803"/>
      <c r="CB62" s="2803"/>
      <c r="CC62" s="2802">
        <f>SUM(CC48:CE61)-CC49</f>
        <v>0</v>
      </c>
      <c r="CD62" s="2803"/>
      <c r="CE62" s="2803"/>
      <c r="CF62" s="2802">
        <f>SUM(CF48:CH61)-CF49</f>
        <v>0</v>
      </c>
      <c r="CG62" s="2803"/>
      <c r="CH62" s="2803"/>
      <c r="CI62" s="2802">
        <f>SUM(CI48:CK61)-CI49</f>
        <v>0</v>
      </c>
      <c r="CJ62" s="2803"/>
      <c r="CK62" s="2803"/>
      <c r="CL62" s="2802">
        <f>SUM(CL48:CN61)-CL49</f>
        <v>0</v>
      </c>
      <c r="CM62" s="2803"/>
      <c r="CN62" s="2803"/>
      <c r="CO62" s="2802">
        <f>SUM(CO48:CQ61)-CO49</f>
        <v>0</v>
      </c>
      <c r="CP62" s="2803"/>
      <c r="CQ62" s="2803"/>
      <c r="CR62" s="2802">
        <f>SUM(CR48:CT61)-CR49</f>
        <v>0</v>
      </c>
      <c r="CS62" s="2803"/>
      <c r="CT62" s="2803"/>
      <c r="CU62" s="2802">
        <f>SUM(CU48:CW61)-CU49</f>
        <v>0</v>
      </c>
      <c r="CV62" s="2803"/>
      <c r="CW62" s="2803"/>
      <c r="CX62" s="2802">
        <f>SUM(CX48:CZ61)-CX49</f>
        <v>0</v>
      </c>
      <c r="CY62" s="2803"/>
      <c r="CZ62" s="2803"/>
      <c r="DA62" s="2802">
        <f>SUM(DA48:DC61)-DA49</f>
        <v>0</v>
      </c>
      <c r="DB62" s="2803"/>
      <c r="DC62" s="2803"/>
      <c r="DD62" s="2802">
        <f>SUM(DD48:DF61)-DD49</f>
        <v>0</v>
      </c>
      <c r="DE62" s="2803"/>
      <c r="DF62" s="2803"/>
      <c r="DG62" s="2802">
        <f>SUM(DG48:DI61)-DG49</f>
        <v>0</v>
      </c>
      <c r="DH62" s="2803"/>
      <c r="DI62" s="2803"/>
      <c r="DJ62" s="2802">
        <f>SUM(DJ48:DL61)-DJ49</f>
        <v>0</v>
      </c>
      <c r="DK62" s="2803"/>
      <c r="DL62" s="2803"/>
      <c r="DM62" s="2802">
        <f>SUM(DM48:DO61)-DM49</f>
        <v>0</v>
      </c>
      <c r="DN62" s="2803"/>
      <c r="DO62" s="2803"/>
      <c r="DP62" s="2802">
        <f>SUM(DP48:DR61)-DP49</f>
        <v>0</v>
      </c>
      <c r="DQ62" s="2803"/>
      <c r="DR62" s="2803"/>
      <c r="DS62" s="2802">
        <f>SUM(DS48:DU61)-DS49</f>
        <v>0</v>
      </c>
      <c r="DT62" s="2803"/>
      <c r="DU62" s="2803"/>
      <c r="DV62" s="2802">
        <f>SUM(DV48:DX61)-DV49</f>
        <v>0</v>
      </c>
      <c r="DW62" s="2803"/>
      <c r="DX62" s="2803"/>
      <c r="DY62" s="2837">
        <f>SUM(DY48:EA61)-DY49</f>
        <v>0</v>
      </c>
      <c r="DZ62" s="2803"/>
      <c r="EA62" s="2816"/>
      <c r="EB62" s="774"/>
    </row>
    <row r="63" spans="1:132" ht="9" customHeight="1" thickTop="1">
      <c r="B63" s="697"/>
      <c r="C63" s="697"/>
      <c r="D63" s="698"/>
      <c r="E63" s="698"/>
      <c r="F63" s="698"/>
      <c r="G63" s="698"/>
      <c r="H63" s="698"/>
      <c r="I63" s="698"/>
      <c r="J63" s="698"/>
      <c r="K63" s="698"/>
      <c r="L63" s="30"/>
      <c r="M63" s="50"/>
      <c r="N63" s="50"/>
      <c r="O63" s="50"/>
      <c r="P63" s="50"/>
      <c r="Q63" s="50"/>
      <c r="R63" s="50"/>
      <c r="S63" s="50"/>
      <c r="T63" s="50"/>
      <c r="U63" s="50"/>
      <c r="V63" s="50"/>
      <c r="W63" s="50"/>
      <c r="X63" s="50"/>
      <c r="Y63" s="50"/>
      <c r="Z63" s="50"/>
      <c r="AA63" s="50"/>
      <c r="AB63" s="50"/>
      <c r="AC63" s="50"/>
      <c r="AD63" s="50"/>
      <c r="AE63" s="50"/>
      <c r="AF63" s="50"/>
      <c r="AG63" s="50"/>
      <c r="AH63" s="50"/>
      <c r="AI63" s="50"/>
      <c r="AJ63" s="50"/>
      <c r="AK63" s="50"/>
      <c r="AL63" s="50"/>
      <c r="AM63" s="50"/>
      <c r="AN63" s="50"/>
      <c r="AO63" s="50"/>
      <c r="AP63" s="50"/>
      <c r="AQ63" s="50"/>
      <c r="AR63" s="50"/>
      <c r="AS63" s="50"/>
      <c r="AT63" s="50"/>
      <c r="AU63" s="50"/>
      <c r="AV63" s="50"/>
      <c r="AW63" s="50"/>
      <c r="AX63" s="50"/>
      <c r="AY63" s="50"/>
      <c r="AZ63" s="50"/>
      <c r="BA63" s="50"/>
      <c r="BB63" s="50"/>
      <c r="BC63" s="50"/>
      <c r="BD63" s="50"/>
      <c r="BE63" s="50"/>
      <c r="BF63" s="50"/>
      <c r="BG63" s="50"/>
      <c r="BH63" s="50"/>
      <c r="BI63" s="50"/>
      <c r="BJ63" s="50"/>
      <c r="BK63" s="50"/>
      <c r="BL63" s="50"/>
      <c r="BM63" s="50"/>
      <c r="BN63" s="50"/>
      <c r="BO63" s="50"/>
      <c r="BP63" s="50"/>
      <c r="BQ63" s="50"/>
      <c r="BR63" s="50"/>
      <c r="BS63" s="50"/>
      <c r="BT63" s="50"/>
      <c r="BU63" s="50"/>
      <c r="BV63" s="50"/>
      <c r="BW63" s="50"/>
      <c r="BX63" s="50"/>
      <c r="BY63" s="50"/>
      <c r="BZ63" s="50"/>
      <c r="CA63" s="50"/>
      <c r="CB63" s="50"/>
      <c r="CC63" s="50"/>
      <c r="CD63" s="50"/>
      <c r="CE63" s="50"/>
      <c r="CF63" s="50"/>
      <c r="CG63" s="50"/>
      <c r="CH63" s="50"/>
      <c r="CI63" s="50"/>
      <c r="CJ63" s="50"/>
      <c r="CK63" s="50"/>
      <c r="CL63" s="50"/>
      <c r="CM63" s="50"/>
      <c r="CN63" s="50"/>
      <c r="CO63" s="50"/>
      <c r="CP63" s="50"/>
      <c r="CQ63" s="50"/>
      <c r="CR63" s="50"/>
      <c r="CS63" s="50"/>
      <c r="CT63" s="50"/>
      <c r="CU63" s="50"/>
      <c r="CV63" s="50"/>
      <c r="CW63" s="50"/>
      <c r="CX63" s="50"/>
      <c r="CY63" s="50"/>
      <c r="CZ63" s="50"/>
      <c r="DA63" s="50"/>
      <c r="DB63" s="50"/>
      <c r="DC63" s="50"/>
      <c r="DD63" s="50"/>
      <c r="DE63" s="50"/>
      <c r="DF63" s="50"/>
      <c r="DG63" s="50"/>
      <c r="DH63" s="50"/>
      <c r="DI63" s="50"/>
      <c r="DJ63" s="50"/>
      <c r="DK63" s="50"/>
      <c r="DL63" s="50"/>
      <c r="DM63" s="50"/>
      <c r="DN63" s="50"/>
      <c r="DO63" s="50"/>
      <c r="DP63" s="50"/>
      <c r="DQ63" s="50"/>
      <c r="DR63" s="50"/>
      <c r="DS63" s="50"/>
      <c r="DT63" s="50"/>
      <c r="DU63" s="50"/>
      <c r="DV63" s="50"/>
      <c r="DW63" s="50"/>
      <c r="DX63" s="50"/>
      <c r="DY63" s="50"/>
      <c r="DZ63" s="50"/>
      <c r="EA63" s="50"/>
      <c r="EB63" s="773"/>
    </row>
    <row r="64" spans="1:132" ht="18" customHeight="1">
      <c r="B64" s="2978" t="s">
        <v>1939</v>
      </c>
      <c r="C64" s="1953"/>
      <c r="D64" s="1953"/>
      <c r="E64" s="1953"/>
      <c r="F64" s="1953"/>
      <c r="G64" s="1953"/>
      <c r="H64" s="1953"/>
      <c r="I64" s="1953"/>
      <c r="J64" s="1953"/>
      <c r="K64" s="1770"/>
      <c r="L64" s="2843" t="s">
        <v>1879</v>
      </c>
      <c r="M64" s="1777"/>
      <c r="N64" s="1777"/>
      <c r="O64" s="2789" t="s">
        <v>1880</v>
      </c>
      <c r="P64" s="1777"/>
      <c r="Q64" s="1777"/>
      <c r="R64" s="2789" t="s">
        <v>1881</v>
      </c>
      <c r="S64" s="1777"/>
      <c r="T64" s="1777"/>
      <c r="U64" s="2789" t="s">
        <v>1882</v>
      </c>
      <c r="V64" s="1777"/>
      <c r="W64" s="1777"/>
      <c r="X64" s="2789" t="s">
        <v>1883</v>
      </c>
      <c r="Y64" s="1777"/>
      <c r="Z64" s="1777"/>
      <c r="AA64" s="2789" t="s">
        <v>1884</v>
      </c>
      <c r="AB64" s="1777"/>
      <c r="AC64" s="1777"/>
      <c r="AD64" s="2789" t="s">
        <v>1885</v>
      </c>
      <c r="AE64" s="1777"/>
      <c r="AF64" s="1777"/>
      <c r="AG64" s="2789" t="s">
        <v>1886</v>
      </c>
      <c r="AH64" s="1777"/>
      <c r="AI64" s="1777"/>
      <c r="AJ64" s="2789" t="s">
        <v>1887</v>
      </c>
      <c r="AK64" s="1777"/>
      <c r="AL64" s="1777"/>
      <c r="AM64" s="2789" t="s">
        <v>1888</v>
      </c>
      <c r="AN64" s="1777"/>
      <c r="AO64" s="1777"/>
      <c r="AP64" s="2789" t="s">
        <v>1889</v>
      </c>
      <c r="AQ64" s="1777"/>
      <c r="AR64" s="1777"/>
      <c r="AS64" s="2789" t="s">
        <v>1890</v>
      </c>
      <c r="AT64" s="1777"/>
      <c r="AU64" s="1777"/>
      <c r="AV64" s="2789" t="s">
        <v>1891</v>
      </c>
      <c r="AW64" s="1777"/>
      <c r="AX64" s="1777"/>
      <c r="AY64" s="2789" t="s">
        <v>1892</v>
      </c>
      <c r="AZ64" s="1777"/>
      <c r="BA64" s="1777"/>
      <c r="BB64" s="2789" t="s">
        <v>1893</v>
      </c>
      <c r="BC64" s="1777"/>
      <c r="BD64" s="1777"/>
      <c r="BE64" s="2789" t="s">
        <v>1894</v>
      </c>
      <c r="BF64" s="1777"/>
      <c r="BG64" s="1777"/>
      <c r="BH64" s="2789" t="s">
        <v>1895</v>
      </c>
      <c r="BI64" s="1777"/>
      <c r="BJ64" s="1777"/>
      <c r="BK64" s="2789" t="s">
        <v>1896</v>
      </c>
      <c r="BL64" s="1777"/>
      <c r="BM64" s="1777"/>
      <c r="BN64" s="2789" t="s">
        <v>1897</v>
      </c>
      <c r="BO64" s="1777"/>
      <c r="BP64" s="1777"/>
      <c r="BQ64" s="2789" t="s">
        <v>1898</v>
      </c>
      <c r="BR64" s="1777"/>
      <c r="BS64" s="1777"/>
      <c r="BT64" s="2789" t="s">
        <v>1899</v>
      </c>
      <c r="BU64" s="1777"/>
      <c r="BV64" s="1777"/>
      <c r="BW64" s="2789" t="s">
        <v>1900</v>
      </c>
      <c r="BX64" s="1777"/>
      <c r="BY64" s="1777"/>
      <c r="BZ64" s="2789" t="s">
        <v>1901</v>
      </c>
      <c r="CA64" s="1777"/>
      <c r="CB64" s="1777"/>
      <c r="CC64" s="2789" t="s">
        <v>1902</v>
      </c>
      <c r="CD64" s="1777"/>
      <c r="CE64" s="1777"/>
      <c r="CF64" s="2789" t="s">
        <v>1903</v>
      </c>
      <c r="CG64" s="1777"/>
      <c r="CH64" s="1777"/>
      <c r="CI64" s="2789" t="s">
        <v>1904</v>
      </c>
      <c r="CJ64" s="1777"/>
      <c r="CK64" s="1777"/>
      <c r="CL64" s="2789" t="s">
        <v>1905</v>
      </c>
      <c r="CM64" s="1777"/>
      <c r="CN64" s="1777"/>
      <c r="CO64" s="2789" t="s">
        <v>1906</v>
      </c>
      <c r="CP64" s="1777"/>
      <c r="CQ64" s="1777"/>
      <c r="CR64" s="2789" t="s">
        <v>1907</v>
      </c>
      <c r="CS64" s="1777"/>
      <c r="CT64" s="1777"/>
      <c r="CU64" s="2789" t="s">
        <v>1908</v>
      </c>
      <c r="CV64" s="1777"/>
      <c r="CW64" s="1777"/>
      <c r="CX64" s="2789" t="s">
        <v>1909</v>
      </c>
      <c r="CY64" s="1777"/>
      <c r="CZ64" s="1777"/>
      <c r="DA64" s="2789" t="s">
        <v>1910</v>
      </c>
      <c r="DB64" s="1777"/>
      <c r="DC64" s="1777"/>
      <c r="DD64" s="2789" t="s">
        <v>1911</v>
      </c>
      <c r="DE64" s="1777"/>
      <c r="DF64" s="1777"/>
      <c r="DG64" s="2789" t="s">
        <v>1912</v>
      </c>
      <c r="DH64" s="1777"/>
      <c r="DI64" s="1777"/>
      <c r="DJ64" s="2789" t="s">
        <v>1913</v>
      </c>
      <c r="DK64" s="1777"/>
      <c r="DL64" s="1777"/>
      <c r="DM64" s="2789" t="s">
        <v>1914</v>
      </c>
      <c r="DN64" s="1777"/>
      <c r="DO64" s="1777"/>
      <c r="DP64" s="2789" t="s">
        <v>1915</v>
      </c>
      <c r="DQ64" s="1777"/>
      <c r="DR64" s="1777"/>
      <c r="DS64" s="2789" t="s">
        <v>1916</v>
      </c>
      <c r="DT64" s="1777"/>
      <c r="DU64" s="1777"/>
      <c r="DV64" s="2789" t="s">
        <v>1917</v>
      </c>
      <c r="DW64" s="1777"/>
      <c r="DX64" s="1777"/>
      <c r="DY64" s="2789" t="s">
        <v>1918</v>
      </c>
      <c r="DZ64" s="1777"/>
      <c r="EA64" s="1777"/>
      <c r="EB64" s="773"/>
    </row>
    <row r="65" spans="1:132" s="28" customFormat="1" ht="18" customHeight="1">
      <c r="B65" s="2479"/>
      <c r="C65" s="1877"/>
      <c r="D65" s="1877"/>
      <c r="E65" s="1877"/>
      <c r="F65" s="1877"/>
      <c r="G65" s="1877"/>
      <c r="H65" s="1877"/>
      <c r="I65" s="1877"/>
      <c r="J65" s="1877"/>
      <c r="K65" s="1772"/>
      <c r="L65" s="2880">
        <f>$L$45-$L$62</f>
        <v>0</v>
      </c>
      <c r="M65" s="1777"/>
      <c r="N65" s="1777"/>
      <c r="O65" s="2793">
        <f>O45-O62</f>
        <v>0</v>
      </c>
      <c r="P65" s="1777"/>
      <c r="Q65" s="1777"/>
      <c r="R65" s="2793">
        <f>R45-R62</f>
        <v>0</v>
      </c>
      <c r="S65" s="1777"/>
      <c r="T65" s="1777"/>
      <c r="U65" s="2793">
        <f>U45-U62</f>
        <v>0</v>
      </c>
      <c r="V65" s="1777"/>
      <c r="W65" s="1777"/>
      <c r="X65" s="2793">
        <f>X45-X62</f>
        <v>0</v>
      </c>
      <c r="Y65" s="1777"/>
      <c r="Z65" s="1777"/>
      <c r="AA65" s="2793">
        <f>AA45-AA62</f>
        <v>0</v>
      </c>
      <c r="AB65" s="1777"/>
      <c r="AC65" s="1777"/>
      <c r="AD65" s="2793">
        <f>AD45-AD62</f>
        <v>0</v>
      </c>
      <c r="AE65" s="1777"/>
      <c r="AF65" s="1777"/>
      <c r="AG65" s="2793">
        <f>AG45-AG62</f>
        <v>0</v>
      </c>
      <c r="AH65" s="1777"/>
      <c r="AI65" s="1777"/>
      <c r="AJ65" s="2793">
        <f>AJ45-AJ62</f>
        <v>0</v>
      </c>
      <c r="AK65" s="1777"/>
      <c r="AL65" s="1777"/>
      <c r="AM65" s="2793">
        <f>AM45-AM62</f>
        <v>0</v>
      </c>
      <c r="AN65" s="1777"/>
      <c r="AO65" s="1777"/>
      <c r="AP65" s="2793">
        <f>AP45-AP62</f>
        <v>0</v>
      </c>
      <c r="AQ65" s="1777"/>
      <c r="AR65" s="1777"/>
      <c r="AS65" s="2793">
        <f>AS45-AS62</f>
        <v>0</v>
      </c>
      <c r="AT65" s="1777"/>
      <c r="AU65" s="1777"/>
      <c r="AV65" s="2793">
        <f>AV45-AV62</f>
        <v>0</v>
      </c>
      <c r="AW65" s="1777"/>
      <c r="AX65" s="1777"/>
      <c r="AY65" s="2793">
        <f>AY45-AY62</f>
        <v>0</v>
      </c>
      <c r="AZ65" s="1777"/>
      <c r="BA65" s="1777"/>
      <c r="BB65" s="2793">
        <f>BB45-BB62</f>
        <v>0</v>
      </c>
      <c r="BC65" s="1777"/>
      <c r="BD65" s="1777"/>
      <c r="BE65" s="2793">
        <f>BE45-BE62</f>
        <v>0</v>
      </c>
      <c r="BF65" s="1777"/>
      <c r="BG65" s="1777"/>
      <c r="BH65" s="2793">
        <f>BH45-BH62</f>
        <v>0</v>
      </c>
      <c r="BI65" s="1777"/>
      <c r="BJ65" s="1777"/>
      <c r="BK65" s="2793">
        <f>BK45-BK62</f>
        <v>0</v>
      </c>
      <c r="BL65" s="1777"/>
      <c r="BM65" s="1777"/>
      <c r="BN65" s="2793">
        <f>BN45-BN62</f>
        <v>0</v>
      </c>
      <c r="BO65" s="1777"/>
      <c r="BP65" s="1777"/>
      <c r="BQ65" s="2793">
        <f>BQ45-BQ62</f>
        <v>0</v>
      </c>
      <c r="BR65" s="1777"/>
      <c r="BS65" s="1777"/>
      <c r="BT65" s="2793">
        <f>BT45-BT62</f>
        <v>0</v>
      </c>
      <c r="BU65" s="1777"/>
      <c r="BV65" s="1777"/>
      <c r="BW65" s="2793">
        <f>BW45-BW62</f>
        <v>0</v>
      </c>
      <c r="BX65" s="1777"/>
      <c r="BY65" s="1777"/>
      <c r="BZ65" s="2793">
        <f>BZ45-BZ62</f>
        <v>0</v>
      </c>
      <c r="CA65" s="1777"/>
      <c r="CB65" s="1777"/>
      <c r="CC65" s="2793">
        <f>CC45-CC62</f>
        <v>0</v>
      </c>
      <c r="CD65" s="1777"/>
      <c r="CE65" s="1777"/>
      <c r="CF65" s="2793">
        <f>CF45-CF62</f>
        <v>0</v>
      </c>
      <c r="CG65" s="1777"/>
      <c r="CH65" s="1777"/>
      <c r="CI65" s="2793">
        <f>CI45-CI62</f>
        <v>0</v>
      </c>
      <c r="CJ65" s="1777"/>
      <c r="CK65" s="1777"/>
      <c r="CL65" s="2793">
        <f>CL45-CL62</f>
        <v>0</v>
      </c>
      <c r="CM65" s="1777"/>
      <c r="CN65" s="1777"/>
      <c r="CO65" s="2793">
        <f>CO45-CO62</f>
        <v>0</v>
      </c>
      <c r="CP65" s="1777"/>
      <c r="CQ65" s="1777"/>
      <c r="CR65" s="2793">
        <f>CR45-CR62</f>
        <v>0</v>
      </c>
      <c r="CS65" s="1777"/>
      <c r="CT65" s="1777"/>
      <c r="CU65" s="2793">
        <f>CU45-CU62</f>
        <v>0</v>
      </c>
      <c r="CV65" s="1777"/>
      <c r="CW65" s="1777"/>
      <c r="CX65" s="2793">
        <f>CX45-CX62</f>
        <v>0</v>
      </c>
      <c r="CY65" s="1777"/>
      <c r="CZ65" s="1777"/>
      <c r="DA65" s="2793">
        <f>DA45-DA62</f>
        <v>0</v>
      </c>
      <c r="DB65" s="1777"/>
      <c r="DC65" s="1777"/>
      <c r="DD65" s="2793">
        <f>DD45-DD62</f>
        <v>0</v>
      </c>
      <c r="DE65" s="1777"/>
      <c r="DF65" s="1777"/>
      <c r="DG65" s="2793">
        <f>DG45-DG62</f>
        <v>0</v>
      </c>
      <c r="DH65" s="1777"/>
      <c r="DI65" s="1777"/>
      <c r="DJ65" s="2793">
        <f>DJ45-DJ62</f>
        <v>0</v>
      </c>
      <c r="DK65" s="1777"/>
      <c r="DL65" s="1777"/>
      <c r="DM65" s="2793">
        <f>DM45-DM62</f>
        <v>0</v>
      </c>
      <c r="DN65" s="1777"/>
      <c r="DO65" s="1777"/>
      <c r="DP65" s="2793">
        <f>DP45-DP62</f>
        <v>0</v>
      </c>
      <c r="DQ65" s="1777"/>
      <c r="DR65" s="1777"/>
      <c r="DS65" s="2793">
        <f>DS45-DS62</f>
        <v>0</v>
      </c>
      <c r="DT65" s="1777"/>
      <c r="DU65" s="1777"/>
      <c r="DV65" s="2793">
        <f>DV45-DV62</f>
        <v>0</v>
      </c>
      <c r="DW65" s="1777"/>
      <c r="DX65" s="1777"/>
      <c r="DY65" s="2793">
        <f>DY45-DY62</f>
        <v>0</v>
      </c>
      <c r="DZ65" s="1777"/>
      <c r="EA65" s="1777"/>
      <c r="EB65" s="322"/>
    </row>
    <row r="66" spans="1:132" s="26" customFormat="1" ht="9" customHeight="1">
      <c r="B66" s="98"/>
      <c r="C66" s="98"/>
      <c r="D66" s="98"/>
      <c r="E66" s="98"/>
      <c r="F66" s="98"/>
      <c r="G66" s="98"/>
      <c r="H66" s="98"/>
      <c r="I66" s="98"/>
      <c r="J66" s="98"/>
      <c r="K66" s="98"/>
    </row>
    <row r="67" spans="1:132" ht="18" hidden="1" customHeight="1">
      <c r="B67" s="2961" t="s">
        <v>1940</v>
      </c>
      <c r="C67" s="1777"/>
      <c r="D67" s="1777"/>
      <c r="E67" s="1777"/>
      <c r="F67" s="1777"/>
      <c r="G67" s="2888">
        <f>'Max Loan and Grant Amounts'!$U$50</f>
        <v>0</v>
      </c>
      <c r="H67" s="1777"/>
      <c r="I67" s="1777"/>
      <c r="J67" s="1777"/>
      <c r="K67" s="1778"/>
      <c r="L67" s="2804">
        <f>IF(MHPCOSRYes="Yes",IF(L65&lt;=0,IF(SUM(-L65,L84)&lt;=G67,SUM(-L65,L84),G67),IF(AND(L65&gt;=0,L65&lt;L84),L84-L65,0)),0)</f>
        <v>0</v>
      </c>
      <c r="M67" s="1953"/>
      <c r="N67" s="1953"/>
      <c r="O67" s="2804">
        <f>IF(MHPCOSRYes="Yes",IF(O65&lt;=0,IF(SUM(-O65,O84)&lt;=L68,SUM(-O65,O84),L68),IF(AND(O65&gt;=0,O65&lt;O84),O84-O65,0)),0)</f>
        <v>0</v>
      </c>
      <c r="P67" s="1953"/>
      <c r="Q67" s="1953"/>
      <c r="R67" s="2804">
        <f>IF(MHPCOSRYes="Yes",IF(R65&lt;=0,IF(SUM(-R65,R84)&lt;=O68,SUM(-R65,R84),O68),IF(AND(R65&gt;=0,R65&lt;R84),R84-R65,0)),0)</f>
        <v>0</v>
      </c>
      <c r="S67" s="1953"/>
      <c r="T67" s="1953"/>
      <c r="U67" s="2804">
        <f>IF(MHPCOSRYes="Yes",IF(U65&lt;=0,IF(SUM(-U65,U84)&lt;=R68,SUM(-U65,U84),R68),IF(AND(U65&gt;=0,U65&lt;U84),U84-U65,0)),0)</f>
        <v>0</v>
      </c>
      <c r="V67" s="1953"/>
      <c r="W67" s="1953"/>
      <c r="X67" s="2804">
        <f>IF(MHPCOSRYes="Yes",IF(X65&lt;=0,IF(SUM(-X65,X84)&lt;=U68,SUM(-X65,X84),U68),IF(AND(X65&gt;=0,X65&lt;X84),X84-X65,0)),0)</f>
        <v>0</v>
      </c>
      <c r="Y67" s="1953"/>
      <c r="Z67" s="1953"/>
      <c r="AA67" s="2804">
        <f>IF(MHPCOSRYes="Yes",IF(AA65&lt;=0,IF(SUM(-AA65,AA84)&lt;=X68,SUM(-AA65,AA84),X68),IF(AND(AA65&gt;=0,AA65&lt;AA84),AA84-AA65,0)),0)</f>
        <v>0</v>
      </c>
      <c r="AB67" s="1953"/>
      <c r="AC67" s="1953"/>
      <c r="AD67" s="2804">
        <f>IF(MHPCOSRYes="Yes",IF(AD65&lt;=0,IF(SUM(-AD65,AD84)&lt;=AA68,SUM(-AD65,AD84),AA68),IF(AND(AD65&gt;=0,AD65&lt;AD84),AD84-AD65,0)),0)</f>
        <v>0</v>
      </c>
      <c r="AE67" s="1953"/>
      <c r="AF67" s="1953"/>
      <c r="AG67" s="2804">
        <f>IF(MHPCOSRYes="Yes",IF(AG65&lt;=0,IF(SUM(-AG65,AG84)&lt;=AD68,SUM(-AG65,AG84),AD68),IF(AND(AG65&gt;=0,AG65&lt;AG84),AG84-AG65,0)),0)</f>
        <v>0</v>
      </c>
      <c r="AH67" s="1953"/>
      <c r="AI67" s="1953"/>
      <c r="AJ67" s="2804">
        <f>IF(MHPCOSRYes="Yes",IF(AJ65&lt;=0,IF(SUM(-AJ65,AJ84)&lt;=AG68,SUM(-AJ65,AJ84),AG68),IF(AND(AJ65&gt;=0,AJ65&lt;AJ84),AJ84-AJ65,0)),0)</f>
        <v>0</v>
      </c>
      <c r="AK67" s="1953"/>
      <c r="AL67" s="1953"/>
      <c r="AM67" s="2804">
        <f>IF(MHPCOSRYes="Yes",IF(AM65&lt;=0,IF(SUM(-AM65,AM84)&lt;=AJ68,SUM(-AM65,AM84),AJ68),IF(AND(AM65&gt;=0,AM65&lt;AM84),AM84-AM65,0)),0)</f>
        <v>0</v>
      </c>
      <c r="AN67" s="1953"/>
      <c r="AO67" s="1953"/>
      <c r="AP67" s="2804">
        <f>IF(MHPCOSRYes="Yes",IF(AP65&lt;=0,IF(SUM(-AP65,AP84)&lt;=AM68,SUM(-AP65,AP84),AM68),IF(AND(AP65&gt;=0,AP65&lt;AP84),AP84-AP65,0)),0)</f>
        <v>0</v>
      </c>
      <c r="AQ67" s="1953"/>
      <c r="AR67" s="1953"/>
      <c r="AS67" s="2804">
        <f>IF(MHPCOSRYes="Yes",IF(AS65&lt;=0,IF(SUM(-AS65,AS84)&lt;=AP68,SUM(-AS65,AS84),AP68),IF(AND(AS65&gt;=0,AS65&lt;AS84),AS84-AS65,0)),0)</f>
        <v>0</v>
      </c>
      <c r="AT67" s="1953"/>
      <c r="AU67" s="1953"/>
      <c r="AV67" s="2804">
        <f>IF(MHPCOSRYes="Yes",IF(AV65&lt;=0,IF(SUM(-AV65,AV84)&lt;=AS68,SUM(-AV65,AV84),AS68),IF(AND(AV65&gt;=0,AV65&lt;AV84),AV84-AV65,0)),0)</f>
        <v>0</v>
      </c>
      <c r="AW67" s="1953"/>
      <c r="AX67" s="1953"/>
      <c r="AY67" s="2804">
        <f>IF(MHPCOSRYes="Yes",IF(AY65&lt;=0,IF(SUM(-AY65,AY84)&lt;=AV68,SUM(-AY65,AY84),AV68),IF(AND(AY65&gt;=0,AY65&lt;AY84),AY84-AY65,0)),0)</f>
        <v>0</v>
      </c>
      <c r="AZ67" s="1953"/>
      <c r="BA67" s="1953"/>
      <c r="BB67" s="2804">
        <f>IF(MHPCOSRYes="Yes",IF(BB65&lt;=0,IF(SUM(-BB65,BB84)&lt;=AY68,SUM(-BB65,BB84),AY68),IF(AND(BB65&gt;=0,BB65&lt;BB84),BB84-BB65,0)),0)</f>
        <v>0</v>
      </c>
      <c r="BC67" s="1953"/>
      <c r="BD67" s="1953"/>
      <c r="BE67" s="2804">
        <f>IF(MHPCOSRYes="Yes",IF(BE65&lt;=0,IF(SUM(-BE65,BE84)&lt;=BB68,SUM(-BE65,BE84),BB68),IF(AND(BE65&gt;=0,BE65&lt;BE84),BE84-BE65,0)),0)</f>
        <v>0</v>
      </c>
      <c r="BF67" s="1953"/>
      <c r="BG67" s="1953"/>
      <c r="BH67" s="2804">
        <f>IF(MHPCOSRYes="Yes",IF(BH65&lt;=0,IF(SUM(-BH65,BH84)&lt;=BE68,SUM(-BH65,BH84),BE68),IF(AND(BH65&gt;=0,BH65&lt;BH84),BH84-BH65,0)),0)</f>
        <v>0</v>
      </c>
      <c r="BI67" s="1953"/>
      <c r="BJ67" s="1953"/>
      <c r="BK67" s="2804">
        <f>IF(MHPCOSRYes="Yes",IF(BK65&lt;=0,IF(SUM(-BK65,BK84)&lt;=BH68,SUM(-BK65,BK84),BH68),IF(AND(BK65&gt;=0,BK65&lt;BK84),BK84-BK65,0)),0)</f>
        <v>0</v>
      </c>
      <c r="BL67" s="1953"/>
      <c r="BM67" s="1953"/>
      <c r="BN67" s="2804">
        <f>IF(MHPCOSRYes="Yes",IF(BN65&lt;=0,IF(SUM(-BN65,BN84)&lt;=BK68,SUM(-BN65,BN84),BK68),IF(AND(BN65&gt;=0,BN65&lt;BN84),BN84-BN65,0)),0)</f>
        <v>0</v>
      </c>
      <c r="BO67" s="1953"/>
      <c r="BP67" s="1953"/>
      <c r="BQ67" s="2804">
        <f>IF(MHPCOSRYes="Yes",IF(BQ65&lt;=0,IF(SUM(-BQ65,BQ84)&lt;=BN68,SUM(-BQ65,BQ84),BN68),IF(AND(BQ65&gt;=0,BQ65&lt;BQ84),BQ84-BQ65,0)),0)</f>
        <v>0</v>
      </c>
      <c r="BR67" s="1953"/>
      <c r="BS67" s="1953"/>
      <c r="BT67" s="2811"/>
      <c r="BU67" s="1953"/>
      <c r="BV67" s="1953"/>
      <c r="BW67" s="2811"/>
      <c r="BX67" s="1953"/>
      <c r="BY67" s="1953"/>
      <c r="BZ67" s="2811"/>
      <c r="CA67" s="1953"/>
      <c r="CB67" s="1953"/>
      <c r="CC67" s="2811"/>
      <c r="CD67" s="1953"/>
      <c r="CE67" s="1953"/>
      <c r="CF67" s="2811"/>
      <c r="CG67" s="1953"/>
      <c r="CH67" s="1953"/>
      <c r="CI67" s="2811"/>
      <c r="CJ67" s="1953"/>
      <c r="CK67" s="1953"/>
      <c r="CL67" s="2811"/>
      <c r="CM67" s="1953"/>
      <c r="CN67" s="1953"/>
      <c r="CO67" s="2811"/>
      <c r="CP67" s="1953"/>
      <c r="CQ67" s="1953"/>
      <c r="CR67" s="2811"/>
      <c r="CS67" s="1953"/>
      <c r="CT67" s="1953"/>
      <c r="CU67" s="2811"/>
      <c r="CV67" s="1953"/>
      <c r="CW67" s="1953"/>
      <c r="CX67" s="2811"/>
      <c r="CY67" s="1953"/>
      <c r="CZ67" s="1953"/>
      <c r="DA67" s="2811"/>
      <c r="DB67" s="1953"/>
      <c r="DC67" s="1953"/>
      <c r="DD67" s="2811"/>
      <c r="DE67" s="1953"/>
      <c r="DF67" s="1953"/>
      <c r="DG67" s="2811"/>
      <c r="DH67" s="1953"/>
      <c r="DI67" s="1953"/>
      <c r="DJ67" s="2811"/>
      <c r="DK67" s="1953"/>
      <c r="DL67" s="1953"/>
      <c r="DM67" s="2811"/>
      <c r="DN67" s="1953"/>
      <c r="DO67" s="1953"/>
      <c r="DP67" s="2811"/>
      <c r="DQ67" s="1953"/>
      <c r="DR67" s="1953"/>
      <c r="DS67" s="2811"/>
      <c r="DT67" s="1953"/>
      <c r="DU67" s="1953"/>
      <c r="DV67" s="2811"/>
      <c r="DW67" s="1953"/>
      <c r="DX67" s="1953"/>
      <c r="DY67" s="2811"/>
      <c r="DZ67" s="1953"/>
      <c r="EA67" s="1953"/>
      <c r="EB67" s="773"/>
    </row>
    <row r="68" spans="1:132" ht="36" hidden="1" customHeight="1">
      <c r="B68" s="2911" t="s">
        <v>1941</v>
      </c>
      <c r="C68" s="1777"/>
      <c r="D68" s="1777"/>
      <c r="E68" s="1777"/>
      <c r="F68" s="1778"/>
      <c r="G68" s="2888">
        <f>MIN(L68:BS68)</f>
        <v>0</v>
      </c>
      <c r="H68" s="1777"/>
      <c r="I68" s="1777"/>
      <c r="J68" s="1777"/>
      <c r="K68" s="1778"/>
      <c r="L68" s="2849">
        <f>IF(MHPCOSRYes="Yes",IF(OR(L67=0,L67=L84),$G$67-L67,IF(L65&lt;0,SUM($G$67,-L67),0)),0)</f>
        <v>0</v>
      </c>
      <c r="M68" s="2435"/>
      <c r="N68" s="2435"/>
      <c r="O68" s="2791">
        <f t="array" ref="O68">IF(MHPCOSRYes="Yes",IF(OR(O65=0,O65&gt;0),L68-O67,IF(O65&lt;0,SUM($G$67,-$L$67:Q67),0)),0)</f>
        <v>0</v>
      </c>
      <c r="P68" s="2435"/>
      <c r="Q68" s="2435"/>
      <c r="R68" s="2791">
        <f t="array" ref="R68">IF(MHPCOSRYes="Yes",IF(OR(R65=0,R65&gt;0),O68-R67,IF(R65&lt;0,SUM($G$67,-$L$67:T67),0)),0)</f>
        <v>0</v>
      </c>
      <c r="S68" s="2435"/>
      <c r="T68" s="2435"/>
      <c r="U68" s="2791">
        <f t="array" ref="U68">IF(MHPCOSRYes="Yes",IF(OR(U65=0,U65&gt;0),R68-U67,IF(U65&lt;0,SUM($G$67,-$L$67:W67),0)),0)</f>
        <v>0</v>
      </c>
      <c r="V68" s="2435"/>
      <c r="W68" s="2435"/>
      <c r="X68" s="2791">
        <f t="array" ref="X68">IF(MHPCOSRYes="Yes",IF(OR(X65=0,X65&gt;0),U68-X67,IF(X65&lt;0,SUM($G$67,-$L$67:Z67),0)),0)</f>
        <v>0</v>
      </c>
      <c r="Y68" s="2435"/>
      <c r="Z68" s="2435"/>
      <c r="AA68" s="2791">
        <f t="array" ref="AA68">IF(MHPCOSRYes="Yes",IF(OR(AA65=0,AA65&gt;0),X68-AA67,IF(AA65&lt;0,SUM($G$67,-$L$67:AC67),0)),0)</f>
        <v>0</v>
      </c>
      <c r="AB68" s="2435"/>
      <c r="AC68" s="2435"/>
      <c r="AD68" s="2791">
        <f t="array" ref="AD68">IF(MHPCOSRYes="Yes",IF(OR(AD65=0,AD65&gt;0),AA68-AD67,IF(AD65&lt;0,SUM($G$67,-$L$67:AF67),0)),0)</f>
        <v>0</v>
      </c>
      <c r="AE68" s="2435"/>
      <c r="AF68" s="2435"/>
      <c r="AG68" s="2791">
        <f t="array" ref="AG68">IF(MHPCOSRYes="Yes",IF(OR(AG65=0,AG65&gt;0),AD68-AG67,IF(AG65&lt;0,SUM($G$67,-$L$67:AI67),0)),0)</f>
        <v>0</v>
      </c>
      <c r="AH68" s="2435"/>
      <c r="AI68" s="2435"/>
      <c r="AJ68" s="2791">
        <f t="array" ref="AJ68">IF(MHPCOSRYes="Yes",IF(OR(AJ65=0,AJ65&gt;0),AG68-AJ67,IF(AJ65&lt;0,SUM($G$67,-$L$67:AL67),0)),0)</f>
        <v>0</v>
      </c>
      <c r="AK68" s="2435"/>
      <c r="AL68" s="2435"/>
      <c r="AM68" s="2791">
        <f t="array" ref="AM68">IF(MHPCOSRYes="Yes",IF(OR(AM65=0,AM65&gt;0),AJ68-AM67,IF(AM65&lt;0,SUM($G$67,-$L$67:AO67),0)),0)</f>
        <v>0</v>
      </c>
      <c r="AN68" s="2435"/>
      <c r="AO68" s="2435"/>
      <c r="AP68" s="2791">
        <f t="array" ref="AP68">IF(MHPCOSRYes="Yes",IF(OR(AP65=0,AP65&gt;0),AM68-AP67,IF(AP65&lt;0,SUM($G$67,-$L$67:AR67),0)),0)</f>
        <v>0</v>
      </c>
      <c r="AQ68" s="2435"/>
      <c r="AR68" s="2435"/>
      <c r="AS68" s="2791">
        <f t="array" ref="AS68">IF(MHPCOSRYes="Yes",IF(OR(AS65=0,AS65&gt;0),AP68-AS67,IF(AS65&lt;0,SUM($G$67,-$L$67:AU67),0)),0)</f>
        <v>0</v>
      </c>
      <c r="AT68" s="2435"/>
      <c r="AU68" s="2435"/>
      <c r="AV68" s="2791">
        <f t="array" ref="AV68">IF(MHPCOSRYes="Yes",IF(OR(AV65=0,AV65&gt;0),AS68-AV67,IF(AV65&lt;0,SUM($G$67,-$L$67:AX67),0)),0)</f>
        <v>0</v>
      </c>
      <c r="AW68" s="2435"/>
      <c r="AX68" s="2435"/>
      <c r="AY68" s="2791">
        <f t="array" ref="AY68">IF(MHPCOSRYes="Yes",IF(OR(AY65=0,AY65&gt;0),AV68-AY67,IF(AY65&lt;0,SUM($G$67,-$L$67:BA67),0)),0)</f>
        <v>0</v>
      </c>
      <c r="AZ68" s="2435"/>
      <c r="BA68" s="2435"/>
      <c r="BB68" s="2791">
        <f t="array" ref="BB68">IF(MHPCOSRYes="Yes",IF(OR(BB65=0,BB65&gt;0),AY68-BB67,IF(BB65&lt;0,SUM($G$67,-$L$67:BD67),0)),0)</f>
        <v>0</v>
      </c>
      <c r="BC68" s="2435"/>
      <c r="BD68" s="2435"/>
      <c r="BE68" s="2791">
        <f t="array" ref="BE68">IF(MHPCOSRYes="Yes",IF(OR(BE65=0,BE65&gt;0),BB68-BE67,IF(BE65&lt;0,SUM($G$67,-$L$67:BG67),0)),0)</f>
        <v>0</v>
      </c>
      <c r="BF68" s="2435"/>
      <c r="BG68" s="2435"/>
      <c r="BH68" s="2791">
        <f t="array" ref="BH68">IF(MHPCOSRYes="Yes",IF(OR(BH65=0,BH65&gt;0),BE68-BH67,IF(BH65&lt;0,SUM($G$67,-$L$67:BJ67),0)),0)</f>
        <v>0</v>
      </c>
      <c r="BI68" s="2435"/>
      <c r="BJ68" s="2435"/>
      <c r="BK68" s="2791">
        <f t="array" ref="BK68">IF(MHPCOSRYes="Yes",IF(OR(BK65=0,BK65&gt;0),BH68-BK67,IF(BK65&lt;0,SUM($G$67,-$L$67:BM67),0)),0)</f>
        <v>0</v>
      </c>
      <c r="BL68" s="2435"/>
      <c r="BM68" s="2435"/>
      <c r="BN68" s="2791">
        <f t="array" ref="BN68">IF(MHPCOSRYes="Yes",IF(OR(BN65=0,BN65&gt;0),BK68-BN67,IF(BN65&lt;0,SUM($G$67,-$L$67:BP67),0)),0)</f>
        <v>0</v>
      </c>
      <c r="BO68" s="2435"/>
      <c r="BP68" s="2435"/>
      <c r="BQ68" s="2791">
        <f t="array" ref="BQ68">IF(MHPCOSRYes="Yes",IF(OR(BQ65=0,BQ65&gt;0),BN68-BQ67,IF(BQ65&lt;0,SUM($G$67,-$L$67:BS67),0)),0)</f>
        <v>0</v>
      </c>
      <c r="BR68" s="2435"/>
      <c r="BS68" s="2435"/>
      <c r="BT68" s="1696"/>
      <c r="BU68" s="1696"/>
      <c r="BV68" s="1696"/>
      <c r="BW68" s="1696"/>
      <c r="BX68" s="1696"/>
      <c r="BY68" s="1696"/>
      <c r="BZ68" s="1696"/>
      <c r="CA68" s="1696"/>
      <c r="CB68" s="1696"/>
      <c r="CC68" s="1696"/>
      <c r="CD68" s="1696"/>
      <c r="CE68" s="1696"/>
      <c r="CF68" s="1696"/>
      <c r="CG68" s="1696"/>
      <c r="CH68" s="1696"/>
      <c r="CI68" s="1696"/>
      <c r="CJ68" s="1696"/>
      <c r="CK68" s="1696"/>
      <c r="CL68" s="1696"/>
      <c r="CM68" s="1696"/>
      <c r="CN68" s="1696"/>
      <c r="CO68" s="1696"/>
      <c r="CP68" s="1696"/>
      <c r="CQ68" s="1696"/>
      <c r="CR68" s="1696"/>
      <c r="CS68" s="1696"/>
      <c r="CT68" s="1696"/>
      <c r="CU68" s="1696"/>
      <c r="CV68" s="1696"/>
      <c r="CW68" s="1696"/>
      <c r="CX68" s="1696"/>
      <c r="CY68" s="1696"/>
      <c r="CZ68" s="1696"/>
      <c r="DA68" s="1696"/>
      <c r="DB68" s="1696"/>
      <c r="DC68" s="1696"/>
      <c r="DD68" s="1696"/>
      <c r="DE68" s="1696"/>
      <c r="DF68" s="1696"/>
      <c r="DG68" s="1696"/>
      <c r="DH68" s="1696"/>
      <c r="DI68" s="1696"/>
      <c r="DJ68" s="1696"/>
      <c r="DK68" s="1696"/>
      <c r="DL68" s="1696"/>
      <c r="DM68" s="1696"/>
      <c r="DN68" s="1696"/>
      <c r="DO68" s="1696"/>
      <c r="DP68" s="1696"/>
      <c r="DQ68" s="1696"/>
      <c r="DR68" s="1696"/>
      <c r="DS68" s="1696"/>
      <c r="DT68" s="1696"/>
      <c r="DU68" s="1696"/>
      <c r="DV68" s="1696"/>
      <c r="DW68" s="1696"/>
      <c r="DX68" s="1696"/>
      <c r="DY68" s="1696"/>
      <c r="DZ68" s="1696"/>
      <c r="EA68" s="1696"/>
      <c r="EB68" s="773"/>
    </row>
    <row r="69" spans="1:132" ht="36" hidden="1" customHeight="1" thickBot="1">
      <c r="B69" s="2822" t="s">
        <v>1942</v>
      </c>
      <c r="C69" s="1777"/>
      <c r="D69" s="1777"/>
      <c r="E69" s="1777"/>
      <c r="F69" s="1777"/>
      <c r="G69" s="1777"/>
      <c r="H69" s="1777"/>
      <c r="I69" s="1777"/>
      <c r="J69" s="1777"/>
      <c r="K69" s="1778"/>
      <c r="L69" s="2924">
        <f>IF(MHPCOSRYes="Yes",IF(AND(L65&gt;0,L65&lt;L84),SUM(L67,L65),ROUND(SUM(L65,L67),0)),0)</f>
        <v>0</v>
      </c>
      <c r="M69" s="2803"/>
      <c r="N69" s="2803"/>
      <c r="O69" s="2802">
        <f>IF(MHPCOSRYes="Yes",IF(AND(O65&gt;0,O65&lt;O84),SUM(O67,O65),ROUND(SUM(O65,O67),0)),0)</f>
        <v>0</v>
      </c>
      <c r="P69" s="2803"/>
      <c r="Q69" s="2803"/>
      <c r="R69" s="2802">
        <f>IF(MHPCOSRYes="Yes",IF(AND(R65&gt;0,R65&lt;R84),SUM(R67,R65),ROUND(SUM(R65,R67),0)),0)</f>
        <v>0</v>
      </c>
      <c r="S69" s="2803"/>
      <c r="T69" s="2803"/>
      <c r="U69" s="2802">
        <f>IF(MHPCOSRYes="Yes",IF(AND(U65&gt;0,U65&lt;U84),SUM(U67,U65),ROUND(SUM(U65,U67),0)),0)</f>
        <v>0</v>
      </c>
      <c r="V69" s="2803"/>
      <c r="W69" s="2803"/>
      <c r="X69" s="2802">
        <f>IF(MHPCOSRYes="Yes",IF(AND(X65&gt;0,X65&lt;X84),SUM(X67,X65),ROUND(SUM(X65,X67),0)),0)</f>
        <v>0</v>
      </c>
      <c r="Y69" s="2803"/>
      <c r="Z69" s="2803"/>
      <c r="AA69" s="2802">
        <f>IF(MHPCOSRYes="Yes",IF(AND(AA65&gt;0,AA65&lt;AA84),SUM(AA67,AA65),ROUND(SUM(AA65,AA67),0)),0)</f>
        <v>0</v>
      </c>
      <c r="AB69" s="2803"/>
      <c r="AC69" s="2803"/>
      <c r="AD69" s="2802">
        <f>IF(MHPCOSRYes="Yes",IF(AND(AD65&gt;0,AD65&lt;AD84),SUM(AD67,AD65),ROUND(SUM(AD65,AD67),0)),0)</f>
        <v>0</v>
      </c>
      <c r="AE69" s="2803"/>
      <c r="AF69" s="2803"/>
      <c r="AG69" s="2802">
        <f>IF(MHPCOSRYes="Yes",IF(AND(AG65&gt;0,AG65&lt;AG84),SUM(AG67,AG65),ROUND(SUM(AG65,AG67),0)),0)</f>
        <v>0</v>
      </c>
      <c r="AH69" s="2803"/>
      <c r="AI69" s="2803"/>
      <c r="AJ69" s="2802">
        <f>IF(MHPCOSRYes="Yes",IF(AND(AJ65&gt;0,AJ65&lt;AJ84),SUM(AJ67,AJ65),ROUND(SUM(AJ65,AJ67),0)),0)</f>
        <v>0</v>
      </c>
      <c r="AK69" s="2803"/>
      <c r="AL69" s="2803"/>
      <c r="AM69" s="2802">
        <f>IF(MHPCOSRYes="Yes",IF(AND(AM65&gt;0,AM65&lt;AM84),SUM(AM67,AM65),ROUND(SUM(AM65,AM67),0)),0)</f>
        <v>0</v>
      </c>
      <c r="AN69" s="2803"/>
      <c r="AO69" s="2803"/>
      <c r="AP69" s="2802">
        <f>IF(MHPCOSRYes="Yes",IF(AND(AP65&gt;0,AP65&lt;AP84),SUM(AP67,AP65),ROUND(SUM(AP65,AP67),0)),0)</f>
        <v>0</v>
      </c>
      <c r="AQ69" s="2803"/>
      <c r="AR69" s="2803"/>
      <c r="AS69" s="2802">
        <f>IF(MHPCOSRYes="Yes",IF(AND(AS65&gt;0,AS65&lt;AS84),SUM(AS67,AS65),ROUND(SUM(AS65,AS67),0)),0)</f>
        <v>0</v>
      </c>
      <c r="AT69" s="2803"/>
      <c r="AU69" s="2803"/>
      <c r="AV69" s="2802">
        <f>IF(MHPCOSRYes="Yes",IF(AND(AV65&gt;0,AV65&lt;AV84),SUM(AV67,AV65),ROUND(SUM(AV65,AV67),0)),0)</f>
        <v>0</v>
      </c>
      <c r="AW69" s="2803"/>
      <c r="AX69" s="2803"/>
      <c r="AY69" s="2802">
        <f>IF(MHPCOSRYes="Yes",IF(AND(AY65&gt;0,AY65&lt;AY84),SUM(AY67,AY65),ROUND(SUM(AY65,AY67),0)),0)</f>
        <v>0</v>
      </c>
      <c r="AZ69" s="2803"/>
      <c r="BA69" s="2803"/>
      <c r="BB69" s="2802">
        <f>IF(MHPCOSRYes="Yes",IF(AND(BB65&gt;0,BB65&lt;BB84),SUM(BB67,BB65),ROUND(SUM(BB65,BB67),0)),0)</f>
        <v>0</v>
      </c>
      <c r="BC69" s="2803"/>
      <c r="BD69" s="2803"/>
      <c r="BE69" s="2802">
        <f>IF(MHPCOSRYes="Yes",IF(AND(BE65&gt;0,BE65&lt;BE84),SUM(BE67,BE65),ROUND(SUM(BE65,BE67),0)),0)</f>
        <v>0</v>
      </c>
      <c r="BF69" s="2803"/>
      <c r="BG69" s="2803"/>
      <c r="BH69" s="2802">
        <f>IF(MHPCOSRYes="Yes",IF(AND(BH65&gt;0,BH65&lt;BH84),SUM(BH67,BH65),ROUND(SUM(BH65,BH67),0)),0)</f>
        <v>0</v>
      </c>
      <c r="BI69" s="2803"/>
      <c r="BJ69" s="2803"/>
      <c r="BK69" s="2802">
        <f>IF(MHPCOSRYes="Yes",IF(AND(BK65&gt;0,BK65&lt;BK84),SUM(BK67,BK65),ROUND(SUM(BK65,BK67),0)),0)</f>
        <v>0</v>
      </c>
      <c r="BL69" s="2803"/>
      <c r="BM69" s="2803"/>
      <c r="BN69" s="2802">
        <f>IF(MHPCOSRYes="Yes",IF(AND(BN65&gt;0,BN65&lt;BN84),SUM(BN67,BN65),ROUND(SUM(BN65,BN67),0)),0)</f>
        <v>0</v>
      </c>
      <c r="BO69" s="2803"/>
      <c r="BP69" s="2803"/>
      <c r="BQ69" s="2802">
        <f>IF(MHPCOSRYes="Yes",IF(AND(BQ65&gt;0,BQ65&lt;BQ84),SUM(BQ67,BQ65),ROUND(SUM(BQ65,BQ67),0)),0)</f>
        <v>0</v>
      </c>
      <c r="BR69" s="2803"/>
      <c r="BS69" s="2803"/>
      <c r="BT69" s="2802">
        <f>ROUND(SUM(BT65,BT67),0)</f>
        <v>0</v>
      </c>
      <c r="BU69" s="2803"/>
      <c r="BV69" s="2803"/>
      <c r="BW69" s="2802">
        <f>ROUND(SUM(BW65,BW67),0)</f>
        <v>0</v>
      </c>
      <c r="BX69" s="2803"/>
      <c r="BY69" s="2803"/>
      <c r="BZ69" s="2802">
        <f>ROUND(SUM(BZ65,BZ67),0)</f>
        <v>0</v>
      </c>
      <c r="CA69" s="2803"/>
      <c r="CB69" s="2803"/>
      <c r="CC69" s="2802">
        <f>ROUND(SUM(CC65,CC67),0)</f>
        <v>0</v>
      </c>
      <c r="CD69" s="2803"/>
      <c r="CE69" s="2803"/>
      <c r="CF69" s="2802">
        <f>ROUND(SUM(CF65,CF67),0)</f>
        <v>0</v>
      </c>
      <c r="CG69" s="2803"/>
      <c r="CH69" s="2803"/>
      <c r="CI69" s="2802">
        <f>ROUND(SUM(CI65,CI67),0)</f>
        <v>0</v>
      </c>
      <c r="CJ69" s="2803"/>
      <c r="CK69" s="2803"/>
      <c r="CL69" s="2802">
        <f>ROUND(SUM(CL65,CL67),0)</f>
        <v>0</v>
      </c>
      <c r="CM69" s="2803"/>
      <c r="CN69" s="2803"/>
      <c r="CO69" s="2802">
        <f>ROUND(SUM(CO65,CO67),0)</f>
        <v>0</v>
      </c>
      <c r="CP69" s="2803"/>
      <c r="CQ69" s="2803"/>
      <c r="CR69" s="2802">
        <f>ROUND(SUM(CR65,CR67),0)</f>
        <v>0</v>
      </c>
      <c r="CS69" s="2803"/>
      <c r="CT69" s="2803"/>
      <c r="CU69" s="2802">
        <f>ROUND(SUM(CU65,CU67),0)</f>
        <v>0</v>
      </c>
      <c r="CV69" s="2803"/>
      <c r="CW69" s="2803"/>
      <c r="CX69" s="2802">
        <f>ROUND(SUM(CX65,CX67),0)</f>
        <v>0</v>
      </c>
      <c r="CY69" s="2803"/>
      <c r="CZ69" s="2803"/>
      <c r="DA69" s="2802">
        <f>ROUND(SUM(DA65,DA67),0)</f>
        <v>0</v>
      </c>
      <c r="DB69" s="2803"/>
      <c r="DC69" s="2803"/>
      <c r="DD69" s="2802">
        <f>ROUND(SUM(DD65,DD67),0)</f>
        <v>0</v>
      </c>
      <c r="DE69" s="2803"/>
      <c r="DF69" s="2803"/>
      <c r="DG69" s="2802">
        <f>ROUND(SUM(DG65,DG67),0)</f>
        <v>0</v>
      </c>
      <c r="DH69" s="2803"/>
      <c r="DI69" s="2803"/>
      <c r="DJ69" s="2802">
        <f>ROUND(SUM(DJ65,DJ67),0)</f>
        <v>0</v>
      </c>
      <c r="DK69" s="2803"/>
      <c r="DL69" s="2803"/>
      <c r="DM69" s="2802">
        <f>ROUND(SUM(DM65,DM67),0)</f>
        <v>0</v>
      </c>
      <c r="DN69" s="2803"/>
      <c r="DO69" s="2803"/>
      <c r="DP69" s="2802">
        <f>ROUND(SUM(DP65,DP67),0)</f>
        <v>0</v>
      </c>
      <c r="DQ69" s="2803"/>
      <c r="DR69" s="2803"/>
      <c r="DS69" s="2802">
        <f>ROUND(SUM(DS65,DS67),0)</f>
        <v>0</v>
      </c>
      <c r="DT69" s="2803"/>
      <c r="DU69" s="2803"/>
      <c r="DV69" s="2802">
        <f>ROUND(SUM(DV65,DV67),0)</f>
        <v>0</v>
      </c>
      <c r="DW69" s="2803"/>
      <c r="DX69" s="2803"/>
      <c r="DY69" s="2802">
        <f>ROUND(SUM(DY65,DY67),0)</f>
        <v>0</v>
      </c>
      <c r="DZ69" s="2803"/>
      <c r="EA69" s="2803"/>
      <c r="EB69" s="773"/>
    </row>
    <row r="70" spans="1:132" ht="18" hidden="1" customHeight="1">
      <c r="B70" s="699"/>
      <c r="C70" s="699"/>
      <c r="D70" s="698"/>
      <c r="E70" s="698"/>
      <c r="F70" s="698"/>
      <c r="G70" s="698"/>
      <c r="H70" s="698"/>
      <c r="I70" s="698"/>
      <c r="J70" s="698"/>
      <c r="K70" s="698"/>
      <c r="L70" s="1697"/>
      <c r="M70" s="424"/>
      <c r="N70" s="424"/>
      <c r="O70" s="424"/>
      <c r="P70" s="424"/>
      <c r="Q70" s="424"/>
      <c r="R70" s="424"/>
      <c r="S70" s="424"/>
      <c r="T70" s="424"/>
      <c r="U70" s="424"/>
      <c r="V70" s="424"/>
      <c r="W70" s="424"/>
      <c r="X70" s="424"/>
      <c r="Y70" s="424"/>
      <c r="Z70" s="424"/>
      <c r="AA70" s="424"/>
      <c r="AB70" s="424"/>
      <c r="AC70" s="424"/>
      <c r="AD70" s="424"/>
      <c r="AE70" s="424"/>
      <c r="AF70" s="424"/>
      <c r="AG70" s="424"/>
      <c r="AH70" s="424"/>
      <c r="AI70" s="424"/>
      <c r="AJ70" s="424"/>
      <c r="AK70" s="424"/>
      <c r="AL70" s="424"/>
      <c r="AM70" s="424"/>
      <c r="AN70" s="424"/>
      <c r="AO70" s="424"/>
      <c r="AP70" s="424"/>
      <c r="AQ70" s="424"/>
      <c r="AR70" s="424"/>
      <c r="AS70" s="424"/>
      <c r="AT70" s="424"/>
      <c r="AU70" s="424"/>
      <c r="AV70" s="424"/>
      <c r="AW70" s="424"/>
      <c r="AX70" s="424"/>
      <c r="AY70" s="424"/>
      <c r="AZ70" s="424"/>
      <c r="BA70" s="424"/>
      <c r="BB70" s="424"/>
      <c r="BC70" s="424"/>
      <c r="BD70" s="424"/>
      <c r="BE70" s="424"/>
      <c r="BF70" s="424"/>
      <c r="BG70" s="424"/>
      <c r="BH70" s="424"/>
      <c r="BI70" s="424"/>
      <c r="BJ70" s="424"/>
      <c r="BK70" s="424"/>
      <c r="BL70" s="424"/>
      <c r="BM70" s="424"/>
      <c r="BN70" s="424"/>
      <c r="BO70" s="424"/>
      <c r="BP70" s="424"/>
      <c r="BQ70" s="424"/>
      <c r="BR70" s="424"/>
      <c r="BS70" s="424"/>
      <c r="BT70" s="424"/>
      <c r="BU70" s="424"/>
      <c r="BV70" s="424"/>
      <c r="BW70" s="424"/>
      <c r="BX70" s="424"/>
      <c r="BY70" s="424"/>
      <c r="BZ70" s="424"/>
      <c r="CA70" s="424"/>
      <c r="CB70" s="424"/>
      <c r="CC70" s="424"/>
      <c r="CD70" s="424"/>
      <c r="CE70" s="424"/>
      <c r="CF70" s="424"/>
      <c r="CG70" s="424"/>
      <c r="CH70" s="424"/>
      <c r="CI70" s="424"/>
      <c r="CJ70" s="424"/>
      <c r="CK70" s="424"/>
      <c r="CL70" s="424"/>
      <c r="CM70" s="424"/>
      <c r="CN70" s="424"/>
      <c r="CO70" s="424"/>
      <c r="CP70" s="424"/>
      <c r="CQ70" s="424"/>
      <c r="CR70" s="424"/>
      <c r="CS70" s="424"/>
      <c r="CT70" s="424"/>
      <c r="CU70" s="424"/>
      <c r="CV70" s="424"/>
      <c r="CW70" s="424"/>
      <c r="CX70" s="424"/>
      <c r="CY70" s="424"/>
      <c r="CZ70" s="424"/>
      <c r="DA70" s="424"/>
      <c r="DB70" s="424"/>
      <c r="DC70" s="424"/>
      <c r="DD70" s="424"/>
      <c r="DE70" s="424"/>
      <c r="DF70" s="424"/>
      <c r="DG70" s="424"/>
      <c r="DH70" s="424"/>
      <c r="DI70" s="424"/>
      <c r="DJ70" s="424"/>
      <c r="DK70" s="424"/>
      <c r="DL70" s="424"/>
      <c r="DM70" s="424"/>
      <c r="DN70" s="424"/>
      <c r="DO70" s="424"/>
      <c r="DP70" s="424"/>
      <c r="DQ70" s="424"/>
      <c r="DR70" s="424"/>
      <c r="DS70" s="424"/>
      <c r="DT70" s="424"/>
      <c r="DU70" s="424"/>
      <c r="DV70" s="424"/>
      <c r="DW70" s="424"/>
      <c r="DX70" s="424"/>
      <c r="DY70" s="424"/>
      <c r="DZ70" s="424"/>
      <c r="EA70" s="424"/>
    </row>
    <row r="71" spans="1:132" s="51" customFormat="1" ht="18" customHeight="1">
      <c r="A71" s="27"/>
      <c r="B71" s="2939" t="s">
        <v>1943</v>
      </c>
      <c r="C71" s="1777"/>
      <c r="D71" s="1777"/>
      <c r="E71" s="1777"/>
      <c r="F71" s="1777"/>
      <c r="G71" s="1777"/>
      <c r="H71" s="1777"/>
      <c r="I71" s="1777"/>
      <c r="J71" s="1777"/>
      <c r="K71" s="1778"/>
      <c r="L71" s="2795">
        <f>IFERROR(IF(L65&lt;=0,0,(L45+L67)/L62),0)</f>
        <v>0</v>
      </c>
      <c r="M71" s="1777"/>
      <c r="N71" s="1778"/>
      <c r="O71" s="2795">
        <f>IFERROR(IF(O65&lt;=0,0,(O45+O67)/O62),0)</f>
        <v>0</v>
      </c>
      <c r="P71" s="1777"/>
      <c r="Q71" s="1778"/>
      <c r="R71" s="2795">
        <f>IFERROR(IF(R65&lt;=0,0,(R45+R67)/R62),0)</f>
        <v>0</v>
      </c>
      <c r="S71" s="1777"/>
      <c r="T71" s="1778"/>
      <c r="U71" s="2795">
        <f>IFERROR(IF(U65&lt;=0,0,(U45+U67)/U62),0)</f>
        <v>0</v>
      </c>
      <c r="V71" s="1777"/>
      <c r="W71" s="1778"/>
      <c r="X71" s="2795">
        <f>IFERROR(IF(X65&lt;=0,0,(X45+X67)/X62),0)</f>
        <v>0</v>
      </c>
      <c r="Y71" s="1777"/>
      <c r="Z71" s="1778"/>
      <c r="AA71" s="2795">
        <f>IFERROR(IF(AA65&lt;=0,0,(AA45+AA67)/AA62),0)</f>
        <v>0</v>
      </c>
      <c r="AB71" s="1777"/>
      <c r="AC71" s="1778"/>
      <c r="AD71" s="2795">
        <f>IFERROR(IF(AD65&lt;=0,0,(AD45+AD67)/AD62),0)</f>
        <v>0</v>
      </c>
      <c r="AE71" s="1777"/>
      <c r="AF71" s="1778"/>
      <c r="AG71" s="2795">
        <f>IFERROR(IF(AG65&lt;=0,0,(AG45+AG67)/AG62),0)</f>
        <v>0</v>
      </c>
      <c r="AH71" s="1777"/>
      <c r="AI71" s="1778"/>
      <c r="AJ71" s="2795">
        <f>IFERROR(IF(AJ65&lt;=0,0,(AJ45+AJ67)/AJ62),0)</f>
        <v>0</v>
      </c>
      <c r="AK71" s="1777"/>
      <c r="AL71" s="1778"/>
      <c r="AM71" s="2795">
        <f>IFERROR(IF(AM65&lt;=0,0,(AM45+AM67)/AM62),0)</f>
        <v>0</v>
      </c>
      <c r="AN71" s="1777"/>
      <c r="AO71" s="1778"/>
      <c r="AP71" s="2795">
        <f>IFERROR(IF(AP65&lt;=0,0,(AP45+AP67)/AP62),0)</f>
        <v>0</v>
      </c>
      <c r="AQ71" s="1777"/>
      <c r="AR71" s="1778"/>
      <c r="AS71" s="2795">
        <f>IFERROR(IF(AS65&lt;=0,0,(AS45+AS67)/AS62),0)</f>
        <v>0</v>
      </c>
      <c r="AT71" s="1777"/>
      <c r="AU71" s="1778"/>
      <c r="AV71" s="2795">
        <f>IFERROR(IF(AV65&lt;=0,0,(AV45+AV67)/AV62),0)</f>
        <v>0</v>
      </c>
      <c r="AW71" s="1777"/>
      <c r="AX71" s="1778"/>
      <c r="AY71" s="2795">
        <f>IFERROR(IF(AY65&lt;=0,0,(AY45+AY67)/AY62),0)</f>
        <v>0</v>
      </c>
      <c r="AZ71" s="1777"/>
      <c r="BA71" s="1778"/>
      <c r="BB71" s="2795">
        <f>IFERROR(IF(BB65&lt;=0,0,(BB45+BB67)/BB62),0)</f>
        <v>0</v>
      </c>
      <c r="BC71" s="1777"/>
      <c r="BD71" s="1778"/>
      <c r="BE71" s="2795">
        <f>IFERROR(IF(BE65&lt;=0,0,(BE45+BE67)/BE62),0)</f>
        <v>0</v>
      </c>
      <c r="BF71" s="1777"/>
      <c r="BG71" s="1778"/>
      <c r="BH71" s="2795">
        <f>IFERROR(IF(BH65&lt;=0,0,(BH45+BH67)/BH62),0)</f>
        <v>0</v>
      </c>
      <c r="BI71" s="1777"/>
      <c r="BJ71" s="1778"/>
      <c r="BK71" s="2795">
        <f>IFERROR(IF(BK65&lt;=0,0,(BK45+BK67)/BK62),0)</f>
        <v>0</v>
      </c>
      <c r="BL71" s="1777"/>
      <c r="BM71" s="1778"/>
      <c r="BN71" s="2795">
        <f>IFERROR(IF(BN65&lt;=0,0,(BN45+BN67)/BN62),0)</f>
        <v>0</v>
      </c>
      <c r="BO71" s="1777"/>
      <c r="BP71" s="1778"/>
      <c r="BQ71" s="2795">
        <f>IFERROR(IF(BQ65&lt;=0,0,(BQ45+BQ67)/BQ62),0)</f>
        <v>0</v>
      </c>
      <c r="BR71" s="1777"/>
      <c r="BS71" s="1778"/>
      <c r="BT71" s="2795">
        <f>IFERROR(IF(BT65&lt;=0,0,(BT45+BT67)/BT62),0)</f>
        <v>0</v>
      </c>
      <c r="BU71" s="1777"/>
      <c r="BV71" s="1778"/>
      <c r="BW71" s="2795">
        <f>IFERROR(IF(BW65&lt;=0,0,(BW45+BW67)/BW62),0)</f>
        <v>0</v>
      </c>
      <c r="BX71" s="1777"/>
      <c r="BY71" s="1778"/>
      <c r="BZ71" s="2795">
        <f>IFERROR(IF(BZ65&lt;=0,0,(BZ45+BZ67)/BZ62),0)</f>
        <v>0</v>
      </c>
      <c r="CA71" s="1777"/>
      <c r="CB71" s="1778"/>
      <c r="CC71" s="2795">
        <f>IFERROR(IF(CC65&lt;=0,0,(CC45+CC67)/CC62),0)</f>
        <v>0</v>
      </c>
      <c r="CD71" s="1777"/>
      <c r="CE71" s="1778"/>
      <c r="CF71" s="2795">
        <f>IFERROR(IF(CF65&lt;=0,0,(CF45+CF67)/CF62),0)</f>
        <v>0</v>
      </c>
      <c r="CG71" s="1777"/>
      <c r="CH71" s="1778"/>
      <c r="CI71" s="2795">
        <f>IFERROR(IF(CI65&lt;=0,0,(CI45+CI67)/CI62),0)</f>
        <v>0</v>
      </c>
      <c r="CJ71" s="1777"/>
      <c r="CK71" s="1778"/>
      <c r="CL71" s="2795">
        <f>IFERROR(IF(CL65&lt;=0,0,(CL45+CL67)/CL62),0)</f>
        <v>0</v>
      </c>
      <c r="CM71" s="1777"/>
      <c r="CN71" s="1778"/>
      <c r="CO71" s="2795">
        <f>IFERROR(IF(CO65&lt;=0,0,(CO45+CO67)/CO62),0)</f>
        <v>0</v>
      </c>
      <c r="CP71" s="1777"/>
      <c r="CQ71" s="1778"/>
      <c r="CR71" s="2795">
        <f>IFERROR(IF(CR65&lt;=0,0,(CR45+CR67)/CR62),0)</f>
        <v>0</v>
      </c>
      <c r="CS71" s="1777"/>
      <c r="CT71" s="1778"/>
      <c r="CU71" s="2795">
        <f>IFERROR(IF(CU65&lt;=0,0,(CU45+CU67)/CU62),0)</f>
        <v>0</v>
      </c>
      <c r="CV71" s="1777"/>
      <c r="CW71" s="1778"/>
      <c r="CX71" s="2795">
        <f>IFERROR(IF(CX65&lt;=0,0,(CX45+CX67)/CX62),0)</f>
        <v>0</v>
      </c>
      <c r="CY71" s="1777"/>
      <c r="CZ71" s="1778"/>
      <c r="DA71" s="2795">
        <f>IFERROR(IF(DA65&lt;=0,0,(DA45+DA67)/DA62),0)</f>
        <v>0</v>
      </c>
      <c r="DB71" s="1777"/>
      <c r="DC71" s="1778"/>
      <c r="DD71" s="2795">
        <f>IFERROR(IF(DD65&lt;=0,0,(DD45+DD67)/DD62),0)</f>
        <v>0</v>
      </c>
      <c r="DE71" s="1777"/>
      <c r="DF71" s="1778"/>
      <c r="DG71" s="2795">
        <f>IFERROR(IF(DG65&lt;=0,0,(DG45+DG67)/DG62),0)</f>
        <v>0</v>
      </c>
      <c r="DH71" s="1777"/>
      <c r="DI71" s="1778"/>
      <c r="DJ71" s="2795">
        <f>IFERROR(IF(DJ65&lt;=0,0,(DJ45+DJ67)/DJ62),0)</f>
        <v>0</v>
      </c>
      <c r="DK71" s="1777"/>
      <c r="DL71" s="1778"/>
      <c r="DM71" s="2795">
        <f>IFERROR(IF(DM65&lt;=0,0,(DM45+DM67)/DM62),0)</f>
        <v>0</v>
      </c>
      <c r="DN71" s="1777"/>
      <c r="DO71" s="1778"/>
      <c r="DP71" s="2795">
        <f>IFERROR(IF(DP65&lt;=0,0,(DP45+DP67)/DP62),0)</f>
        <v>0</v>
      </c>
      <c r="DQ71" s="1777"/>
      <c r="DR71" s="1778"/>
      <c r="DS71" s="2795">
        <f>IFERROR(IF(DS65&lt;=0,0,(DS45+DS67)/DS62),0)</f>
        <v>0</v>
      </c>
      <c r="DT71" s="1777"/>
      <c r="DU71" s="1778"/>
      <c r="DV71" s="2795">
        <f>IFERROR(IF(DV65&lt;=0,0,(DV45+DV67)/DV62),0)</f>
        <v>0</v>
      </c>
      <c r="DW71" s="1777"/>
      <c r="DX71" s="1778"/>
      <c r="DY71" s="2795">
        <f>IFERROR(IF(DY65&lt;=0,0,(DY45+DY67)/DY62),0)</f>
        <v>0</v>
      </c>
      <c r="DZ71" s="1777"/>
      <c r="EA71" s="1778"/>
      <c r="EB71" s="772"/>
    </row>
    <row r="72" spans="1:132" s="29" customFormat="1" ht="18" customHeight="1">
      <c r="B72" s="700"/>
      <c r="C72" s="700"/>
      <c r="D72" s="700"/>
      <c r="E72" s="700"/>
      <c r="F72" s="700"/>
      <c r="G72" s="700"/>
      <c r="H72" s="700"/>
      <c r="I72" s="700"/>
      <c r="J72" s="700"/>
      <c r="K72" s="700"/>
      <c r="L72" s="52"/>
      <c r="M72" s="52"/>
      <c r="N72" s="52"/>
      <c r="O72" s="52"/>
      <c r="P72" s="52"/>
      <c r="Q72" s="52"/>
      <c r="R72" s="52"/>
      <c r="S72" s="52"/>
      <c r="T72" s="52"/>
      <c r="U72" s="52"/>
      <c r="V72" s="52"/>
      <c r="W72" s="52"/>
      <c r="X72" s="52"/>
      <c r="Y72" s="52"/>
      <c r="Z72" s="52"/>
      <c r="AA72" s="52"/>
      <c r="AB72" s="52"/>
      <c r="AC72" s="52"/>
      <c r="AD72" s="52"/>
      <c r="AE72" s="52"/>
      <c r="AF72" s="52"/>
      <c r="AG72" s="52"/>
      <c r="AH72" s="52"/>
      <c r="AI72" s="52"/>
      <c r="AJ72" s="52"/>
      <c r="AK72" s="52"/>
      <c r="AL72" s="52"/>
      <c r="AM72" s="52"/>
      <c r="AN72" s="52"/>
      <c r="AO72" s="52"/>
      <c r="AP72" s="52"/>
      <c r="AQ72" s="52"/>
      <c r="AR72" s="52"/>
      <c r="AS72" s="52"/>
      <c r="AT72" s="52"/>
      <c r="AU72" s="52"/>
      <c r="AV72" s="52"/>
      <c r="AW72" s="52"/>
      <c r="AX72" s="52"/>
      <c r="AY72" s="52"/>
      <c r="AZ72" s="52"/>
      <c r="BA72" s="52"/>
      <c r="BB72" s="52"/>
      <c r="BC72" s="52"/>
      <c r="BD72" s="52"/>
      <c r="BE72" s="52"/>
      <c r="BF72" s="52"/>
      <c r="BG72" s="52"/>
      <c r="BH72" s="52"/>
      <c r="BI72" s="52"/>
      <c r="BJ72" s="52"/>
      <c r="BK72" s="52"/>
      <c r="BL72" s="52"/>
      <c r="BM72" s="52"/>
      <c r="BN72" s="52"/>
      <c r="BO72" s="52"/>
      <c r="BP72" s="52"/>
      <c r="BQ72" s="52"/>
      <c r="BR72" s="52"/>
      <c r="BS72" s="52"/>
      <c r="BT72" s="52"/>
      <c r="BU72" s="52"/>
      <c r="BV72" s="52"/>
      <c r="BW72" s="52"/>
      <c r="BX72" s="52"/>
      <c r="BY72" s="52"/>
      <c r="BZ72" s="52"/>
      <c r="CA72" s="52"/>
      <c r="CB72" s="52"/>
      <c r="CC72" s="52"/>
      <c r="CD72" s="52"/>
      <c r="CE72" s="52"/>
      <c r="CF72" s="52"/>
      <c r="CG72" s="52"/>
      <c r="CH72" s="52"/>
      <c r="CI72" s="52"/>
      <c r="CJ72" s="52"/>
      <c r="CK72" s="52"/>
      <c r="CL72" s="52"/>
      <c r="CM72" s="52"/>
      <c r="CN72" s="52"/>
      <c r="CO72" s="52"/>
      <c r="CP72" s="52"/>
      <c r="CQ72" s="52"/>
      <c r="CR72" s="52"/>
      <c r="CS72" s="52"/>
      <c r="CT72" s="52"/>
      <c r="CU72" s="52"/>
      <c r="CV72" s="52"/>
      <c r="CW72" s="52"/>
      <c r="CX72" s="52"/>
      <c r="CY72" s="52"/>
      <c r="CZ72" s="52"/>
      <c r="DA72" s="52"/>
      <c r="DB72" s="52"/>
      <c r="DC72" s="52"/>
      <c r="DD72" s="52"/>
      <c r="DE72" s="52"/>
      <c r="DF72" s="52"/>
      <c r="DG72" s="52"/>
      <c r="DH72" s="52"/>
      <c r="DI72" s="52"/>
      <c r="DJ72" s="52"/>
      <c r="DK72" s="52"/>
      <c r="DL72" s="52"/>
      <c r="DM72" s="52"/>
      <c r="DN72" s="52"/>
      <c r="DO72" s="52"/>
      <c r="DP72" s="52"/>
      <c r="DQ72" s="52"/>
      <c r="DR72" s="52"/>
      <c r="DS72" s="52"/>
      <c r="DT72" s="52"/>
      <c r="DU72" s="52"/>
      <c r="DV72" s="52"/>
      <c r="DW72" s="52"/>
      <c r="DX72" s="52"/>
      <c r="DY72" s="52"/>
      <c r="DZ72" s="52"/>
      <c r="EA72" s="52"/>
      <c r="EB72" s="773"/>
    </row>
    <row r="73" spans="1:132" ht="18" customHeight="1">
      <c r="B73" s="2910" t="s">
        <v>1944</v>
      </c>
      <c r="C73" s="1777"/>
      <c r="D73" s="1777"/>
      <c r="E73" s="1777"/>
      <c r="F73" s="1777"/>
      <c r="G73" s="1777"/>
      <c r="H73" s="1777"/>
      <c r="I73" s="1777"/>
      <c r="J73" s="1777"/>
      <c r="K73" s="1778"/>
      <c r="L73" s="2826" t="s">
        <v>1879</v>
      </c>
      <c r="M73" s="1953"/>
      <c r="N73" s="1953"/>
      <c r="O73" s="2812" t="s">
        <v>1880</v>
      </c>
      <c r="P73" s="1953"/>
      <c r="Q73" s="1953"/>
      <c r="R73" s="2812" t="s">
        <v>1881</v>
      </c>
      <c r="S73" s="1953"/>
      <c r="T73" s="1953"/>
      <c r="U73" s="2812" t="s">
        <v>1882</v>
      </c>
      <c r="V73" s="1953"/>
      <c r="W73" s="1953"/>
      <c r="X73" s="2812" t="s">
        <v>1883</v>
      </c>
      <c r="Y73" s="1953"/>
      <c r="Z73" s="1953"/>
      <c r="AA73" s="2812" t="s">
        <v>1884</v>
      </c>
      <c r="AB73" s="1953"/>
      <c r="AC73" s="1953"/>
      <c r="AD73" s="2812" t="s">
        <v>1885</v>
      </c>
      <c r="AE73" s="1953"/>
      <c r="AF73" s="1953"/>
      <c r="AG73" s="2812" t="s">
        <v>1886</v>
      </c>
      <c r="AH73" s="1953"/>
      <c r="AI73" s="1953"/>
      <c r="AJ73" s="2812" t="s">
        <v>1887</v>
      </c>
      <c r="AK73" s="1953"/>
      <c r="AL73" s="1953"/>
      <c r="AM73" s="2812" t="s">
        <v>1888</v>
      </c>
      <c r="AN73" s="1953"/>
      <c r="AO73" s="1953"/>
      <c r="AP73" s="2812" t="s">
        <v>1889</v>
      </c>
      <c r="AQ73" s="1953"/>
      <c r="AR73" s="1953"/>
      <c r="AS73" s="2812" t="s">
        <v>1890</v>
      </c>
      <c r="AT73" s="1953"/>
      <c r="AU73" s="1953"/>
      <c r="AV73" s="2812" t="s">
        <v>1891</v>
      </c>
      <c r="AW73" s="1953"/>
      <c r="AX73" s="1953"/>
      <c r="AY73" s="2812" t="s">
        <v>1892</v>
      </c>
      <c r="AZ73" s="1953"/>
      <c r="BA73" s="1953"/>
      <c r="BB73" s="2812" t="s">
        <v>1893</v>
      </c>
      <c r="BC73" s="1953"/>
      <c r="BD73" s="1953"/>
      <c r="BE73" s="2812" t="s">
        <v>1894</v>
      </c>
      <c r="BF73" s="1953"/>
      <c r="BG73" s="1953"/>
      <c r="BH73" s="2812" t="s">
        <v>1895</v>
      </c>
      <c r="BI73" s="1953"/>
      <c r="BJ73" s="1953"/>
      <c r="BK73" s="2812" t="s">
        <v>1896</v>
      </c>
      <c r="BL73" s="1953"/>
      <c r="BM73" s="1953"/>
      <c r="BN73" s="2812" t="s">
        <v>1897</v>
      </c>
      <c r="BO73" s="1953"/>
      <c r="BP73" s="1953"/>
      <c r="BQ73" s="2812" t="s">
        <v>1898</v>
      </c>
      <c r="BR73" s="1953"/>
      <c r="BS73" s="1953"/>
      <c r="BT73" s="2812" t="s">
        <v>1899</v>
      </c>
      <c r="BU73" s="1953"/>
      <c r="BV73" s="1953"/>
      <c r="BW73" s="2812" t="s">
        <v>1900</v>
      </c>
      <c r="BX73" s="1953"/>
      <c r="BY73" s="1953"/>
      <c r="BZ73" s="2812" t="s">
        <v>1901</v>
      </c>
      <c r="CA73" s="1953"/>
      <c r="CB73" s="1953"/>
      <c r="CC73" s="2812" t="s">
        <v>1902</v>
      </c>
      <c r="CD73" s="1953"/>
      <c r="CE73" s="1953"/>
      <c r="CF73" s="2812" t="s">
        <v>1903</v>
      </c>
      <c r="CG73" s="1953"/>
      <c r="CH73" s="1953"/>
      <c r="CI73" s="2812" t="s">
        <v>1904</v>
      </c>
      <c r="CJ73" s="1953"/>
      <c r="CK73" s="1953"/>
      <c r="CL73" s="2812" t="s">
        <v>1905</v>
      </c>
      <c r="CM73" s="1953"/>
      <c r="CN73" s="1953"/>
      <c r="CO73" s="2812" t="s">
        <v>1906</v>
      </c>
      <c r="CP73" s="1953"/>
      <c r="CQ73" s="1953"/>
      <c r="CR73" s="2812" t="s">
        <v>1907</v>
      </c>
      <c r="CS73" s="1953"/>
      <c r="CT73" s="1953"/>
      <c r="CU73" s="2812" t="s">
        <v>1908</v>
      </c>
      <c r="CV73" s="1953"/>
      <c r="CW73" s="1953"/>
      <c r="CX73" s="2812" t="s">
        <v>1909</v>
      </c>
      <c r="CY73" s="1953"/>
      <c r="CZ73" s="1953"/>
      <c r="DA73" s="2812" t="s">
        <v>1910</v>
      </c>
      <c r="DB73" s="1953"/>
      <c r="DC73" s="1953"/>
      <c r="DD73" s="2812" t="s">
        <v>1911</v>
      </c>
      <c r="DE73" s="1953"/>
      <c r="DF73" s="1953"/>
      <c r="DG73" s="2812" t="s">
        <v>1912</v>
      </c>
      <c r="DH73" s="1953"/>
      <c r="DI73" s="1953"/>
      <c r="DJ73" s="2812" t="s">
        <v>1913</v>
      </c>
      <c r="DK73" s="1953"/>
      <c r="DL73" s="1953"/>
      <c r="DM73" s="2812" t="s">
        <v>1914</v>
      </c>
      <c r="DN73" s="1953"/>
      <c r="DO73" s="1953"/>
      <c r="DP73" s="2812" t="s">
        <v>1915</v>
      </c>
      <c r="DQ73" s="1953"/>
      <c r="DR73" s="1953"/>
      <c r="DS73" s="2812" t="s">
        <v>1916</v>
      </c>
      <c r="DT73" s="1953"/>
      <c r="DU73" s="1953"/>
      <c r="DV73" s="2812" t="s">
        <v>1917</v>
      </c>
      <c r="DW73" s="1953"/>
      <c r="DX73" s="1953"/>
      <c r="DY73" s="2812" t="s">
        <v>1918</v>
      </c>
      <c r="DZ73" s="1953"/>
      <c r="EA73" s="1953"/>
      <c r="EB73" s="773"/>
    </row>
    <row r="74" spans="1:132" s="28" customFormat="1" ht="18" customHeight="1">
      <c r="B74" s="2813" t="s">
        <v>1945</v>
      </c>
      <c r="C74" s="1953"/>
      <c r="D74" s="1953"/>
      <c r="E74" s="1953"/>
      <c r="F74" s="1953"/>
      <c r="G74" s="1953"/>
      <c r="H74" s="1953"/>
      <c r="I74" s="1953"/>
      <c r="J74" s="1953"/>
      <c r="K74" s="1953"/>
      <c r="L74" s="2883">
        <f>IF(MHPCOSRYes="Yes",IF(L69&gt;=L84,L84,IF(L69&lt;0,0,L69)),IF(L65&gt;=L84,L84,IF(L65&lt;0,0,L65)))</f>
        <v>0</v>
      </c>
      <c r="M74" s="1953"/>
      <c r="N74" s="1953"/>
      <c r="O74" s="2804">
        <f>IF(MHPCOSRYes="Yes",IF(O69&gt;=O84,O84,IF(O69&lt;0,0,O69)),IF(O65&gt;=O84,O84,IF(O65&lt;0,0,O65)))</f>
        <v>0</v>
      </c>
      <c r="P74" s="1953"/>
      <c r="Q74" s="1953"/>
      <c r="R74" s="2804">
        <f>IF(MHPCOSRYes="Yes",IF(R69&gt;=R84,R84,IF(R69&lt;0,0,R69)),IF(R65&gt;=R84,R84,IF(R65&lt;0,0,R65)))</f>
        <v>0</v>
      </c>
      <c r="S74" s="1953"/>
      <c r="T74" s="1953"/>
      <c r="U74" s="2804">
        <f>IF(MHPCOSRYes="Yes",IF(U69&gt;=U84,U84,IF(U69&lt;0,0,U69)),IF(U65&gt;=U84,U84,IF(U65&lt;0,0,U65)))</f>
        <v>0</v>
      </c>
      <c r="V74" s="1953"/>
      <c r="W74" s="1953"/>
      <c r="X74" s="2804">
        <f>IF(MHPCOSRYes="Yes",IF(X69&gt;=X84,X84,IF(X69&lt;0,0,X69)),IF(X65&gt;=X84,X84,IF(X65&lt;0,0,X65)))</f>
        <v>0</v>
      </c>
      <c r="Y74" s="1953"/>
      <c r="Z74" s="1953"/>
      <c r="AA74" s="2804">
        <f>IF(MHPCOSRYes="Yes",IF(AA69&gt;=AA84,AA84,IF(AA69&lt;0,0,AA69)),IF(AA65&gt;=AA84,AA84,IF(AA65&lt;0,0,AA65)))</f>
        <v>0</v>
      </c>
      <c r="AB74" s="1953"/>
      <c r="AC74" s="1953"/>
      <c r="AD74" s="2804">
        <f>IF(MHPCOSRYes="Yes",IF(AD69&gt;=AD84,AD84,IF(AD69&lt;0,0,AD69)),IF(AD65&gt;=AD84,AD84,IF(AD65&lt;0,0,AD65)))</f>
        <v>0</v>
      </c>
      <c r="AE74" s="1953"/>
      <c r="AF74" s="1953"/>
      <c r="AG74" s="2804">
        <f>IF(MHPCOSRYes="Yes",IF(AG69&gt;=AG84,AG84,IF(AG69&lt;0,0,AG69)),IF(AG65&gt;=AG84,AG84,IF(AG65&lt;0,0,AG65)))</f>
        <v>0</v>
      </c>
      <c r="AH74" s="1953"/>
      <c r="AI74" s="1953"/>
      <c r="AJ74" s="2804">
        <f>IF(MHPCOSRYes="Yes",IF(AJ69&gt;=AJ84,AJ84,IF(AJ69&lt;0,0,AJ69)),IF(AJ65&gt;=AJ84,AJ84,IF(AJ65&lt;0,0,AJ65)))</f>
        <v>0</v>
      </c>
      <c r="AK74" s="1953"/>
      <c r="AL74" s="1953"/>
      <c r="AM74" s="2804">
        <f>IF(MHPCOSRYes="Yes",IF(AM69&gt;=AM84,AM84,IF(AM69&lt;0,0,AM69)),IF(AM65&gt;=AM84,AM84,IF(AM65&lt;0,0,AM65)))</f>
        <v>0</v>
      </c>
      <c r="AN74" s="1953"/>
      <c r="AO74" s="1953"/>
      <c r="AP74" s="2804">
        <f>IF(MHPCOSRYes="Yes",IF(AP69&gt;=AP84,AP84,IF(AP69&lt;0,0,AP69)),IF(AP65&gt;=AP84,AP84,IF(AP65&lt;0,0,AP65)))</f>
        <v>0</v>
      </c>
      <c r="AQ74" s="1953"/>
      <c r="AR74" s="1953"/>
      <c r="AS74" s="2804">
        <f>IF(MHPCOSRYes="Yes",IF(AS69&gt;=AS84,AS84,IF(AS69&lt;0,0,AS69)),IF(AS65&gt;=AS84,AS84,IF(AS65&lt;0,0,AS65)))</f>
        <v>0</v>
      </c>
      <c r="AT74" s="1953"/>
      <c r="AU74" s="1953"/>
      <c r="AV74" s="2804">
        <f>IF(MHPCOSRYes="Yes",IF(AV69&gt;=AV84,AV84,IF(AV69&lt;0,0,AV69)),IF(AV65&gt;=AV84,AV84,IF(AV65&lt;0,0,AV65)))</f>
        <v>0</v>
      </c>
      <c r="AW74" s="1953"/>
      <c r="AX74" s="1953"/>
      <c r="AY74" s="2804">
        <f>IF(MHPCOSRYes="Yes",IF(AY69&gt;=AY84,AY84,IF(AY69&lt;0,0,AY69)),IF(AY65&gt;=AY84,AY84,IF(AY65&lt;0,0,AY65)))</f>
        <v>0</v>
      </c>
      <c r="AZ74" s="1953"/>
      <c r="BA74" s="1953"/>
      <c r="BB74" s="2804">
        <f>IF(MHPCOSRYes="Yes",IF(BB69&gt;=BB84,BB84,IF(BB69&lt;0,0,BB69)),IF(BB65&gt;=BB84,BB84,IF(BB65&lt;0,0,BB65)))</f>
        <v>0</v>
      </c>
      <c r="BC74" s="1953"/>
      <c r="BD74" s="1953"/>
      <c r="BE74" s="2804">
        <f>IF(MHPCOSRYes="Yes",IF(BE69&gt;=BE84,BE84,IF(BE69&lt;0,0,BE69)),IF(BE65&gt;=BE84,BE84,IF(BE65&lt;0,0,BE65)))</f>
        <v>0</v>
      </c>
      <c r="BF74" s="1953"/>
      <c r="BG74" s="1953"/>
      <c r="BH74" s="2804">
        <f>IF(MHPCOSRYes="Yes",IF(BH69&gt;=BH84,BH84,IF(BH69&lt;0,0,BH69)),IF(BH65&gt;=BH84,BH84,IF(BH65&lt;0,0,BH65)))</f>
        <v>0</v>
      </c>
      <c r="BI74" s="1953"/>
      <c r="BJ74" s="1953"/>
      <c r="BK74" s="2804">
        <f>IF(MHPCOSRYes="Yes",IF(BK69&gt;=BK84,BK84,IF(BK69&lt;0,0,BK69)),IF(BK65&gt;=BK84,BK84,IF(BK65&lt;0,0,BK65)))</f>
        <v>0</v>
      </c>
      <c r="BL74" s="1953"/>
      <c r="BM74" s="1953"/>
      <c r="BN74" s="2804">
        <f>IF(MHPCOSRYes="Yes",IF(BN69&gt;=BN84,BN84,IF(BN69&lt;0,0,BN69)),IF(BN65&gt;=BN84,BN84,IF(BN65&lt;0,0,BN65)))</f>
        <v>0</v>
      </c>
      <c r="BO74" s="1953"/>
      <c r="BP74" s="1953"/>
      <c r="BQ74" s="2984">
        <f>IF(MHPCOSRYes="Yes",IF(BQ69&gt;=BQ84,BQ84,IF(BQ69&lt;0,0,BQ69)),IF(BQ65&gt;=BQ84,BQ84,IF(BQ65&lt;0,0,BQ65)))</f>
        <v>0</v>
      </c>
      <c r="BR74" s="1953"/>
      <c r="BS74" s="1770"/>
      <c r="BT74" s="2804">
        <f>ROUND(IF(AND(MHPCOSRYes="Yes",BT69&lt;=0),0,IF(AND(MHPCOSRYes="Yes",BT69&gt;=BT84),BT69,IF(BT65&gt;=BT84,BT84,BT65))),0)</f>
        <v>0</v>
      </c>
      <c r="BU74" s="1953"/>
      <c r="BV74" s="1953"/>
      <c r="BW74" s="2804">
        <f>ROUND(IF(AND(MHPCOSRYes="Yes",BW69&lt;=0),0,IF(AND(MHPCOSRYes="Yes",BW69&gt;=BW84),BW69,IF(BW65&gt;=BW84,BW84,BW65))),0)</f>
        <v>0</v>
      </c>
      <c r="BX74" s="1953"/>
      <c r="BY74" s="1953"/>
      <c r="BZ74" s="2804">
        <f>ROUND(IF(AND(MHPCOSRYes="Yes",BZ69&lt;=0),0,IF(AND(MHPCOSRYes="Yes",BZ69&gt;=BZ84),BZ69,IF(BZ65&gt;=BZ84,BZ84,BZ65))),0)</f>
        <v>0</v>
      </c>
      <c r="CA74" s="1953"/>
      <c r="CB74" s="1953"/>
      <c r="CC74" s="2804">
        <f>ROUND(IF(AND(MHPCOSRYes="Yes",CC69&lt;=0),0,IF(AND(MHPCOSRYes="Yes",CC69&gt;=CC84),CC69,IF(CC65&gt;=CC84,CC84,CC65))),0)</f>
        <v>0</v>
      </c>
      <c r="CD74" s="1953"/>
      <c r="CE74" s="1953"/>
      <c r="CF74" s="2804">
        <f>ROUND(IF(AND(MHPCOSRYes="Yes",CF69&lt;=0),0,IF(AND(MHPCOSRYes="Yes",CF69&gt;=CF84),CF69,IF(CF65&gt;=CF84,CF84,CF65))),0)</f>
        <v>0</v>
      </c>
      <c r="CG74" s="1953"/>
      <c r="CH74" s="1953"/>
      <c r="CI74" s="2804">
        <f>ROUND(IF(AND(MHPCOSRYes="Yes",CI69&lt;=0),0,IF(AND(MHPCOSRYes="Yes",CI69&gt;=CI84),CI69,IF(CI65&gt;=CI84,CI84,CI65))),0)</f>
        <v>0</v>
      </c>
      <c r="CJ74" s="1953"/>
      <c r="CK74" s="1953"/>
      <c r="CL74" s="2804">
        <f>ROUND(IF(AND(MHPCOSRYes="Yes",CL69&lt;=0),0,IF(AND(MHPCOSRYes="Yes",CL69&gt;=CL84),CL69,IF(CL65&gt;=CL84,CL84,CL65))),0)</f>
        <v>0</v>
      </c>
      <c r="CM74" s="1953"/>
      <c r="CN74" s="1953"/>
      <c r="CO74" s="2804">
        <f>ROUND(IF(AND(MHPCOSRYes="Yes",CO69&lt;=0),0,IF(AND(MHPCOSRYes="Yes",CO69&gt;=CO84),CO69,IF(CO65&gt;=CO84,CO84,CO65))),0)</f>
        <v>0</v>
      </c>
      <c r="CP74" s="1953"/>
      <c r="CQ74" s="1953"/>
      <c r="CR74" s="2804">
        <f>ROUND(IF(AND(MHPCOSRYes="Yes",CR69&lt;=0),0,IF(AND(MHPCOSRYes="Yes",CR69&gt;=CR84),CR69,IF(CR65&gt;=CR84,CR84,CR65))),0)</f>
        <v>0</v>
      </c>
      <c r="CS74" s="1953"/>
      <c r="CT74" s="1953"/>
      <c r="CU74" s="2804">
        <f>ROUND(IF(AND(MHPCOSRYes="Yes",CU69&lt;=0),0,IF(AND(MHPCOSRYes="Yes",CU69&gt;=CU84),CU69,IF(CU65&gt;=CU84,CU84,CU65))),0)</f>
        <v>0</v>
      </c>
      <c r="CV74" s="1953"/>
      <c r="CW74" s="1953"/>
      <c r="CX74" s="2804">
        <f>ROUND(IF(AND(MHPCOSRYes="Yes",CX69&lt;=0),0,IF(AND(MHPCOSRYes="Yes",CX69&gt;=CX84),CX69,IF(CX65&gt;=CX84,CX84,CX65))),0)</f>
        <v>0</v>
      </c>
      <c r="CY74" s="1953"/>
      <c r="CZ74" s="1953"/>
      <c r="DA74" s="2804">
        <f>ROUND(IF(AND(MHPCOSRYes="Yes",DA69&lt;=0),0,IF(AND(MHPCOSRYes="Yes",DA69&gt;=DA84),DA69,IF(DA65&gt;=DA84,DA84,DA65))),0)</f>
        <v>0</v>
      </c>
      <c r="DB74" s="1953"/>
      <c r="DC74" s="1953"/>
      <c r="DD74" s="2804">
        <f>ROUND(IF(AND(MHPCOSRYes="Yes",DD69&lt;=0),0,IF(AND(MHPCOSRYes="Yes",DD69&gt;=DD84),DD69,IF(DD65&gt;=DD84,DD84,DD65))),0)</f>
        <v>0</v>
      </c>
      <c r="DE74" s="1953"/>
      <c r="DF74" s="1953"/>
      <c r="DG74" s="2804">
        <f>ROUND(IF(AND(MHPCOSRYes="Yes",DG69&lt;=0),0,IF(AND(MHPCOSRYes="Yes",DG69&gt;=DG84),DG69,IF(DG65&gt;=DG84,DG84,DG65))),0)</f>
        <v>0</v>
      </c>
      <c r="DH74" s="1953"/>
      <c r="DI74" s="1953"/>
      <c r="DJ74" s="2804">
        <f>ROUND(IF(AND(MHPCOSRYes="Yes",DJ69&lt;=0),0,IF(AND(MHPCOSRYes="Yes",DJ69&gt;=DJ84),DJ69,IF(DJ65&gt;=DJ84,DJ84,DJ65))),0)</f>
        <v>0</v>
      </c>
      <c r="DK74" s="1953"/>
      <c r="DL74" s="1953"/>
      <c r="DM74" s="2804">
        <f>ROUND(IF(AND(MHPCOSRYes="Yes",DM69&lt;=0),0,IF(AND(MHPCOSRYes="Yes",DM69&gt;=DM84),DM69,IF(DM65&gt;=DM84,DM84,DM65))),0)</f>
        <v>0</v>
      </c>
      <c r="DN74" s="1953"/>
      <c r="DO74" s="1953"/>
      <c r="DP74" s="2804">
        <f>ROUND(IF(AND(MHPCOSRYes="Yes",DP69&lt;=0),0,IF(AND(MHPCOSRYes="Yes",DP69&gt;=DP84),DP69,IF(DP65&gt;=DP84,DP84,DP65))),0)</f>
        <v>0</v>
      </c>
      <c r="DQ74" s="1953"/>
      <c r="DR74" s="1953"/>
      <c r="DS74" s="2804">
        <f>ROUND(IF(AND(MHPCOSRYes="Yes",DS69&lt;=0),0,IF(AND(MHPCOSRYes="Yes",DS69&gt;=DS84),DS69,IF(DS65&gt;=DS84,DS84,DS65))),0)</f>
        <v>0</v>
      </c>
      <c r="DT74" s="1953"/>
      <c r="DU74" s="1953"/>
      <c r="DV74" s="2804">
        <f>ROUND(IF(AND(MHPCOSRYes="Yes",DV69&lt;=0),0,IF(AND(MHPCOSRYes="Yes",DV69&gt;=DV84),DV69,IF(DV65&gt;=DV84,DV84,DV65))),0)</f>
        <v>0</v>
      </c>
      <c r="DW74" s="1953"/>
      <c r="DX74" s="1953"/>
      <c r="DY74" s="2804">
        <f>ROUND(IF(AND(MHPCOSRYes="Yes",DY69&lt;=0),0,IF(AND(MHPCOSRYes="Yes",DY69&gt;=DY84),DY69,IF(DY65&gt;=DY84,DY84,DY65))),0)</f>
        <v>0</v>
      </c>
      <c r="DZ74" s="1953"/>
      <c r="EA74" s="1953"/>
      <c r="EB74" s="322"/>
    </row>
    <row r="75" spans="1:132" s="28" customFormat="1" ht="36" customHeight="1">
      <c r="B75" s="2942" t="s">
        <v>1946</v>
      </c>
      <c r="C75" s="2439"/>
      <c r="D75" s="2439"/>
      <c r="E75" s="2439"/>
      <c r="F75" s="2439"/>
      <c r="G75" s="2439"/>
      <c r="H75" s="2439"/>
      <c r="I75" s="2439"/>
      <c r="J75" s="2439"/>
      <c r="K75" s="2439"/>
      <c r="L75" s="2849">
        <f>IF(MHPCOSRYes="Yes",IF(L69-L74&lt;=$L$87,L69-L74,$L$87),IF(L65-L74&lt;=$L$87,L65-L74,$L$87))</f>
        <v>0</v>
      </c>
      <c r="M75" s="2439"/>
      <c r="N75" s="2439"/>
      <c r="O75" s="2791">
        <f>IF(L75=0,0,IF(MHPCOSRYes="Yes",IF(L85+O69-O74&lt;=$L$87,O69-O74,$L$87-L85),IF(L85+O65-O74&lt;=$L$87,O65-O74,$L$87-L85)))</f>
        <v>0</v>
      </c>
      <c r="P75" s="2439"/>
      <c r="Q75" s="2439"/>
      <c r="R75" s="2791">
        <f>IF(O75=0,0,IF(MHPCOSRYes="Yes",IF(O85+R69-R74&lt;=$L$87,R69-R74,$L$87-O85),IF(O85+R65-R74&lt;=$L$87,R65-R74,$L$87-O85)))</f>
        <v>0</v>
      </c>
      <c r="S75" s="2439"/>
      <c r="T75" s="2439"/>
      <c r="U75" s="2791">
        <f>IF(R75=0,0,IF(MHPCOSRYes="Yes",IF(R85+U69-U74&lt;=$L$87,U69-U74,$L$87-R85),IF(R85+U65-U74&lt;=$L$87,U65-U74,$L$87-R85)))</f>
        <v>0</v>
      </c>
      <c r="V75" s="2439"/>
      <c r="W75" s="2439"/>
      <c r="X75" s="2791">
        <f>IF(U75=0,0,IF(MHPCOSRYes="Yes",IF(U85+X69-X74&lt;=$L$87,X69-X74,$L$87-U85),IF(U85+X65-X74&lt;=$L$87,X65-X74,$L$87-U85)))</f>
        <v>0</v>
      </c>
      <c r="Y75" s="2439"/>
      <c r="Z75" s="2439"/>
      <c r="AA75" s="2791">
        <f>IF(X75=0,0,IF(MHPCOSRYes="Yes",IF(X85+AA69-AA74&lt;=$L$87,AA69-AA74,$L$87-X85),IF(X85+AA65-AA74&lt;=$L$87,AA65-AA74,$L$87-X85)))</f>
        <v>0</v>
      </c>
      <c r="AB75" s="2439"/>
      <c r="AC75" s="2439"/>
      <c r="AD75" s="2791">
        <f>IF(AA75=0,0,IF(MHPCOSRYes="Yes",IF(AA85+AD69-AD74&lt;=$L$87,AD69-AD74,$L$87-AA85),IF(AA85+AD65-AD74&lt;=$L$87,AD65-AD74,$L$87-AA85)))</f>
        <v>0</v>
      </c>
      <c r="AE75" s="2439"/>
      <c r="AF75" s="2439"/>
      <c r="AG75" s="2791">
        <f>IF(AD75=0,0,IF(MHPCOSRYes="Yes",IF(AD85+AG69-AG74&lt;=$L$87,AG69-AG74,$L$87-AD85),IF(AD85+AG65-AG74&lt;=$L$87,AG65-AG74,$L$87-AD85)))</f>
        <v>0</v>
      </c>
      <c r="AH75" s="2439"/>
      <c r="AI75" s="2439"/>
      <c r="AJ75" s="2791">
        <f>IF(AG75=0,0,IF(MHPCOSRYes="Yes",IF(AG85+AJ69-AJ74&lt;=$L$87,AJ69-AJ74,$L$87-AG85),IF(AG85+AJ65-AJ74&lt;=$L$87,AJ65-AJ74,$L$87-AG85)))</f>
        <v>0</v>
      </c>
      <c r="AK75" s="2439"/>
      <c r="AL75" s="2439"/>
      <c r="AM75" s="2791">
        <f>IF(AJ75=0,0,IF(MHPCOSRYes="Yes",IF(AJ85+AM69-AM74&lt;=$L$87,AM69-AM74,$L$87-AJ85),IF(AJ85+AM65-AM74&lt;=$L$87,AM65-AM74,$L$87-AJ85)))</f>
        <v>0</v>
      </c>
      <c r="AN75" s="2439"/>
      <c r="AO75" s="2439"/>
      <c r="AP75" s="2791">
        <f>IF(AM75=0,0,IF(MHPCOSRYes="Yes",IF(AM85+AP69-AP74&lt;=$L$87,AP69-AP74,$L$87-AM85),IF(AM85+AP65-AP74&lt;=$L$87,AP65-AP74,$L$87-AM85)))</f>
        <v>0</v>
      </c>
      <c r="AQ75" s="2439"/>
      <c r="AR75" s="2439"/>
      <c r="AS75" s="2791">
        <f>IF(AP75=0,0,IF(MHPCOSRYes="Yes",IF(AP85+AS69-AS74&lt;=$L$87,AS69-AS74,$L$87-AP85),IF(AP85+AS65-AS74&lt;=$L$87,AS65-AS74,$L$87-AP85)))</f>
        <v>0</v>
      </c>
      <c r="AT75" s="2439"/>
      <c r="AU75" s="2439"/>
      <c r="AV75" s="2791">
        <f>IF(AS75=0,0,IF(MHPCOSRYes="Yes",IF(AS85+AV69-AV74&lt;=$L$87,AV69-AV74,$L$87-AS85),IF(AS85+AV65-AV74&lt;=$L$87,AV65-AV74,$L$87-AS85)))</f>
        <v>0</v>
      </c>
      <c r="AW75" s="2439"/>
      <c r="AX75" s="2439"/>
      <c r="AY75" s="2791">
        <f>IF(AV75=0,0,IF(MHPCOSRYes="Yes",IF(AV85+AY69-AY74&lt;=$L$87,AY69-AY74,$L$87-AV85),IF(AV85+AY65-AY74&lt;=$L$87,AY65-AY74,$L$87-AV85)))</f>
        <v>0</v>
      </c>
      <c r="AZ75" s="2439"/>
      <c r="BA75" s="2439"/>
      <c r="BB75" s="2791">
        <f>IF(AY75=0,0,IF(MHPCOSRYes="Yes",IF(AY85+BB69-BB74&lt;=$L$87,BB69-BB74,$L$87-AY85),IF(AY85+BB65-BB74&lt;=$L$87,BB65-BB74,$L$87-AY85)))</f>
        <v>0</v>
      </c>
      <c r="BC75" s="2439"/>
      <c r="BD75" s="2439"/>
      <c r="BE75" s="2791">
        <f>IF(BB75=0,0,IF(MHPCOSRYes="Yes",IF(BB85+BE69-BE74&lt;=$L$87,BE69-BE74,$L$87-BB85),IF(BB85+BE65-BE74&lt;=$L$87,BE65-BE74,$L$87-BB85)))</f>
        <v>0</v>
      </c>
      <c r="BF75" s="2439"/>
      <c r="BG75" s="2439"/>
      <c r="BH75" s="2791">
        <f>IF(BE75=0,0,IF(MHPCOSRYes="Yes",IF(BE85+BH69-BH74&lt;=$L$87,BH69-BH74,$L$87-BE85),IF(BE85+BH65-BH74&lt;=$L$87,BH65-BH74,$L$87-BE85)))</f>
        <v>0</v>
      </c>
      <c r="BI75" s="2439"/>
      <c r="BJ75" s="2439"/>
      <c r="BK75" s="2791">
        <f>IF(BH75=0,0,IF(MHPCOSRYes="Yes",IF(BH85+BK69-BK74&lt;=$L$87,BK69-BK74,$L$87-BH85),IF(BH85+BK65-BK74&lt;=$L$87,BK65-BK74,$L$87-BH85)))</f>
        <v>0</v>
      </c>
      <c r="BL75" s="2439"/>
      <c r="BM75" s="2439"/>
      <c r="BN75" s="2791">
        <f>IF(BK75=0,0,IF(MHPCOSRYes="Yes",IF(BK85+BN69-BN74&lt;=$L$87,BN69-BN74,$L$87-BK85),IF(BK85+BN65-BN74&lt;=$L$87,BN65-BN74,$L$87-BK85)))</f>
        <v>0</v>
      </c>
      <c r="BO75" s="2439"/>
      <c r="BP75" s="2439"/>
      <c r="BQ75" s="2835">
        <f>IF(BN75=0,0,IF(MHPCOSRYes="Yes",IF(BN85+BQ69-BQ74&lt;=$L$87,BQ69-BQ74,$L$87-BN85),IF(BN85+BQ65-BQ74&lt;=$L$87,BQ65-BQ74,$L$87-BN85)))</f>
        <v>0</v>
      </c>
      <c r="BR75" s="2439"/>
      <c r="BS75" s="1889"/>
      <c r="BT75" s="2791">
        <f>ROUND(IF(AND(MHPCOSRYes="Yes",BT69&lt;0),0,IF(MHPCOSRYes="Yes",IF(BT69-BT74&lt;=$L$87,BT69-BT74,$L$87),IF(BT65-BT74&lt;=$L$87,BT65-BT74,$L$87))),0)</f>
        <v>0</v>
      </c>
      <c r="BU75" s="2439"/>
      <c r="BV75" s="2439"/>
      <c r="BW75" s="2791">
        <f>ROUND(IF(AND(MHPCOSRYes="Yes",BW69&lt;0),0,IF(MHPCOSRYes="Yes",IF(BW69-BW74&lt;=$L$87,BW69-BW74,$L$87),IF(BW65-BW74&lt;=$L$87,BW65-BW74,$L$87))),0)</f>
        <v>0</v>
      </c>
      <c r="BX75" s="2439"/>
      <c r="BY75" s="2439"/>
      <c r="BZ75" s="2791">
        <f>ROUND(IF(AND(MHPCOSRYes="Yes",BZ69&lt;0),0,IF(MHPCOSRYes="Yes",IF(BZ69-BZ74&lt;=$L$87,BZ69-BZ74,$L$87),IF(BZ65-BZ74&lt;=$L$87,BZ65-BZ74,$L$87))),0)</f>
        <v>0</v>
      </c>
      <c r="CA75" s="2439"/>
      <c r="CB75" s="2439"/>
      <c r="CC75" s="2791">
        <f>ROUND(IF(AND(MHPCOSRYes="Yes",CC69&lt;0),0,IF(MHPCOSRYes="Yes",IF(CC69-CC74&lt;=$L$87,CC69-CC74,$L$87),IF(CC65-CC74&lt;=$L$87,CC65-CC74,$L$87))),0)</f>
        <v>0</v>
      </c>
      <c r="CD75" s="2439"/>
      <c r="CE75" s="2439"/>
      <c r="CF75" s="2791">
        <f>ROUND(IF(AND(MHPCOSRYes="Yes",CF69&lt;0),0,IF(MHPCOSRYes="Yes",IF(CF69-CF74&lt;=$L$87,CF69-CF74,$L$87),IF(CF65-CF74&lt;=$L$87,CF65-CF74,$L$87))),0)</f>
        <v>0</v>
      </c>
      <c r="CG75" s="2439"/>
      <c r="CH75" s="2439"/>
      <c r="CI75" s="2791">
        <f>ROUND(IF(AND(MHPCOSRYes="Yes",CI69&lt;0),0,IF(MHPCOSRYes="Yes",IF(CI69-CI74&lt;=$L$87,CI69-CI74,$L$87),IF(CI65-CI74&lt;=$L$87,CI65-CI74,$L$87))),0)</f>
        <v>0</v>
      </c>
      <c r="CJ75" s="2439"/>
      <c r="CK75" s="2439"/>
      <c r="CL75" s="2791">
        <f>ROUND(IF(AND(MHPCOSRYes="Yes",CL69&lt;0),0,IF(MHPCOSRYes="Yes",IF(CL69-CL74&lt;=$L$87,CL69-CL74,$L$87),IF(CL65-CL74&lt;=$L$87,CL65-CL74,$L$87))),0)</f>
        <v>0</v>
      </c>
      <c r="CM75" s="2439"/>
      <c r="CN75" s="2439"/>
      <c r="CO75" s="2791">
        <f>ROUND(IF(AND(MHPCOSRYes="Yes",CO69&lt;0),0,IF(MHPCOSRYes="Yes",IF(CO69-CO74&lt;=$L$87,CO69-CO74,$L$87),IF(CO65-CO74&lt;=$L$87,CO65-CO74,$L$87))),0)</f>
        <v>0</v>
      </c>
      <c r="CP75" s="2439"/>
      <c r="CQ75" s="2439"/>
      <c r="CR75" s="2791">
        <f>ROUND(IF(AND(MHPCOSRYes="Yes",CR69&lt;0),0,IF(MHPCOSRYes="Yes",IF(CR69-CR74&lt;=$L$87,CR69-CR74,$L$87),IF(CR65-CR74&lt;=$L$87,CR65-CR74,$L$87))),0)</f>
        <v>0</v>
      </c>
      <c r="CS75" s="2439"/>
      <c r="CT75" s="2439"/>
      <c r="CU75" s="2791">
        <f>ROUND(IF(AND(MHPCOSRYes="Yes",CU69&lt;0),0,IF(MHPCOSRYes="Yes",IF(CU69-CU74&lt;=$L$87,CU69-CU74,$L$87),IF(CU65-CU74&lt;=$L$87,CU65-CU74,$L$87))),0)</f>
        <v>0</v>
      </c>
      <c r="CV75" s="2439"/>
      <c r="CW75" s="2439"/>
      <c r="CX75" s="2791">
        <f>ROUND(IF(AND(MHPCOSRYes="Yes",CX69&lt;0),0,IF(MHPCOSRYes="Yes",IF(CX69-CX74&lt;=$L$87,CX69-CX74,$L$87),IF(CX65-CX74&lt;=$L$87,CX65-CX74,$L$87))),0)</f>
        <v>0</v>
      </c>
      <c r="CY75" s="2439"/>
      <c r="CZ75" s="2439"/>
      <c r="DA75" s="2791">
        <f>ROUND(IF(AND(MHPCOSRYes="Yes",DA69&lt;0),0,IF(MHPCOSRYes="Yes",IF(DA69-DA74&lt;=$L$87,DA69-DA74,$L$87),IF(DA65-DA74&lt;=$L$87,DA65-DA74,$L$87))),0)</f>
        <v>0</v>
      </c>
      <c r="DB75" s="2439"/>
      <c r="DC75" s="2439"/>
      <c r="DD75" s="2791">
        <f>ROUND(IF(AND(MHPCOSRYes="Yes",DD69&lt;0),0,IF(MHPCOSRYes="Yes",IF(DD69-DD74&lt;=$L$87,DD69-DD74,$L$87),IF(DD65-DD74&lt;=$L$87,DD65-DD74,$L$87))),0)</f>
        <v>0</v>
      </c>
      <c r="DE75" s="2439"/>
      <c r="DF75" s="2439"/>
      <c r="DG75" s="2791">
        <f>ROUND(IF(AND(MHPCOSRYes="Yes",DG69&lt;0),0,IF(MHPCOSRYes="Yes",IF(DG69-DG74&lt;=$L$87,DG69-DG74,$L$87),IF(DG65-DG74&lt;=$L$87,DG65-DG74,$L$87))),0)</f>
        <v>0</v>
      </c>
      <c r="DH75" s="2439"/>
      <c r="DI75" s="2439"/>
      <c r="DJ75" s="2791">
        <f>ROUND(IF(AND(MHPCOSRYes="Yes",DJ69&lt;0),0,IF(MHPCOSRYes="Yes",IF(DJ69-DJ74&lt;=$L$87,DJ69-DJ74,$L$87),IF(DJ65-DJ74&lt;=$L$87,DJ65-DJ74,$L$87))),0)</f>
        <v>0</v>
      </c>
      <c r="DK75" s="2439"/>
      <c r="DL75" s="2439"/>
      <c r="DM75" s="2791">
        <f>ROUND(IF(AND(MHPCOSRYes="Yes",DM69&lt;0),0,IF(MHPCOSRYes="Yes",IF(DM69-DM74&lt;=$L$87,DM69-DM74,$L$87),IF(DM65-DM74&lt;=$L$87,DM65-DM74,$L$87))),0)</f>
        <v>0</v>
      </c>
      <c r="DN75" s="2439"/>
      <c r="DO75" s="2439"/>
      <c r="DP75" s="2791">
        <f>ROUND(IF(AND(MHPCOSRYes="Yes",DP69&lt;0),0,IF(MHPCOSRYes="Yes",IF(DP69-DP74&lt;=$L$87,DP69-DP74,$L$87),IF(DP65-DP74&lt;=$L$87,DP65-DP74,$L$87))),0)</f>
        <v>0</v>
      </c>
      <c r="DQ75" s="2439"/>
      <c r="DR75" s="2439"/>
      <c r="DS75" s="2791">
        <f>ROUND(IF(AND(MHPCOSRYes="Yes",DS69&lt;0),0,IF(MHPCOSRYes="Yes",IF(DS69-DS74&lt;=$L$87,DS69-DS74,$L$87),IF(DS65-DS74&lt;=$L$87,DS65-DS74,$L$87))),0)</f>
        <v>0</v>
      </c>
      <c r="DT75" s="2439"/>
      <c r="DU75" s="2439"/>
      <c r="DV75" s="2791">
        <f>ROUND(IF(AND(MHPCOSRYes="Yes",DV69&lt;0),0,IF(MHPCOSRYes="Yes",IF(DV69-DV74&lt;=$L$87,DV69-DV74,$L$87),IF(DV65-DV74&lt;=$L$87,DV65-DV74,$L$87))),0)</f>
        <v>0</v>
      </c>
      <c r="DW75" s="2439"/>
      <c r="DX75" s="2439"/>
      <c r="DY75" s="2791">
        <f>ROUND(IF(AND(MHPCOSRYes="Yes",DY69&lt;0),0,IF(MHPCOSRYes="Yes",IF(DY69-DY74&lt;=$L$87,DY69-DY74,$L$87),IF(DY65-DY74&lt;=$L$87,DY65-DY74,$L$87))),0)</f>
        <v>0</v>
      </c>
      <c r="DZ75" s="2439"/>
      <c r="EA75" s="2439"/>
      <c r="EB75" s="322"/>
    </row>
    <row r="76" spans="1:132" s="28" customFormat="1" ht="36" customHeight="1">
      <c r="B76" s="2820" t="s">
        <v>1947</v>
      </c>
      <c r="C76" s="2439"/>
      <c r="D76" s="2439"/>
      <c r="E76" s="2439"/>
      <c r="F76" s="2439"/>
      <c r="G76" s="2439"/>
      <c r="H76" s="2439"/>
      <c r="I76" s="2439"/>
      <c r="J76" s="2439"/>
      <c r="K76" s="2439"/>
      <c r="L76" s="2937">
        <f>IF(AND(MHPCOSRYes="Yes",L69&lt;=0),0,IF(MHPCOSRYes="Yes",+L69-L74-L75,+L65-L74-L75))</f>
        <v>0</v>
      </c>
      <c r="M76" s="2439"/>
      <c r="N76" s="2439"/>
      <c r="O76" s="2799">
        <f>IF(AND(MHPCOSRYes="Yes",O69&lt;=0),0,IF(MHPCOSRYes="Yes",+O69-O74-O75,+O65-O74-O75))</f>
        <v>0</v>
      </c>
      <c r="P76" s="2439"/>
      <c r="Q76" s="2439"/>
      <c r="R76" s="2799">
        <f>IF(AND(MHPCOSRYes="Yes",R69&lt;=0),0,IF(MHPCOSRYes="Yes",+R69-R74-R75,+R65-R74-R75))</f>
        <v>0</v>
      </c>
      <c r="S76" s="2439"/>
      <c r="T76" s="2439"/>
      <c r="U76" s="2799">
        <f>IF(AND(MHPCOSRYes="Yes",U69&lt;=0),0,IF(MHPCOSRYes="Yes",+U69-U74-U75,+U65-U74-U75))</f>
        <v>0</v>
      </c>
      <c r="V76" s="2439"/>
      <c r="W76" s="2439"/>
      <c r="X76" s="2799">
        <f>IF(AND(MHPCOSRYes="Yes",X69&lt;=0),0,IF(MHPCOSRYes="Yes",+X69-X74-X75,+X65-X74-X75))</f>
        <v>0</v>
      </c>
      <c r="Y76" s="2439"/>
      <c r="Z76" s="2439"/>
      <c r="AA76" s="2799">
        <f>IF(AND(MHPCOSRYes="Yes",AA69&lt;=0),0,IF(MHPCOSRYes="Yes",+AA69-AA74-AA75,+AA65-AA74-AA75))</f>
        <v>0</v>
      </c>
      <c r="AB76" s="2439"/>
      <c r="AC76" s="2439"/>
      <c r="AD76" s="2799">
        <f>IF(AND(MHPCOSRYes="Yes",AD69&lt;=0),0,IF(MHPCOSRYes="Yes",+AD69-AD74-AD75,+AD65-AD74-AD75))</f>
        <v>0</v>
      </c>
      <c r="AE76" s="2439"/>
      <c r="AF76" s="2439"/>
      <c r="AG76" s="2799">
        <f>IF(AND(MHPCOSRYes="Yes",AG69&lt;=0),0,IF(MHPCOSRYes="Yes",+AG69-AG74-AG75,+AG65-AG74-AG75))</f>
        <v>0</v>
      </c>
      <c r="AH76" s="2439"/>
      <c r="AI76" s="2439"/>
      <c r="AJ76" s="2799">
        <f>IF(AND(MHPCOSRYes="Yes",AJ69&lt;=0),0,IF(MHPCOSRYes="Yes",+AJ69-AJ74-AJ75,+AJ65-AJ74-AJ75))</f>
        <v>0</v>
      </c>
      <c r="AK76" s="2439"/>
      <c r="AL76" s="2439"/>
      <c r="AM76" s="2799">
        <f>IF(AND(MHPCOSRYes="Yes",AM69&lt;=0),0,IF(MHPCOSRYes="Yes",+AM69-AM74-AM75,+AM65-AM74-AM75))</f>
        <v>0</v>
      </c>
      <c r="AN76" s="2439"/>
      <c r="AO76" s="2439"/>
      <c r="AP76" s="2799">
        <f>IF(AND(MHPCOSRYes="Yes",AP69&lt;=0),0,IF(MHPCOSRYes="Yes",+AP69-AP74-AP75,+AP65-AP74-AP75))</f>
        <v>0</v>
      </c>
      <c r="AQ76" s="2439"/>
      <c r="AR76" s="2439"/>
      <c r="AS76" s="2799">
        <f>IF(AND(MHPCOSRYes="Yes",AS69&lt;=0),0,IF(MHPCOSRYes="Yes",+AS69-AS74-AS75,+AS65-AS74-AS75))</f>
        <v>0</v>
      </c>
      <c r="AT76" s="2439"/>
      <c r="AU76" s="2439"/>
      <c r="AV76" s="2799">
        <f>IF(AND(MHPCOSRYes="Yes",AV69&lt;=0),0,IF(MHPCOSRYes="Yes",+AV69-AV74-AV75,+AV65-AV74-AV75))</f>
        <v>0</v>
      </c>
      <c r="AW76" s="2439"/>
      <c r="AX76" s="2439"/>
      <c r="AY76" s="2799">
        <f>IF(AND(MHPCOSRYes="Yes",AY69&lt;=0),0,IF(MHPCOSRYes="Yes",+AY69-AY74-AY75,+AY65-AY74-AY75))</f>
        <v>0</v>
      </c>
      <c r="AZ76" s="2439"/>
      <c r="BA76" s="2439"/>
      <c r="BB76" s="2799">
        <f>IF(AND(MHPCOSRYes="Yes",BB69&lt;=0),0,IF(MHPCOSRYes="Yes",+BB69-BB74-BB75,+BB65-BB74-BB75))</f>
        <v>0</v>
      </c>
      <c r="BC76" s="2439"/>
      <c r="BD76" s="2439"/>
      <c r="BE76" s="2799">
        <f>IF(AND(MHPCOSRYes="Yes",BE69&lt;=0),0,IF(MHPCOSRYes="Yes",+BE69-BE74-BE75,+BE65-BE74-BE75))</f>
        <v>0</v>
      </c>
      <c r="BF76" s="2439"/>
      <c r="BG76" s="2439"/>
      <c r="BH76" s="2799">
        <f>IF(AND(MHPCOSRYes="Yes",BH69&lt;=0),0,IF(MHPCOSRYes="Yes",+BH69-BH74-BH75,+BH65-BH74-BH75))</f>
        <v>0</v>
      </c>
      <c r="BI76" s="2439"/>
      <c r="BJ76" s="2439"/>
      <c r="BK76" s="2799">
        <f>IF(AND(MHPCOSRYes="Yes",BK69&lt;=0),0,IF(MHPCOSRYes="Yes",+BK69-BK74-BK75,+BK65-BK74-BK75))</f>
        <v>0</v>
      </c>
      <c r="BL76" s="2439"/>
      <c r="BM76" s="2439"/>
      <c r="BN76" s="2799">
        <f>IF(AND(MHPCOSRYes="Yes",BN69&lt;=0),0,IF(MHPCOSRYes="Yes",+BN69-BN74-BN75,+BN65-BN74-BN75))</f>
        <v>0</v>
      </c>
      <c r="BO76" s="2439"/>
      <c r="BP76" s="2439"/>
      <c r="BQ76" s="2799">
        <f>IF(AND(MHPCOSRYes="Yes",BQ69&lt;=0),0,IF(MHPCOSRYes="Yes",+BQ69-BQ74-BQ75,+BQ65-BQ74-BQ75))</f>
        <v>0</v>
      </c>
      <c r="BR76" s="2439"/>
      <c r="BS76" s="2439"/>
      <c r="BT76" s="2799">
        <f>ROUND(IF(AND(MHPCOSRYes="Yes",BT69&lt;0),0,IF(MHPCOSRYes="Yes",SUM(+BT69-BT74-BT75),SUM(+BT65-BT74-BT75))),0)</f>
        <v>0</v>
      </c>
      <c r="BU76" s="2439"/>
      <c r="BV76" s="2439"/>
      <c r="BW76" s="2799">
        <f>ROUND(IF(AND(MHPCOSRYes="Yes",BW69&lt;0),0,IF(MHPCOSRYes="Yes",SUM(+BW69-BW74-BW75),SUM(+BW65-BW74-BW75))),0)</f>
        <v>0</v>
      </c>
      <c r="BX76" s="2439"/>
      <c r="BY76" s="2439"/>
      <c r="BZ76" s="2799">
        <f>ROUND(IF(AND(MHPCOSRYes="Yes",BZ69&lt;0),0,IF(MHPCOSRYes="Yes",SUM(+BZ69-BZ74-BZ75),SUM(+BZ65-BZ74-BZ75))),0)</f>
        <v>0</v>
      </c>
      <c r="CA76" s="2439"/>
      <c r="CB76" s="2439"/>
      <c r="CC76" s="2799">
        <f>ROUND(IF(AND(MHPCOSRYes="Yes",CC69&lt;0),0,IF(MHPCOSRYes="Yes",SUM(+CC69-CC74-CC75),SUM(+CC65-CC74-CC75))),0)</f>
        <v>0</v>
      </c>
      <c r="CD76" s="2439"/>
      <c r="CE76" s="2439"/>
      <c r="CF76" s="2799">
        <f>ROUND(IF(AND(MHPCOSRYes="Yes",CF69&lt;0),0,IF(MHPCOSRYes="Yes",SUM(+CF69-CF74-CF75),SUM(+CF65-CF74-CF75))),0)</f>
        <v>0</v>
      </c>
      <c r="CG76" s="2439"/>
      <c r="CH76" s="2439"/>
      <c r="CI76" s="2799">
        <f>ROUND(IF(AND(MHPCOSRYes="Yes",CI69&lt;0),0,IF(MHPCOSRYes="Yes",SUM(+CI69-CI74-CI75),SUM(+CI65-CI74-CI75))),0)</f>
        <v>0</v>
      </c>
      <c r="CJ76" s="2439"/>
      <c r="CK76" s="2439"/>
      <c r="CL76" s="2799">
        <f>ROUND(IF(AND(MHPCOSRYes="Yes",CL69&lt;0),0,IF(MHPCOSRYes="Yes",SUM(+CL69-CL74-CL75),SUM(+CL65-CL74-CL75))),0)</f>
        <v>0</v>
      </c>
      <c r="CM76" s="2439"/>
      <c r="CN76" s="2439"/>
      <c r="CO76" s="2799">
        <f>ROUND(IF(AND(MHPCOSRYes="Yes",CO69&lt;0),0,IF(MHPCOSRYes="Yes",SUM(+CO69-CO74-CO75),SUM(+CO65-CO74-CO75))),0)</f>
        <v>0</v>
      </c>
      <c r="CP76" s="2439"/>
      <c r="CQ76" s="2439"/>
      <c r="CR76" s="2799">
        <f>ROUND(IF(AND(MHPCOSRYes="Yes",CR69&lt;0),0,IF(MHPCOSRYes="Yes",SUM(+CR69-CR74-CR75),SUM(+CR65-CR74-CR75))),0)</f>
        <v>0</v>
      </c>
      <c r="CS76" s="2439"/>
      <c r="CT76" s="2439"/>
      <c r="CU76" s="2799">
        <f>ROUND(IF(AND(MHPCOSRYes="Yes",CU69&lt;0),0,IF(MHPCOSRYes="Yes",SUM(+CU69-CU74-CU75),SUM(+CU65-CU74-CU75))),0)</f>
        <v>0</v>
      </c>
      <c r="CV76" s="2439"/>
      <c r="CW76" s="2439"/>
      <c r="CX76" s="2799">
        <f>ROUND(IF(AND(MHPCOSRYes="Yes",CX69&lt;0),0,IF(MHPCOSRYes="Yes",SUM(+CX69-CX74-CX75),SUM(+CX65-CX74-CX75))),0)</f>
        <v>0</v>
      </c>
      <c r="CY76" s="2439"/>
      <c r="CZ76" s="2439"/>
      <c r="DA76" s="2799">
        <f>ROUND(IF(AND(MHPCOSRYes="Yes",DA69&lt;0),0,IF(MHPCOSRYes="Yes",SUM(+DA69-DA74-DA75),SUM(+DA65-DA74-DA75))),0)</f>
        <v>0</v>
      </c>
      <c r="DB76" s="2439"/>
      <c r="DC76" s="2439"/>
      <c r="DD76" s="2799">
        <f>ROUND(IF(AND(MHPCOSRYes="Yes",DD69&lt;0),0,IF(MHPCOSRYes="Yes",SUM(+DD69-DD74-DD75),SUM(+DD65-DD74-DD75))),0)</f>
        <v>0</v>
      </c>
      <c r="DE76" s="2439"/>
      <c r="DF76" s="2439"/>
      <c r="DG76" s="2799">
        <f>ROUND(IF(AND(MHPCOSRYes="Yes",DG69&lt;0),0,IF(MHPCOSRYes="Yes",SUM(+DG69-DG74-DG75),SUM(+DG65-DG74-DG75))),0)</f>
        <v>0</v>
      </c>
      <c r="DH76" s="2439"/>
      <c r="DI76" s="2439"/>
      <c r="DJ76" s="2799">
        <f>ROUND(IF(AND(MHPCOSRYes="Yes",DJ69&lt;0),0,IF(MHPCOSRYes="Yes",SUM(+DJ69-DJ74-DJ75),SUM(+DJ65-DJ74-DJ75))),0)</f>
        <v>0</v>
      </c>
      <c r="DK76" s="2439"/>
      <c r="DL76" s="2439"/>
      <c r="DM76" s="2799">
        <f>ROUND(IF(AND(MHPCOSRYes="Yes",DM69&lt;0),0,IF(MHPCOSRYes="Yes",SUM(+DM69-DM74-DM75),SUM(+DM65-DM74-DM75))),0)</f>
        <v>0</v>
      </c>
      <c r="DN76" s="2439"/>
      <c r="DO76" s="2439"/>
      <c r="DP76" s="2799">
        <f>ROUND(IF(AND(MHPCOSRYes="Yes",DP69&lt;0),0,IF(MHPCOSRYes="Yes",SUM(+DP69-DP74-DP75),SUM(+DP65-DP74-DP75))),0)</f>
        <v>0</v>
      </c>
      <c r="DQ76" s="2439"/>
      <c r="DR76" s="2439"/>
      <c r="DS76" s="2799">
        <f>ROUND(IF(AND(MHPCOSRYes="Yes",DS69&lt;0),0,IF(MHPCOSRYes="Yes",SUM(+DS69-DS74-DS75),SUM(+DS65-DS74-DS75))),0)</f>
        <v>0</v>
      </c>
      <c r="DT76" s="2439"/>
      <c r="DU76" s="2439"/>
      <c r="DV76" s="2799">
        <f>ROUND(IF(AND(MHPCOSRYes="Yes",DV69&lt;0),0,IF(MHPCOSRYes="Yes",SUM(+DV69-DV74-DV75),SUM(+DV65-DV74-DV75))),0)</f>
        <v>0</v>
      </c>
      <c r="DW76" s="2439"/>
      <c r="DX76" s="2439"/>
      <c r="DY76" s="2799">
        <f>ROUND(IF(AND(MHPCOSRYes="Yes",DY69&lt;0),0,IF(MHPCOSRYes="Yes",SUM(+DY69-DY74-DY75),SUM(+DY65-DY74-DY75))),0)</f>
        <v>0</v>
      </c>
      <c r="DZ76" s="2439"/>
      <c r="EA76" s="2439"/>
      <c r="EB76" s="322"/>
    </row>
    <row r="77" spans="1:132" s="28" customFormat="1" ht="18" customHeight="1">
      <c r="B77" s="2903" t="s">
        <v>1948</v>
      </c>
      <c r="C77" s="2439"/>
      <c r="D77" s="2439"/>
      <c r="E77" s="2439"/>
      <c r="F77" s="2439"/>
      <c r="G77" s="2439"/>
      <c r="H77" s="2439"/>
      <c r="I77" s="2439"/>
      <c r="J77" s="2874">
        <v>0.5</v>
      </c>
      <c r="K77" s="2022"/>
      <c r="L77" s="2889">
        <f>ROUND(+$J77*L76,0)</f>
        <v>0</v>
      </c>
      <c r="M77" s="2439"/>
      <c r="N77" s="2439"/>
      <c r="O77" s="2805">
        <f>ROUND(+$J77*O76,0)</f>
        <v>0</v>
      </c>
      <c r="P77" s="2439"/>
      <c r="Q77" s="2439"/>
      <c r="R77" s="2805">
        <f>ROUND(+$J77*R76,0)</f>
        <v>0</v>
      </c>
      <c r="S77" s="2439"/>
      <c r="T77" s="2439"/>
      <c r="U77" s="2805">
        <f>ROUND(+$J77*U76,0)</f>
        <v>0</v>
      </c>
      <c r="V77" s="2439"/>
      <c r="W77" s="2439"/>
      <c r="X77" s="2805">
        <f>ROUND(+$J77*X76,0)</f>
        <v>0</v>
      </c>
      <c r="Y77" s="2439"/>
      <c r="Z77" s="2439"/>
      <c r="AA77" s="2805">
        <f>ROUND(+$J77*AA76,0)</f>
        <v>0</v>
      </c>
      <c r="AB77" s="2439"/>
      <c r="AC77" s="2439"/>
      <c r="AD77" s="2805">
        <f>ROUND(+$J77*AD76,0)</f>
        <v>0</v>
      </c>
      <c r="AE77" s="2439"/>
      <c r="AF77" s="2439"/>
      <c r="AG77" s="2805">
        <f>ROUND(+$J77*AG76,0)</f>
        <v>0</v>
      </c>
      <c r="AH77" s="2439"/>
      <c r="AI77" s="2439"/>
      <c r="AJ77" s="2805">
        <f>ROUND(+$J77*AJ76,0)</f>
        <v>0</v>
      </c>
      <c r="AK77" s="2439"/>
      <c r="AL77" s="2439"/>
      <c r="AM77" s="2805">
        <f>ROUND(+$J77*AM76,0)</f>
        <v>0</v>
      </c>
      <c r="AN77" s="2439"/>
      <c r="AO77" s="2439"/>
      <c r="AP77" s="2805">
        <f>ROUND(+$J77*AP76,0)</f>
        <v>0</v>
      </c>
      <c r="AQ77" s="2439"/>
      <c r="AR77" s="2439"/>
      <c r="AS77" s="2805">
        <f>ROUND(+$J77*AS76,0)</f>
        <v>0</v>
      </c>
      <c r="AT77" s="2439"/>
      <c r="AU77" s="2439"/>
      <c r="AV77" s="2805">
        <f>ROUND(+$J77*AV76,0)</f>
        <v>0</v>
      </c>
      <c r="AW77" s="2439"/>
      <c r="AX77" s="2439"/>
      <c r="AY77" s="2805">
        <f>ROUND(+$J77*AY76,0)</f>
        <v>0</v>
      </c>
      <c r="AZ77" s="2439"/>
      <c r="BA77" s="2439"/>
      <c r="BB77" s="2805">
        <f>ROUND(+$J77*BB76,0)</f>
        <v>0</v>
      </c>
      <c r="BC77" s="2439"/>
      <c r="BD77" s="2439"/>
      <c r="BE77" s="2805">
        <f>ROUND(+$J77*BE76,0)</f>
        <v>0</v>
      </c>
      <c r="BF77" s="2439"/>
      <c r="BG77" s="2439"/>
      <c r="BH77" s="2805">
        <f>ROUND(+$J77*BH76,0)</f>
        <v>0</v>
      </c>
      <c r="BI77" s="2439"/>
      <c r="BJ77" s="2439"/>
      <c r="BK77" s="2805">
        <f>ROUND(+$J77*BK76,0)</f>
        <v>0</v>
      </c>
      <c r="BL77" s="2439"/>
      <c r="BM77" s="2439"/>
      <c r="BN77" s="2805">
        <f>ROUND(+$J77*BN76,0)</f>
        <v>0</v>
      </c>
      <c r="BO77" s="2439"/>
      <c r="BP77" s="2439"/>
      <c r="BQ77" s="2805">
        <f>ROUND(+$J77*BQ76,0)</f>
        <v>0</v>
      </c>
      <c r="BR77" s="2439"/>
      <c r="BS77" s="2439"/>
      <c r="BT77" s="2805">
        <f>ROUND(+$J77*BT76,0)</f>
        <v>0</v>
      </c>
      <c r="BU77" s="2439"/>
      <c r="BV77" s="2439"/>
      <c r="BW77" s="2805">
        <f>ROUND(+$J77*BW76,0)</f>
        <v>0</v>
      </c>
      <c r="BX77" s="2439"/>
      <c r="BY77" s="2439"/>
      <c r="BZ77" s="2805">
        <f>ROUND(+$J77*BZ76,0)</f>
        <v>0</v>
      </c>
      <c r="CA77" s="2439"/>
      <c r="CB77" s="2439"/>
      <c r="CC77" s="2805">
        <f>ROUND(+$J77*CC76,0)</f>
        <v>0</v>
      </c>
      <c r="CD77" s="2439"/>
      <c r="CE77" s="2439"/>
      <c r="CF77" s="2805">
        <f>ROUND(+$J77*CF76,0)</f>
        <v>0</v>
      </c>
      <c r="CG77" s="2439"/>
      <c r="CH77" s="2439"/>
      <c r="CI77" s="2805">
        <f>ROUND(+$J77*CI76,0)</f>
        <v>0</v>
      </c>
      <c r="CJ77" s="2439"/>
      <c r="CK77" s="2439"/>
      <c r="CL77" s="2805">
        <f>ROUND(+$J77*CL76,0)</f>
        <v>0</v>
      </c>
      <c r="CM77" s="2439"/>
      <c r="CN77" s="2439"/>
      <c r="CO77" s="2805">
        <f>ROUND(+$J77*CO76,0)</f>
        <v>0</v>
      </c>
      <c r="CP77" s="2439"/>
      <c r="CQ77" s="2439"/>
      <c r="CR77" s="2805">
        <f>ROUND(+$J77*CR76,0)</f>
        <v>0</v>
      </c>
      <c r="CS77" s="2439"/>
      <c r="CT77" s="2439"/>
      <c r="CU77" s="2805">
        <f>ROUND(+$J77*CU76,0)</f>
        <v>0</v>
      </c>
      <c r="CV77" s="2439"/>
      <c r="CW77" s="2439"/>
      <c r="CX77" s="2805">
        <f>ROUND(+$J77*CX76,0)</f>
        <v>0</v>
      </c>
      <c r="CY77" s="2439"/>
      <c r="CZ77" s="2439"/>
      <c r="DA77" s="2805">
        <f>ROUND(+$J77*DA76,0)</f>
        <v>0</v>
      </c>
      <c r="DB77" s="2439"/>
      <c r="DC77" s="2439"/>
      <c r="DD77" s="2805">
        <f>ROUND(+$J77*DD76,0)</f>
        <v>0</v>
      </c>
      <c r="DE77" s="2439"/>
      <c r="DF77" s="2439"/>
      <c r="DG77" s="2805">
        <f>ROUND(+$J77*DG76,0)</f>
        <v>0</v>
      </c>
      <c r="DH77" s="2439"/>
      <c r="DI77" s="2439"/>
      <c r="DJ77" s="2805">
        <f>ROUND(+$J77*DJ76,0)</f>
        <v>0</v>
      </c>
      <c r="DK77" s="2439"/>
      <c r="DL77" s="2439"/>
      <c r="DM77" s="2805">
        <f>ROUND(+$J77*DM76,0)</f>
        <v>0</v>
      </c>
      <c r="DN77" s="2439"/>
      <c r="DO77" s="2439"/>
      <c r="DP77" s="2805">
        <f>ROUND(+$J77*DP76,0)</f>
        <v>0</v>
      </c>
      <c r="DQ77" s="2439"/>
      <c r="DR77" s="2439"/>
      <c r="DS77" s="2805">
        <f>ROUND(+$J77*DS76,0)</f>
        <v>0</v>
      </c>
      <c r="DT77" s="2439"/>
      <c r="DU77" s="2439"/>
      <c r="DV77" s="2805">
        <f>ROUND(+$J77*DV76,0)</f>
        <v>0</v>
      </c>
      <c r="DW77" s="2439"/>
      <c r="DX77" s="2439"/>
      <c r="DY77" s="2805">
        <f>ROUND(+$J77*DY76,0)</f>
        <v>0</v>
      </c>
      <c r="DZ77" s="2439"/>
      <c r="EA77" s="2439"/>
      <c r="EB77" s="322"/>
    </row>
    <row r="78" spans="1:132" s="28" customFormat="1" ht="18" customHeight="1">
      <c r="B78" s="2903" t="s">
        <v>1949</v>
      </c>
      <c r="C78" s="2439"/>
      <c r="D78" s="2439"/>
      <c r="E78" s="2439"/>
      <c r="F78" s="2439"/>
      <c r="G78" s="2439"/>
      <c r="H78" s="2439"/>
      <c r="I78" s="2439"/>
      <c r="J78" s="2874">
        <v>0.5</v>
      </c>
      <c r="K78" s="2022"/>
      <c r="L78" s="2890">
        <f>ROUND(+$J78*L76,0)</f>
        <v>0</v>
      </c>
      <c r="M78" s="2439"/>
      <c r="N78" s="2439"/>
      <c r="O78" s="2818">
        <f>ROUND(+$J78*O76,0)</f>
        <v>0</v>
      </c>
      <c r="P78" s="2439"/>
      <c r="Q78" s="2439"/>
      <c r="R78" s="2818">
        <f>ROUND(+$J78*R76,0)</f>
        <v>0</v>
      </c>
      <c r="S78" s="2439"/>
      <c r="T78" s="2439"/>
      <c r="U78" s="2818">
        <f>ROUND(+$J78*U76,0)</f>
        <v>0</v>
      </c>
      <c r="V78" s="2439"/>
      <c r="W78" s="2439"/>
      <c r="X78" s="2818">
        <f>ROUND(+$J78*X76,0)</f>
        <v>0</v>
      </c>
      <c r="Y78" s="2439"/>
      <c r="Z78" s="2439"/>
      <c r="AA78" s="2818">
        <f>ROUND(+$J78*AA76,0)</f>
        <v>0</v>
      </c>
      <c r="AB78" s="2439"/>
      <c r="AC78" s="2439"/>
      <c r="AD78" s="2818">
        <f>ROUND(+$J78*AD76,0)</f>
        <v>0</v>
      </c>
      <c r="AE78" s="2439"/>
      <c r="AF78" s="2439"/>
      <c r="AG78" s="2818">
        <f>ROUND(+$J78*AG76,0)</f>
        <v>0</v>
      </c>
      <c r="AH78" s="2439"/>
      <c r="AI78" s="2439"/>
      <c r="AJ78" s="2818">
        <f>ROUND(+$J78*AJ76,0)</f>
        <v>0</v>
      </c>
      <c r="AK78" s="2439"/>
      <c r="AL78" s="2439"/>
      <c r="AM78" s="2818">
        <f>ROUND(+$J78*AM76,0)</f>
        <v>0</v>
      </c>
      <c r="AN78" s="2439"/>
      <c r="AO78" s="2439"/>
      <c r="AP78" s="2818">
        <f>ROUND(+$J78*AP76,0)</f>
        <v>0</v>
      </c>
      <c r="AQ78" s="2439"/>
      <c r="AR78" s="2439"/>
      <c r="AS78" s="2818">
        <f>ROUND(+$J78*AS76,0)</f>
        <v>0</v>
      </c>
      <c r="AT78" s="2439"/>
      <c r="AU78" s="2439"/>
      <c r="AV78" s="2818">
        <f>ROUND(+$J78*AV76,0)</f>
        <v>0</v>
      </c>
      <c r="AW78" s="2439"/>
      <c r="AX78" s="2439"/>
      <c r="AY78" s="2818">
        <f>ROUND(+$J78*AY76,0)</f>
        <v>0</v>
      </c>
      <c r="AZ78" s="2439"/>
      <c r="BA78" s="2439"/>
      <c r="BB78" s="2818">
        <f>ROUND(+$J78*BB76,0)</f>
        <v>0</v>
      </c>
      <c r="BC78" s="2439"/>
      <c r="BD78" s="2439"/>
      <c r="BE78" s="2818">
        <f>ROUND(+$J78*BE76,0)</f>
        <v>0</v>
      </c>
      <c r="BF78" s="2439"/>
      <c r="BG78" s="2439"/>
      <c r="BH78" s="2818">
        <f>ROUND(+$J78*BH76,0)</f>
        <v>0</v>
      </c>
      <c r="BI78" s="2439"/>
      <c r="BJ78" s="2439"/>
      <c r="BK78" s="2818">
        <f>ROUND(+$J78*BK76,0)</f>
        <v>0</v>
      </c>
      <c r="BL78" s="2439"/>
      <c r="BM78" s="2439"/>
      <c r="BN78" s="2818">
        <f>ROUND(+$J78*BN76,0)</f>
        <v>0</v>
      </c>
      <c r="BO78" s="2439"/>
      <c r="BP78" s="2439"/>
      <c r="BQ78" s="2818">
        <f>ROUND(+$J78*BQ76,0)</f>
        <v>0</v>
      </c>
      <c r="BR78" s="2439"/>
      <c r="BS78" s="2439"/>
      <c r="BT78" s="2818">
        <f>ROUND(+$J78*BT76,0)</f>
        <v>0</v>
      </c>
      <c r="BU78" s="2439"/>
      <c r="BV78" s="2439"/>
      <c r="BW78" s="2818">
        <f>ROUND(+$J78*BW76,0)</f>
        <v>0</v>
      </c>
      <c r="BX78" s="2439"/>
      <c r="BY78" s="2439"/>
      <c r="BZ78" s="2818">
        <f>ROUND(+$J78*BZ76,0)</f>
        <v>0</v>
      </c>
      <c r="CA78" s="2439"/>
      <c r="CB78" s="2439"/>
      <c r="CC78" s="2818">
        <f>ROUND(+$J78*CC76,0)</f>
        <v>0</v>
      </c>
      <c r="CD78" s="2439"/>
      <c r="CE78" s="2439"/>
      <c r="CF78" s="2818">
        <f>ROUND(+$J78*CF76,0)</f>
        <v>0</v>
      </c>
      <c r="CG78" s="2439"/>
      <c r="CH78" s="2439"/>
      <c r="CI78" s="2818">
        <f>ROUND(+$J78*CI76,0)</f>
        <v>0</v>
      </c>
      <c r="CJ78" s="2439"/>
      <c r="CK78" s="2439"/>
      <c r="CL78" s="2818">
        <f>ROUND(+$J78*CL76,0)</f>
        <v>0</v>
      </c>
      <c r="CM78" s="2439"/>
      <c r="CN78" s="2439"/>
      <c r="CO78" s="2818">
        <f>ROUND(+$J78*CO76,0)</f>
        <v>0</v>
      </c>
      <c r="CP78" s="2439"/>
      <c r="CQ78" s="2439"/>
      <c r="CR78" s="2818">
        <f>ROUND(+$J78*CR76,0)</f>
        <v>0</v>
      </c>
      <c r="CS78" s="2439"/>
      <c r="CT78" s="2439"/>
      <c r="CU78" s="2818">
        <f>ROUND(+$J78*CU76,0)</f>
        <v>0</v>
      </c>
      <c r="CV78" s="2439"/>
      <c r="CW78" s="2439"/>
      <c r="CX78" s="2818">
        <f>ROUND(+$J78*CX76,0)</f>
        <v>0</v>
      </c>
      <c r="CY78" s="2439"/>
      <c r="CZ78" s="2439"/>
      <c r="DA78" s="2818">
        <f>ROUND(+$J78*DA76,0)</f>
        <v>0</v>
      </c>
      <c r="DB78" s="2439"/>
      <c r="DC78" s="2439"/>
      <c r="DD78" s="2818">
        <f>ROUND(+$J78*DD76,0)</f>
        <v>0</v>
      </c>
      <c r="DE78" s="2439"/>
      <c r="DF78" s="2439"/>
      <c r="DG78" s="2818">
        <f>ROUND(+$J78*DG76,0)</f>
        <v>0</v>
      </c>
      <c r="DH78" s="2439"/>
      <c r="DI78" s="2439"/>
      <c r="DJ78" s="2818">
        <f>ROUND(+$J78*DJ76,0)</f>
        <v>0</v>
      </c>
      <c r="DK78" s="2439"/>
      <c r="DL78" s="2439"/>
      <c r="DM78" s="2818">
        <f>ROUND(+$J78*DM76,0)</f>
        <v>0</v>
      </c>
      <c r="DN78" s="2439"/>
      <c r="DO78" s="2439"/>
      <c r="DP78" s="2818">
        <f>ROUND(+$J78*DP76,0)</f>
        <v>0</v>
      </c>
      <c r="DQ78" s="2439"/>
      <c r="DR78" s="2439"/>
      <c r="DS78" s="2818">
        <f>ROUND(+$J78*DS76,0)</f>
        <v>0</v>
      </c>
      <c r="DT78" s="2439"/>
      <c r="DU78" s="2439"/>
      <c r="DV78" s="2818">
        <f>ROUND(+$J78*DV76,0)</f>
        <v>0</v>
      </c>
      <c r="DW78" s="2439"/>
      <c r="DX78" s="2439"/>
      <c r="DY78" s="2818">
        <f>ROUND(+$J78*DY76,0)</f>
        <v>0</v>
      </c>
      <c r="DZ78" s="2439"/>
      <c r="EA78" s="2439"/>
      <c r="EB78" s="322"/>
    </row>
    <row r="79" spans="1:132" s="28" customFormat="1" ht="18" customHeight="1">
      <c r="B79" s="2814" t="s">
        <v>1950</v>
      </c>
      <c r="C79" s="2022"/>
      <c r="D79" s="2022"/>
      <c r="E79" s="2022"/>
      <c r="F79" s="2022"/>
      <c r="G79" s="2022"/>
      <c r="H79" s="2022"/>
      <c r="I79" s="2022"/>
      <c r="J79" s="2874">
        <v>0</v>
      </c>
      <c r="K79" s="2022"/>
      <c r="L79" s="2890">
        <f>ROUND(+$J79*L76,0)</f>
        <v>0</v>
      </c>
      <c r="M79" s="2439"/>
      <c r="N79" s="2439"/>
      <c r="O79" s="2818">
        <f>ROUND(+$J79*O76,0)</f>
        <v>0</v>
      </c>
      <c r="P79" s="2439"/>
      <c r="Q79" s="2439"/>
      <c r="R79" s="2818">
        <f>ROUND(+$J79*R76,0)</f>
        <v>0</v>
      </c>
      <c r="S79" s="2439"/>
      <c r="T79" s="2439"/>
      <c r="U79" s="2818">
        <f>ROUND(+$J79*U76,0)</f>
        <v>0</v>
      </c>
      <c r="V79" s="2439"/>
      <c r="W79" s="2439"/>
      <c r="X79" s="2818">
        <f>ROUND(+$J79*X76,0)</f>
        <v>0</v>
      </c>
      <c r="Y79" s="2439"/>
      <c r="Z79" s="2439"/>
      <c r="AA79" s="2818">
        <f>ROUND(+$J79*AA76,0)</f>
        <v>0</v>
      </c>
      <c r="AB79" s="2439"/>
      <c r="AC79" s="2439"/>
      <c r="AD79" s="2818">
        <f>ROUND(+$J79*AD76,0)</f>
        <v>0</v>
      </c>
      <c r="AE79" s="2439"/>
      <c r="AF79" s="2439"/>
      <c r="AG79" s="2818">
        <f>ROUND(+$J79*AG76,0)</f>
        <v>0</v>
      </c>
      <c r="AH79" s="2439"/>
      <c r="AI79" s="2439"/>
      <c r="AJ79" s="2818">
        <f>ROUND(+$J79*AJ76,0)</f>
        <v>0</v>
      </c>
      <c r="AK79" s="2439"/>
      <c r="AL79" s="2439"/>
      <c r="AM79" s="2818">
        <f>ROUND(+$J79*AM76,0)</f>
        <v>0</v>
      </c>
      <c r="AN79" s="2439"/>
      <c r="AO79" s="2439"/>
      <c r="AP79" s="2818">
        <f>ROUND(+$J79*AP76,0)</f>
        <v>0</v>
      </c>
      <c r="AQ79" s="2439"/>
      <c r="AR79" s="2439"/>
      <c r="AS79" s="2818">
        <f>ROUND(+$J79*AS76,0)</f>
        <v>0</v>
      </c>
      <c r="AT79" s="2439"/>
      <c r="AU79" s="2439"/>
      <c r="AV79" s="2818">
        <f>ROUND(+$J79*AV76,0)</f>
        <v>0</v>
      </c>
      <c r="AW79" s="2439"/>
      <c r="AX79" s="2439"/>
      <c r="AY79" s="2818">
        <f>ROUND(+$J79*AY76,0)</f>
        <v>0</v>
      </c>
      <c r="AZ79" s="2439"/>
      <c r="BA79" s="2439"/>
      <c r="BB79" s="2818">
        <f>ROUND(+$J79*BB76,0)</f>
        <v>0</v>
      </c>
      <c r="BC79" s="2439"/>
      <c r="BD79" s="2439"/>
      <c r="BE79" s="2818">
        <f>ROUND(+$J79*BE76,0)</f>
        <v>0</v>
      </c>
      <c r="BF79" s="2439"/>
      <c r="BG79" s="2439"/>
      <c r="BH79" s="2818">
        <f>ROUND(+$J79*BH76,0)</f>
        <v>0</v>
      </c>
      <c r="BI79" s="2439"/>
      <c r="BJ79" s="2439"/>
      <c r="BK79" s="2818">
        <f>ROUND(+$J79*BK76,0)</f>
        <v>0</v>
      </c>
      <c r="BL79" s="2439"/>
      <c r="BM79" s="2439"/>
      <c r="BN79" s="2818">
        <f>ROUND(+$J79*BN76,0)</f>
        <v>0</v>
      </c>
      <c r="BO79" s="2439"/>
      <c r="BP79" s="2439"/>
      <c r="BQ79" s="2818">
        <f>ROUND(+$J79*BQ76,0)</f>
        <v>0</v>
      </c>
      <c r="BR79" s="2439"/>
      <c r="BS79" s="2439"/>
      <c r="BT79" s="2818">
        <f>ROUND(+$J79*BT76,0)</f>
        <v>0</v>
      </c>
      <c r="BU79" s="2439"/>
      <c r="BV79" s="2439"/>
      <c r="BW79" s="2818">
        <f>ROUND(+$J79*BW76,0)</f>
        <v>0</v>
      </c>
      <c r="BX79" s="2439"/>
      <c r="BY79" s="2439"/>
      <c r="BZ79" s="2818">
        <f>ROUND(+$J79*BZ76,0)</f>
        <v>0</v>
      </c>
      <c r="CA79" s="2439"/>
      <c r="CB79" s="2439"/>
      <c r="CC79" s="2818">
        <f>ROUND(+$J79*CC76,0)</f>
        <v>0</v>
      </c>
      <c r="CD79" s="2439"/>
      <c r="CE79" s="2439"/>
      <c r="CF79" s="2818">
        <f>ROUND(+$J79*CF76,0)</f>
        <v>0</v>
      </c>
      <c r="CG79" s="2439"/>
      <c r="CH79" s="2439"/>
      <c r="CI79" s="2818">
        <f>ROUND(+$J79*CI76,0)</f>
        <v>0</v>
      </c>
      <c r="CJ79" s="2439"/>
      <c r="CK79" s="2439"/>
      <c r="CL79" s="2818">
        <f>ROUND(+$J79*CL76,0)</f>
        <v>0</v>
      </c>
      <c r="CM79" s="2439"/>
      <c r="CN79" s="2439"/>
      <c r="CO79" s="2818">
        <f>ROUND(+$J79*CO76,0)</f>
        <v>0</v>
      </c>
      <c r="CP79" s="2439"/>
      <c r="CQ79" s="2439"/>
      <c r="CR79" s="2818">
        <f>ROUND(+$J79*CR76,0)</f>
        <v>0</v>
      </c>
      <c r="CS79" s="2439"/>
      <c r="CT79" s="2439"/>
      <c r="CU79" s="2818">
        <f>ROUND(+$J79*CU76,0)</f>
        <v>0</v>
      </c>
      <c r="CV79" s="2439"/>
      <c r="CW79" s="2439"/>
      <c r="CX79" s="2818">
        <f>ROUND(+$J79*CX76,0)</f>
        <v>0</v>
      </c>
      <c r="CY79" s="2439"/>
      <c r="CZ79" s="2439"/>
      <c r="DA79" s="2818">
        <f>ROUND(+$J79*DA76,0)</f>
        <v>0</v>
      </c>
      <c r="DB79" s="2439"/>
      <c r="DC79" s="2439"/>
      <c r="DD79" s="2818">
        <f>ROUND(+$J79*DD76,0)</f>
        <v>0</v>
      </c>
      <c r="DE79" s="2439"/>
      <c r="DF79" s="2439"/>
      <c r="DG79" s="2818">
        <f>ROUND(+$J79*DG76,0)</f>
        <v>0</v>
      </c>
      <c r="DH79" s="2439"/>
      <c r="DI79" s="2439"/>
      <c r="DJ79" s="2818">
        <f>ROUND(+$J79*DJ76,0)</f>
        <v>0</v>
      </c>
      <c r="DK79" s="2439"/>
      <c r="DL79" s="2439"/>
      <c r="DM79" s="2818">
        <f>ROUND(+$J79*DM76,0)</f>
        <v>0</v>
      </c>
      <c r="DN79" s="2439"/>
      <c r="DO79" s="2439"/>
      <c r="DP79" s="2818">
        <f>ROUND(+$J79*DP76,0)</f>
        <v>0</v>
      </c>
      <c r="DQ79" s="2439"/>
      <c r="DR79" s="2439"/>
      <c r="DS79" s="2818">
        <f>ROUND(+$J79*DS76,0)</f>
        <v>0</v>
      </c>
      <c r="DT79" s="2439"/>
      <c r="DU79" s="2439"/>
      <c r="DV79" s="2818">
        <f>ROUND(+$J79*DV76,0)</f>
        <v>0</v>
      </c>
      <c r="DW79" s="2439"/>
      <c r="DX79" s="2439"/>
      <c r="DY79" s="2818">
        <f>ROUND(+$J79*DY76,0)</f>
        <v>0</v>
      </c>
      <c r="DZ79" s="2439"/>
      <c r="EA79" s="2439"/>
      <c r="EB79" s="322"/>
    </row>
    <row r="80" spans="1:132" s="28" customFormat="1" ht="18" customHeight="1">
      <c r="B80" s="2814" t="s">
        <v>1950</v>
      </c>
      <c r="C80" s="2022"/>
      <c r="D80" s="2022"/>
      <c r="E80" s="2022"/>
      <c r="F80" s="2022"/>
      <c r="G80" s="2022"/>
      <c r="H80" s="2022"/>
      <c r="I80" s="2022"/>
      <c r="J80" s="2874">
        <v>0</v>
      </c>
      <c r="K80" s="2022"/>
      <c r="L80" s="2890">
        <f>ROUND(+$J80*L76,0)</f>
        <v>0</v>
      </c>
      <c r="M80" s="2439"/>
      <c r="N80" s="2439"/>
      <c r="O80" s="2818">
        <f>ROUND(+$J80*O76,0)</f>
        <v>0</v>
      </c>
      <c r="P80" s="2439"/>
      <c r="Q80" s="2439"/>
      <c r="R80" s="2818">
        <f>ROUND(+$J80*R76,0)</f>
        <v>0</v>
      </c>
      <c r="S80" s="2439"/>
      <c r="T80" s="2439"/>
      <c r="U80" s="2818">
        <f>ROUND(+$J80*U76,0)</f>
        <v>0</v>
      </c>
      <c r="V80" s="2439"/>
      <c r="W80" s="2439"/>
      <c r="X80" s="2818">
        <f>ROUND(+$J80*X76,0)</f>
        <v>0</v>
      </c>
      <c r="Y80" s="2439"/>
      <c r="Z80" s="2439"/>
      <c r="AA80" s="2818">
        <f>ROUND(+$J80*AA76,0)</f>
        <v>0</v>
      </c>
      <c r="AB80" s="2439"/>
      <c r="AC80" s="2439"/>
      <c r="AD80" s="2818">
        <f>ROUND(+$J80*AD76,0)</f>
        <v>0</v>
      </c>
      <c r="AE80" s="2439"/>
      <c r="AF80" s="2439"/>
      <c r="AG80" s="2818">
        <f>ROUND(+$J80*AG76,0)</f>
        <v>0</v>
      </c>
      <c r="AH80" s="2439"/>
      <c r="AI80" s="2439"/>
      <c r="AJ80" s="2818">
        <f>ROUND(+$J80*AJ76,0)</f>
        <v>0</v>
      </c>
      <c r="AK80" s="2439"/>
      <c r="AL80" s="2439"/>
      <c r="AM80" s="2818">
        <f>ROUND(+$J80*AM76,0)</f>
        <v>0</v>
      </c>
      <c r="AN80" s="2439"/>
      <c r="AO80" s="2439"/>
      <c r="AP80" s="2818">
        <f>ROUND(+$J80*AP76,0)</f>
        <v>0</v>
      </c>
      <c r="AQ80" s="2439"/>
      <c r="AR80" s="2439"/>
      <c r="AS80" s="2818">
        <f>ROUND(+$J80*AS76,0)</f>
        <v>0</v>
      </c>
      <c r="AT80" s="2439"/>
      <c r="AU80" s="2439"/>
      <c r="AV80" s="2818">
        <f>ROUND(+$J80*AV76,0)</f>
        <v>0</v>
      </c>
      <c r="AW80" s="2439"/>
      <c r="AX80" s="2439"/>
      <c r="AY80" s="2818">
        <f>ROUND(+$J80*AY76,0)</f>
        <v>0</v>
      </c>
      <c r="AZ80" s="2439"/>
      <c r="BA80" s="2439"/>
      <c r="BB80" s="2818">
        <f>ROUND(+$J80*BB76,0)</f>
        <v>0</v>
      </c>
      <c r="BC80" s="2439"/>
      <c r="BD80" s="2439"/>
      <c r="BE80" s="2818">
        <f>ROUND(+$J80*BE76,0)</f>
        <v>0</v>
      </c>
      <c r="BF80" s="2439"/>
      <c r="BG80" s="2439"/>
      <c r="BH80" s="2818">
        <f>ROUND(+$J80*BH76,0)</f>
        <v>0</v>
      </c>
      <c r="BI80" s="2439"/>
      <c r="BJ80" s="2439"/>
      <c r="BK80" s="2818">
        <f>ROUND(+$J80*BK76,0)</f>
        <v>0</v>
      </c>
      <c r="BL80" s="2439"/>
      <c r="BM80" s="2439"/>
      <c r="BN80" s="2818">
        <f>ROUND(+$J80*BN76,0)</f>
        <v>0</v>
      </c>
      <c r="BO80" s="2439"/>
      <c r="BP80" s="2439"/>
      <c r="BQ80" s="2818">
        <f>ROUND(+$J80*BQ76,0)</f>
        <v>0</v>
      </c>
      <c r="BR80" s="2439"/>
      <c r="BS80" s="2439"/>
      <c r="BT80" s="2818">
        <f>ROUND(+$J80*BT76,0)</f>
        <v>0</v>
      </c>
      <c r="BU80" s="2439"/>
      <c r="BV80" s="2439"/>
      <c r="BW80" s="2818">
        <f>ROUND(+$J80*BW76,0)</f>
        <v>0</v>
      </c>
      <c r="BX80" s="2439"/>
      <c r="BY80" s="2439"/>
      <c r="BZ80" s="2818">
        <f>ROUND(+$J80*BZ76,0)</f>
        <v>0</v>
      </c>
      <c r="CA80" s="2439"/>
      <c r="CB80" s="2439"/>
      <c r="CC80" s="2818">
        <f>ROUND(+$J80*CC76,0)</f>
        <v>0</v>
      </c>
      <c r="CD80" s="2439"/>
      <c r="CE80" s="2439"/>
      <c r="CF80" s="2818">
        <f>ROUND(+$J80*CF76,0)</f>
        <v>0</v>
      </c>
      <c r="CG80" s="2439"/>
      <c r="CH80" s="2439"/>
      <c r="CI80" s="2818">
        <f>ROUND(+$J80*CI76,0)</f>
        <v>0</v>
      </c>
      <c r="CJ80" s="2439"/>
      <c r="CK80" s="2439"/>
      <c r="CL80" s="2818">
        <f>ROUND(+$J80*CL76,0)</f>
        <v>0</v>
      </c>
      <c r="CM80" s="2439"/>
      <c r="CN80" s="2439"/>
      <c r="CO80" s="2818">
        <f>ROUND(+$J80*CO76,0)</f>
        <v>0</v>
      </c>
      <c r="CP80" s="2439"/>
      <c r="CQ80" s="2439"/>
      <c r="CR80" s="2818">
        <f>ROUND(+$J80*CR76,0)</f>
        <v>0</v>
      </c>
      <c r="CS80" s="2439"/>
      <c r="CT80" s="2439"/>
      <c r="CU80" s="2818">
        <f>ROUND(+$J80*CU76,0)</f>
        <v>0</v>
      </c>
      <c r="CV80" s="2439"/>
      <c r="CW80" s="2439"/>
      <c r="CX80" s="2818">
        <f>ROUND(+$J80*CX76,0)</f>
        <v>0</v>
      </c>
      <c r="CY80" s="2439"/>
      <c r="CZ80" s="2439"/>
      <c r="DA80" s="2818">
        <f>ROUND(+$J80*DA76,0)</f>
        <v>0</v>
      </c>
      <c r="DB80" s="2439"/>
      <c r="DC80" s="2439"/>
      <c r="DD80" s="2818">
        <f>ROUND(+$J80*DD76,0)</f>
        <v>0</v>
      </c>
      <c r="DE80" s="2439"/>
      <c r="DF80" s="2439"/>
      <c r="DG80" s="2818">
        <f>ROUND(+$J80*DG76,0)</f>
        <v>0</v>
      </c>
      <c r="DH80" s="2439"/>
      <c r="DI80" s="2439"/>
      <c r="DJ80" s="2818">
        <f>ROUND(+$J80*DJ76,0)</f>
        <v>0</v>
      </c>
      <c r="DK80" s="2439"/>
      <c r="DL80" s="2439"/>
      <c r="DM80" s="2818">
        <f>ROUND(+$J80*DM76,0)</f>
        <v>0</v>
      </c>
      <c r="DN80" s="2439"/>
      <c r="DO80" s="2439"/>
      <c r="DP80" s="2818">
        <f>ROUND(+$J80*DP76,0)</f>
        <v>0</v>
      </c>
      <c r="DQ80" s="2439"/>
      <c r="DR80" s="2439"/>
      <c r="DS80" s="2818">
        <f>ROUND(+$J80*DS76,0)</f>
        <v>0</v>
      </c>
      <c r="DT80" s="2439"/>
      <c r="DU80" s="2439"/>
      <c r="DV80" s="2818">
        <f>ROUND(+$J80*DV76,0)</f>
        <v>0</v>
      </c>
      <c r="DW80" s="2439"/>
      <c r="DX80" s="2439"/>
      <c r="DY80" s="2818">
        <f>ROUND(+$J80*DY76,0)</f>
        <v>0</v>
      </c>
      <c r="DZ80" s="2439"/>
      <c r="EA80" s="2439"/>
      <c r="EB80" s="322"/>
    </row>
    <row r="81" spans="2:132" s="28" customFormat="1" ht="18" customHeight="1">
      <c r="B81" s="2814" t="s">
        <v>1950</v>
      </c>
      <c r="C81" s="2022"/>
      <c r="D81" s="2022"/>
      <c r="E81" s="2022"/>
      <c r="F81" s="2022"/>
      <c r="G81" s="2022"/>
      <c r="H81" s="2022"/>
      <c r="I81" s="2022"/>
      <c r="J81" s="2874">
        <v>0</v>
      </c>
      <c r="K81" s="2022"/>
      <c r="L81" s="2890">
        <f>ROUND(+$J81*L76,0)</f>
        <v>0</v>
      </c>
      <c r="M81" s="2439"/>
      <c r="N81" s="2439"/>
      <c r="O81" s="2818">
        <f>ROUND(+$J81*O76,0)</f>
        <v>0</v>
      </c>
      <c r="P81" s="2439"/>
      <c r="Q81" s="2439"/>
      <c r="R81" s="2818">
        <f>ROUND(+$J81*R76,0)</f>
        <v>0</v>
      </c>
      <c r="S81" s="2439"/>
      <c r="T81" s="2439"/>
      <c r="U81" s="2818">
        <f>ROUND(+$J81*U76,0)</f>
        <v>0</v>
      </c>
      <c r="V81" s="2439"/>
      <c r="W81" s="2439"/>
      <c r="X81" s="2818">
        <f>ROUND(+$J81*X76,0)</f>
        <v>0</v>
      </c>
      <c r="Y81" s="2439"/>
      <c r="Z81" s="2439"/>
      <c r="AA81" s="2818">
        <f>ROUND(+$J81*AA76,0)</f>
        <v>0</v>
      </c>
      <c r="AB81" s="2439"/>
      <c r="AC81" s="2439"/>
      <c r="AD81" s="2818">
        <f>ROUND(+$J81*AD76,0)</f>
        <v>0</v>
      </c>
      <c r="AE81" s="2439"/>
      <c r="AF81" s="2439"/>
      <c r="AG81" s="2818">
        <f>ROUND(+$J81*AG76,0)</f>
        <v>0</v>
      </c>
      <c r="AH81" s="2439"/>
      <c r="AI81" s="2439"/>
      <c r="AJ81" s="2818">
        <f>ROUND(+$J81*AJ76,0)</f>
        <v>0</v>
      </c>
      <c r="AK81" s="2439"/>
      <c r="AL81" s="2439"/>
      <c r="AM81" s="2818">
        <f>ROUND(+$J81*AM76,0)</f>
        <v>0</v>
      </c>
      <c r="AN81" s="2439"/>
      <c r="AO81" s="2439"/>
      <c r="AP81" s="2818">
        <f>ROUND(+$J81*AP76,0)</f>
        <v>0</v>
      </c>
      <c r="AQ81" s="2439"/>
      <c r="AR81" s="2439"/>
      <c r="AS81" s="2818">
        <f>ROUND(+$J81*AS76,0)</f>
        <v>0</v>
      </c>
      <c r="AT81" s="2439"/>
      <c r="AU81" s="2439"/>
      <c r="AV81" s="2818">
        <f>ROUND(+$J81*AV76,0)</f>
        <v>0</v>
      </c>
      <c r="AW81" s="2439"/>
      <c r="AX81" s="2439"/>
      <c r="AY81" s="2818">
        <f>ROUND(+$J81*AY76,0)</f>
        <v>0</v>
      </c>
      <c r="AZ81" s="2439"/>
      <c r="BA81" s="2439"/>
      <c r="BB81" s="2818">
        <f>ROUND(+$J81*BB76,0)</f>
        <v>0</v>
      </c>
      <c r="BC81" s="2439"/>
      <c r="BD81" s="2439"/>
      <c r="BE81" s="2818">
        <f>ROUND(+$J81*BE76,0)</f>
        <v>0</v>
      </c>
      <c r="BF81" s="2439"/>
      <c r="BG81" s="2439"/>
      <c r="BH81" s="2818">
        <f>ROUND(+$J81*BH76,0)</f>
        <v>0</v>
      </c>
      <c r="BI81" s="2439"/>
      <c r="BJ81" s="2439"/>
      <c r="BK81" s="2818">
        <f>ROUND(+$J81*BK76,0)</f>
        <v>0</v>
      </c>
      <c r="BL81" s="2439"/>
      <c r="BM81" s="2439"/>
      <c r="BN81" s="2818">
        <f>ROUND(+$J81*BN76,0)</f>
        <v>0</v>
      </c>
      <c r="BO81" s="2439"/>
      <c r="BP81" s="2439"/>
      <c r="BQ81" s="2818">
        <f>ROUND(+$J81*BQ76,0)</f>
        <v>0</v>
      </c>
      <c r="BR81" s="2439"/>
      <c r="BS81" s="2439"/>
      <c r="BT81" s="2818">
        <f>ROUND(+$J81*BT76,0)</f>
        <v>0</v>
      </c>
      <c r="BU81" s="2439"/>
      <c r="BV81" s="2439"/>
      <c r="BW81" s="2818">
        <f>ROUND(+$J81*BW76,0)</f>
        <v>0</v>
      </c>
      <c r="BX81" s="2439"/>
      <c r="BY81" s="2439"/>
      <c r="BZ81" s="2818">
        <f>ROUND(+$J81*BZ76,0)</f>
        <v>0</v>
      </c>
      <c r="CA81" s="2439"/>
      <c r="CB81" s="2439"/>
      <c r="CC81" s="2818">
        <f>ROUND(+$J81*CC76,0)</f>
        <v>0</v>
      </c>
      <c r="CD81" s="2439"/>
      <c r="CE81" s="2439"/>
      <c r="CF81" s="2818">
        <f>ROUND(+$J81*CF76,0)</f>
        <v>0</v>
      </c>
      <c r="CG81" s="2439"/>
      <c r="CH81" s="2439"/>
      <c r="CI81" s="2818">
        <f>ROUND(+$J81*CI76,0)</f>
        <v>0</v>
      </c>
      <c r="CJ81" s="2439"/>
      <c r="CK81" s="2439"/>
      <c r="CL81" s="2818">
        <f>ROUND(+$J81*CL76,0)</f>
        <v>0</v>
      </c>
      <c r="CM81" s="2439"/>
      <c r="CN81" s="2439"/>
      <c r="CO81" s="2818">
        <f>ROUND(+$J81*CO76,0)</f>
        <v>0</v>
      </c>
      <c r="CP81" s="2439"/>
      <c r="CQ81" s="2439"/>
      <c r="CR81" s="2818">
        <f>ROUND(+$J81*CR76,0)</f>
        <v>0</v>
      </c>
      <c r="CS81" s="2439"/>
      <c r="CT81" s="2439"/>
      <c r="CU81" s="2818">
        <f>ROUND(+$J81*CU76,0)</f>
        <v>0</v>
      </c>
      <c r="CV81" s="2439"/>
      <c r="CW81" s="2439"/>
      <c r="CX81" s="2818">
        <f>ROUND(+$J81*CX76,0)</f>
        <v>0</v>
      </c>
      <c r="CY81" s="2439"/>
      <c r="CZ81" s="2439"/>
      <c r="DA81" s="2818">
        <f>ROUND(+$J81*DA76,0)</f>
        <v>0</v>
      </c>
      <c r="DB81" s="2439"/>
      <c r="DC81" s="2439"/>
      <c r="DD81" s="2818">
        <f>ROUND(+$J81*DD76,0)</f>
        <v>0</v>
      </c>
      <c r="DE81" s="2439"/>
      <c r="DF81" s="2439"/>
      <c r="DG81" s="2818">
        <f>ROUND(+$J81*DG76,0)</f>
        <v>0</v>
      </c>
      <c r="DH81" s="2439"/>
      <c r="DI81" s="2439"/>
      <c r="DJ81" s="2818">
        <f>ROUND(+$J81*DJ76,0)</f>
        <v>0</v>
      </c>
      <c r="DK81" s="2439"/>
      <c r="DL81" s="2439"/>
      <c r="DM81" s="2818">
        <f>ROUND(+$J81*DM76,0)</f>
        <v>0</v>
      </c>
      <c r="DN81" s="2439"/>
      <c r="DO81" s="2439"/>
      <c r="DP81" s="2818">
        <f>ROUND(+$J81*DP76,0)</f>
        <v>0</v>
      </c>
      <c r="DQ81" s="2439"/>
      <c r="DR81" s="2439"/>
      <c r="DS81" s="2818">
        <f>ROUND(+$J81*DS76,0)</f>
        <v>0</v>
      </c>
      <c r="DT81" s="2439"/>
      <c r="DU81" s="2439"/>
      <c r="DV81" s="2818">
        <f>ROUND(+$J81*DV76,0)</f>
        <v>0</v>
      </c>
      <c r="DW81" s="2439"/>
      <c r="DX81" s="2439"/>
      <c r="DY81" s="2818">
        <f>ROUND(+$J81*DY76,0)</f>
        <v>0</v>
      </c>
      <c r="DZ81" s="2439"/>
      <c r="EA81" s="2439"/>
      <c r="EB81" s="322"/>
    </row>
    <row r="82" spans="2:132" s="28" customFormat="1" ht="18" customHeight="1">
      <c r="B82" s="2871" t="s">
        <v>1950</v>
      </c>
      <c r="C82" s="1869"/>
      <c r="D82" s="1869"/>
      <c r="E82" s="1869"/>
      <c r="F82" s="1869"/>
      <c r="G82" s="1869"/>
      <c r="H82" s="1869"/>
      <c r="I82" s="1869"/>
      <c r="J82" s="2947">
        <v>0</v>
      </c>
      <c r="K82" s="1869"/>
      <c r="L82" s="2877">
        <f>ROUND(+$J82*L76,0)</f>
        <v>0</v>
      </c>
      <c r="M82" s="1877"/>
      <c r="N82" s="1877"/>
      <c r="O82" s="2836">
        <f>ROUND(+$J82*O76,0)</f>
        <v>0</v>
      </c>
      <c r="P82" s="1877"/>
      <c r="Q82" s="1877"/>
      <c r="R82" s="2836">
        <f>ROUND(+$J82*R76,0)</f>
        <v>0</v>
      </c>
      <c r="S82" s="1877"/>
      <c r="T82" s="1877"/>
      <c r="U82" s="2836">
        <f>ROUND(+$J82*U76,0)</f>
        <v>0</v>
      </c>
      <c r="V82" s="1877"/>
      <c r="W82" s="1877"/>
      <c r="X82" s="2836">
        <f>ROUND(+$J82*X76,0)</f>
        <v>0</v>
      </c>
      <c r="Y82" s="1877"/>
      <c r="Z82" s="1877"/>
      <c r="AA82" s="2836">
        <f>ROUND(+$J82*AA76,0)</f>
        <v>0</v>
      </c>
      <c r="AB82" s="1877"/>
      <c r="AC82" s="1877"/>
      <c r="AD82" s="2836">
        <f>ROUND(+$J82*AD76,0)</f>
        <v>0</v>
      </c>
      <c r="AE82" s="1877"/>
      <c r="AF82" s="1877"/>
      <c r="AG82" s="2836">
        <f>ROUND(+$J82*AG76,0)</f>
        <v>0</v>
      </c>
      <c r="AH82" s="1877"/>
      <c r="AI82" s="1877"/>
      <c r="AJ82" s="2836">
        <f>ROUND(+$J82*AJ76,0)</f>
        <v>0</v>
      </c>
      <c r="AK82" s="1877"/>
      <c r="AL82" s="1877"/>
      <c r="AM82" s="2836">
        <f>ROUND(+$J82*AM76,0)</f>
        <v>0</v>
      </c>
      <c r="AN82" s="1877"/>
      <c r="AO82" s="1877"/>
      <c r="AP82" s="2836">
        <f>ROUND(+$J82*AP76,0)</f>
        <v>0</v>
      </c>
      <c r="AQ82" s="1877"/>
      <c r="AR82" s="1877"/>
      <c r="AS82" s="2836">
        <f>ROUND(+$J82*AS76,0)</f>
        <v>0</v>
      </c>
      <c r="AT82" s="1877"/>
      <c r="AU82" s="1877"/>
      <c r="AV82" s="2836">
        <f>ROUND(+$J82*AV76,0)</f>
        <v>0</v>
      </c>
      <c r="AW82" s="1877"/>
      <c r="AX82" s="1877"/>
      <c r="AY82" s="2836">
        <f>ROUND(+$J82*AY76,0)</f>
        <v>0</v>
      </c>
      <c r="AZ82" s="1877"/>
      <c r="BA82" s="1877"/>
      <c r="BB82" s="2836">
        <f>ROUND(+$J82*BB76,0)</f>
        <v>0</v>
      </c>
      <c r="BC82" s="1877"/>
      <c r="BD82" s="1877"/>
      <c r="BE82" s="2836">
        <f>ROUND(+$J82*BE76,0)</f>
        <v>0</v>
      </c>
      <c r="BF82" s="1877"/>
      <c r="BG82" s="1877"/>
      <c r="BH82" s="2836">
        <f>ROUND(+$J82*BH76,0)</f>
        <v>0</v>
      </c>
      <c r="BI82" s="1877"/>
      <c r="BJ82" s="1877"/>
      <c r="BK82" s="2836">
        <f>ROUND(+$J82*BK76,0)</f>
        <v>0</v>
      </c>
      <c r="BL82" s="1877"/>
      <c r="BM82" s="1877"/>
      <c r="BN82" s="2836">
        <f>ROUND(+$J82*BN76,0)</f>
        <v>0</v>
      </c>
      <c r="BO82" s="1877"/>
      <c r="BP82" s="1877"/>
      <c r="BQ82" s="2836">
        <f>ROUND(+$J82*BQ76,0)</f>
        <v>0</v>
      </c>
      <c r="BR82" s="1877"/>
      <c r="BS82" s="1877"/>
      <c r="BT82" s="2818">
        <f>ROUND(+$J82*BT76,0)</f>
        <v>0</v>
      </c>
      <c r="BU82" s="2439"/>
      <c r="BV82" s="2439"/>
      <c r="BW82" s="2818">
        <f>ROUND(+$J82*BW76,0)</f>
        <v>0</v>
      </c>
      <c r="BX82" s="2439"/>
      <c r="BY82" s="2439"/>
      <c r="BZ82" s="2818">
        <f>ROUND(+$J82*BZ76,0)</f>
        <v>0</v>
      </c>
      <c r="CA82" s="2439"/>
      <c r="CB82" s="2439"/>
      <c r="CC82" s="2818">
        <f>ROUND(+$J82*CC76,0)</f>
        <v>0</v>
      </c>
      <c r="CD82" s="2439"/>
      <c r="CE82" s="2439"/>
      <c r="CF82" s="2818">
        <f>ROUND(+$J82*CF76,0)</f>
        <v>0</v>
      </c>
      <c r="CG82" s="2439"/>
      <c r="CH82" s="2439"/>
      <c r="CI82" s="2818">
        <f>ROUND(+$J82*CI76,0)</f>
        <v>0</v>
      </c>
      <c r="CJ82" s="2439"/>
      <c r="CK82" s="2439"/>
      <c r="CL82" s="2818">
        <f>ROUND(+$J82*CL76,0)</f>
        <v>0</v>
      </c>
      <c r="CM82" s="2439"/>
      <c r="CN82" s="2439"/>
      <c r="CO82" s="2818">
        <f>ROUND(+$J82*CO76,0)</f>
        <v>0</v>
      </c>
      <c r="CP82" s="2439"/>
      <c r="CQ82" s="2439"/>
      <c r="CR82" s="2818">
        <f>ROUND(+$J82*CR76,0)</f>
        <v>0</v>
      </c>
      <c r="CS82" s="2439"/>
      <c r="CT82" s="2439"/>
      <c r="CU82" s="2818">
        <f>ROUND(+$J82*CU76,0)</f>
        <v>0</v>
      </c>
      <c r="CV82" s="2439"/>
      <c r="CW82" s="2439"/>
      <c r="CX82" s="2818">
        <f>ROUND(+$J82*CX76,0)</f>
        <v>0</v>
      </c>
      <c r="CY82" s="2439"/>
      <c r="CZ82" s="2439"/>
      <c r="DA82" s="2818">
        <f>ROUND(+$J82*DA76,0)</f>
        <v>0</v>
      </c>
      <c r="DB82" s="2439"/>
      <c r="DC82" s="2439"/>
      <c r="DD82" s="2818">
        <f>ROUND(+$J82*DD76,0)</f>
        <v>0</v>
      </c>
      <c r="DE82" s="2439"/>
      <c r="DF82" s="2439"/>
      <c r="DG82" s="2818">
        <f>ROUND(+$J82*DG76,0)</f>
        <v>0</v>
      </c>
      <c r="DH82" s="2439"/>
      <c r="DI82" s="2439"/>
      <c r="DJ82" s="2818">
        <f>ROUND(+$J82*DJ76,0)</f>
        <v>0</v>
      </c>
      <c r="DK82" s="2439"/>
      <c r="DL82" s="2439"/>
      <c r="DM82" s="2818">
        <f>ROUND(+$J82*DM76,0)</f>
        <v>0</v>
      </c>
      <c r="DN82" s="2439"/>
      <c r="DO82" s="2439"/>
      <c r="DP82" s="2818">
        <f>ROUND(+$J82*DP76,0)</f>
        <v>0</v>
      </c>
      <c r="DQ82" s="2439"/>
      <c r="DR82" s="2439"/>
      <c r="DS82" s="2818">
        <f>ROUND(+$J82*DS76,0)</f>
        <v>0</v>
      </c>
      <c r="DT82" s="2439"/>
      <c r="DU82" s="2439"/>
      <c r="DV82" s="2818">
        <f>ROUND(+$J82*DV76,0)</f>
        <v>0</v>
      </c>
      <c r="DW82" s="2439"/>
      <c r="DX82" s="2439"/>
      <c r="DY82" s="2818">
        <f>ROUND(+$J82*DY76,0)</f>
        <v>0</v>
      </c>
      <c r="DZ82" s="2439"/>
      <c r="EA82" s="2439"/>
      <c r="EB82" s="322"/>
    </row>
    <row r="83" spans="2:132" s="26" customFormat="1" ht="9" customHeight="1"/>
    <row r="84" spans="2:132" s="28" customFormat="1" ht="18" customHeight="1">
      <c r="B84" s="2813" t="s">
        <v>1951</v>
      </c>
      <c r="C84" s="1953"/>
      <c r="D84" s="1953"/>
      <c r="E84" s="1953"/>
      <c r="F84" s="1953"/>
      <c r="G84" s="1953"/>
      <c r="H84" s="1953"/>
      <c r="I84" s="1953"/>
      <c r="J84" s="2951">
        <v>3.5000000000000003E-2</v>
      </c>
      <c r="K84" s="1865"/>
      <c r="L84" s="2853">
        <f>'Operating Budget'!$E$145</f>
        <v>0</v>
      </c>
      <c r="M84" s="1953"/>
      <c r="N84" s="1953"/>
      <c r="O84" s="2811">
        <f>ROUNDDOWN((1+$J$84)*L84,0)</f>
        <v>0</v>
      </c>
      <c r="P84" s="1953"/>
      <c r="Q84" s="1953"/>
      <c r="R84" s="2811">
        <f>ROUNDDOWN((1+$J$84)*O84,0)</f>
        <v>0</v>
      </c>
      <c r="S84" s="1953"/>
      <c r="T84" s="1953"/>
      <c r="U84" s="2811">
        <f>ROUNDDOWN((1+$J$84)*R84,0)</f>
        <v>0</v>
      </c>
      <c r="V84" s="1953"/>
      <c r="W84" s="1953"/>
      <c r="X84" s="2811">
        <f>ROUNDDOWN((1+$J$84)*U84,0)</f>
        <v>0</v>
      </c>
      <c r="Y84" s="1953"/>
      <c r="Z84" s="1953"/>
      <c r="AA84" s="2811">
        <f>ROUNDDOWN((1+$J$84)*X84,0)</f>
        <v>0</v>
      </c>
      <c r="AB84" s="1953"/>
      <c r="AC84" s="1953"/>
      <c r="AD84" s="2811">
        <f>ROUNDDOWN((1+$J$84)*AA84,0)</f>
        <v>0</v>
      </c>
      <c r="AE84" s="1953"/>
      <c r="AF84" s="1953"/>
      <c r="AG84" s="2811">
        <f>ROUNDDOWN((1+$J$84)*AD84,0)</f>
        <v>0</v>
      </c>
      <c r="AH84" s="1953"/>
      <c r="AI84" s="1953"/>
      <c r="AJ84" s="2811">
        <f>ROUNDDOWN((1+$J$84)*AG84,0)</f>
        <v>0</v>
      </c>
      <c r="AK84" s="1953"/>
      <c r="AL84" s="1953"/>
      <c r="AM84" s="2811">
        <f>ROUNDDOWN((1+$J$84)*AJ84,0)</f>
        <v>0</v>
      </c>
      <c r="AN84" s="1953"/>
      <c r="AO84" s="1953"/>
      <c r="AP84" s="2811">
        <f>ROUNDDOWN((1+$J$84)*AM84,0)</f>
        <v>0</v>
      </c>
      <c r="AQ84" s="1953"/>
      <c r="AR84" s="1953"/>
      <c r="AS84" s="2811">
        <f>ROUNDDOWN((1+$J$84)*AP84,0)</f>
        <v>0</v>
      </c>
      <c r="AT84" s="1953"/>
      <c r="AU84" s="1953"/>
      <c r="AV84" s="2811">
        <f>ROUNDDOWN((1+$J$84)*AS84,0)</f>
        <v>0</v>
      </c>
      <c r="AW84" s="1953"/>
      <c r="AX84" s="1953"/>
      <c r="AY84" s="2811">
        <f>ROUNDDOWN((1+$J$84)*AV84,0)</f>
        <v>0</v>
      </c>
      <c r="AZ84" s="1953"/>
      <c r="BA84" s="1953"/>
      <c r="BB84" s="2811">
        <f>ROUNDDOWN((1+$J$84)*AY84,0)</f>
        <v>0</v>
      </c>
      <c r="BC84" s="1953"/>
      <c r="BD84" s="1953"/>
      <c r="BE84" s="2811">
        <f>ROUNDDOWN((1+$J$84)*BB84,0)</f>
        <v>0</v>
      </c>
      <c r="BF84" s="1953"/>
      <c r="BG84" s="1953"/>
      <c r="BH84" s="2811">
        <f>ROUNDDOWN((1+$J$84)*BE84,0)</f>
        <v>0</v>
      </c>
      <c r="BI84" s="1953"/>
      <c r="BJ84" s="1953"/>
      <c r="BK84" s="2811">
        <f>ROUNDDOWN((1+$J$84)*BH84,0)</f>
        <v>0</v>
      </c>
      <c r="BL84" s="1953"/>
      <c r="BM84" s="1953"/>
      <c r="BN84" s="2811">
        <f>ROUNDDOWN((1+$J$84)*BK84,0)</f>
        <v>0</v>
      </c>
      <c r="BO84" s="1953"/>
      <c r="BP84" s="1953"/>
      <c r="BQ84" s="2899">
        <f>ROUNDDOWN((1+$J$84)*BN84,0)</f>
        <v>0</v>
      </c>
      <c r="BR84" s="1953"/>
      <c r="BS84" s="1770"/>
      <c r="BT84" s="2791">
        <f>ROUNDDOWN((1+$J$84)*BQ84,0)</f>
        <v>0</v>
      </c>
      <c r="BU84" s="2439"/>
      <c r="BV84" s="2439"/>
      <c r="BW84" s="2791">
        <f>ROUNDDOWN((1+$J$84)*BT84,0)</f>
        <v>0</v>
      </c>
      <c r="BX84" s="2439"/>
      <c r="BY84" s="2439"/>
      <c r="BZ84" s="2791">
        <f>ROUNDDOWN((1+$J$84)*BW84,0)</f>
        <v>0</v>
      </c>
      <c r="CA84" s="2439"/>
      <c r="CB84" s="2439"/>
      <c r="CC84" s="2791">
        <f>ROUNDDOWN((1+$J$84)*BZ84,0)</f>
        <v>0</v>
      </c>
      <c r="CD84" s="2439"/>
      <c r="CE84" s="2439"/>
      <c r="CF84" s="2791">
        <f>ROUNDDOWN((1+$J$84)*CC84,0)</f>
        <v>0</v>
      </c>
      <c r="CG84" s="2439"/>
      <c r="CH84" s="2439"/>
      <c r="CI84" s="2791">
        <f>ROUNDDOWN((1+$J$84)*CF84,0)</f>
        <v>0</v>
      </c>
      <c r="CJ84" s="2439"/>
      <c r="CK84" s="2439"/>
      <c r="CL84" s="2791">
        <f>ROUNDDOWN((1+$J$84)*CI84,0)</f>
        <v>0</v>
      </c>
      <c r="CM84" s="2439"/>
      <c r="CN84" s="2439"/>
      <c r="CO84" s="2791">
        <f>ROUNDDOWN((1+$J$84)*CL84,0)</f>
        <v>0</v>
      </c>
      <c r="CP84" s="2439"/>
      <c r="CQ84" s="2439"/>
      <c r="CR84" s="2791">
        <f>ROUNDDOWN((1+$J$84)*CO84,0)</f>
        <v>0</v>
      </c>
      <c r="CS84" s="2439"/>
      <c r="CT84" s="2439"/>
      <c r="CU84" s="2791">
        <f>ROUNDDOWN((1+$J$84)*CR84,0)</f>
        <v>0</v>
      </c>
      <c r="CV84" s="2439"/>
      <c r="CW84" s="2439"/>
      <c r="CX84" s="2791">
        <f>ROUNDDOWN((1+$J$84)*CU84,0)</f>
        <v>0</v>
      </c>
      <c r="CY84" s="2439"/>
      <c r="CZ84" s="2439"/>
      <c r="DA84" s="2791">
        <f>ROUNDDOWN((1+$J$84)*CX84,0)</f>
        <v>0</v>
      </c>
      <c r="DB84" s="2439"/>
      <c r="DC84" s="2439"/>
      <c r="DD84" s="2791">
        <f>ROUNDDOWN((1+$J$84)*DA84,0)</f>
        <v>0</v>
      </c>
      <c r="DE84" s="2439"/>
      <c r="DF84" s="2439"/>
      <c r="DG84" s="2791">
        <f>ROUNDDOWN((1+$J$84)*DD84,0)</f>
        <v>0</v>
      </c>
      <c r="DH84" s="2439"/>
      <c r="DI84" s="2439"/>
      <c r="DJ84" s="2791">
        <f>ROUNDDOWN((1+$J$84)*DG84,0)</f>
        <v>0</v>
      </c>
      <c r="DK84" s="2439"/>
      <c r="DL84" s="2439"/>
      <c r="DM84" s="2791">
        <f>ROUNDDOWN((1+$J$84)*DJ84,0)</f>
        <v>0</v>
      </c>
      <c r="DN84" s="2439"/>
      <c r="DO84" s="2439"/>
      <c r="DP84" s="2791">
        <f>ROUNDDOWN((1+$J$84)*DM84,0)</f>
        <v>0</v>
      </c>
      <c r="DQ84" s="2439"/>
      <c r="DR84" s="2439"/>
      <c r="DS84" s="2791">
        <f>ROUNDDOWN((1+$J$84)*DP84,0)</f>
        <v>0</v>
      </c>
      <c r="DT84" s="2439"/>
      <c r="DU84" s="2439"/>
      <c r="DV84" s="2791">
        <f>ROUNDDOWN((1+$J$84)*DS84,0)</f>
        <v>0</v>
      </c>
      <c r="DW84" s="2439"/>
      <c r="DX84" s="2439"/>
      <c r="DY84" s="2791">
        <f>ROUNDDOWN((1+$J$84)*DV84,0)</f>
        <v>0</v>
      </c>
      <c r="DZ84" s="2439"/>
      <c r="EA84" s="2439"/>
      <c r="EB84" s="322"/>
    </row>
    <row r="85" spans="2:132" s="28" customFormat="1" ht="18" customHeight="1">
      <c r="B85" s="2873" t="s">
        <v>1952</v>
      </c>
      <c r="C85" s="1877"/>
      <c r="D85" s="1877"/>
      <c r="E85" s="1877"/>
      <c r="F85" s="1877"/>
      <c r="G85" s="1877"/>
      <c r="H85" s="1877"/>
      <c r="I85" s="1877"/>
      <c r="J85" s="1877"/>
      <c r="K85" s="1772"/>
      <c r="L85" s="2875">
        <f>+L75</f>
        <v>0</v>
      </c>
      <c r="M85" s="1877"/>
      <c r="N85" s="1877"/>
      <c r="O85" s="2800">
        <f>+L85+O75</f>
        <v>0</v>
      </c>
      <c r="P85" s="1877"/>
      <c r="Q85" s="1877"/>
      <c r="R85" s="2800">
        <f>+O85+R75</f>
        <v>0</v>
      </c>
      <c r="S85" s="1877"/>
      <c r="T85" s="1877"/>
      <c r="U85" s="2800">
        <f>+R85+U75</f>
        <v>0</v>
      </c>
      <c r="V85" s="1877"/>
      <c r="W85" s="1877"/>
      <c r="X85" s="2800">
        <f>+U85+X75</f>
        <v>0</v>
      </c>
      <c r="Y85" s="1877"/>
      <c r="Z85" s="1877"/>
      <c r="AA85" s="2800">
        <f>+X85+AA75</f>
        <v>0</v>
      </c>
      <c r="AB85" s="1877"/>
      <c r="AC85" s="1877"/>
      <c r="AD85" s="2800">
        <f>+AA85+AD75</f>
        <v>0</v>
      </c>
      <c r="AE85" s="1877"/>
      <c r="AF85" s="1877"/>
      <c r="AG85" s="2800">
        <f>+AD85+AG75</f>
        <v>0</v>
      </c>
      <c r="AH85" s="1877"/>
      <c r="AI85" s="1877"/>
      <c r="AJ85" s="2800">
        <f>+AG85+AJ75</f>
        <v>0</v>
      </c>
      <c r="AK85" s="1877"/>
      <c r="AL85" s="1877"/>
      <c r="AM85" s="2800">
        <f>+AJ85+AM75</f>
        <v>0</v>
      </c>
      <c r="AN85" s="1877"/>
      <c r="AO85" s="1877"/>
      <c r="AP85" s="2800">
        <f>+AM85+AP75</f>
        <v>0</v>
      </c>
      <c r="AQ85" s="1877"/>
      <c r="AR85" s="1877"/>
      <c r="AS85" s="2800">
        <f>+AP85+AS75</f>
        <v>0</v>
      </c>
      <c r="AT85" s="1877"/>
      <c r="AU85" s="1877"/>
      <c r="AV85" s="2800">
        <f>+AS85+AV75</f>
        <v>0</v>
      </c>
      <c r="AW85" s="1877"/>
      <c r="AX85" s="1877"/>
      <c r="AY85" s="2800">
        <f>+AV85+AY75</f>
        <v>0</v>
      </c>
      <c r="AZ85" s="1877"/>
      <c r="BA85" s="1877"/>
      <c r="BB85" s="2800">
        <f>+AY85+BB75</f>
        <v>0</v>
      </c>
      <c r="BC85" s="1877"/>
      <c r="BD85" s="1877"/>
      <c r="BE85" s="2800">
        <f>+BB85+BE75</f>
        <v>0</v>
      </c>
      <c r="BF85" s="1877"/>
      <c r="BG85" s="1877"/>
      <c r="BH85" s="2800">
        <f>+BE85+BH75</f>
        <v>0</v>
      </c>
      <c r="BI85" s="1877"/>
      <c r="BJ85" s="1877"/>
      <c r="BK85" s="2800">
        <f>+BH85+BK75</f>
        <v>0</v>
      </c>
      <c r="BL85" s="1877"/>
      <c r="BM85" s="1877"/>
      <c r="BN85" s="2800">
        <f>+BK85+BN75</f>
        <v>0</v>
      </c>
      <c r="BO85" s="1877"/>
      <c r="BP85" s="1877"/>
      <c r="BQ85" s="2971">
        <f>+BN85+BQ75</f>
        <v>0</v>
      </c>
      <c r="BR85" s="1877"/>
      <c r="BS85" s="1772"/>
      <c r="BT85" s="2800">
        <f>+BQ85+BT75</f>
        <v>0</v>
      </c>
      <c r="BU85" s="1877"/>
      <c r="BV85" s="1877"/>
      <c r="BW85" s="2800">
        <f>+BT85+BW75</f>
        <v>0</v>
      </c>
      <c r="BX85" s="1877"/>
      <c r="BY85" s="1877"/>
      <c r="BZ85" s="2800">
        <f>+BW85+BZ75</f>
        <v>0</v>
      </c>
      <c r="CA85" s="1877"/>
      <c r="CB85" s="1877"/>
      <c r="CC85" s="2800">
        <f>+BZ85+CC75</f>
        <v>0</v>
      </c>
      <c r="CD85" s="1877"/>
      <c r="CE85" s="1877"/>
      <c r="CF85" s="2800">
        <f>+CC85+CF75</f>
        <v>0</v>
      </c>
      <c r="CG85" s="1877"/>
      <c r="CH85" s="1877"/>
      <c r="CI85" s="2800">
        <f>+CF85+CI75</f>
        <v>0</v>
      </c>
      <c r="CJ85" s="1877"/>
      <c r="CK85" s="1877"/>
      <c r="CL85" s="2800">
        <f>+CI85+CL75</f>
        <v>0</v>
      </c>
      <c r="CM85" s="1877"/>
      <c r="CN85" s="1877"/>
      <c r="CO85" s="2800">
        <f>+CL85+CO75</f>
        <v>0</v>
      </c>
      <c r="CP85" s="1877"/>
      <c r="CQ85" s="1877"/>
      <c r="CR85" s="2800">
        <f>+CO85+CR75</f>
        <v>0</v>
      </c>
      <c r="CS85" s="1877"/>
      <c r="CT85" s="1877"/>
      <c r="CU85" s="2800">
        <f>+CR85+CU75</f>
        <v>0</v>
      </c>
      <c r="CV85" s="1877"/>
      <c r="CW85" s="1877"/>
      <c r="CX85" s="2800">
        <f>+CU85+CX75</f>
        <v>0</v>
      </c>
      <c r="CY85" s="1877"/>
      <c r="CZ85" s="1877"/>
      <c r="DA85" s="2800">
        <f>+CX85+DA75</f>
        <v>0</v>
      </c>
      <c r="DB85" s="1877"/>
      <c r="DC85" s="1877"/>
      <c r="DD85" s="2800">
        <f>+DA85+DD75</f>
        <v>0</v>
      </c>
      <c r="DE85" s="1877"/>
      <c r="DF85" s="1877"/>
      <c r="DG85" s="2800">
        <f>+DD85+DG75</f>
        <v>0</v>
      </c>
      <c r="DH85" s="1877"/>
      <c r="DI85" s="1877"/>
      <c r="DJ85" s="2800">
        <f>+DG85+DJ75</f>
        <v>0</v>
      </c>
      <c r="DK85" s="1877"/>
      <c r="DL85" s="1877"/>
      <c r="DM85" s="2800">
        <f>+DJ85+DM75</f>
        <v>0</v>
      </c>
      <c r="DN85" s="1877"/>
      <c r="DO85" s="1877"/>
      <c r="DP85" s="2800">
        <f>+DM85+DP75</f>
        <v>0</v>
      </c>
      <c r="DQ85" s="1877"/>
      <c r="DR85" s="1877"/>
      <c r="DS85" s="2800">
        <f>+DP85+DS75</f>
        <v>0</v>
      </c>
      <c r="DT85" s="1877"/>
      <c r="DU85" s="1877"/>
      <c r="DV85" s="2800">
        <f>+DS85+DV75</f>
        <v>0</v>
      </c>
      <c r="DW85" s="1877"/>
      <c r="DX85" s="1877"/>
      <c r="DY85" s="2800">
        <f>+DV85+DY75</f>
        <v>0</v>
      </c>
      <c r="DZ85" s="1877"/>
      <c r="EA85" s="1877"/>
      <c r="EB85" s="322"/>
    </row>
    <row r="86" spans="2:132" s="28" customFormat="1" ht="9" customHeight="1">
      <c r="B86" s="98"/>
      <c r="C86" s="98"/>
      <c r="D86" s="98"/>
      <c r="E86" s="98"/>
      <c r="F86" s="98"/>
      <c r="G86" s="98"/>
      <c r="H86" s="98"/>
      <c r="I86" s="98"/>
      <c r="J86" s="98"/>
      <c r="K86" s="98"/>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c r="BP86" s="26"/>
      <c r="BQ86" s="26"/>
      <c r="BR86" s="26"/>
      <c r="BS86" s="26"/>
      <c r="BT86" s="26"/>
      <c r="BU86" s="26"/>
      <c r="BV86" s="26"/>
      <c r="BW86" s="26"/>
      <c r="BX86" s="26"/>
      <c r="BY86" s="26"/>
      <c r="BZ86" s="26"/>
      <c r="CA86" s="26"/>
      <c r="CB86" s="26"/>
      <c r="CC86" s="26"/>
      <c r="CD86" s="26"/>
      <c r="CE86" s="26"/>
      <c r="CF86" s="26"/>
      <c r="CG86" s="26"/>
      <c r="CH86" s="26"/>
      <c r="CI86" s="26"/>
      <c r="CJ86" s="26"/>
      <c r="CK86" s="26"/>
      <c r="CL86" s="26"/>
      <c r="CM86" s="26"/>
      <c r="CN86" s="26"/>
      <c r="CO86" s="26"/>
      <c r="CP86" s="26"/>
      <c r="CQ86" s="26"/>
      <c r="CR86" s="26"/>
      <c r="CS86" s="26"/>
      <c r="CT86" s="26"/>
      <c r="CU86" s="26"/>
      <c r="CV86" s="26"/>
      <c r="CW86" s="26"/>
      <c r="CX86" s="26"/>
      <c r="CY86" s="26"/>
      <c r="CZ86" s="26"/>
      <c r="DA86" s="26"/>
      <c r="DB86" s="26"/>
      <c r="DC86" s="26"/>
      <c r="DD86" s="26"/>
      <c r="DE86" s="26"/>
      <c r="DF86" s="26"/>
      <c r="DG86" s="26"/>
      <c r="DH86" s="26"/>
      <c r="DI86" s="26"/>
      <c r="DJ86" s="26"/>
      <c r="DK86" s="26"/>
      <c r="DL86" s="26"/>
      <c r="DM86" s="26"/>
      <c r="DN86" s="26"/>
      <c r="DO86" s="26"/>
      <c r="DP86" s="26"/>
      <c r="DQ86" s="26"/>
      <c r="DR86" s="26"/>
      <c r="DS86" s="26"/>
      <c r="DT86" s="26"/>
      <c r="DU86" s="26"/>
      <c r="DV86" s="26"/>
      <c r="DW86" s="26"/>
      <c r="DX86" s="26"/>
      <c r="DY86" s="26"/>
      <c r="DZ86" s="26"/>
      <c r="EA86" s="26"/>
      <c r="EB86" s="44"/>
    </row>
    <row r="87" spans="2:132" s="28" customFormat="1" ht="54" customHeight="1">
      <c r="B87" s="2945" t="s">
        <v>1953</v>
      </c>
      <c r="C87" s="1777"/>
      <c r="D87" s="1777"/>
      <c r="E87" s="1777"/>
      <c r="F87" s="1777"/>
      <c r="G87" s="1777"/>
      <c r="H87" s="1777"/>
      <c r="I87" s="1777"/>
      <c r="J87" s="1777"/>
      <c r="K87" s="1778"/>
      <c r="L87" s="2964"/>
      <c r="M87" s="1861"/>
      <c r="N87" s="1862"/>
      <c r="O87" s="49"/>
      <c r="P87" s="49"/>
      <c r="Q87" s="49"/>
      <c r="R87" s="49"/>
      <c r="S87" s="49"/>
      <c r="T87" s="49"/>
      <c r="U87" s="49"/>
      <c r="V87" s="49"/>
      <c r="W87" s="49"/>
      <c r="X87" s="49"/>
      <c r="Y87" s="49"/>
      <c r="Z87" s="49"/>
      <c r="AA87" s="49"/>
      <c r="AB87" s="49"/>
      <c r="AC87" s="49"/>
      <c r="AD87" s="49"/>
      <c r="AE87" s="49"/>
      <c r="AF87" s="49"/>
      <c r="AG87" s="49"/>
      <c r="AH87" s="49"/>
      <c r="AI87" s="49"/>
      <c r="AJ87" s="49"/>
      <c r="AK87" s="49"/>
      <c r="AL87" s="49"/>
      <c r="AM87" s="49"/>
      <c r="AN87" s="49"/>
      <c r="AO87" s="49"/>
      <c r="AP87" s="49"/>
      <c r="AQ87" s="49"/>
      <c r="AR87" s="49"/>
      <c r="AS87" s="49"/>
      <c r="AT87" s="49"/>
      <c r="AU87" s="49"/>
      <c r="AV87" s="49"/>
      <c r="AW87" s="49"/>
      <c r="AX87" s="49"/>
      <c r="AY87" s="49"/>
      <c r="AZ87" s="49"/>
      <c r="BA87" s="49"/>
      <c r="BB87" s="49"/>
      <c r="BC87" s="49"/>
      <c r="BD87" s="49"/>
      <c r="BE87" s="49"/>
      <c r="BF87" s="49"/>
      <c r="BG87" s="49"/>
      <c r="BH87" s="49"/>
      <c r="BI87" s="49"/>
      <c r="BJ87" s="49"/>
      <c r="BK87" s="49"/>
      <c r="BL87" s="49"/>
      <c r="BM87" s="49"/>
      <c r="BN87" s="49"/>
      <c r="BO87" s="49"/>
      <c r="BP87" s="49"/>
      <c r="BQ87" s="49"/>
      <c r="BR87" s="49"/>
      <c r="BS87" s="49"/>
      <c r="BT87" s="49"/>
      <c r="BU87" s="49"/>
      <c r="BV87" s="49"/>
      <c r="BW87" s="49"/>
      <c r="BX87" s="49"/>
      <c r="BY87" s="49"/>
      <c r="BZ87" s="49"/>
      <c r="CA87" s="49"/>
      <c r="CB87" s="49"/>
      <c r="CC87" s="49"/>
      <c r="CD87" s="49"/>
      <c r="CE87" s="49"/>
      <c r="CF87" s="49"/>
      <c r="CG87" s="49"/>
      <c r="CH87" s="49"/>
      <c r="CI87" s="49"/>
      <c r="CJ87" s="49"/>
      <c r="CK87" s="49"/>
      <c r="CL87" s="49"/>
      <c r="CM87" s="49"/>
      <c r="CN87" s="49"/>
      <c r="CO87" s="49"/>
      <c r="CP87" s="49"/>
      <c r="CQ87" s="49"/>
      <c r="CR87" s="49"/>
      <c r="CS87" s="49"/>
      <c r="CT87" s="49"/>
      <c r="CU87" s="49"/>
      <c r="CV87" s="49"/>
      <c r="CW87" s="49"/>
      <c r="CX87" s="49"/>
      <c r="CY87" s="49"/>
      <c r="CZ87" s="49"/>
      <c r="DA87" s="49"/>
      <c r="DB87" s="49"/>
      <c r="DC87" s="49"/>
      <c r="DD87" s="49"/>
      <c r="DE87" s="49"/>
      <c r="DF87" s="49"/>
      <c r="DG87" s="49"/>
      <c r="DH87" s="49"/>
      <c r="DI87" s="49"/>
      <c r="DJ87" s="49"/>
      <c r="DK87" s="49"/>
      <c r="DL87" s="49"/>
      <c r="DM87" s="49"/>
      <c r="DN87" s="49"/>
      <c r="DO87" s="49"/>
      <c r="DP87" s="49"/>
      <c r="DQ87" s="49"/>
      <c r="DR87" s="49"/>
      <c r="DS87" s="49"/>
      <c r="DT87" s="49"/>
      <c r="DU87" s="49"/>
      <c r="DV87" s="49"/>
      <c r="DW87" s="49"/>
      <c r="DX87" s="49"/>
      <c r="DY87" s="49"/>
      <c r="DZ87" s="49"/>
      <c r="EA87" s="49"/>
      <c r="EB87" s="44"/>
    </row>
    <row r="88" spans="2:132" ht="18" customHeight="1">
      <c r="B88" s="788"/>
      <c r="C88" s="788"/>
      <c r="D88" s="788"/>
      <c r="E88" s="788"/>
      <c r="F88" s="788"/>
      <c r="G88" s="788"/>
      <c r="H88" s="788"/>
      <c r="I88" s="788"/>
      <c r="J88" s="788"/>
      <c r="K88" s="788"/>
      <c r="L88" s="1697"/>
      <c r="M88" s="54"/>
      <c r="N88" s="54"/>
      <c r="O88" s="53"/>
      <c r="P88" s="53"/>
      <c r="Q88" s="53"/>
      <c r="R88" s="53"/>
      <c r="S88" s="53"/>
      <c r="T88" s="53"/>
      <c r="U88" s="53"/>
      <c r="V88" s="53"/>
      <c r="W88" s="53"/>
      <c r="X88" s="53"/>
      <c r="Y88" s="53"/>
      <c r="Z88" s="53"/>
      <c r="AA88" s="53"/>
      <c r="AB88" s="53"/>
      <c r="AC88" s="53"/>
      <c r="AD88" s="53"/>
      <c r="AE88" s="53"/>
      <c r="AF88" s="53"/>
      <c r="AG88" s="53"/>
      <c r="AH88" s="53"/>
      <c r="AI88" s="53"/>
      <c r="AJ88" s="53"/>
      <c r="AK88" s="53"/>
      <c r="AL88" s="53"/>
      <c r="AM88" s="53"/>
      <c r="AN88" s="53"/>
      <c r="AO88" s="53"/>
      <c r="AP88" s="53"/>
      <c r="AQ88" s="53"/>
      <c r="AR88" s="53"/>
      <c r="AS88" s="53"/>
      <c r="AT88" s="53"/>
      <c r="AU88" s="53"/>
      <c r="AV88" s="53"/>
      <c r="AW88" s="53"/>
      <c r="AX88" s="53"/>
      <c r="AY88" s="53"/>
      <c r="AZ88" s="53"/>
      <c r="BA88" s="53"/>
      <c r="BB88" s="53"/>
      <c r="BC88" s="53"/>
      <c r="BD88" s="53"/>
      <c r="BE88" s="53"/>
      <c r="BF88" s="53"/>
      <c r="BG88" s="53"/>
      <c r="BH88" s="53"/>
      <c r="BI88" s="53"/>
      <c r="BJ88" s="53"/>
      <c r="BK88" s="53"/>
      <c r="BL88" s="53"/>
      <c r="BM88" s="53"/>
      <c r="BN88" s="53"/>
      <c r="BO88" s="53"/>
      <c r="BP88" s="53"/>
      <c r="BQ88" s="53"/>
      <c r="BR88" s="53"/>
      <c r="BS88" s="53"/>
      <c r="BT88" s="53"/>
      <c r="BU88" s="53"/>
      <c r="BV88" s="53"/>
      <c r="BW88" s="53"/>
      <c r="BX88" s="53"/>
      <c r="BY88" s="53"/>
      <c r="BZ88" s="53"/>
      <c r="CA88" s="53"/>
      <c r="CB88" s="53"/>
      <c r="CC88" s="53"/>
      <c r="CD88" s="53"/>
      <c r="CE88" s="53"/>
      <c r="CF88" s="53"/>
      <c r="CG88" s="53"/>
      <c r="CH88" s="53"/>
      <c r="CI88" s="53"/>
      <c r="CJ88" s="53"/>
      <c r="CK88" s="53"/>
      <c r="CL88" s="53"/>
      <c r="CM88" s="53"/>
      <c r="CN88" s="53"/>
      <c r="CO88" s="53"/>
      <c r="CP88" s="53"/>
      <c r="CQ88" s="53"/>
      <c r="CR88" s="53"/>
      <c r="CS88" s="53"/>
      <c r="CT88" s="53"/>
      <c r="CU88" s="53"/>
      <c r="CV88" s="53"/>
      <c r="CW88" s="53"/>
      <c r="CX88" s="53"/>
      <c r="CY88" s="53"/>
      <c r="CZ88" s="53"/>
      <c r="DA88" s="53"/>
      <c r="DB88" s="53"/>
      <c r="DC88" s="53"/>
      <c r="DD88" s="53"/>
      <c r="DE88" s="53"/>
      <c r="DF88" s="53"/>
      <c r="DG88" s="53"/>
      <c r="DH88" s="53"/>
      <c r="DI88" s="53"/>
      <c r="DJ88" s="53"/>
      <c r="DK88" s="53"/>
      <c r="DL88" s="53"/>
      <c r="DM88" s="53"/>
      <c r="DN88" s="53"/>
      <c r="DO88" s="53"/>
      <c r="DP88" s="53"/>
      <c r="DQ88" s="53"/>
      <c r="DR88" s="53"/>
      <c r="DS88" s="53"/>
      <c r="DT88" s="53"/>
      <c r="DU88" s="53"/>
      <c r="DV88" s="53"/>
      <c r="DW88" s="53"/>
      <c r="DX88" s="53"/>
      <c r="DY88" s="53"/>
      <c r="DZ88" s="53"/>
      <c r="EA88" s="53"/>
    </row>
    <row r="89" spans="2:132" ht="18" customHeight="1">
      <c r="B89" s="2861" t="s">
        <v>1954</v>
      </c>
      <c r="C89" s="2821"/>
      <c r="D89" s="2821"/>
      <c r="E89" s="2821"/>
      <c r="F89" s="2821"/>
      <c r="G89" s="2821"/>
      <c r="H89" s="2821"/>
      <c r="I89" s="2821"/>
      <c r="J89" s="2821"/>
      <c r="K89" s="2821"/>
      <c r="L89" s="2438"/>
      <c r="M89" s="2435"/>
      <c r="N89" s="2435"/>
      <c r="O89" s="53"/>
      <c r="P89" s="53"/>
      <c r="Q89" s="53"/>
      <c r="R89" s="53"/>
      <c r="S89" s="53"/>
      <c r="T89" s="53"/>
      <c r="U89" s="53"/>
      <c r="V89" s="53"/>
      <c r="W89" s="53"/>
      <c r="X89" s="53"/>
      <c r="Y89" s="53"/>
      <c r="Z89" s="53"/>
      <c r="AA89" s="53"/>
      <c r="AB89" s="53"/>
      <c r="AC89" s="53"/>
      <c r="AD89" s="53"/>
      <c r="AE89" s="53"/>
      <c r="AF89" s="53"/>
      <c r="AG89" s="53"/>
      <c r="AH89" s="53"/>
      <c r="AI89" s="53"/>
      <c r="AJ89" s="53"/>
      <c r="AK89" s="53"/>
      <c r="AL89" s="53"/>
      <c r="AM89" s="53"/>
      <c r="AN89" s="53"/>
      <c r="AO89" s="53"/>
      <c r="AP89" s="53"/>
      <c r="AQ89" s="53"/>
      <c r="AR89" s="53"/>
      <c r="AS89" s="53"/>
      <c r="AT89" s="53"/>
      <c r="AU89" s="53"/>
      <c r="EB89" s="17"/>
    </row>
    <row r="90" spans="2:132" ht="111" customHeight="1">
      <c r="B90" s="2950"/>
      <c r="C90" s="1861"/>
      <c r="D90" s="1861"/>
      <c r="E90" s="1861"/>
      <c r="F90" s="1861"/>
      <c r="G90" s="1861"/>
      <c r="H90" s="1861"/>
      <c r="I90" s="1861"/>
      <c r="J90" s="1861"/>
      <c r="K90" s="1861"/>
      <c r="L90" s="1861"/>
      <c r="M90" s="1861"/>
      <c r="N90" s="1861"/>
      <c r="O90" s="1861"/>
      <c r="P90" s="1861"/>
      <c r="Q90" s="1861"/>
      <c r="R90" s="1861"/>
      <c r="S90" s="1861"/>
      <c r="T90" s="1861"/>
      <c r="U90" s="1861"/>
      <c r="V90" s="1861"/>
      <c r="W90" s="1861"/>
      <c r="X90" s="1861"/>
      <c r="Y90" s="1861"/>
      <c r="Z90" s="1861"/>
      <c r="AA90" s="1861"/>
      <c r="AB90" s="1861"/>
      <c r="AC90" s="1861"/>
      <c r="AD90" s="1861"/>
      <c r="AE90" s="1861"/>
      <c r="AF90" s="1861"/>
      <c r="AG90" s="1861"/>
      <c r="AH90" s="1861"/>
      <c r="AI90" s="1861"/>
      <c r="AJ90" s="1861"/>
      <c r="AK90" s="1861"/>
      <c r="AL90" s="1861"/>
      <c r="AM90" s="1861"/>
      <c r="AN90" s="1861"/>
      <c r="AO90" s="1861"/>
      <c r="AP90" s="1861"/>
      <c r="AQ90" s="1861"/>
      <c r="AR90" s="1861"/>
      <c r="AS90" s="1861"/>
      <c r="AT90" s="1861"/>
      <c r="AU90" s="1862"/>
      <c r="EB90" s="17"/>
    </row>
    <row r="91" spans="2:132" ht="18" customHeight="1">
      <c r="L91" s="17"/>
      <c r="EB91" s="17"/>
    </row>
    <row r="92" spans="2:132" ht="9" hidden="1" customHeight="1">
      <c r="B92" s="701"/>
      <c r="C92" s="702"/>
      <c r="D92" s="702"/>
      <c r="E92" s="702"/>
      <c r="F92" s="702"/>
      <c r="G92" s="702"/>
      <c r="H92" s="702"/>
      <c r="I92" s="702"/>
      <c r="J92" s="702"/>
      <c r="K92" s="702"/>
      <c r="L92" s="686"/>
      <c r="M92" s="686"/>
      <c r="N92" s="686"/>
      <c r="O92" s="686"/>
      <c r="P92" s="686"/>
      <c r="Q92" s="686"/>
      <c r="R92" s="686"/>
      <c r="S92" s="686"/>
      <c r="T92" s="686"/>
      <c r="U92" s="686"/>
      <c r="V92" s="686"/>
      <c r="W92" s="686"/>
      <c r="X92" s="686"/>
      <c r="Y92" s="686"/>
      <c r="Z92" s="686"/>
      <c r="AA92" s="686"/>
      <c r="AB92" s="686"/>
      <c r="AC92" s="686"/>
      <c r="AD92" s="686"/>
      <c r="AE92" s="686"/>
      <c r="AF92" s="686"/>
      <c r="AG92" s="686"/>
      <c r="AH92" s="686"/>
      <c r="AI92" s="686"/>
      <c r="AJ92" s="686"/>
      <c r="AK92" s="686"/>
      <c r="AL92" s="686"/>
      <c r="AM92" s="686"/>
      <c r="AN92" s="686"/>
      <c r="AO92" s="686"/>
      <c r="AP92" s="686"/>
      <c r="AQ92" s="686"/>
      <c r="AR92" s="686"/>
      <c r="AS92" s="686"/>
      <c r="AT92" s="686"/>
      <c r="AU92" s="686"/>
      <c r="AV92" s="686"/>
      <c r="AW92" s="686"/>
      <c r="AX92" s="686"/>
      <c r="AY92" s="686"/>
      <c r="AZ92" s="686"/>
      <c r="BA92" s="686"/>
      <c r="BB92" s="686"/>
      <c r="BC92" s="686"/>
      <c r="BD92" s="686"/>
      <c r="BE92" s="686"/>
      <c r="BF92" s="686"/>
      <c r="BG92" s="686"/>
      <c r="BH92" s="686"/>
      <c r="BI92" s="686"/>
      <c r="BJ92" s="686"/>
      <c r="BK92" s="686"/>
      <c r="BL92" s="686"/>
      <c r="BM92" s="686"/>
      <c r="BN92" s="686"/>
      <c r="BO92" s="686"/>
      <c r="BP92" s="686"/>
      <c r="BQ92" s="686"/>
      <c r="BR92" s="686"/>
      <c r="BS92" s="687"/>
      <c r="BT92" s="686"/>
      <c r="BU92" s="686"/>
      <c r="BV92" s="686"/>
      <c r="BW92" s="686"/>
      <c r="BX92" s="686"/>
      <c r="BY92" s="686"/>
      <c r="BZ92" s="686"/>
      <c r="CA92" s="686"/>
      <c r="CB92" s="686"/>
      <c r="CC92" s="686"/>
      <c r="CD92" s="686"/>
      <c r="CE92" s="686"/>
      <c r="CF92" s="686"/>
      <c r="CG92" s="686"/>
      <c r="CH92" s="686"/>
      <c r="CI92" s="686"/>
      <c r="CJ92" s="686"/>
      <c r="CK92" s="686"/>
      <c r="CL92" s="686"/>
      <c r="CM92" s="686"/>
      <c r="CN92" s="686"/>
      <c r="CO92" s="686"/>
      <c r="CP92" s="686"/>
      <c r="CQ92" s="686"/>
      <c r="CR92" s="686"/>
      <c r="CS92" s="686"/>
      <c r="CT92" s="686"/>
      <c r="CU92" s="686"/>
      <c r="CV92" s="686"/>
      <c r="CW92" s="686"/>
      <c r="CX92" s="686"/>
      <c r="CY92" s="686"/>
      <c r="CZ92" s="686"/>
      <c r="DA92" s="686"/>
      <c r="DB92" s="686"/>
      <c r="DC92" s="686"/>
      <c r="DD92" s="686"/>
      <c r="DE92" s="686"/>
      <c r="DF92" s="686"/>
      <c r="DG92" s="686"/>
      <c r="DH92" s="686"/>
      <c r="DI92" s="686"/>
      <c r="DJ92" s="686"/>
      <c r="DK92" s="686"/>
      <c r="DL92" s="686"/>
      <c r="DM92" s="686"/>
      <c r="DN92" s="686"/>
      <c r="DO92" s="686"/>
      <c r="DP92" s="686"/>
      <c r="DQ92" s="686"/>
      <c r="DR92" s="686"/>
      <c r="DS92" s="686"/>
      <c r="DT92" s="686"/>
      <c r="DU92" s="686"/>
      <c r="DV92" s="686"/>
      <c r="DW92" s="686"/>
      <c r="DX92" s="686"/>
      <c r="DY92" s="686"/>
      <c r="DZ92" s="686"/>
      <c r="EA92" s="687"/>
      <c r="EB92" s="17"/>
    </row>
    <row r="93" spans="2:132" ht="18" hidden="1" customHeight="1">
      <c r="B93" s="2970" t="s">
        <v>1955</v>
      </c>
      <c r="C93" s="1953"/>
      <c r="D93" s="1953"/>
      <c r="E93" s="1953"/>
      <c r="F93" s="1953"/>
      <c r="G93" s="1953"/>
      <c r="H93" s="1770"/>
      <c r="L93" s="17"/>
      <c r="BS93" s="688"/>
      <c r="EA93" s="688"/>
      <c r="EB93" s="17"/>
    </row>
    <row r="94" spans="2:132" ht="18" hidden="1" customHeight="1">
      <c r="B94" s="2960" t="s">
        <v>1956</v>
      </c>
      <c r="C94" s="1777"/>
      <c r="D94" s="1777"/>
      <c r="E94" s="2859">
        <f>IF(AND(IsMhp,IsSpecialNeeds,'MHP Threshold Requirements'!E32="P"),'Unit Mix'!$J$8,0)</f>
        <v>0</v>
      </c>
      <c r="F94" s="1777"/>
      <c r="G94" s="1388"/>
      <c r="H94" s="2946" t="s">
        <v>1957</v>
      </c>
      <c r="I94" s="1777"/>
      <c r="J94" s="2953">
        <f>IFERROR(COSRUnits/(TotalUnits-ManagerUnits),0)</f>
        <v>0</v>
      </c>
      <c r="K94" s="1778"/>
      <c r="L94" s="17"/>
      <c r="BS94" s="688"/>
      <c r="EA94" s="688"/>
      <c r="EB94" s="17"/>
    </row>
    <row r="95" spans="2:132" ht="18" hidden="1" customHeight="1">
      <c r="B95" s="2855" t="s">
        <v>1877</v>
      </c>
      <c r="C95" s="1877"/>
      <c r="D95" s="1877"/>
      <c r="E95" s="1877"/>
      <c r="F95" s="1877"/>
      <c r="G95" s="1877"/>
      <c r="H95" s="1877"/>
      <c r="I95" s="1772"/>
      <c r="J95" s="2938" t="s">
        <v>1878</v>
      </c>
      <c r="K95" s="1772"/>
      <c r="L95" s="2843" t="s">
        <v>1879</v>
      </c>
      <c r="M95" s="1777"/>
      <c r="N95" s="1777"/>
      <c r="O95" s="2789" t="s">
        <v>1880</v>
      </c>
      <c r="P95" s="1777"/>
      <c r="Q95" s="1777"/>
      <c r="R95" s="2789" t="s">
        <v>1881</v>
      </c>
      <c r="S95" s="1777"/>
      <c r="T95" s="1777"/>
      <c r="U95" s="2789" t="s">
        <v>1882</v>
      </c>
      <c r="V95" s="1777"/>
      <c r="W95" s="1777"/>
      <c r="X95" s="2789" t="s">
        <v>1883</v>
      </c>
      <c r="Y95" s="1777"/>
      <c r="Z95" s="1777"/>
      <c r="AA95" s="2789" t="s">
        <v>1884</v>
      </c>
      <c r="AB95" s="1777"/>
      <c r="AC95" s="1777"/>
      <c r="AD95" s="2789" t="s">
        <v>1885</v>
      </c>
      <c r="AE95" s="1777"/>
      <c r="AF95" s="1777"/>
      <c r="AG95" s="2789" t="s">
        <v>1886</v>
      </c>
      <c r="AH95" s="1777"/>
      <c r="AI95" s="1777"/>
      <c r="AJ95" s="2789" t="s">
        <v>1887</v>
      </c>
      <c r="AK95" s="1777"/>
      <c r="AL95" s="1777"/>
      <c r="AM95" s="2789" t="s">
        <v>1888</v>
      </c>
      <c r="AN95" s="1777"/>
      <c r="AO95" s="1777"/>
      <c r="AP95" s="2789" t="s">
        <v>1889</v>
      </c>
      <c r="AQ95" s="1777"/>
      <c r="AR95" s="1777"/>
      <c r="AS95" s="2789" t="s">
        <v>1890</v>
      </c>
      <c r="AT95" s="1777"/>
      <c r="AU95" s="1777"/>
      <c r="AV95" s="2789" t="s">
        <v>1891</v>
      </c>
      <c r="AW95" s="1777"/>
      <c r="AX95" s="1777"/>
      <c r="AY95" s="2789" t="s">
        <v>1892</v>
      </c>
      <c r="AZ95" s="1777"/>
      <c r="BA95" s="1777"/>
      <c r="BB95" s="2789" t="s">
        <v>1893</v>
      </c>
      <c r="BC95" s="1777"/>
      <c r="BD95" s="1777"/>
      <c r="BE95" s="2789" t="s">
        <v>1894</v>
      </c>
      <c r="BF95" s="1777"/>
      <c r="BG95" s="1777"/>
      <c r="BH95" s="2789" t="s">
        <v>1895</v>
      </c>
      <c r="BI95" s="1777"/>
      <c r="BJ95" s="1777"/>
      <c r="BK95" s="2789" t="s">
        <v>1896</v>
      </c>
      <c r="BL95" s="1777"/>
      <c r="BM95" s="1777"/>
      <c r="BN95" s="2789" t="s">
        <v>1897</v>
      </c>
      <c r="BO95" s="1777"/>
      <c r="BP95" s="1777"/>
      <c r="BQ95" s="2806" t="s">
        <v>1898</v>
      </c>
      <c r="BR95" s="1777"/>
      <c r="BS95" s="2807"/>
      <c r="BT95" s="2789" t="s">
        <v>1899</v>
      </c>
      <c r="BU95" s="1777"/>
      <c r="BV95" s="1777"/>
      <c r="BW95" s="2789" t="s">
        <v>1900</v>
      </c>
      <c r="BX95" s="1777"/>
      <c r="BY95" s="1777"/>
      <c r="BZ95" s="2789" t="s">
        <v>1901</v>
      </c>
      <c r="CA95" s="1777"/>
      <c r="CB95" s="1777"/>
      <c r="CC95" s="2789" t="s">
        <v>1902</v>
      </c>
      <c r="CD95" s="1777"/>
      <c r="CE95" s="1777"/>
      <c r="CF95" s="2789" t="s">
        <v>1903</v>
      </c>
      <c r="CG95" s="1777"/>
      <c r="CH95" s="1777"/>
      <c r="CI95" s="2789" t="s">
        <v>1904</v>
      </c>
      <c r="CJ95" s="1777"/>
      <c r="CK95" s="1777"/>
      <c r="CL95" s="2789" t="s">
        <v>1905</v>
      </c>
      <c r="CM95" s="1777"/>
      <c r="CN95" s="1777"/>
      <c r="CO95" s="2789" t="s">
        <v>1906</v>
      </c>
      <c r="CP95" s="1777"/>
      <c r="CQ95" s="1777"/>
      <c r="CR95" s="2789" t="s">
        <v>1907</v>
      </c>
      <c r="CS95" s="1777"/>
      <c r="CT95" s="1777"/>
      <c r="CU95" s="2789" t="s">
        <v>1908</v>
      </c>
      <c r="CV95" s="1777"/>
      <c r="CW95" s="1777"/>
      <c r="CX95" s="2789" t="s">
        <v>1909</v>
      </c>
      <c r="CY95" s="1777"/>
      <c r="CZ95" s="1777"/>
      <c r="DA95" s="2789" t="s">
        <v>1910</v>
      </c>
      <c r="DB95" s="1777"/>
      <c r="DC95" s="1777"/>
      <c r="DD95" s="2789" t="s">
        <v>1911</v>
      </c>
      <c r="DE95" s="1777"/>
      <c r="DF95" s="1777"/>
      <c r="DG95" s="2789" t="s">
        <v>1912</v>
      </c>
      <c r="DH95" s="1777"/>
      <c r="DI95" s="1777"/>
      <c r="DJ95" s="2789" t="s">
        <v>1913</v>
      </c>
      <c r="DK95" s="1777"/>
      <c r="DL95" s="1777"/>
      <c r="DM95" s="2789" t="s">
        <v>1914</v>
      </c>
      <c r="DN95" s="1777"/>
      <c r="DO95" s="1777"/>
      <c r="DP95" s="2789" t="s">
        <v>1915</v>
      </c>
      <c r="DQ95" s="1777"/>
      <c r="DR95" s="1777"/>
      <c r="DS95" s="2789" t="s">
        <v>1916</v>
      </c>
      <c r="DT95" s="1777"/>
      <c r="DU95" s="1777"/>
      <c r="DV95" s="2789" t="s">
        <v>1917</v>
      </c>
      <c r="DW95" s="1777"/>
      <c r="DX95" s="1777"/>
      <c r="DY95" s="2806" t="s">
        <v>1918</v>
      </c>
      <c r="DZ95" s="1777"/>
      <c r="EA95" s="2807"/>
      <c r="EB95" s="17"/>
    </row>
    <row r="96" spans="2:132" ht="18" hidden="1" customHeight="1" outlineLevel="1">
      <c r="B96" s="2863" t="s">
        <v>1919</v>
      </c>
      <c r="C96" s="1777"/>
      <c r="D96" s="1777"/>
      <c r="E96" s="1777"/>
      <c r="F96" s="1777"/>
      <c r="G96" s="1777"/>
      <c r="H96" s="1777"/>
      <c r="I96" s="1778"/>
      <c r="J96" s="2887">
        <v>2.5000000000000001E-2</v>
      </c>
      <c r="K96" s="1778"/>
      <c r="L96" s="2853">
        <f>IF(IsMhp,SUMIFS(UnitsTbl[Monthly Income at Maximum Rents],UnitsTbl[Restricted Income Level],"&lt;=30%",UnitsTbl[MHP COSR Units?],"Yes"))*12</f>
        <v>0</v>
      </c>
      <c r="M96" s="1953"/>
      <c r="N96" s="1953"/>
      <c r="O96" s="2791">
        <f>L96*(1+$J$96)</f>
        <v>0</v>
      </c>
      <c r="P96" s="2435"/>
      <c r="Q96" s="2435"/>
      <c r="R96" s="2791">
        <f>O96*(1+$J$96)</f>
        <v>0</v>
      </c>
      <c r="S96" s="2435"/>
      <c r="T96" s="2435"/>
      <c r="U96" s="2791">
        <f>R96*(1+$J$96)</f>
        <v>0</v>
      </c>
      <c r="V96" s="2435"/>
      <c r="W96" s="2435"/>
      <c r="X96" s="2791">
        <f>U96*(1+$J$96)</f>
        <v>0</v>
      </c>
      <c r="Y96" s="2435"/>
      <c r="Z96" s="2435"/>
      <c r="AA96" s="2791">
        <f>X96*(1+$J$96)</f>
        <v>0</v>
      </c>
      <c r="AB96" s="2435"/>
      <c r="AC96" s="2435"/>
      <c r="AD96" s="2791">
        <f>AA96*(1+$J$96)</f>
        <v>0</v>
      </c>
      <c r="AE96" s="2435"/>
      <c r="AF96" s="2435"/>
      <c r="AG96" s="2791">
        <f>AD96*(1+$J$96)</f>
        <v>0</v>
      </c>
      <c r="AH96" s="2435"/>
      <c r="AI96" s="2435"/>
      <c r="AJ96" s="2791">
        <f>AG96*(1+$J$96)</f>
        <v>0</v>
      </c>
      <c r="AK96" s="2435"/>
      <c r="AL96" s="2435"/>
      <c r="AM96" s="2791">
        <f>AJ96*(1+$J$96)</f>
        <v>0</v>
      </c>
      <c r="AN96" s="2435"/>
      <c r="AO96" s="2435"/>
      <c r="AP96" s="2791">
        <f>AM96*(1+$J$96)</f>
        <v>0</v>
      </c>
      <c r="AQ96" s="2435"/>
      <c r="AR96" s="2435"/>
      <c r="AS96" s="2791">
        <f>AP96*(1+$J$96)</f>
        <v>0</v>
      </c>
      <c r="AT96" s="2435"/>
      <c r="AU96" s="2435"/>
      <c r="AV96" s="2791">
        <f>AS96*(1+$J$96)</f>
        <v>0</v>
      </c>
      <c r="AW96" s="2435"/>
      <c r="AX96" s="2435"/>
      <c r="AY96" s="2791">
        <f>AV96*(1+$J$96)</f>
        <v>0</v>
      </c>
      <c r="AZ96" s="2435"/>
      <c r="BA96" s="2435"/>
      <c r="BB96" s="2791">
        <f>AY96*(1+$J$96)</f>
        <v>0</v>
      </c>
      <c r="BC96" s="2435"/>
      <c r="BD96" s="2435"/>
      <c r="BE96" s="2791">
        <f>BB96*(1+$J$96)</f>
        <v>0</v>
      </c>
      <c r="BF96" s="2435"/>
      <c r="BG96" s="2435"/>
      <c r="BH96" s="2791">
        <f>BE96*(1+$J$96)</f>
        <v>0</v>
      </c>
      <c r="BI96" s="2435"/>
      <c r="BJ96" s="2435"/>
      <c r="BK96" s="2791">
        <f>BH96*(1+$J$96)</f>
        <v>0</v>
      </c>
      <c r="BL96" s="2435"/>
      <c r="BM96" s="2435"/>
      <c r="BN96" s="2791">
        <f>BK96*(1+$J$96)</f>
        <v>0</v>
      </c>
      <c r="BO96" s="2435"/>
      <c r="BP96" s="2435"/>
      <c r="BQ96" s="2846">
        <f>BN96*(1+$J$96)</f>
        <v>0</v>
      </c>
      <c r="BR96" s="2435"/>
      <c r="BS96" s="2847"/>
      <c r="BT96" s="2791">
        <f>BQ96*(1+$J$96)</f>
        <v>0</v>
      </c>
      <c r="BU96" s="2435"/>
      <c r="BV96" s="2435"/>
      <c r="BW96" s="2791">
        <f>BT96*(1+$J$96)</f>
        <v>0</v>
      </c>
      <c r="BX96" s="2435"/>
      <c r="BY96" s="2435"/>
      <c r="BZ96" s="2791">
        <f>BW96*(1+$J$96)</f>
        <v>0</v>
      </c>
      <c r="CA96" s="2435"/>
      <c r="CB96" s="2435"/>
      <c r="CC96" s="2791">
        <f>BZ96*(1+$J$96)</f>
        <v>0</v>
      </c>
      <c r="CD96" s="2435"/>
      <c r="CE96" s="2435"/>
      <c r="CF96" s="2791">
        <f>CC96*(1+$J$96)</f>
        <v>0</v>
      </c>
      <c r="CG96" s="2435"/>
      <c r="CH96" s="2435"/>
      <c r="CI96" s="2791">
        <f>CF96*(1+$J$96)</f>
        <v>0</v>
      </c>
      <c r="CJ96" s="2435"/>
      <c r="CK96" s="2435"/>
      <c r="CL96" s="2791">
        <f>CI96*(1+$J$96)</f>
        <v>0</v>
      </c>
      <c r="CM96" s="2435"/>
      <c r="CN96" s="2435"/>
      <c r="CO96" s="2791">
        <f>CL96*(1+$J$96)</f>
        <v>0</v>
      </c>
      <c r="CP96" s="2435"/>
      <c r="CQ96" s="2435"/>
      <c r="CR96" s="2791">
        <f>CO96*(1+$J$96)</f>
        <v>0</v>
      </c>
      <c r="CS96" s="2435"/>
      <c r="CT96" s="2435"/>
      <c r="CU96" s="2791">
        <f>CR96*(1+$J$96)</f>
        <v>0</v>
      </c>
      <c r="CV96" s="2435"/>
      <c r="CW96" s="2435"/>
      <c r="CX96" s="2791">
        <f>CU96*(1+$J$96)</f>
        <v>0</v>
      </c>
      <c r="CY96" s="2435"/>
      <c r="CZ96" s="2435"/>
      <c r="DA96" s="2791">
        <f>CX96*(1+$J$96)</f>
        <v>0</v>
      </c>
      <c r="DB96" s="2435"/>
      <c r="DC96" s="2435"/>
      <c r="DD96" s="2791">
        <f>DA96*(1+$J$96)</f>
        <v>0</v>
      </c>
      <c r="DE96" s="2435"/>
      <c r="DF96" s="2435"/>
      <c r="DG96" s="2791">
        <f>DD96*(1+$J$96)</f>
        <v>0</v>
      </c>
      <c r="DH96" s="2435"/>
      <c r="DI96" s="2435"/>
      <c r="DJ96" s="2791">
        <f>DG96*(1+$J$96)</f>
        <v>0</v>
      </c>
      <c r="DK96" s="2435"/>
      <c r="DL96" s="2435"/>
      <c r="DM96" s="2791">
        <f>DJ96*(1+$J$96)</f>
        <v>0</v>
      </c>
      <c r="DN96" s="2435"/>
      <c r="DO96" s="2435"/>
      <c r="DP96" s="2791">
        <f>DM96*(1+$J$96)</f>
        <v>0</v>
      </c>
      <c r="DQ96" s="2435"/>
      <c r="DR96" s="2435"/>
      <c r="DS96" s="2791">
        <f>DP96*(1+$J$96)</f>
        <v>0</v>
      </c>
      <c r="DT96" s="2435"/>
      <c r="DU96" s="2435"/>
      <c r="DV96" s="2791">
        <f>DS96*(1+$J$96)</f>
        <v>0</v>
      </c>
      <c r="DW96" s="2435"/>
      <c r="DX96" s="2435"/>
      <c r="DY96" s="2878">
        <f>DV96*(1+$J$96)</f>
        <v>0</v>
      </c>
      <c r="DZ96" s="1953"/>
      <c r="EA96" s="2879"/>
      <c r="EB96" s="17"/>
    </row>
    <row r="97" spans="1:132" ht="18" hidden="1" customHeight="1" outlineLevel="1">
      <c r="B97" s="2863" t="s">
        <v>1920</v>
      </c>
      <c r="C97" s="1777"/>
      <c r="D97" s="1777"/>
      <c r="E97" s="1777"/>
      <c r="F97" s="1777"/>
      <c r="G97" s="1777"/>
      <c r="H97" s="1777"/>
      <c r="I97" s="1778"/>
      <c r="J97" s="2887">
        <v>2.5000000000000001E-2</v>
      </c>
      <c r="K97" s="1778"/>
      <c r="L97" s="2849">
        <f>IF(IsMhp,SUMIFS(UnitsTbl[Monthly Income at Proposed Rents],UnitsTbl[Restricted Income Level],"&lt;=30%",UnitsTbl[MHP COSR Units?],"Yes"))*12</f>
        <v>0</v>
      </c>
      <c r="M97" s="2435"/>
      <c r="N97" s="2435"/>
      <c r="O97" s="2791">
        <f>L97*(1+$J$97)</f>
        <v>0</v>
      </c>
      <c r="P97" s="2435"/>
      <c r="Q97" s="2435"/>
      <c r="R97" s="2791">
        <f>O97*(1+$J$97)</f>
        <v>0</v>
      </c>
      <c r="S97" s="2435"/>
      <c r="T97" s="2435"/>
      <c r="U97" s="2791">
        <f>R97*(1+$J$97)</f>
        <v>0</v>
      </c>
      <c r="V97" s="2435"/>
      <c r="W97" s="2435"/>
      <c r="X97" s="2791">
        <f>U97*(1+$J$97)</f>
        <v>0</v>
      </c>
      <c r="Y97" s="2435"/>
      <c r="Z97" s="2435"/>
      <c r="AA97" s="2791">
        <f>X97*(1+$J$97)</f>
        <v>0</v>
      </c>
      <c r="AB97" s="2435"/>
      <c r="AC97" s="2435"/>
      <c r="AD97" s="2791">
        <f>AA97*(1+$J$97)</f>
        <v>0</v>
      </c>
      <c r="AE97" s="2435"/>
      <c r="AF97" s="2435"/>
      <c r="AG97" s="2791">
        <f>AD97*(1+$J$97)</f>
        <v>0</v>
      </c>
      <c r="AH97" s="2435"/>
      <c r="AI97" s="2435"/>
      <c r="AJ97" s="2791">
        <f>AG97*(1+$J$97)</f>
        <v>0</v>
      </c>
      <c r="AK97" s="2435"/>
      <c r="AL97" s="2435"/>
      <c r="AM97" s="2791">
        <f>AJ97*(1+$J$97)</f>
        <v>0</v>
      </c>
      <c r="AN97" s="2435"/>
      <c r="AO97" s="2435"/>
      <c r="AP97" s="2791">
        <f>AM97*(1+$J$97)</f>
        <v>0</v>
      </c>
      <c r="AQ97" s="2435"/>
      <c r="AR97" s="2435"/>
      <c r="AS97" s="2791">
        <f>AP97*(1+$J$97)</f>
        <v>0</v>
      </c>
      <c r="AT97" s="2435"/>
      <c r="AU97" s="2435"/>
      <c r="AV97" s="2791">
        <f>AS97*(1+$J$97)</f>
        <v>0</v>
      </c>
      <c r="AW97" s="2435"/>
      <c r="AX97" s="2435"/>
      <c r="AY97" s="2791">
        <f>AV97*(1+$J$97)</f>
        <v>0</v>
      </c>
      <c r="AZ97" s="2435"/>
      <c r="BA97" s="2435"/>
      <c r="BB97" s="2791">
        <f>AY97*(1+$J$97)</f>
        <v>0</v>
      </c>
      <c r="BC97" s="2435"/>
      <c r="BD97" s="2435"/>
      <c r="BE97" s="2791">
        <f>BB97*(1+$J$97)</f>
        <v>0</v>
      </c>
      <c r="BF97" s="2435"/>
      <c r="BG97" s="2435"/>
      <c r="BH97" s="2791">
        <f>BE97*(1+$J$97)</f>
        <v>0</v>
      </c>
      <c r="BI97" s="2435"/>
      <c r="BJ97" s="2435"/>
      <c r="BK97" s="2791">
        <f>BH97*(1+$J$97)</f>
        <v>0</v>
      </c>
      <c r="BL97" s="2435"/>
      <c r="BM97" s="2435"/>
      <c r="BN97" s="2791">
        <f>BK97*(1+$J$97)</f>
        <v>0</v>
      </c>
      <c r="BO97" s="2435"/>
      <c r="BP97" s="2435"/>
      <c r="BQ97" s="2846">
        <f>BN97*(1+$J$97)</f>
        <v>0</v>
      </c>
      <c r="BR97" s="2435"/>
      <c r="BS97" s="2847"/>
      <c r="BT97" s="2791">
        <f>BQ97*(1+$J$97)</f>
        <v>0</v>
      </c>
      <c r="BU97" s="2435"/>
      <c r="BV97" s="2435"/>
      <c r="BW97" s="2791">
        <f>BT97*(1+$J$97)</f>
        <v>0</v>
      </c>
      <c r="BX97" s="2435"/>
      <c r="BY97" s="2435"/>
      <c r="BZ97" s="2791">
        <f>BW97*(1+$J$97)</f>
        <v>0</v>
      </c>
      <c r="CA97" s="2435"/>
      <c r="CB97" s="2435"/>
      <c r="CC97" s="2791">
        <f>BZ97*(1+$J$97)</f>
        <v>0</v>
      </c>
      <c r="CD97" s="2435"/>
      <c r="CE97" s="2435"/>
      <c r="CF97" s="2791">
        <f>CC97*(1+$J$97)</f>
        <v>0</v>
      </c>
      <c r="CG97" s="2435"/>
      <c r="CH97" s="2435"/>
      <c r="CI97" s="2791">
        <f>CF97*(1+$J$97)</f>
        <v>0</v>
      </c>
      <c r="CJ97" s="2435"/>
      <c r="CK97" s="2435"/>
      <c r="CL97" s="2791">
        <f>CI97*(1+$J$97)</f>
        <v>0</v>
      </c>
      <c r="CM97" s="2435"/>
      <c r="CN97" s="2435"/>
      <c r="CO97" s="2791">
        <f>CL97*(1+$J$97)</f>
        <v>0</v>
      </c>
      <c r="CP97" s="2435"/>
      <c r="CQ97" s="2435"/>
      <c r="CR97" s="2791">
        <f>CO97*(1+$J$97)</f>
        <v>0</v>
      </c>
      <c r="CS97" s="2435"/>
      <c r="CT97" s="2435"/>
      <c r="CU97" s="2791">
        <f>CR97*(1+$J$97)</f>
        <v>0</v>
      </c>
      <c r="CV97" s="2435"/>
      <c r="CW97" s="2435"/>
      <c r="CX97" s="2791">
        <f>CU97*(1+$J$97)</f>
        <v>0</v>
      </c>
      <c r="CY97" s="2435"/>
      <c r="CZ97" s="2435"/>
      <c r="DA97" s="2791">
        <f>CX97*(1+$J$97)</f>
        <v>0</v>
      </c>
      <c r="DB97" s="2435"/>
      <c r="DC97" s="2435"/>
      <c r="DD97" s="2791">
        <f>DA97*(1+$J$97)</f>
        <v>0</v>
      </c>
      <c r="DE97" s="2435"/>
      <c r="DF97" s="2435"/>
      <c r="DG97" s="2791">
        <f>DD97*(1+$J$97)</f>
        <v>0</v>
      </c>
      <c r="DH97" s="2435"/>
      <c r="DI97" s="2435"/>
      <c r="DJ97" s="2791">
        <f>DG97*(1+$J$97)</f>
        <v>0</v>
      </c>
      <c r="DK97" s="2435"/>
      <c r="DL97" s="2435"/>
      <c r="DM97" s="2791">
        <f>DJ97*(1+$J$97)</f>
        <v>0</v>
      </c>
      <c r="DN97" s="2435"/>
      <c r="DO97" s="2435"/>
      <c r="DP97" s="2791">
        <f>DM97*(1+$J$97)</f>
        <v>0</v>
      </c>
      <c r="DQ97" s="2435"/>
      <c r="DR97" s="2435"/>
      <c r="DS97" s="2791">
        <f>DP97*(1+$J$97)</f>
        <v>0</v>
      </c>
      <c r="DT97" s="2435"/>
      <c r="DU97" s="2435"/>
      <c r="DV97" s="2791">
        <f>DS97*(1+$J$97)</f>
        <v>0</v>
      </c>
      <c r="DW97" s="2435"/>
      <c r="DX97" s="2435"/>
      <c r="DY97" s="2846">
        <f>DV97*(1+$J$97)</f>
        <v>0</v>
      </c>
      <c r="DZ97" s="2435"/>
      <c r="EA97" s="2847"/>
      <c r="EB97" s="17"/>
    </row>
    <row r="98" spans="1:132" ht="18" hidden="1" customHeight="1" outlineLevel="1">
      <c r="B98" s="2857" t="s">
        <v>1921</v>
      </c>
      <c r="C98" s="2821"/>
      <c r="D98" s="2821"/>
      <c r="E98" s="2821"/>
      <c r="F98" s="2821"/>
      <c r="G98" s="2821"/>
      <c r="H98" s="2821"/>
      <c r="I98" s="2821"/>
      <c r="J98" s="2854">
        <v>2.5000000000000001E-2</v>
      </c>
      <c r="K98" s="1862"/>
      <c r="L98" s="2791">
        <f>SUM('Unit Mix'!$AS$82:$AT$93)*12</f>
        <v>0</v>
      </c>
      <c r="M98" s="2435"/>
      <c r="N98" s="2435"/>
      <c r="O98" s="2792">
        <f>L98*(1+$J$98)</f>
        <v>0</v>
      </c>
      <c r="P98" s="2435"/>
      <c r="Q98" s="2435"/>
      <c r="R98" s="2792">
        <f>O98*(1+$J$98)</f>
        <v>0</v>
      </c>
      <c r="S98" s="2435"/>
      <c r="T98" s="2435"/>
      <c r="U98" s="2792">
        <f>R98*(1+$J$98)</f>
        <v>0</v>
      </c>
      <c r="V98" s="2435"/>
      <c r="W98" s="2435"/>
      <c r="X98" s="2792">
        <f>U98*(1+$J$98)</f>
        <v>0</v>
      </c>
      <c r="Y98" s="2435"/>
      <c r="Z98" s="2435"/>
      <c r="AA98" s="2792">
        <f>X98*(1+$J$98)</f>
        <v>0</v>
      </c>
      <c r="AB98" s="2435"/>
      <c r="AC98" s="2435"/>
      <c r="AD98" s="2792">
        <f>AA98*(1+$J$98)</f>
        <v>0</v>
      </c>
      <c r="AE98" s="2435"/>
      <c r="AF98" s="2435"/>
      <c r="AG98" s="2792">
        <f>AD98*(1+$J$98)</f>
        <v>0</v>
      </c>
      <c r="AH98" s="2435"/>
      <c r="AI98" s="2435"/>
      <c r="AJ98" s="2792">
        <f>AG98*(1+$J$98)</f>
        <v>0</v>
      </c>
      <c r="AK98" s="2435"/>
      <c r="AL98" s="2435"/>
      <c r="AM98" s="2792">
        <f>AJ98*(1+$J$98)</f>
        <v>0</v>
      </c>
      <c r="AN98" s="2435"/>
      <c r="AO98" s="2435"/>
      <c r="AP98" s="2792">
        <f>AM98*(1+$J$98)</f>
        <v>0</v>
      </c>
      <c r="AQ98" s="2435"/>
      <c r="AR98" s="2435"/>
      <c r="AS98" s="2792">
        <f>AP98*(1+$J$98)</f>
        <v>0</v>
      </c>
      <c r="AT98" s="2435"/>
      <c r="AU98" s="2435"/>
      <c r="AV98" s="2792">
        <f>AS98*(1+$J$98)</f>
        <v>0</v>
      </c>
      <c r="AW98" s="2435"/>
      <c r="AX98" s="2435"/>
      <c r="AY98" s="2792">
        <f>AV98*(1+$J$98)</f>
        <v>0</v>
      </c>
      <c r="AZ98" s="2435"/>
      <c r="BA98" s="2435"/>
      <c r="BB98" s="2792">
        <f>AY98*(1+$J$98)</f>
        <v>0</v>
      </c>
      <c r="BC98" s="2435"/>
      <c r="BD98" s="2435"/>
      <c r="BE98" s="2792">
        <f>BB98*(1+$J$98)</f>
        <v>0</v>
      </c>
      <c r="BF98" s="2435"/>
      <c r="BG98" s="2435"/>
      <c r="BH98" s="2792">
        <f>BE98*(1+$J$98)</f>
        <v>0</v>
      </c>
      <c r="BI98" s="2435"/>
      <c r="BJ98" s="2435"/>
      <c r="BK98" s="2792">
        <f>BH98*(1+$J$98)</f>
        <v>0</v>
      </c>
      <c r="BL98" s="2435"/>
      <c r="BM98" s="2435"/>
      <c r="BN98" s="2792">
        <f>BK98*(1+$J$98)</f>
        <v>0</v>
      </c>
      <c r="BO98" s="2435"/>
      <c r="BP98" s="2435"/>
      <c r="BQ98" s="2881">
        <f>BN98*(1+$J$98)</f>
        <v>0</v>
      </c>
      <c r="BR98" s="2435"/>
      <c r="BS98" s="2847"/>
      <c r="BT98" s="2792">
        <f>BQ98*(1+$J$98)</f>
        <v>0</v>
      </c>
      <c r="BU98" s="2435"/>
      <c r="BV98" s="2435"/>
      <c r="BW98" s="2792">
        <f>BT98*(1+$J$98)</f>
        <v>0</v>
      </c>
      <c r="BX98" s="2435"/>
      <c r="BY98" s="2435"/>
      <c r="BZ98" s="2792">
        <f>BW98*(1+$J$98)</f>
        <v>0</v>
      </c>
      <c r="CA98" s="2435"/>
      <c r="CB98" s="2435"/>
      <c r="CC98" s="2792">
        <f>BZ98*(1+$J$98)</f>
        <v>0</v>
      </c>
      <c r="CD98" s="2435"/>
      <c r="CE98" s="2435"/>
      <c r="CF98" s="2792">
        <f>CC98*(1+$J$98)</f>
        <v>0</v>
      </c>
      <c r="CG98" s="2435"/>
      <c r="CH98" s="2435"/>
      <c r="CI98" s="2792">
        <f>CF98*(1+$J$98)</f>
        <v>0</v>
      </c>
      <c r="CJ98" s="2435"/>
      <c r="CK98" s="2435"/>
      <c r="CL98" s="2792">
        <f>CI98*(1+$J$98)</f>
        <v>0</v>
      </c>
      <c r="CM98" s="2435"/>
      <c r="CN98" s="2435"/>
      <c r="CO98" s="2792">
        <f>CL98*(1+$J$98)</f>
        <v>0</v>
      </c>
      <c r="CP98" s="2435"/>
      <c r="CQ98" s="2435"/>
      <c r="CR98" s="2792">
        <f>CO98*(1+$J$98)</f>
        <v>0</v>
      </c>
      <c r="CS98" s="2435"/>
      <c r="CT98" s="2435"/>
      <c r="CU98" s="2792">
        <f>CR98*(1+$J$98)</f>
        <v>0</v>
      </c>
      <c r="CV98" s="2435"/>
      <c r="CW98" s="2435"/>
      <c r="CX98" s="2792">
        <f>CU98*(1+$J$98)</f>
        <v>0</v>
      </c>
      <c r="CY98" s="2435"/>
      <c r="CZ98" s="2435"/>
      <c r="DA98" s="2792">
        <f>CX98*(1+$J$98)</f>
        <v>0</v>
      </c>
      <c r="DB98" s="2435"/>
      <c r="DC98" s="2435"/>
      <c r="DD98" s="2792">
        <f>DA98*(1+$J$98)</f>
        <v>0</v>
      </c>
      <c r="DE98" s="2435"/>
      <c r="DF98" s="2435"/>
      <c r="DG98" s="2792">
        <f>DD98*(1+$J$98)</f>
        <v>0</v>
      </c>
      <c r="DH98" s="2435"/>
      <c r="DI98" s="2435"/>
      <c r="DJ98" s="2792">
        <f>DG98*(1+$J$98)</f>
        <v>0</v>
      </c>
      <c r="DK98" s="2435"/>
      <c r="DL98" s="2435"/>
      <c r="DM98" s="2792">
        <f>DJ98*(1+$J$98)</f>
        <v>0</v>
      </c>
      <c r="DN98" s="2435"/>
      <c r="DO98" s="2435"/>
      <c r="DP98" s="2792">
        <f>DM98*(1+$J$98)</f>
        <v>0</v>
      </c>
      <c r="DQ98" s="2435"/>
      <c r="DR98" s="2435"/>
      <c r="DS98" s="2792">
        <f>DP98*(1+$J$98)</f>
        <v>0</v>
      </c>
      <c r="DT98" s="2435"/>
      <c r="DU98" s="2435"/>
      <c r="DV98" s="2792">
        <f>DS98*(1+$J$98)</f>
        <v>0</v>
      </c>
      <c r="DW98" s="2435"/>
      <c r="DX98" s="2435"/>
      <c r="DY98" s="2881">
        <f>DV98*(1+$J$98)</f>
        <v>0</v>
      </c>
      <c r="DZ98" s="2435"/>
      <c r="EA98" s="2847"/>
    </row>
    <row r="99" spans="1:132" ht="18" hidden="1" customHeight="1" outlineLevel="1">
      <c r="A99" s="2915" t="s">
        <v>1958</v>
      </c>
      <c r="B99" s="2912" t="s">
        <v>1687</v>
      </c>
      <c r="C99" s="1777"/>
      <c r="D99" s="1777"/>
      <c r="E99" s="1777"/>
      <c r="F99" s="1777"/>
      <c r="G99" s="1777"/>
      <c r="H99" s="1777"/>
      <c r="I99" s="1778"/>
      <c r="J99" s="2854">
        <v>2.5000000000000001E-2</v>
      </c>
      <c r="K99" s="1862"/>
      <c r="L99" s="2825">
        <v>0</v>
      </c>
      <c r="M99" s="2022"/>
      <c r="N99" s="2022"/>
      <c r="O99" s="2790">
        <v>0</v>
      </c>
      <c r="P99" s="2022"/>
      <c r="Q99" s="2022"/>
      <c r="R99" s="2790">
        <v>0</v>
      </c>
      <c r="S99" s="2022"/>
      <c r="T99" s="2022"/>
      <c r="U99" s="2790">
        <v>0</v>
      </c>
      <c r="V99" s="2022"/>
      <c r="W99" s="2022"/>
      <c r="X99" s="2790">
        <v>0</v>
      </c>
      <c r="Y99" s="2022"/>
      <c r="Z99" s="2022"/>
      <c r="AA99" s="2790">
        <v>0</v>
      </c>
      <c r="AB99" s="2022"/>
      <c r="AC99" s="2022"/>
      <c r="AD99" s="2790">
        <v>0</v>
      </c>
      <c r="AE99" s="2022"/>
      <c r="AF99" s="2022"/>
      <c r="AG99" s="2790">
        <v>0</v>
      </c>
      <c r="AH99" s="2022"/>
      <c r="AI99" s="2022"/>
      <c r="AJ99" s="2790">
        <v>0</v>
      </c>
      <c r="AK99" s="2022"/>
      <c r="AL99" s="2022"/>
      <c r="AM99" s="2790">
        <v>0</v>
      </c>
      <c r="AN99" s="2022"/>
      <c r="AO99" s="2022"/>
      <c r="AP99" s="2790">
        <v>0</v>
      </c>
      <c r="AQ99" s="2022"/>
      <c r="AR99" s="2022"/>
      <c r="AS99" s="2790">
        <v>0</v>
      </c>
      <c r="AT99" s="2022"/>
      <c r="AU99" s="2022"/>
      <c r="AV99" s="2790">
        <v>0</v>
      </c>
      <c r="AW99" s="2022"/>
      <c r="AX99" s="2022"/>
      <c r="AY99" s="2790">
        <v>0</v>
      </c>
      <c r="AZ99" s="2022"/>
      <c r="BA99" s="2022"/>
      <c r="BB99" s="2790">
        <v>0</v>
      </c>
      <c r="BC99" s="2022"/>
      <c r="BD99" s="2022"/>
      <c r="BE99" s="2790">
        <v>0</v>
      </c>
      <c r="BF99" s="2022"/>
      <c r="BG99" s="2022"/>
      <c r="BH99" s="2790">
        <v>0</v>
      </c>
      <c r="BI99" s="2022"/>
      <c r="BJ99" s="2022"/>
      <c r="BK99" s="2790">
        <v>0</v>
      </c>
      <c r="BL99" s="2022"/>
      <c r="BM99" s="2022"/>
      <c r="BN99" s="2790">
        <v>0</v>
      </c>
      <c r="BO99" s="2022"/>
      <c r="BP99" s="2022"/>
      <c r="BQ99" s="2830">
        <v>0</v>
      </c>
      <c r="BR99" s="2022"/>
      <c r="BS99" s="2831"/>
      <c r="BT99" s="2790">
        <v>0</v>
      </c>
      <c r="BU99" s="2022"/>
      <c r="BV99" s="2022"/>
      <c r="BW99" s="2790">
        <v>0</v>
      </c>
      <c r="BX99" s="2022"/>
      <c r="BY99" s="2022"/>
      <c r="BZ99" s="2790">
        <v>0</v>
      </c>
      <c r="CA99" s="2022"/>
      <c r="CB99" s="2022"/>
      <c r="CC99" s="2790">
        <v>0</v>
      </c>
      <c r="CD99" s="2022"/>
      <c r="CE99" s="2022"/>
      <c r="CF99" s="2790">
        <v>0</v>
      </c>
      <c r="CG99" s="2022"/>
      <c r="CH99" s="2022"/>
      <c r="CI99" s="2790">
        <v>0</v>
      </c>
      <c r="CJ99" s="2022"/>
      <c r="CK99" s="2022"/>
      <c r="CL99" s="2790">
        <v>0</v>
      </c>
      <c r="CM99" s="2022"/>
      <c r="CN99" s="2022"/>
      <c r="CO99" s="2790">
        <v>0</v>
      </c>
      <c r="CP99" s="2022"/>
      <c r="CQ99" s="2022"/>
      <c r="CR99" s="2790">
        <v>0</v>
      </c>
      <c r="CS99" s="2022"/>
      <c r="CT99" s="2022"/>
      <c r="CU99" s="2790">
        <v>0</v>
      </c>
      <c r="CV99" s="2022"/>
      <c r="CW99" s="2022"/>
      <c r="CX99" s="2790">
        <v>0</v>
      </c>
      <c r="CY99" s="2022"/>
      <c r="CZ99" s="2022"/>
      <c r="DA99" s="2790">
        <v>0</v>
      </c>
      <c r="DB99" s="2022"/>
      <c r="DC99" s="2022"/>
      <c r="DD99" s="2790">
        <v>0</v>
      </c>
      <c r="DE99" s="2022"/>
      <c r="DF99" s="2022"/>
      <c r="DG99" s="2790">
        <v>0</v>
      </c>
      <c r="DH99" s="2022"/>
      <c r="DI99" s="2022"/>
      <c r="DJ99" s="2790">
        <v>0</v>
      </c>
      <c r="DK99" s="2022"/>
      <c r="DL99" s="2022"/>
      <c r="DM99" s="2790">
        <v>0</v>
      </c>
      <c r="DN99" s="2022"/>
      <c r="DO99" s="2022"/>
      <c r="DP99" s="2790">
        <v>0</v>
      </c>
      <c r="DQ99" s="2022"/>
      <c r="DR99" s="2022"/>
      <c r="DS99" s="2790">
        <v>0</v>
      </c>
      <c r="DT99" s="2022"/>
      <c r="DU99" s="2022"/>
      <c r="DV99" s="2790">
        <v>0</v>
      </c>
      <c r="DW99" s="2022"/>
      <c r="DX99" s="2022"/>
      <c r="DY99" s="2830">
        <v>0</v>
      </c>
      <c r="DZ99" s="2022"/>
      <c r="EA99" s="2831"/>
      <c r="EB99" s="17"/>
    </row>
    <row r="100" spans="1:132" ht="18" hidden="1" customHeight="1" outlineLevel="1">
      <c r="A100" s="1920"/>
      <c r="B100" s="2867" t="str">
        <f>IF('Unit Mix'!$AW$7&gt;0,'Unit Mix'!$AW$7,"")</f>
        <v/>
      </c>
      <c r="C100" s="1777"/>
      <c r="D100" s="1777"/>
      <c r="E100" s="1777"/>
      <c r="F100" s="1777"/>
      <c r="G100" s="1777"/>
      <c r="H100" s="1777"/>
      <c r="I100" s="1778"/>
      <c r="J100" s="2854">
        <v>2.5000000000000001E-2</v>
      </c>
      <c r="K100" s="1862"/>
      <c r="L100" s="2825">
        <v>0</v>
      </c>
      <c r="M100" s="2022"/>
      <c r="N100" s="2022"/>
      <c r="O100" s="2790">
        <v>0</v>
      </c>
      <c r="P100" s="2022"/>
      <c r="Q100" s="2022"/>
      <c r="R100" s="2790">
        <v>0</v>
      </c>
      <c r="S100" s="2022"/>
      <c r="T100" s="2022"/>
      <c r="U100" s="2790">
        <v>0</v>
      </c>
      <c r="V100" s="2022"/>
      <c r="W100" s="2022"/>
      <c r="X100" s="2790">
        <v>0</v>
      </c>
      <c r="Y100" s="2022"/>
      <c r="Z100" s="2022"/>
      <c r="AA100" s="2790">
        <v>0</v>
      </c>
      <c r="AB100" s="2022"/>
      <c r="AC100" s="2022"/>
      <c r="AD100" s="2790">
        <v>0</v>
      </c>
      <c r="AE100" s="2022"/>
      <c r="AF100" s="2022"/>
      <c r="AG100" s="2790">
        <v>0</v>
      </c>
      <c r="AH100" s="2022"/>
      <c r="AI100" s="2022"/>
      <c r="AJ100" s="2790">
        <v>0</v>
      </c>
      <c r="AK100" s="2022"/>
      <c r="AL100" s="2022"/>
      <c r="AM100" s="2790">
        <v>0</v>
      </c>
      <c r="AN100" s="2022"/>
      <c r="AO100" s="2022"/>
      <c r="AP100" s="2790">
        <v>0</v>
      </c>
      <c r="AQ100" s="2022"/>
      <c r="AR100" s="2022"/>
      <c r="AS100" s="2790">
        <v>0</v>
      </c>
      <c r="AT100" s="2022"/>
      <c r="AU100" s="2022"/>
      <c r="AV100" s="2790">
        <v>0</v>
      </c>
      <c r="AW100" s="2022"/>
      <c r="AX100" s="2022"/>
      <c r="AY100" s="2790">
        <v>0</v>
      </c>
      <c r="AZ100" s="2022"/>
      <c r="BA100" s="2022"/>
      <c r="BB100" s="2790">
        <v>0</v>
      </c>
      <c r="BC100" s="2022"/>
      <c r="BD100" s="2022"/>
      <c r="BE100" s="2790">
        <v>0</v>
      </c>
      <c r="BF100" s="2022"/>
      <c r="BG100" s="2022"/>
      <c r="BH100" s="2790">
        <v>0</v>
      </c>
      <c r="BI100" s="2022"/>
      <c r="BJ100" s="2022"/>
      <c r="BK100" s="2790">
        <v>0</v>
      </c>
      <c r="BL100" s="2022"/>
      <c r="BM100" s="2022"/>
      <c r="BN100" s="2790">
        <v>0</v>
      </c>
      <c r="BO100" s="2022"/>
      <c r="BP100" s="2022"/>
      <c r="BQ100" s="2830">
        <v>0</v>
      </c>
      <c r="BR100" s="2022"/>
      <c r="BS100" s="2831"/>
      <c r="BT100" s="2790">
        <v>0</v>
      </c>
      <c r="BU100" s="2022"/>
      <c r="BV100" s="2022"/>
      <c r="BW100" s="2790">
        <v>0</v>
      </c>
      <c r="BX100" s="2022"/>
      <c r="BY100" s="2022"/>
      <c r="BZ100" s="2790">
        <v>0</v>
      </c>
      <c r="CA100" s="2022"/>
      <c r="CB100" s="2022"/>
      <c r="CC100" s="2790">
        <v>0</v>
      </c>
      <c r="CD100" s="2022"/>
      <c r="CE100" s="2022"/>
      <c r="CF100" s="2790">
        <v>0</v>
      </c>
      <c r="CG100" s="2022"/>
      <c r="CH100" s="2022"/>
      <c r="CI100" s="2790">
        <v>0</v>
      </c>
      <c r="CJ100" s="2022"/>
      <c r="CK100" s="2022"/>
      <c r="CL100" s="2790">
        <v>0</v>
      </c>
      <c r="CM100" s="2022"/>
      <c r="CN100" s="2022"/>
      <c r="CO100" s="2790">
        <v>0</v>
      </c>
      <c r="CP100" s="2022"/>
      <c r="CQ100" s="2022"/>
      <c r="CR100" s="2790">
        <v>0</v>
      </c>
      <c r="CS100" s="2022"/>
      <c r="CT100" s="2022"/>
      <c r="CU100" s="2790">
        <v>0</v>
      </c>
      <c r="CV100" s="2022"/>
      <c r="CW100" s="2022"/>
      <c r="CX100" s="2790">
        <v>0</v>
      </c>
      <c r="CY100" s="2022"/>
      <c r="CZ100" s="2022"/>
      <c r="DA100" s="2790">
        <v>0</v>
      </c>
      <c r="DB100" s="2022"/>
      <c r="DC100" s="2022"/>
      <c r="DD100" s="2790">
        <v>0</v>
      </c>
      <c r="DE100" s="2022"/>
      <c r="DF100" s="2022"/>
      <c r="DG100" s="2790">
        <v>0</v>
      </c>
      <c r="DH100" s="2022"/>
      <c r="DI100" s="2022"/>
      <c r="DJ100" s="2790">
        <v>0</v>
      </c>
      <c r="DK100" s="2022"/>
      <c r="DL100" s="2022"/>
      <c r="DM100" s="2790">
        <v>0</v>
      </c>
      <c r="DN100" s="2022"/>
      <c r="DO100" s="2022"/>
      <c r="DP100" s="2790">
        <v>0</v>
      </c>
      <c r="DQ100" s="2022"/>
      <c r="DR100" s="2022"/>
      <c r="DS100" s="2790">
        <v>0</v>
      </c>
      <c r="DT100" s="2022"/>
      <c r="DU100" s="2022"/>
      <c r="DV100" s="2790">
        <v>0</v>
      </c>
      <c r="DW100" s="2022"/>
      <c r="DX100" s="2022"/>
      <c r="DY100" s="2830">
        <v>0</v>
      </c>
      <c r="DZ100" s="2022"/>
      <c r="EA100" s="2831"/>
      <c r="EB100" s="17"/>
    </row>
    <row r="101" spans="1:132" ht="18" hidden="1" customHeight="1" outlineLevel="1">
      <c r="A101" s="1920"/>
      <c r="B101" s="2867" t="str">
        <f>IF('Unit Mix'!$BB$7&gt;0,'Unit Mix'!$BB$7,"")</f>
        <v/>
      </c>
      <c r="C101" s="1777"/>
      <c r="D101" s="1777"/>
      <c r="E101" s="1777"/>
      <c r="F101" s="1777"/>
      <c r="G101" s="1777"/>
      <c r="H101" s="1777"/>
      <c r="I101" s="1778"/>
      <c r="J101" s="2854">
        <v>2.5000000000000001E-2</v>
      </c>
      <c r="K101" s="1862"/>
      <c r="L101" s="2825">
        <v>0</v>
      </c>
      <c r="M101" s="2022"/>
      <c r="N101" s="2022"/>
      <c r="O101" s="2790">
        <v>0</v>
      </c>
      <c r="P101" s="2022"/>
      <c r="Q101" s="2022"/>
      <c r="R101" s="2790">
        <v>0</v>
      </c>
      <c r="S101" s="2022"/>
      <c r="T101" s="2022"/>
      <c r="U101" s="2790">
        <v>0</v>
      </c>
      <c r="V101" s="2022"/>
      <c r="W101" s="2022"/>
      <c r="X101" s="2790">
        <v>0</v>
      </c>
      <c r="Y101" s="2022"/>
      <c r="Z101" s="2022"/>
      <c r="AA101" s="2790">
        <v>0</v>
      </c>
      <c r="AB101" s="2022"/>
      <c r="AC101" s="2022"/>
      <c r="AD101" s="2790">
        <v>0</v>
      </c>
      <c r="AE101" s="2022"/>
      <c r="AF101" s="2022"/>
      <c r="AG101" s="2790">
        <v>0</v>
      </c>
      <c r="AH101" s="2022"/>
      <c r="AI101" s="2022"/>
      <c r="AJ101" s="2790">
        <v>0</v>
      </c>
      <c r="AK101" s="2022"/>
      <c r="AL101" s="2022"/>
      <c r="AM101" s="2790">
        <v>0</v>
      </c>
      <c r="AN101" s="2022"/>
      <c r="AO101" s="2022"/>
      <c r="AP101" s="2790">
        <v>0</v>
      </c>
      <c r="AQ101" s="2022"/>
      <c r="AR101" s="2022"/>
      <c r="AS101" s="2790">
        <v>0</v>
      </c>
      <c r="AT101" s="2022"/>
      <c r="AU101" s="2022"/>
      <c r="AV101" s="2790">
        <v>0</v>
      </c>
      <c r="AW101" s="2022"/>
      <c r="AX101" s="2022"/>
      <c r="AY101" s="2790">
        <v>0</v>
      </c>
      <c r="AZ101" s="2022"/>
      <c r="BA101" s="2022"/>
      <c r="BB101" s="2790">
        <v>0</v>
      </c>
      <c r="BC101" s="2022"/>
      <c r="BD101" s="2022"/>
      <c r="BE101" s="2790">
        <v>0</v>
      </c>
      <c r="BF101" s="2022"/>
      <c r="BG101" s="2022"/>
      <c r="BH101" s="2790">
        <v>0</v>
      </c>
      <c r="BI101" s="2022"/>
      <c r="BJ101" s="2022"/>
      <c r="BK101" s="2790">
        <v>0</v>
      </c>
      <c r="BL101" s="2022"/>
      <c r="BM101" s="2022"/>
      <c r="BN101" s="2790">
        <v>0</v>
      </c>
      <c r="BO101" s="2022"/>
      <c r="BP101" s="2022"/>
      <c r="BQ101" s="2830">
        <v>0</v>
      </c>
      <c r="BR101" s="2022"/>
      <c r="BS101" s="2831"/>
      <c r="BT101" s="2790">
        <v>0</v>
      </c>
      <c r="BU101" s="2022"/>
      <c r="BV101" s="2022"/>
      <c r="BW101" s="2790">
        <v>0</v>
      </c>
      <c r="BX101" s="2022"/>
      <c r="BY101" s="2022"/>
      <c r="BZ101" s="2790">
        <v>0</v>
      </c>
      <c r="CA101" s="2022"/>
      <c r="CB101" s="2022"/>
      <c r="CC101" s="2790">
        <v>0</v>
      </c>
      <c r="CD101" s="2022"/>
      <c r="CE101" s="2022"/>
      <c r="CF101" s="2790">
        <v>0</v>
      </c>
      <c r="CG101" s="2022"/>
      <c r="CH101" s="2022"/>
      <c r="CI101" s="2790">
        <v>0</v>
      </c>
      <c r="CJ101" s="2022"/>
      <c r="CK101" s="2022"/>
      <c r="CL101" s="2790">
        <v>0</v>
      </c>
      <c r="CM101" s="2022"/>
      <c r="CN101" s="2022"/>
      <c r="CO101" s="2790">
        <v>0</v>
      </c>
      <c r="CP101" s="2022"/>
      <c r="CQ101" s="2022"/>
      <c r="CR101" s="2790">
        <v>0</v>
      </c>
      <c r="CS101" s="2022"/>
      <c r="CT101" s="2022"/>
      <c r="CU101" s="2790">
        <v>0</v>
      </c>
      <c r="CV101" s="2022"/>
      <c r="CW101" s="2022"/>
      <c r="CX101" s="2790">
        <v>0</v>
      </c>
      <c r="CY101" s="2022"/>
      <c r="CZ101" s="2022"/>
      <c r="DA101" s="2790">
        <v>0</v>
      </c>
      <c r="DB101" s="2022"/>
      <c r="DC101" s="2022"/>
      <c r="DD101" s="2790">
        <v>0</v>
      </c>
      <c r="DE101" s="2022"/>
      <c r="DF101" s="2022"/>
      <c r="DG101" s="2790">
        <v>0</v>
      </c>
      <c r="DH101" s="2022"/>
      <c r="DI101" s="2022"/>
      <c r="DJ101" s="2790">
        <v>0</v>
      </c>
      <c r="DK101" s="2022"/>
      <c r="DL101" s="2022"/>
      <c r="DM101" s="2790">
        <v>0</v>
      </c>
      <c r="DN101" s="2022"/>
      <c r="DO101" s="2022"/>
      <c r="DP101" s="2790">
        <v>0</v>
      </c>
      <c r="DQ101" s="2022"/>
      <c r="DR101" s="2022"/>
      <c r="DS101" s="2790">
        <v>0</v>
      </c>
      <c r="DT101" s="2022"/>
      <c r="DU101" s="2022"/>
      <c r="DV101" s="2790">
        <v>0</v>
      </c>
      <c r="DW101" s="2022"/>
      <c r="DX101" s="2022"/>
      <c r="DY101" s="2830">
        <v>0</v>
      </c>
      <c r="DZ101" s="2022"/>
      <c r="EA101" s="2831"/>
      <c r="EB101" s="17"/>
    </row>
    <row r="102" spans="1:132" ht="18" hidden="1" customHeight="1" outlineLevel="1">
      <c r="A102" s="1920"/>
      <c r="B102" s="2944" t="str">
        <f>'Operating Budget'!$D$39</f>
        <v>Operating Subsidies</v>
      </c>
      <c r="C102" s="1777"/>
      <c r="D102" s="1777"/>
      <c r="E102" s="1777"/>
      <c r="F102" s="1777"/>
      <c r="G102" s="1777"/>
      <c r="H102" s="1777"/>
      <c r="I102" s="1778"/>
      <c r="J102" s="2854">
        <v>2.5000000000000001E-2</v>
      </c>
      <c r="K102" s="1862"/>
      <c r="L102" s="2825">
        <v>0</v>
      </c>
      <c r="M102" s="2022"/>
      <c r="N102" s="2022"/>
      <c r="O102" s="2790">
        <v>0</v>
      </c>
      <c r="P102" s="2022"/>
      <c r="Q102" s="2022"/>
      <c r="R102" s="2790">
        <v>0</v>
      </c>
      <c r="S102" s="2022"/>
      <c r="T102" s="2022"/>
      <c r="U102" s="2790">
        <v>0</v>
      </c>
      <c r="V102" s="2022"/>
      <c r="W102" s="2022"/>
      <c r="X102" s="2790">
        <v>0</v>
      </c>
      <c r="Y102" s="2022"/>
      <c r="Z102" s="2022"/>
      <c r="AA102" s="2790">
        <v>0</v>
      </c>
      <c r="AB102" s="2022"/>
      <c r="AC102" s="2022"/>
      <c r="AD102" s="2790">
        <v>0</v>
      </c>
      <c r="AE102" s="2022"/>
      <c r="AF102" s="2022"/>
      <c r="AG102" s="2790">
        <v>0</v>
      </c>
      <c r="AH102" s="2022"/>
      <c r="AI102" s="2022"/>
      <c r="AJ102" s="2790">
        <v>0</v>
      </c>
      <c r="AK102" s="2022"/>
      <c r="AL102" s="2022"/>
      <c r="AM102" s="2790">
        <v>0</v>
      </c>
      <c r="AN102" s="2022"/>
      <c r="AO102" s="2022"/>
      <c r="AP102" s="2790">
        <v>0</v>
      </c>
      <c r="AQ102" s="2022"/>
      <c r="AR102" s="2022"/>
      <c r="AS102" s="2790">
        <v>0</v>
      </c>
      <c r="AT102" s="2022"/>
      <c r="AU102" s="2022"/>
      <c r="AV102" s="2790">
        <v>0</v>
      </c>
      <c r="AW102" s="2022"/>
      <c r="AX102" s="2022"/>
      <c r="AY102" s="2790">
        <v>0</v>
      </c>
      <c r="AZ102" s="2022"/>
      <c r="BA102" s="2022"/>
      <c r="BB102" s="2790">
        <v>0</v>
      </c>
      <c r="BC102" s="2022"/>
      <c r="BD102" s="2022"/>
      <c r="BE102" s="2790">
        <v>0</v>
      </c>
      <c r="BF102" s="2022"/>
      <c r="BG102" s="2022"/>
      <c r="BH102" s="2790">
        <v>0</v>
      </c>
      <c r="BI102" s="2022"/>
      <c r="BJ102" s="2022"/>
      <c r="BK102" s="2790">
        <v>0</v>
      </c>
      <c r="BL102" s="2022"/>
      <c r="BM102" s="2022"/>
      <c r="BN102" s="2790">
        <v>0</v>
      </c>
      <c r="BO102" s="2022"/>
      <c r="BP102" s="2022"/>
      <c r="BQ102" s="2830">
        <v>0</v>
      </c>
      <c r="BR102" s="2022"/>
      <c r="BS102" s="2831"/>
      <c r="BT102" s="2790">
        <v>0</v>
      </c>
      <c r="BU102" s="2022"/>
      <c r="BV102" s="2022"/>
      <c r="BW102" s="2790">
        <v>0</v>
      </c>
      <c r="BX102" s="2022"/>
      <c r="BY102" s="2022"/>
      <c r="BZ102" s="2790">
        <v>0</v>
      </c>
      <c r="CA102" s="2022"/>
      <c r="CB102" s="2022"/>
      <c r="CC102" s="2790">
        <v>0</v>
      </c>
      <c r="CD102" s="2022"/>
      <c r="CE102" s="2022"/>
      <c r="CF102" s="2790">
        <v>0</v>
      </c>
      <c r="CG102" s="2022"/>
      <c r="CH102" s="2022"/>
      <c r="CI102" s="2790">
        <v>0</v>
      </c>
      <c r="CJ102" s="2022"/>
      <c r="CK102" s="2022"/>
      <c r="CL102" s="2790">
        <v>0</v>
      </c>
      <c r="CM102" s="2022"/>
      <c r="CN102" s="2022"/>
      <c r="CO102" s="2790">
        <v>0</v>
      </c>
      <c r="CP102" s="2022"/>
      <c r="CQ102" s="2022"/>
      <c r="CR102" s="2790">
        <v>0</v>
      </c>
      <c r="CS102" s="2022"/>
      <c r="CT102" s="2022"/>
      <c r="CU102" s="2790">
        <v>0</v>
      </c>
      <c r="CV102" s="2022"/>
      <c r="CW102" s="2022"/>
      <c r="CX102" s="2790">
        <v>0</v>
      </c>
      <c r="CY102" s="2022"/>
      <c r="CZ102" s="2022"/>
      <c r="DA102" s="2790">
        <v>0</v>
      </c>
      <c r="DB102" s="2022"/>
      <c r="DC102" s="2022"/>
      <c r="DD102" s="2790">
        <v>0</v>
      </c>
      <c r="DE102" s="2022"/>
      <c r="DF102" s="2022"/>
      <c r="DG102" s="2790">
        <v>0</v>
      </c>
      <c r="DH102" s="2022"/>
      <c r="DI102" s="2022"/>
      <c r="DJ102" s="2790">
        <v>0</v>
      </c>
      <c r="DK102" s="2022"/>
      <c r="DL102" s="2022"/>
      <c r="DM102" s="2790">
        <v>0</v>
      </c>
      <c r="DN102" s="2022"/>
      <c r="DO102" s="2022"/>
      <c r="DP102" s="2790">
        <v>0</v>
      </c>
      <c r="DQ102" s="2022"/>
      <c r="DR102" s="2022"/>
      <c r="DS102" s="2790">
        <v>0</v>
      </c>
      <c r="DT102" s="2022"/>
      <c r="DU102" s="2022"/>
      <c r="DV102" s="2790">
        <v>0</v>
      </c>
      <c r="DW102" s="2022"/>
      <c r="DX102" s="2022"/>
      <c r="DY102" s="2830">
        <v>0</v>
      </c>
      <c r="DZ102" s="2022"/>
      <c r="EA102" s="2831"/>
      <c r="EB102" s="17"/>
    </row>
    <row r="103" spans="1:132" ht="18" hidden="1" customHeight="1" outlineLevel="1">
      <c r="A103" s="2479"/>
      <c r="B103" s="2944" t="str">
        <f>'Operating Budget'!$D$40</f>
        <v>Other: (Specify)</v>
      </c>
      <c r="C103" s="1777"/>
      <c r="D103" s="1777"/>
      <c r="E103" s="1777"/>
      <c r="F103" s="1777"/>
      <c r="G103" s="1777"/>
      <c r="H103" s="1777"/>
      <c r="I103" s="1778"/>
      <c r="J103" s="2854">
        <v>2.5000000000000001E-2</v>
      </c>
      <c r="K103" s="1862"/>
      <c r="L103" s="2825">
        <v>0</v>
      </c>
      <c r="M103" s="2022"/>
      <c r="N103" s="2022"/>
      <c r="O103" s="2790">
        <v>0</v>
      </c>
      <c r="P103" s="2022"/>
      <c r="Q103" s="2022"/>
      <c r="R103" s="2790">
        <v>0</v>
      </c>
      <c r="S103" s="2022"/>
      <c r="T103" s="2022"/>
      <c r="U103" s="2790">
        <v>0</v>
      </c>
      <c r="V103" s="2022"/>
      <c r="W103" s="2022"/>
      <c r="X103" s="2790">
        <v>0</v>
      </c>
      <c r="Y103" s="2022"/>
      <c r="Z103" s="2022"/>
      <c r="AA103" s="2790">
        <v>0</v>
      </c>
      <c r="AB103" s="2022"/>
      <c r="AC103" s="2022"/>
      <c r="AD103" s="2790">
        <v>0</v>
      </c>
      <c r="AE103" s="2022"/>
      <c r="AF103" s="2022"/>
      <c r="AG103" s="2790">
        <v>0</v>
      </c>
      <c r="AH103" s="2022"/>
      <c r="AI103" s="2022"/>
      <c r="AJ103" s="2790">
        <v>0</v>
      </c>
      <c r="AK103" s="2022"/>
      <c r="AL103" s="2022"/>
      <c r="AM103" s="2790">
        <v>0</v>
      </c>
      <c r="AN103" s="2022"/>
      <c r="AO103" s="2022"/>
      <c r="AP103" s="2790">
        <v>0</v>
      </c>
      <c r="AQ103" s="2022"/>
      <c r="AR103" s="2022"/>
      <c r="AS103" s="2790">
        <v>0</v>
      </c>
      <c r="AT103" s="2022"/>
      <c r="AU103" s="2022"/>
      <c r="AV103" s="2790">
        <v>0</v>
      </c>
      <c r="AW103" s="2022"/>
      <c r="AX103" s="2022"/>
      <c r="AY103" s="2790">
        <v>0</v>
      </c>
      <c r="AZ103" s="2022"/>
      <c r="BA103" s="2022"/>
      <c r="BB103" s="2790">
        <v>0</v>
      </c>
      <c r="BC103" s="2022"/>
      <c r="BD103" s="2022"/>
      <c r="BE103" s="2790">
        <v>0</v>
      </c>
      <c r="BF103" s="2022"/>
      <c r="BG103" s="2022"/>
      <c r="BH103" s="2790">
        <v>0</v>
      </c>
      <c r="BI103" s="2022"/>
      <c r="BJ103" s="2022"/>
      <c r="BK103" s="2790">
        <v>0</v>
      </c>
      <c r="BL103" s="2022"/>
      <c r="BM103" s="2022"/>
      <c r="BN103" s="2790">
        <v>0</v>
      </c>
      <c r="BO103" s="2022"/>
      <c r="BP103" s="2022"/>
      <c r="BQ103" s="2830">
        <v>0</v>
      </c>
      <c r="BR103" s="2022"/>
      <c r="BS103" s="2831"/>
      <c r="BT103" s="2790">
        <v>0</v>
      </c>
      <c r="BU103" s="2022"/>
      <c r="BV103" s="2022"/>
      <c r="BW103" s="2790">
        <v>0</v>
      </c>
      <c r="BX103" s="2022"/>
      <c r="BY103" s="2022"/>
      <c r="BZ103" s="2790">
        <v>0</v>
      </c>
      <c r="CA103" s="2022"/>
      <c r="CB103" s="2022"/>
      <c r="CC103" s="2790">
        <v>0</v>
      </c>
      <c r="CD103" s="2022"/>
      <c r="CE103" s="2022"/>
      <c r="CF103" s="2790">
        <v>0</v>
      </c>
      <c r="CG103" s="2022"/>
      <c r="CH103" s="2022"/>
      <c r="CI103" s="2790">
        <v>0</v>
      </c>
      <c r="CJ103" s="2022"/>
      <c r="CK103" s="2022"/>
      <c r="CL103" s="2790">
        <v>0</v>
      </c>
      <c r="CM103" s="2022"/>
      <c r="CN103" s="2022"/>
      <c r="CO103" s="2790">
        <v>0</v>
      </c>
      <c r="CP103" s="2022"/>
      <c r="CQ103" s="2022"/>
      <c r="CR103" s="2790">
        <v>0</v>
      </c>
      <c r="CS103" s="2022"/>
      <c r="CT103" s="2022"/>
      <c r="CU103" s="2790">
        <v>0</v>
      </c>
      <c r="CV103" s="2022"/>
      <c r="CW103" s="2022"/>
      <c r="CX103" s="2790">
        <v>0</v>
      </c>
      <c r="CY103" s="2022"/>
      <c r="CZ103" s="2022"/>
      <c r="DA103" s="2790">
        <v>0</v>
      </c>
      <c r="DB103" s="2022"/>
      <c r="DC103" s="2022"/>
      <c r="DD103" s="2790">
        <v>0</v>
      </c>
      <c r="DE103" s="2022"/>
      <c r="DF103" s="2022"/>
      <c r="DG103" s="2790">
        <v>0</v>
      </c>
      <c r="DH103" s="2022"/>
      <c r="DI103" s="2022"/>
      <c r="DJ103" s="2790">
        <v>0</v>
      </c>
      <c r="DK103" s="2022"/>
      <c r="DL103" s="2022"/>
      <c r="DM103" s="2790">
        <v>0</v>
      </c>
      <c r="DN103" s="2022"/>
      <c r="DO103" s="2022"/>
      <c r="DP103" s="2790">
        <v>0</v>
      </c>
      <c r="DQ103" s="2022"/>
      <c r="DR103" s="2022"/>
      <c r="DS103" s="2790">
        <v>0</v>
      </c>
      <c r="DT103" s="2022"/>
      <c r="DU103" s="2022"/>
      <c r="DV103" s="2790">
        <v>0</v>
      </c>
      <c r="DW103" s="2022"/>
      <c r="DX103" s="2022"/>
      <c r="DY103" s="2830">
        <v>0</v>
      </c>
      <c r="DZ103" s="2022"/>
      <c r="EA103" s="2831"/>
      <c r="EB103" s="17"/>
    </row>
    <row r="104" spans="1:132" ht="18" hidden="1" customHeight="1" collapsed="1" thickBot="1">
      <c r="B104" s="2941" t="s">
        <v>1922</v>
      </c>
      <c r="C104" s="2803"/>
      <c r="D104" s="2803"/>
      <c r="E104" s="2803"/>
      <c r="F104" s="2803"/>
      <c r="G104" s="2803"/>
      <c r="H104" s="2803"/>
      <c r="I104" s="2803"/>
      <c r="J104" s="2803"/>
      <c r="K104" s="2816"/>
      <c r="L104" s="2860">
        <f>SUM(L96:N103)</f>
        <v>0</v>
      </c>
      <c r="M104" s="2810"/>
      <c r="N104" s="2810"/>
      <c r="O104" s="2809">
        <f>SUM(O96:Q103)</f>
        <v>0</v>
      </c>
      <c r="P104" s="2810"/>
      <c r="Q104" s="2810"/>
      <c r="R104" s="2809">
        <f>SUM(R96:T103)</f>
        <v>0</v>
      </c>
      <c r="S104" s="2810"/>
      <c r="T104" s="2810"/>
      <c r="U104" s="2809">
        <f>SUM(U96:W103)</f>
        <v>0</v>
      </c>
      <c r="V104" s="2810"/>
      <c r="W104" s="2810"/>
      <c r="X104" s="2809">
        <f>SUM(X96:Z103)</f>
        <v>0</v>
      </c>
      <c r="Y104" s="2810"/>
      <c r="Z104" s="2810"/>
      <c r="AA104" s="2809">
        <f>SUM(AA96:AC103)</f>
        <v>0</v>
      </c>
      <c r="AB104" s="2810"/>
      <c r="AC104" s="2810"/>
      <c r="AD104" s="2809">
        <f>SUM(AD96:AF103)</f>
        <v>0</v>
      </c>
      <c r="AE104" s="2810"/>
      <c r="AF104" s="2810"/>
      <c r="AG104" s="2809">
        <f>SUM(AG96:AI103)</f>
        <v>0</v>
      </c>
      <c r="AH104" s="2810"/>
      <c r="AI104" s="2810"/>
      <c r="AJ104" s="2809">
        <f>SUM(AJ96:AL103)</f>
        <v>0</v>
      </c>
      <c r="AK104" s="2810"/>
      <c r="AL104" s="2810"/>
      <c r="AM104" s="2809">
        <f>SUM(AM96:AO103)</f>
        <v>0</v>
      </c>
      <c r="AN104" s="2810"/>
      <c r="AO104" s="2810"/>
      <c r="AP104" s="2809">
        <f>SUM(AP96:AR103)</f>
        <v>0</v>
      </c>
      <c r="AQ104" s="2810"/>
      <c r="AR104" s="2810"/>
      <c r="AS104" s="2809">
        <f>SUM(AS96:AU103)</f>
        <v>0</v>
      </c>
      <c r="AT104" s="2810"/>
      <c r="AU104" s="2810"/>
      <c r="AV104" s="2809">
        <f>SUM(AV96:AX103)</f>
        <v>0</v>
      </c>
      <c r="AW104" s="2810"/>
      <c r="AX104" s="2810"/>
      <c r="AY104" s="2809">
        <f>SUM(AY96:BA103)</f>
        <v>0</v>
      </c>
      <c r="AZ104" s="2810"/>
      <c r="BA104" s="2810"/>
      <c r="BB104" s="2809">
        <f>SUM(BB96:BD103)</f>
        <v>0</v>
      </c>
      <c r="BC104" s="2810"/>
      <c r="BD104" s="2810"/>
      <c r="BE104" s="2809">
        <f>SUM(BE96:BG103)</f>
        <v>0</v>
      </c>
      <c r="BF104" s="2810"/>
      <c r="BG104" s="2810"/>
      <c r="BH104" s="2809">
        <f>SUM(BH96:BJ103)</f>
        <v>0</v>
      </c>
      <c r="BI104" s="2810"/>
      <c r="BJ104" s="2810"/>
      <c r="BK104" s="2809">
        <f>SUM(BK96:BM103)</f>
        <v>0</v>
      </c>
      <c r="BL104" s="2810"/>
      <c r="BM104" s="2810"/>
      <c r="BN104" s="2809">
        <f>SUM(BN96:BP103)</f>
        <v>0</v>
      </c>
      <c r="BO104" s="2810"/>
      <c r="BP104" s="2810"/>
      <c r="BQ104" s="2907">
        <f>SUM(BQ96:BS103)</f>
        <v>0</v>
      </c>
      <c r="BR104" s="2810"/>
      <c r="BS104" s="2829"/>
      <c r="BT104" s="2809">
        <f>SUM(BT96:BV103)</f>
        <v>0</v>
      </c>
      <c r="BU104" s="2810"/>
      <c r="BV104" s="2810"/>
      <c r="BW104" s="2809">
        <f>SUM(BW96:BY103)</f>
        <v>0</v>
      </c>
      <c r="BX104" s="2810"/>
      <c r="BY104" s="2810"/>
      <c r="BZ104" s="2809">
        <f>SUM(BZ96:CB103)</f>
        <v>0</v>
      </c>
      <c r="CA104" s="2810"/>
      <c r="CB104" s="2810"/>
      <c r="CC104" s="2809">
        <f>SUM(CC96:CE103)</f>
        <v>0</v>
      </c>
      <c r="CD104" s="2810"/>
      <c r="CE104" s="2810"/>
      <c r="CF104" s="2809">
        <f>SUM(CF96:CH103)</f>
        <v>0</v>
      </c>
      <c r="CG104" s="2810"/>
      <c r="CH104" s="2810"/>
      <c r="CI104" s="2809">
        <f>SUM(CI96:CK103)</f>
        <v>0</v>
      </c>
      <c r="CJ104" s="2810"/>
      <c r="CK104" s="2810"/>
      <c r="CL104" s="2809">
        <f>SUM(CL96:CN103)</f>
        <v>0</v>
      </c>
      <c r="CM104" s="2810"/>
      <c r="CN104" s="2810"/>
      <c r="CO104" s="2809">
        <f>SUM(CO96:CQ103)</f>
        <v>0</v>
      </c>
      <c r="CP104" s="2810"/>
      <c r="CQ104" s="2810"/>
      <c r="CR104" s="2809">
        <f>SUM(CR96:CT103)</f>
        <v>0</v>
      </c>
      <c r="CS104" s="2810"/>
      <c r="CT104" s="2810"/>
      <c r="CU104" s="2809">
        <f>SUM(CU96:CW103)</f>
        <v>0</v>
      </c>
      <c r="CV104" s="2810"/>
      <c r="CW104" s="2810"/>
      <c r="CX104" s="2809">
        <f>SUM(CX96:CZ103)</f>
        <v>0</v>
      </c>
      <c r="CY104" s="2810"/>
      <c r="CZ104" s="2810"/>
      <c r="DA104" s="2809">
        <f>SUM(DA96:DC103)</f>
        <v>0</v>
      </c>
      <c r="DB104" s="2810"/>
      <c r="DC104" s="2810"/>
      <c r="DD104" s="2809">
        <f>SUM(DD96:DF103)</f>
        <v>0</v>
      </c>
      <c r="DE104" s="2810"/>
      <c r="DF104" s="2810"/>
      <c r="DG104" s="2809">
        <f>SUM(DG96:DI103)</f>
        <v>0</v>
      </c>
      <c r="DH104" s="2810"/>
      <c r="DI104" s="2810"/>
      <c r="DJ104" s="2809">
        <f>SUM(DJ96:DL103)</f>
        <v>0</v>
      </c>
      <c r="DK104" s="2810"/>
      <c r="DL104" s="2810"/>
      <c r="DM104" s="2809">
        <f>SUM(DM96:DO103)</f>
        <v>0</v>
      </c>
      <c r="DN104" s="2810"/>
      <c r="DO104" s="2810"/>
      <c r="DP104" s="2809">
        <f>SUM(DP96:DR103)</f>
        <v>0</v>
      </c>
      <c r="DQ104" s="2810"/>
      <c r="DR104" s="2810"/>
      <c r="DS104" s="2809">
        <f>SUM(DS96:DU103)</f>
        <v>0</v>
      </c>
      <c r="DT104" s="2810"/>
      <c r="DU104" s="2810"/>
      <c r="DV104" s="2809">
        <f>SUM(DV96:DX103)</f>
        <v>0</v>
      </c>
      <c r="DW104" s="2810"/>
      <c r="DX104" s="2810"/>
      <c r="DY104" s="2907">
        <f>SUM(DY96:EA103)</f>
        <v>0</v>
      </c>
      <c r="DZ104" s="2810"/>
      <c r="EA104" s="2829"/>
      <c r="EB104" s="17"/>
    </row>
    <row r="105" spans="1:132" ht="9" hidden="1" customHeight="1" thickTop="1">
      <c r="B105" s="703"/>
      <c r="L105" s="17"/>
      <c r="BS105" s="688"/>
      <c r="EA105" s="688"/>
      <c r="EB105" s="17"/>
    </row>
    <row r="106" spans="1:132" ht="18" hidden="1" customHeight="1">
      <c r="B106" s="2865" t="s">
        <v>1923</v>
      </c>
      <c r="C106" s="1777"/>
      <c r="D106" s="1777"/>
      <c r="E106" s="1777"/>
      <c r="F106" s="1777"/>
      <c r="G106" s="1777"/>
      <c r="H106" s="1777"/>
      <c r="I106" s="1777"/>
      <c r="J106" s="1777"/>
      <c r="K106" s="1778"/>
      <c r="L106" s="17"/>
      <c r="BS106" s="688"/>
      <c r="EA106" s="688"/>
      <c r="EB106" s="17"/>
    </row>
    <row r="107" spans="1:132" ht="18" hidden="1" customHeight="1" outlineLevel="1">
      <c r="B107" s="2848" t="s">
        <v>1924</v>
      </c>
      <c r="C107" s="1953"/>
      <c r="D107" s="1953"/>
      <c r="E107" s="1953"/>
      <c r="F107" s="1953"/>
      <c r="G107" s="1953"/>
      <c r="H107" s="1953"/>
      <c r="I107" s="1953"/>
      <c r="J107" s="2854">
        <v>2.5000000000000001E-2</v>
      </c>
      <c r="K107" s="1862"/>
      <c r="L107" s="2927">
        <f>'Operating Budget'!$E$42*ProRata</f>
        <v>0</v>
      </c>
      <c r="M107" s="1953"/>
      <c r="N107" s="1953"/>
      <c r="O107" s="2798">
        <f>L107*(1+$J$107)</f>
        <v>0</v>
      </c>
      <c r="P107" s="1953"/>
      <c r="Q107" s="1953"/>
      <c r="R107" s="2798">
        <f>O107*(1+$J$107)</f>
        <v>0</v>
      </c>
      <c r="S107" s="1953"/>
      <c r="T107" s="1953"/>
      <c r="U107" s="2798">
        <f>R107*(1+$J$107)</f>
        <v>0</v>
      </c>
      <c r="V107" s="1953"/>
      <c r="W107" s="1953"/>
      <c r="X107" s="2798">
        <f>U107*(1+$J$107)</f>
        <v>0</v>
      </c>
      <c r="Y107" s="1953"/>
      <c r="Z107" s="1953"/>
      <c r="AA107" s="2798">
        <f>X107*(1+$J$107)</f>
        <v>0</v>
      </c>
      <c r="AB107" s="1953"/>
      <c r="AC107" s="1953"/>
      <c r="AD107" s="2798">
        <f>AA107*(1+$J$107)</f>
        <v>0</v>
      </c>
      <c r="AE107" s="1953"/>
      <c r="AF107" s="1953"/>
      <c r="AG107" s="2798">
        <f>AD107*(1+$J$107)</f>
        <v>0</v>
      </c>
      <c r="AH107" s="1953"/>
      <c r="AI107" s="1953"/>
      <c r="AJ107" s="2798">
        <f>AG107*(1+$J$107)</f>
        <v>0</v>
      </c>
      <c r="AK107" s="1953"/>
      <c r="AL107" s="1953"/>
      <c r="AM107" s="2798">
        <f>AJ107*(1+$J$107)</f>
        <v>0</v>
      </c>
      <c r="AN107" s="1953"/>
      <c r="AO107" s="1953"/>
      <c r="AP107" s="2798">
        <f>AM107*(1+$J$107)</f>
        <v>0</v>
      </c>
      <c r="AQ107" s="1953"/>
      <c r="AR107" s="1953"/>
      <c r="AS107" s="2798">
        <f>AP107*(1+$J$107)</f>
        <v>0</v>
      </c>
      <c r="AT107" s="1953"/>
      <c r="AU107" s="1953"/>
      <c r="AV107" s="2798">
        <f>AS107*(1+$J$107)</f>
        <v>0</v>
      </c>
      <c r="AW107" s="1953"/>
      <c r="AX107" s="1953"/>
      <c r="AY107" s="2798">
        <f>AV107*(1+$J$107)</f>
        <v>0</v>
      </c>
      <c r="AZ107" s="1953"/>
      <c r="BA107" s="1953"/>
      <c r="BB107" s="2798">
        <f>AY107*(1+$J$107)</f>
        <v>0</v>
      </c>
      <c r="BC107" s="1953"/>
      <c r="BD107" s="1953"/>
      <c r="BE107" s="2798">
        <f>BB107*(1+$J$107)</f>
        <v>0</v>
      </c>
      <c r="BF107" s="1953"/>
      <c r="BG107" s="1953"/>
      <c r="BH107" s="2798">
        <f>BE107*(1+$J$107)</f>
        <v>0</v>
      </c>
      <c r="BI107" s="1953"/>
      <c r="BJ107" s="1953"/>
      <c r="BK107" s="2798">
        <f>BH107*(1+$J$107)</f>
        <v>0</v>
      </c>
      <c r="BL107" s="1953"/>
      <c r="BM107" s="1953"/>
      <c r="BN107" s="2798">
        <f>BK107*(1+$J$107)</f>
        <v>0</v>
      </c>
      <c r="BO107" s="1953"/>
      <c r="BP107" s="1953"/>
      <c r="BQ107" s="2913">
        <f>BN107*(1+$J$107)</f>
        <v>0</v>
      </c>
      <c r="BR107" s="1953"/>
      <c r="BS107" s="2879"/>
      <c r="BT107" s="2798">
        <f>BQ107*(1+$J$107)</f>
        <v>0</v>
      </c>
      <c r="BU107" s="1953"/>
      <c r="BV107" s="1953"/>
      <c r="BW107" s="2798">
        <f>BT107*(1+$J$107)</f>
        <v>0</v>
      </c>
      <c r="BX107" s="1953"/>
      <c r="BY107" s="1953"/>
      <c r="BZ107" s="2798">
        <f>BW107*(1+$J$107)</f>
        <v>0</v>
      </c>
      <c r="CA107" s="1953"/>
      <c r="CB107" s="1953"/>
      <c r="CC107" s="2798">
        <f>BZ107*(1+$J$107)</f>
        <v>0</v>
      </c>
      <c r="CD107" s="1953"/>
      <c r="CE107" s="1953"/>
      <c r="CF107" s="2798">
        <f>CC107*(1+$J$107)</f>
        <v>0</v>
      </c>
      <c r="CG107" s="1953"/>
      <c r="CH107" s="1953"/>
      <c r="CI107" s="2798">
        <f>CF107*(1+$J$107)</f>
        <v>0</v>
      </c>
      <c r="CJ107" s="1953"/>
      <c r="CK107" s="1953"/>
      <c r="CL107" s="2798">
        <f>CI107*(1+$J$107)</f>
        <v>0</v>
      </c>
      <c r="CM107" s="1953"/>
      <c r="CN107" s="1953"/>
      <c r="CO107" s="2798">
        <f>CL107*(1+$J$107)</f>
        <v>0</v>
      </c>
      <c r="CP107" s="1953"/>
      <c r="CQ107" s="1953"/>
      <c r="CR107" s="2798">
        <f>CO107*(1+$J$107)</f>
        <v>0</v>
      </c>
      <c r="CS107" s="1953"/>
      <c r="CT107" s="1953"/>
      <c r="CU107" s="2798">
        <f>CR107*(1+$J$107)</f>
        <v>0</v>
      </c>
      <c r="CV107" s="1953"/>
      <c r="CW107" s="1953"/>
      <c r="CX107" s="2798">
        <f>CU107*(1+$J$107)</f>
        <v>0</v>
      </c>
      <c r="CY107" s="1953"/>
      <c r="CZ107" s="1953"/>
      <c r="DA107" s="2798">
        <f>CX107*(1+$J$107)</f>
        <v>0</v>
      </c>
      <c r="DB107" s="1953"/>
      <c r="DC107" s="1953"/>
      <c r="DD107" s="2798">
        <f>DA107*(1+$J$107)</f>
        <v>0</v>
      </c>
      <c r="DE107" s="1953"/>
      <c r="DF107" s="1953"/>
      <c r="DG107" s="2798">
        <f>DD107*(1+$J$107)</f>
        <v>0</v>
      </c>
      <c r="DH107" s="1953"/>
      <c r="DI107" s="1953"/>
      <c r="DJ107" s="2798">
        <f>DG107*(1+$J$107)</f>
        <v>0</v>
      </c>
      <c r="DK107" s="1953"/>
      <c r="DL107" s="1953"/>
      <c r="DM107" s="2798">
        <f>DJ107*(1+$J$107)</f>
        <v>0</v>
      </c>
      <c r="DN107" s="1953"/>
      <c r="DO107" s="1953"/>
      <c r="DP107" s="2798">
        <f>DM107*(1+$J$107)</f>
        <v>0</v>
      </c>
      <c r="DQ107" s="1953"/>
      <c r="DR107" s="1953"/>
      <c r="DS107" s="2798">
        <f>DP107*(1+$J$107)</f>
        <v>0</v>
      </c>
      <c r="DT107" s="1953"/>
      <c r="DU107" s="1953"/>
      <c r="DV107" s="2798">
        <f>DS107*(1+$J$107)</f>
        <v>0</v>
      </c>
      <c r="DW107" s="1953"/>
      <c r="DX107" s="1953"/>
      <c r="DY107" s="2913">
        <f>DV107*(1+$J$107)</f>
        <v>0</v>
      </c>
      <c r="DZ107" s="1953"/>
      <c r="EA107" s="2879"/>
      <c r="EB107" s="17"/>
    </row>
    <row r="108" spans="1:132" ht="18" hidden="1" customHeight="1" outlineLevel="1">
      <c r="B108" s="2868" t="s">
        <v>1925</v>
      </c>
      <c r="C108" s="2821"/>
      <c r="D108" s="2821"/>
      <c r="E108" s="2821"/>
      <c r="F108" s="2821"/>
      <c r="G108" s="2821"/>
      <c r="H108" s="2821"/>
      <c r="I108" s="2821"/>
      <c r="J108" s="2854">
        <v>2.5000000000000001E-2</v>
      </c>
      <c r="K108" s="1862"/>
      <c r="L108" s="2849">
        <f>'Operating Budget'!$E$43+'Operating Budget'!$E$44*ProRata</f>
        <v>0</v>
      </c>
      <c r="M108" s="2435"/>
      <c r="N108" s="2435"/>
      <c r="O108" s="2791">
        <f>L108*(1+$J$108)</f>
        <v>0</v>
      </c>
      <c r="P108" s="2435"/>
      <c r="Q108" s="2435"/>
      <c r="R108" s="2791">
        <f>O108*(1+$J$108)</f>
        <v>0</v>
      </c>
      <c r="S108" s="2435"/>
      <c r="T108" s="2435"/>
      <c r="U108" s="2791">
        <f>R108*(1+$J$108)</f>
        <v>0</v>
      </c>
      <c r="V108" s="2435"/>
      <c r="W108" s="2435"/>
      <c r="X108" s="2791">
        <f>U108*(1+$J$108)</f>
        <v>0</v>
      </c>
      <c r="Y108" s="2435"/>
      <c r="Z108" s="2435"/>
      <c r="AA108" s="2791">
        <f>X108*(1+$J$108)</f>
        <v>0</v>
      </c>
      <c r="AB108" s="2435"/>
      <c r="AC108" s="2435"/>
      <c r="AD108" s="2791">
        <f>AA108*(1+$J$108)</f>
        <v>0</v>
      </c>
      <c r="AE108" s="2435"/>
      <c r="AF108" s="2435"/>
      <c r="AG108" s="2791">
        <f>AD108*(1+$J$108)</f>
        <v>0</v>
      </c>
      <c r="AH108" s="2435"/>
      <c r="AI108" s="2435"/>
      <c r="AJ108" s="2791">
        <f>AG108*(1+$J$108)</f>
        <v>0</v>
      </c>
      <c r="AK108" s="2435"/>
      <c r="AL108" s="2435"/>
      <c r="AM108" s="2791">
        <f>AJ108*(1+$J$108)</f>
        <v>0</v>
      </c>
      <c r="AN108" s="2435"/>
      <c r="AO108" s="2435"/>
      <c r="AP108" s="2791">
        <f>AM108*(1+$J$108)</f>
        <v>0</v>
      </c>
      <c r="AQ108" s="2435"/>
      <c r="AR108" s="2435"/>
      <c r="AS108" s="2791">
        <f>AP108*(1+$J$108)</f>
        <v>0</v>
      </c>
      <c r="AT108" s="2435"/>
      <c r="AU108" s="2435"/>
      <c r="AV108" s="2791">
        <f>AS108*(1+$J$108)</f>
        <v>0</v>
      </c>
      <c r="AW108" s="2435"/>
      <c r="AX108" s="2435"/>
      <c r="AY108" s="2791">
        <f>AV108*(1+$J$108)</f>
        <v>0</v>
      </c>
      <c r="AZ108" s="2435"/>
      <c r="BA108" s="2435"/>
      <c r="BB108" s="2791">
        <f>AY108*(1+$J$108)</f>
        <v>0</v>
      </c>
      <c r="BC108" s="2435"/>
      <c r="BD108" s="2435"/>
      <c r="BE108" s="2791">
        <f>BB108*(1+$J$108)</f>
        <v>0</v>
      </c>
      <c r="BF108" s="2435"/>
      <c r="BG108" s="2435"/>
      <c r="BH108" s="2791">
        <f>BE108*(1+$J$108)</f>
        <v>0</v>
      </c>
      <c r="BI108" s="2435"/>
      <c r="BJ108" s="2435"/>
      <c r="BK108" s="2791">
        <f>BH108*(1+$J$108)</f>
        <v>0</v>
      </c>
      <c r="BL108" s="2435"/>
      <c r="BM108" s="2435"/>
      <c r="BN108" s="2791">
        <f>BK108*(1+$J$108)</f>
        <v>0</v>
      </c>
      <c r="BO108" s="2435"/>
      <c r="BP108" s="2435"/>
      <c r="BQ108" s="2846">
        <f>BN108*(1+$J$108)</f>
        <v>0</v>
      </c>
      <c r="BR108" s="2435"/>
      <c r="BS108" s="2847"/>
      <c r="BT108" s="2791">
        <f>BQ108*(1+$J$108)</f>
        <v>0</v>
      </c>
      <c r="BU108" s="2435"/>
      <c r="BV108" s="2435"/>
      <c r="BW108" s="2791">
        <f>BT108*(1+$J$108)</f>
        <v>0</v>
      </c>
      <c r="BX108" s="2435"/>
      <c r="BY108" s="2435"/>
      <c r="BZ108" s="2791">
        <f>BW108*(1+$J$108)</f>
        <v>0</v>
      </c>
      <c r="CA108" s="2435"/>
      <c r="CB108" s="2435"/>
      <c r="CC108" s="2791">
        <f>BZ108*(1+$J$108)</f>
        <v>0</v>
      </c>
      <c r="CD108" s="2435"/>
      <c r="CE108" s="2435"/>
      <c r="CF108" s="2791">
        <f>CC108*(1+$J$108)</f>
        <v>0</v>
      </c>
      <c r="CG108" s="2435"/>
      <c r="CH108" s="2435"/>
      <c r="CI108" s="2791">
        <f>CF108*(1+$J$108)</f>
        <v>0</v>
      </c>
      <c r="CJ108" s="2435"/>
      <c r="CK108" s="2435"/>
      <c r="CL108" s="2791">
        <f>CI108*(1+$J$108)</f>
        <v>0</v>
      </c>
      <c r="CM108" s="2435"/>
      <c r="CN108" s="2435"/>
      <c r="CO108" s="2791">
        <f>CL108*(1+$J$108)</f>
        <v>0</v>
      </c>
      <c r="CP108" s="2435"/>
      <c r="CQ108" s="2435"/>
      <c r="CR108" s="2791">
        <f>CO108*(1+$J$108)</f>
        <v>0</v>
      </c>
      <c r="CS108" s="2435"/>
      <c r="CT108" s="2435"/>
      <c r="CU108" s="2791">
        <f>CR108*(1+$J$108)</f>
        <v>0</v>
      </c>
      <c r="CV108" s="2435"/>
      <c r="CW108" s="2435"/>
      <c r="CX108" s="2791">
        <f>CU108*(1+$J$108)</f>
        <v>0</v>
      </c>
      <c r="CY108" s="2435"/>
      <c r="CZ108" s="2435"/>
      <c r="DA108" s="2791">
        <f>CX108*(1+$J$108)</f>
        <v>0</v>
      </c>
      <c r="DB108" s="2435"/>
      <c r="DC108" s="2435"/>
      <c r="DD108" s="2791">
        <f>DA108*(1+$J$108)</f>
        <v>0</v>
      </c>
      <c r="DE108" s="2435"/>
      <c r="DF108" s="2435"/>
      <c r="DG108" s="2791">
        <f>DD108*(1+$J$108)</f>
        <v>0</v>
      </c>
      <c r="DH108" s="2435"/>
      <c r="DI108" s="2435"/>
      <c r="DJ108" s="2791">
        <f>DG108*(1+$J$108)</f>
        <v>0</v>
      </c>
      <c r="DK108" s="2435"/>
      <c r="DL108" s="2435"/>
      <c r="DM108" s="2791">
        <f>DJ108*(1+$J$108)</f>
        <v>0</v>
      </c>
      <c r="DN108" s="2435"/>
      <c r="DO108" s="2435"/>
      <c r="DP108" s="2791">
        <f>DM108*(1+$J$108)</f>
        <v>0</v>
      </c>
      <c r="DQ108" s="2435"/>
      <c r="DR108" s="2435"/>
      <c r="DS108" s="2791">
        <f>DP108*(1+$J$108)</f>
        <v>0</v>
      </c>
      <c r="DT108" s="2435"/>
      <c r="DU108" s="2435"/>
      <c r="DV108" s="2791">
        <f>DS108*(1+$J$108)</f>
        <v>0</v>
      </c>
      <c r="DW108" s="2435"/>
      <c r="DX108" s="2435"/>
      <c r="DY108" s="2846">
        <f>DV108*(1+$J$108)</f>
        <v>0</v>
      </c>
      <c r="DZ108" s="2435"/>
      <c r="EA108" s="2847"/>
      <c r="EB108" s="17"/>
    </row>
    <row r="109" spans="1:132" ht="18" hidden="1" customHeight="1" outlineLevel="1">
      <c r="B109" s="2845" t="s">
        <v>270</v>
      </c>
      <c r="C109" s="2821"/>
      <c r="D109" s="2821"/>
      <c r="E109" s="2821"/>
      <c r="F109" s="2821"/>
      <c r="G109" s="2821"/>
      <c r="H109" s="2821"/>
      <c r="I109" s="2821"/>
      <c r="J109" s="2854">
        <v>2.5000000000000001E-2</v>
      </c>
      <c r="K109" s="1862"/>
      <c r="L109" s="2849">
        <f>'Operating Budget'!$F$45*ProRata</f>
        <v>0</v>
      </c>
      <c r="M109" s="2435"/>
      <c r="N109" s="2435"/>
      <c r="O109" s="2791">
        <f>L109*(1+$J$109)</f>
        <v>0</v>
      </c>
      <c r="P109" s="2435"/>
      <c r="Q109" s="2435"/>
      <c r="R109" s="2791">
        <f>O109*(1+$J$109)</f>
        <v>0</v>
      </c>
      <c r="S109" s="2435"/>
      <c r="T109" s="2435"/>
      <c r="U109" s="2791">
        <f>R109*(1+$J$109)</f>
        <v>0</v>
      </c>
      <c r="V109" s="2435"/>
      <c r="W109" s="2435"/>
      <c r="X109" s="2791">
        <f>U109*(1+$J$109)</f>
        <v>0</v>
      </c>
      <c r="Y109" s="2435"/>
      <c r="Z109" s="2435"/>
      <c r="AA109" s="2791">
        <f>X109*(1+$J$109)</f>
        <v>0</v>
      </c>
      <c r="AB109" s="2435"/>
      <c r="AC109" s="2435"/>
      <c r="AD109" s="2791">
        <f>AA109*(1+$J$109)</f>
        <v>0</v>
      </c>
      <c r="AE109" s="2435"/>
      <c r="AF109" s="2435"/>
      <c r="AG109" s="2791">
        <f>AD109*(1+$J$109)</f>
        <v>0</v>
      </c>
      <c r="AH109" s="2435"/>
      <c r="AI109" s="2435"/>
      <c r="AJ109" s="2791">
        <f>AG109*(1+$J$109)</f>
        <v>0</v>
      </c>
      <c r="AK109" s="2435"/>
      <c r="AL109" s="2435"/>
      <c r="AM109" s="2791">
        <f>AJ109*(1+$J$109)</f>
        <v>0</v>
      </c>
      <c r="AN109" s="2435"/>
      <c r="AO109" s="2435"/>
      <c r="AP109" s="2791">
        <f>AM109*(1+$J$109)</f>
        <v>0</v>
      </c>
      <c r="AQ109" s="2435"/>
      <c r="AR109" s="2435"/>
      <c r="AS109" s="2791">
        <f>AP109*(1+$J$109)</f>
        <v>0</v>
      </c>
      <c r="AT109" s="2435"/>
      <c r="AU109" s="2435"/>
      <c r="AV109" s="2791">
        <f>AS109*(1+$J$109)</f>
        <v>0</v>
      </c>
      <c r="AW109" s="2435"/>
      <c r="AX109" s="2435"/>
      <c r="AY109" s="2791">
        <f>AV109*(1+$J$109)</f>
        <v>0</v>
      </c>
      <c r="AZ109" s="2435"/>
      <c r="BA109" s="2435"/>
      <c r="BB109" s="2791">
        <f>AY109*(1+$J$109)</f>
        <v>0</v>
      </c>
      <c r="BC109" s="2435"/>
      <c r="BD109" s="2435"/>
      <c r="BE109" s="2791">
        <f>BB109*(1+$J$109)</f>
        <v>0</v>
      </c>
      <c r="BF109" s="2435"/>
      <c r="BG109" s="2435"/>
      <c r="BH109" s="2791">
        <f>BE109*(1+$J$109)</f>
        <v>0</v>
      </c>
      <c r="BI109" s="2435"/>
      <c r="BJ109" s="2435"/>
      <c r="BK109" s="2791">
        <f>BH109*(1+$J$109)</f>
        <v>0</v>
      </c>
      <c r="BL109" s="2435"/>
      <c r="BM109" s="2435"/>
      <c r="BN109" s="2791">
        <f>BK109*(1+$J$109)</f>
        <v>0</v>
      </c>
      <c r="BO109" s="2435"/>
      <c r="BP109" s="2435"/>
      <c r="BQ109" s="2846">
        <f>BN109*(1+$J$109)</f>
        <v>0</v>
      </c>
      <c r="BR109" s="2435"/>
      <c r="BS109" s="2847"/>
      <c r="BT109" s="2791">
        <f>BQ109*(1+$J$109)</f>
        <v>0</v>
      </c>
      <c r="BU109" s="2435"/>
      <c r="BV109" s="2435"/>
      <c r="BW109" s="2791">
        <f>BT109*(1+$J$109)</f>
        <v>0</v>
      </c>
      <c r="BX109" s="2435"/>
      <c r="BY109" s="2435"/>
      <c r="BZ109" s="2791">
        <f>BW109*(1+$J$109)</f>
        <v>0</v>
      </c>
      <c r="CA109" s="2435"/>
      <c r="CB109" s="2435"/>
      <c r="CC109" s="2791">
        <f>BZ109*(1+$J$109)</f>
        <v>0</v>
      </c>
      <c r="CD109" s="2435"/>
      <c r="CE109" s="2435"/>
      <c r="CF109" s="2791">
        <f>CC109*(1+$J$109)</f>
        <v>0</v>
      </c>
      <c r="CG109" s="2435"/>
      <c r="CH109" s="2435"/>
      <c r="CI109" s="2791">
        <f>CF109*(1+$J$109)</f>
        <v>0</v>
      </c>
      <c r="CJ109" s="2435"/>
      <c r="CK109" s="2435"/>
      <c r="CL109" s="2791">
        <f>CI109*(1+$J$109)</f>
        <v>0</v>
      </c>
      <c r="CM109" s="2435"/>
      <c r="CN109" s="2435"/>
      <c r="CO109" s="2791">
        <f>CL109*(1+$J$109)</f>
        <v>0</v>
      </c>
      <c r="CP109" s="2435"/>
      <c r="CQ109" s="2435"/>
      <c r="CR109" s="2791">
        <f>CO109*(1+$J$109)</f>
        <v>0</v>
      </c>
      <c r="CS109" s="2435"/>
      <c r="CT109" s="2435"/>
      <c r="CU109" s="2791">
        <f>CR109*(1+$J$109)</f>
        <v>0</v>
      </c>
      <c r="CV109" s="2435"/>
      <c r="CW109" s="2435"/>
      <c r="CX109" s="2791">
        <f>CU109*(1+$J$109)</f>
        <v>0</v>
      </c>
      <c r="CY109" s="2435"/>
      <c r="CZ109" s="2435"/>
      <c r="DA109" s="2791">
        <f>CX109*(1+$J$109)</f>
        <v>0</v>
      </c>
      <c r="DB109" s="2435"/>
      <c r="DC109" s="2435"/>
      <c r="DD109" s="2791">
        <f>DA109*(1+$J$109)</f>
        <v>0</v>
      </c>
      <c r="DE109" s="2435"/>
      <c r="DF109" s="2435"/>
      <c r="DG109" s="2791">
        <f>DD109*(1+$J$109)</f>
        <v>0</v>
      </c>
      <c r="DH109" s="2435"/>
      <c r="DI109" s="2435"/>
      <c r="DJ109" s="2791">
        <f>DG109*(1+$J$109)</f>
        <v>0</v>
      </c>
      <c r="DK109" s="2435"/>
      <c r="DL109" s="2435"/>
      <c r="DM109" s="2791">
        <f>DJ109*(1+$J$109)</f>
        <v>0</v>
      </c>
      <c r="DN109" s="2435"/>
      <c r="DO109" s="2435"/>
      <c r="DP109" s="2791">
        <f>DM109*(1+$J$109)</f>
        <v>0</v>
      </c>
      <c r="DQ109" s="2435"/>
      <c r="DR109" s="2435"/>
      <c r="DS109" s="2791">
        <f>DP109*(1+$J$109)</f>
        <v>0</v>
      </c>
      <c r="DT109" s="2435"/>
      <c r="DU109" s="2435"/>
      <c r="DV109" s="2791">
        <f>DS109*(1+$J$109)</f>
        <v>0</v>
      </c>
      <c r="DW109" s="2435"/>
      <c r="DX109" s="2435"/>
      <c r="DY109" s="2846">
        <f>DV109*(1+$J$109)</f>
        <v>0</v>
      </c>
      <c r="DZ109" s="2435"/>
      <c r="EA109" s="2847"/>
      <c r="EB109" s="17"/>
    </row>
    <row r="110" spans="1:132" ht="18" hidden="1" customHeight="1" collapsed="1">
      <c r="B110" s="2858" t="s">
        <v>1926</v>
      </c>
      <c r="C110" s="1877"/>
      <c r="D110" s="1877"/>
      <c r="E110" s="1877"/>
      <c r="F110" s="1877"/>
      <c r="G110" s="1877"/>
      <c r="H110" s="1877"/>
      <c r="I110" s="1877"/>
      <c r="J110" s="1877"/>
      <c r="K110" s="1772"/>
      <c r="L110" s="2856">
        <f>SUM(L107:N109)</f>
        <v>0</v>
      </c>
      <c r="M110" s="2435"/>
      <c r="N110" s="2435"/>
      <c r="O110" s="2792">
        <f>SUM(O107:Q109)</f>
        <v>0</v>
      </c>
      <c r="P110" s="2435"/>
      <c r="Q110" s="2435"/>
      <c r="R110" s="2792">
        <f>SUM(R107:T109)</f>
        <v>0</v>
      </c>
      <c r="S110" s="2435"/>
      <c r="T110" s="2435"/>
      <c r="U110" s="2792">
        <f>SUM(U107:W109)</f>
        <v>0</v>
      </c>
      <c r="V110" s="2435"/>
      <c r="W110" s="2435"/>
      <c r="X110" s="2792">
        <f>SUM(X107:Z109)</f>
        <v>0</v>
      </c>
      <c r="Y110" s="2435"/>
      <c r="Z110" s="2435"/>
      <c r="AA110" s="2792">
        <f>SUM(AA107:AC109)</f>
        <v>0</v>
      </c>
      <c r="AB110" s="2435"/>
      <c r="AC110" s="2435"/>
      <c r="AD110" s="2792">
        <f>SUM(AD107:AF109)</f>
        <v>0</v>
      </c>
      <c r="AE110" s="2435"/>
      <c r="AF110" s="2435"/>
      <c r="AG110" s="2792">
        <f>SUM(AG107:AI109)</f>
        <v>0</v>
      </c>
      <c r="AH110" s="2435"/>
      <c r="AI110" s="2435"/>
      <c r="AJ110" s="2792">
        <f>SUM(AJ107:AL109)</f>
        <v>0</v>
      </c>
      <c r="AK110" s="2435"/>
      <c r="AL110" s="2435"/>
      <c r="AM110" s="2792">
        <f>SUM(AM107:AO109)</f>
        <v>0</v>
      </c>
      <c r="AN110" s="2435"/>
      <c r="AO110" s="2435"/>
      <c r="AP110" s="2792">
        <f>SUM(AP107:AR109)</f>
        <v>0</v>
      </c>
      <c r="AQ110" s="2435"/>
      <c r="AR110" s="2435"/>
      <c r="AS110" s="2792">
        <f>SUM(AS107:AU109)</f>
        <v>0</v>
      </c>
      <c r="AT110" s="2435"/>
      <c r="AU110" s="2435"/>
      <c r="AV110" s="2792">
        <f>SUM(AV107:AX109)</f>
        <v>0</v>
      </c>
      <c r="AW110" s="2435"/>
      <c r="AX110" s="2435"/>
      <c r="AY110" s="2792">
        <f>SUM(AY107:BA109)</f>
        <v>0</v>
      </c>
      <c r="AZ110" s="2435"/>
      <c r="BA110" s="2435"/>
      <c r="BB110" s="2792">
        <f>SUM(BB107:BD109)</f>
        <v>0</v>
      </c>
      <c r="BC110" s="2435"/>
      <c r="BD110" s="2435"/>
      <c r="BE110" s="2792">
        <f>SUM(BE107:BG109)</f>
        <v>0</v>
      </c>
      <c r="BF110" s="2435"/>
      <c r="BG110" s="2435"/>
      <c r="BH110" s="2792">
        <f>SUM(BH107:BJ109)</f>
        <v>0</v>
      </c>
      <c r="BI110" s="2435"/>
      <c r="BJ110" s="2435"/>
      <c r="BK110" s="2792">
        <f>SUM(BK107:BM109)</f>
        <v>0</v>
      </c>
      <c r="BL110" s="2435"/>
      <c r="BM110" s="2435"/>
      <c r="BN110" s="2792">
        <f>SUM(BN107:BP109)</f>
        <v>0</v>
      </c>
      <c r="BO110" s="2435"/>
      <c r="BP110" s="2435"/>
      <c r="BQ110" s="2881">
        <f>SUM(BQ107:BS109)</f>
        <v>0</v>
      </c>
      <c r="BR110" s="2435"/>
      <c r="BS110" s="2847"/>
      <c r="BT110" s="2792">
        <f>SUM(BT107:BV109)</f>
        <v>0</v>
      </c>
      <c r="BU110" s="2435"/>
      <c r="BV110" s="2435"/>
      <c r="BW110" s="2792">
        <f>SUM(BW107:BY109)</f>
        <v>0</v>
      </c>
      <c r="BX110" s="2435"/>
      <c r="BY110" s="2435"/>
      <c r="BZ110" s="2792">
        <f>SUM(BZ107:CB109)</f>
        <v>0</v>
      </c>
      <c r="CA110" s="2435"/>
      <c r="CB110" s="2435"/>
      <c r="CC110" s="2792">
        <f>SUM(CC107:CE109)</f>
        <v>0</v>
      </c>
      <c r="CD110" s="2435"/>
      <c r="CE110" s="2435"/>
      <c r="CF110" s="2792">
        <f>SUM(CF107:CH109)</f>
        <v>0</v>
      </c>
      <c r="CG110" s="2435"/>
      <c r="CH110" s="2435"/>
      <c r="CI110" s="2792">
        <f>SUM(CI107:CK109)</f>
        <v>0</v>
      </c>
      <c r="CJ110" s="2435"/>
      <c r="CK110" s="2435"/>
      <c r="CL110" s="2792">
        <f>SUM(CL107:CN109)</f>
        <v>0</v>
      </c>
      <c r="CM110" s="2435"/>
      <c r="CN110" s="2435"/>
      <c r="CO110" s="2792">
        <f>SUM(CO107:CQ109)</f>
        <v>0</v>
      </c>
      <c r="CP110" s="2435"/>
      <c r="CQ110" s="2435"/>
      <c r="CR110" s="2792">
        <f>SUM(CR107:CT109)</f>
        <v>0</v>
      </c>
      <c r="CS110" s="2435"/>
      <c r="CT110" s="2435"/>
      <c r="CU110" s="2792">
        <f>SUM(CU107:CW109)</f>
        <v>0</v>
      </c>
      <c r="CV110" s="2435"/>
      <c r="CW110" s="2435"/>
      <c r="CX110" s="2792">
        <f>SUM(CX107:CZ109)</f>
        <v>0</v>
      </c>
      <c r="CY110" s="2435"/>
      <c r="CZ110" s="2435"/>
      <c r="DA110" s="2792">
        <f>SUM(DA107:DC109)</f>
        <v>0</v>
      </c>
      <c r="DB110" s="2435"/>
      <c r="DC110" s="2435"/>
      <c r="DD110" s="2792">
        <f>SUM(DD107:DF109)</f>
        <v>0</v>
      </c>
      <c r="DE110" s="2435"/>
      <c r="DF110" s="2435"/>
      <c r="DG110" s="2792">
        <f>SUM(DG107:DI109)</f>
        <v>0</v>
      </c>
      <c r="DH110" s="2435"/>
      <c r="DI110" s="2435"/>
      <c r="DJ110" s="2792">
        <f>SUM(DJ107:DL109)</f>
        <v>0</v>
      </c>
      <c r="DK110" s="2435"/>
      <c r="DL110" s="2435"/>
      <c r="DM110" s="2792">
        <f>SUM(DM107:DO109)</f>
        <v>0</v>
      </c>
      <c r="DN110" s="2435"/>
      <c r="DO110" s="2435"/>
      <c r="DP110" s="2792">
        <f>SUM(DP107:DR109)</f>
        <v>0</v>
      </c>
      <c r="DQ110" s="2435"/>
      <c r="DR110" s="2435"/>
      <c r="DS110" s="2792">
        <f>SUM(DS107:DU109)</f>
        <v>0</v>
      </c>
      <c r="DT110" s="2435"/>
      <c r="DU110" s="2435"/>
      <c r="DV110" s="2792">
        <f>SUM(DV107:DX109)</f>
        <v>0</v>
      </c>
      <c r="DW110" s="2435"/>
      <c r="DX110" s="2435"/>
      <c r="DY110" s="2881">
        <f>SUM(DY107:EA109)</f>
        <v>0</v>
      </c>
      <c r="DZ110" s="2435"/>
      <c r="EA110" s="2847"/>
      <c r="EB110" s="17"/>
    </row>
    <row r="111" spans="1:132" ht="18" hidden="1" customHeight="1">
      <c r="B111" s="2869" t="s">
        <v>1927</v>
      </c>
      <c r="C111" s="1777"/>
      <c r="D111" s="1777"/>
      <c r="E111" s="1777"/>
      <c r="F111" s="1777"/>
      <c r="G111" s="1777"/>
      <c r="H111" s="1777"/>
      <c r="I111" s="1777"/>
      <c r="J111" s="1777"/>
      <c r="K111" s="1778"/>
      <c r="L111" s="2872">
        <f>L104+L110</f>
        <v>0</v>
      </c>
      <c r="M111" s="1777"/>
      <c r="N111" s="1777"/>
      <c r="O111" s="2862">
        <f>O104+O110</f>
        <v>0</v>
      </c>
      <c r="P111" s="1777"/>
      <c r="Q111" s="1777"/>
      <c r="R111" s="2862">
        <f>R104+R110</f>
        <v>0</v>
      </c>
      <c r="S111" s="1777"/>
      <c r="T111" s="1777"/>
      <c r="U111" s="2862">
        <f>U104+U110</f>
        <v>0</v>
      </c>
      <c r="V111" s="1777"/>
      <c r="W111" s="1777"/>
      <c r="X111" s="2862">
        <f>X104+X110</f>
        <v>0</v>
      </c>
      <c r="Y111" s="1777"/>
      <c r="Z111" s="1777"/>
      <c r="AA111" s="2862">
        <f>AA104+AA110</f>
        <v>0</v>
      </c>
      <c r="AB111" s="1777"/>
      <c r="AC111" s="1777"/>
      <c r="AD111" s="2862">
        <f>AD104+AD110</f>
        <v>0</v>
      </c>
      <c r="AE111" s="1777"/>
      <c r="AF111" s="1777"/>
      <c r="AG111" s="2862">
        <f>AG104+AG110</f>
        <v>0</v>
      </c>
      <c r="AH111" s="1777"/>
      <c r="AI111" s="1777"/>
      <c r="AJ111" s="2862">
        <f>AJ104+AJ110</f>
        <v>0</v>
      </c>
      <c r="AK111" s="1777"/>
      <c r="AL111" s="1777"/>
      <c r="AM111" s="2862">
        <f>AM104+AM110</f>
        <v>0</v>
      </c>
      <c r="AN111" s="1777"/>
      <c r="AO111" s="1777"/>
      <c r="AP111" s="2862">
        <f>AP104+AP110</f>
        <v>0</v>
      </c>
      <c r="AQ111" s="1777"/>
      <c r="AR111" s="1777"/>
      <c r="AS111" s="2862">
        <f>AS104+AS110</f>
        <v>0</v>
      </c>
      <c r="AT111" s="1777"/>
      <c r="AU111" s="1777"/>
      <c r="AV111" s="2862">
        <f>AV104+AV110</f>
        <v>0</v>
      </c>
      <c r="AW111" s="1777"/>
      <c r="AX111" s="1777"/>
      <c r="AY111" s="2862">
        <f>AY104+AY110</f>
        <v>0</v>
      </c>
      <c r="AZ111" s="1777"/>
      <c r="BA111" s="1777"/>
      <c r="BB111" s="2862">
        <f>BB104+BB110</f>
        <v>0</v>
      </c>
      <c r="BC111" s="1777"/>
      <c r="BD111" s="1777"/>
      <c r="BE111" s="2862">
        <f>BE104+BE110</f>
        <v>0</v>
      </c>
      <c r="BF111" s="1777"/>
      <c r="BG111" s="1777"/>
      <c r="BH111" s="2862">
        <f>BH104+BH110</f>
        <v>0</v>
      </c>
      <c r="BI111" s="1777"/>
      <c r="BJ111" s="1777"/>
      <c r="BK111" s="2862">
        <f>BK104+BK110</f>
        <v>0</v>
      </c>
      <c r="BL111" s="1777"/>
      <c r="BM111" s="1777"/>
      <c r="BN111" s="2862">
        <f>BN104+BN110</f>
        <v>0</v>
      </c>
      <c r="BO111" s="1777"/>
      <c r="BP111" s="1777"/>
      <c r="BQ111" s="2936">
        <f>BQ104+BQ110</f>
        <v>0</v>
      </c>
      <c r="BR111" s="1777"/>
      <c r="BS111" s="2807"/>
      <c r="BT111" s="2862">
        <f>BT104+BT110</f>
        <v>0</v>
      </c>
      <c r="BU111" s="1777"/>
      <c r="BV111" s="1777"/>
      <c r="BW111" s="2862">
        <f>BW104+BW110</f>
        <v>0</v>
      </c>
      <c r="BX111" s="1777"/>
      <c r="BY111" s="1777"/>
      <c r="BZ111" s="2862">
        <f>BZ104+BZ110</f>
        <v>0</v>
      </c>
      <c r="CA111" s="1777"/>
      <c r="CB111" s="1777"/>
      <c r="CC111" s="2862">
        <f>CC104+CC110</f>
        <v>0</v>
      </c>
      <c r="CD111" s="1777"/>
      <c r="CE111" s="1777"/>
      <c r="CF111" s="2862">
        <f>CF104+CF110</f>
        <v>0</v>
      </c>
      <c r="CG111" s="1777"/>
      <c r="CH111" s="1777"/>
      <c r="CI111" s="2862">
        <f>CI104+CI110</f>
        <v>0</v>
      </c>
      <c r="CJ111" s="1777"/>
      <c r="CK111" s="1777"/>
      <c r="CL111" s="2862">
        <f>CL104+CL110</f>
        <v>0</v>
      </c>
      <c r="CM111" s="1777"/>
      <c r="CN111" s="1777"/>
      <c r="CO111" s="2862">
        <f>CO104+CO110</f>
        <v>0</v>
      </c>
      <c r="CP111" s="1777"/>
      <c r="CQ111" s="1777"/>
      <c r="CR111" s="2862">
        <f>CR104+CR110</f>
        <v>0</v>
      </c>
      <c r="CS111" s="1777"/>
      <c r="CT111" s="1777"/>
      <c r="CU111" s="2862">
        <f>CU104+CU110</f>
        <v>0</v>
      </c>
      <c r="CV111" s="1777"/>
      <c r="CW111" s="1777"/>
      <c r="CX111" s="2862">
        <f>CX104+CX110</f>
        <v>0</v>
      </c>
      <c r="CY111" s="1777"/>
      <c r="CZ111" s="1777"/>
      <c r="DA111" s="2862">
        <f>DA104+DA110</f>
        <v>0</v>
      </c>
      <c r="DB111" s="1777"/>
      <c r="DC111" s="1777"/>
      <c r="DD111" s="2862">
        <f>DD104+DD110</f>
        <v>0</v>
      </c>
      <c r="DE111" s="1777"/>
      <c r="DF111" s="1777"/>
      <c r="DG111" s="2862">
        <f>DG104+DG110</f>
        <v>0</v>
      </c>
      <c r="DH111" s="1777"/>
      <c r="DI111" s="1777"/>
      <c r="DJ111" s="2862">
        <f>DJ104+DJ110</f>
        <v>0</v>
      </c>
      <c r="DK111" s="1777"/>
      <c r="DL111" s="1777"/>
      <c r="DM111" s="2862">
        <f>DM104+DM110</f>
        <v>0</v>
      </c>
      <c r="DN111" s="1777"/>
      <c r="DO111" s="1777"/>
      <c r="DP111" s="2862">
        <f>DP104+DP110</f>
        <v>0</v>
      </c>
      <c r="DQ111" s="1777"/>
      <c r="DR111" s="1777"/>
      <c r="DS111" s="2862">
        <f>DS104+DS110</f>
        <v>0</v>
      </c>
      <c r="DT111" s="1777"/>
      <c r="DU111" s="1777"/>
      <c r="DV111" s="2862">
        <f>DV104+DV110</f>
        <v>0</v>
      </c>
      <c r="DW111" s="1777"/>
      <c r="DX111" s="1777"/>
      <c r="DY111" s="2936">
        <f>DY104+DY110</f>
        <v>0</v>
      </c>
      <c r="DZ111" s="1777"/>
      <c r="EA111" s="2807"/>
      <c r="EB111" s="17"/>
    </row>
    <row r="112" spans="1:132" ht="18" hidden="1" customHeight="1">
      <c r="B112" s="703"/>
      <c r="L112" s="17"/>
      <c r="BS112" s="688"/>
      <c r="EA112" s="688"/>
      <c r="EB112" s="17"/>
    </row>
    <row r="113" spans="2:132" ht="18" hidden="1" customHeight="1">
      <c r="B113" s="2865" t="s">
        <v>1928</v>
      </c>
      <c r="C113" s="1777"/>
      <c r="D113" s="1777"/>
      <c r="E113" s="1777"/>
      <c r="F113" s="1777"/>
      <c r="G113" s="1777"/>
      <c r="H113" s="1777"/>
      <c r="I113" s="1777"/>
      <c r="J113" s="1777"/>
      <c r="K113" s="1778"/>
      <c r="L113" s="17"/>
      <c r="BS113" s="688"/>
      <c r="EA113" s="688"/>
      <c r="EB113" s="17"/>
    </row>
    <row r="114" spans="2:132" ht="18" hidden="1" customHeight="1" outlineLevel="1">
      <c r="B114" s="2870" t="s">
        <v>1959</v>
      </c>
      <c r="C114" s="1953"/>
      <c r="D114" s="1953"/>
      <c r="E114" s="1953"/>
      <c r="F114" s="1953"/>
      <c r="G114" s="1953"/>
      <c r="H114" s="1953"/>
      <c r="I114" s="1953"/>
      <c r="J114" s="2854">
        <v>0.15</v>
      </c>
      <c r="K114" s="1862"/>
      <c r="L114" s="2811">
        <f>+$J114*L96</f>
        <v>0</v>
      </c>
      <c r="M114" s="1953"/>
      <c r="N114" s="1953"/>
      <c r="O114" s="2811">
        <f>+$J114*O96</f>
        <v>0</v>
      </c>
      <c r="P114" s="1953"/>
      <c r="Q114" s="1953"/>
      <c r="R114" s="2811">
        <f>+$J114*R96</f>
        <v>0</v>
      </c>
      <c r="S114" s="1953"/>
      <c r="T114" s="1953"/>
      <c r="U114" s="2811">
        <f>+$J114*U96</f>
        <v>0</v>
      </c>
      <c r="V114" s="1953"/>
      <c r="W114" s="1953"/>
      <c r="X114" s="2811">
        <f>+$J114*X96</f>
        <v>0</v>
      </c>
      <c r="Y114" s="1953"/>
      <c r="Z114" s="1953"/>
      <c r="AA114" s="2811">
        <f>+$J114*AA96</f>
        <v>0</v>
      </c>
      <c r="AB114" s="1953"/>
      <c r="AC114" s="1953"/>
      <c r="AD114" s="2811">
        <f>+$J114*AD96</f>
        <v>0</v>
      </c>
      <c r="AE114" s="1953"/>
      <c r="AF114" s="1953"/>
      <c r="AG114" s="2811">
        <f>+$J114*AG96</f>
        <v>0</v>
      </c>
      <c r="AH114" s="1953"/>
      <c r="AI114" s="1953"/>
      <c r="AJ114" s="2811">
        <f>+$J114*AJ96</f>
        <v>0</v>
      </c>
      <c r="AK114" s="1953"/>
      <c r="AL114" s="1953"/>
      <c r="AM114" s="2811">
        <f>+$J114*AM96</f>
        <v>0</v>
      </c>
      <c r="AN114" s="1953"/>
      <c r="AO114" s="1953"/>
      <c r="AP114" s="2811">
        <f>+$J114*AP96</f>
        <v>0</v>
      </c>
      <c r="AQ114" s="1953"/>
      <c r="AR114" s="1953"/>
      <c r="AS114" s="2811">
        <f>+$J114*AS96</f>
        <v>0</v>
      </c>
      <c r="AT114" s="1953"/>
      <c r="AU114" s="1953"/>
      <c r="AV114" s="2811">
        <f>+$J114*AV96</f>
        <v>0</v>
      </c>
      <c r="AW114" s="1953"/>
      <c r="AX114" s="1953"/>
      <c r="AY114" s="2811">
        <f>+$J114*AY96</f>
        <v>0</v>
      </c>
      <c r="AZ114" s="1953"/>
      <c r="BA114" s="1953"/>
      <c r="BB114" s="2811">
        <f>+$J114*BB96</f>
        <v>0</v>
      </c>
      <c r="BC114" s="1953"/>
      <c r="BD114" s="1953"/>
      <c r="BE114" s="2811">
        <f>+$J114*BE96</f>
        <v>0</v>
      </c>
      <c r="BF114" s="1953"/>
      <c r="BG114" s="1953"/>
      <c r="BH114" s="2811">
        <f>+$J114*BH96</f>
        <v>0</v>
      </c>
      <c r="BI114" s="1953"/>
      <c r="BJ114" s="1953"/>
      <c r="BK114" s="2811">
        <f>+$J114*BK96</f>
        <v>0</v>
      </c>
      <c r="BL114" s="1953"/>
      <c r="BM114" s="1953"/>
      <c r="BN114" s="2811">
        <f>+$J114*BN96</f>
        <v>0</v>
      </c>
      <c r="BO114" s="1953"/>
      <c r="BP114" s="1953"/>
      <c r="BQ114" s="2878">
        <f>+$J114*BQ96</f>
        <v>0</v>
      </c>
      <c r="BR114" s="1953"/>
      <c r="BS114" s="2879"/>
      <c r="BT114" s="2811">
        <f>+$J114*BT96*ProRata</f>
        <v>0</v>
      </c>
      <c r="BU114" s="1953"/>
      <c r="BV114" s="1953"/>
      <c r="BW114" s="2811">
        <f>+$J114*BW96*ProRata</f>
        <v>0</v>
      </c>
      <c r="BX114" s="1953"/>
      <c r="BY114" s="1953"/>
      <c r="BZ114" s="2811">
        <f>+$J114*BZ96*ProRata</f>
        <v>0</v>
      </c>
      <c r="CA114" s="1953"/>
      <c r="CB114" s="1953"/>
      <c r="CC114" s="2811">
        <f>+$J114*CC96*ProRata</f>
        <v>0</v>
      </c>
      <c r="CD114" s="1953"/>
      <c r="CE114" s="1953"/>
      <c r="CF114" s="2811">
        <f>+$J114*CF96*ProRata</f>
        <v>0</v>
      </c>
      <c r="CG114" s="1953"/>
      <c r="CH114" s="1953"/>
      <c r="CI114" s="2811">
        <f>+$J114*CI96*ProRata</f>
        <v>0</v>
      </c>
      <c r="CJ114" s="1953"/>
      <c r="CK114" s="1953"/>
      <c r="CL114" s="2811">
        <f>+$J114*CL96*ProRata</f>
        <v>0</v>
      </c>
      <c r="CM114" s="1953"/>
      <c r="CN114" s="1953"/>
      <c r="CO114" s="2811">
        <f>+$J114*CO96*ProRata</f>
        <v>0</v>
      </c>
      <c r="CP114" s="1953"/>
      <c r="CQ114" s="1953"/>
      <c r="CR114" s="2811">
        <f>+$J114*CR96*ProRata</f>
        <v>0</v>
      </c>
      <c r="CS114" s="1953"/>
      <c r="CT114" s="1953"/>
      <c r="CU114" s="2811">
        <f>+$J114*CU96*ProRata</f>
        <v>0</v>
      </c>
      <c r="CV114" s="1953"/>
      <c r="CW114" s="1953"/>
      <c r="CX114" s="2811">
        <f>+$J114*CX96*ProRata</f>
        <v>0</v>
      </c>
      <c r="CY114" s="1953"/>
      <c r="CZ114" s="1953"/>
      <c r="DA114" s="2811">
        <f>+$J114*DA96*ProRata</f>
        <v>0</v>
      </c>
      <c r="DB114" s="1953"/>
      <c r="DC114" s="1953"/>
      <c r="DD114" s="2811">
        <f>+$J114*DD96*ProRata</f>
        <v>0</v>
      </c>
      <c r="DE114" s="1953"/>
      <c r="DF114" s="1953"/>
      <c r="DG114" s="2811">
        <f>+$J114*DG96*ProRata</f>
        <v>0</v>
      </c>
      <c r="DH114" s="1953"/>
      <c r="DI114" s="1953"/>
      <c r="DJ114" s="2811">
        <f>+$J114*DJ96*ProRata</f>
        <v>0</v>
      </c>
      <c r="DK114" s="1953"/>
      <c r="DL114" s="1953"/>
      <c r="DM114" s="2811">
        <f>+$J114*DM96*ProRata</f>
        <v>0</v>
      </c>
      <c r="DN114" s="1953"/>
      <c r="DO114" s="1953"/>
      <c r="DP114" s="2811">
        <f>+$J114*DP96*ProRata</f>
        <v>0</v>
      </c>
      <c r="DQ114" s="1953"/>
      <c r="DR114" s="1953"/>
      <c r="DS114" s="2811">
        <f>+$J114*DS96*ProRata</f>
        <v>0</v>
      </c>
      <c r="DT114" s="1953"/>
      <c r="DU114" s="1953"/>
      <c r="DV114" s="2811">
        <f>+$J114*DV96*ProRata</f>
        <v>0</v>
      </c>
      <c r="DW114" s="1953"/>
      <c r="DX114" s="1953"/>
      <c r="DY114" s="2878">
        <f>+$J114*DY96*ProRata</f>
        <v>0</v>
      </c>
      <c r="DZ114" s="1953"/>
      <c r="EA114" s="2879"/>
      <c r="EB114" s="17"/>
    </row>
    <row r="115" spans="2:132" ht="18" hidden="1" customHeight="1" outlineLevel="1">
      <c r="B115" s="2866" t="s">
        <v>1960</v>
      </c>
      <c r="C115" s="2821"/>
      <c r="D115" s="2821"/>
      <c r="E115" s="2821"/>
      <c r="F115" s="2821"/>
      <c r="G115" s="2821"/>
      <c r="H115" s="2821"/>
      <c r="I115" s="2821"/>
      <c r="J115" s="2854">
        <f>'Operating Budget'!$E$46</f>
        <v>0.05</v>
      </c>
      <c r="K115" s="1862"/>
      <c r="L115" s="2849">
        <f>+$J115*L97</f>
        <v>0</v>
      </c>
      <c r="M115" s="2435"/>
      <c r="N115" s="2435"/>
      <c r="O115" s="2791">
        <f>+$J115*O97</f>
        <v>0</v>
      </c>
      <c r="P115" s="2435"/>
      <c r="Q115" s="2435"/>
      <c r="R115" s="2791">
        <f>+$J115*R97</f>
        <v>0</v>
      </c>
      <c r="S115" s="2435"/>
      <c r="T115" s="2435"/>
      <c r="U115" s="2791">
        <f>+$J115*U97</f>
        <v>0</v>
      </c>
      <c r="V115" s="2435"/>
      <c r="W115" s="2435"/>
      <c r="X115" s="2791">
        <f>+$J115*X97</f>
        <v>0</v>
      </c>
      <c r="Y115" s="2435"/>
      <c r="Z115" s="2435"/>
      <c r="AA115" s="2791">
        <f>+$J115*AA97</f>
        <v>0</v>
      </c>
      <c r="AB115" s="2435"/>
      <c r="AC115" s="2435"/>
      <c r="AD115" s="2791">
        <f>+$J115*AD97</f>
        <v>0</v>
      </c>
      <c r="AE115" s="2435"/>
      <c r="AF115" s="2435"/>
      <c r="AG115" s="2791">
        <f>+$J115*AG97</f>
        <v>0</v>
      </c>
      <c r="AH115" s="2435"/>
      <c r="AI115" s="2435"/>
      <c r="AJ115" s="2791">
        <f>+$J115*AJ97</f>
        <v>0</v>
      </c>
      <c r="AK115" s="2435"/>
      <c r="AL115" s="2435"/>
      <c r="AM115" s="2791">
        <f>+$J115*AM97</f>
        <v>0</v>
      </c>
      <c r="AN115" s="2435"/>
      <c r="AO115" s="2435"/>
      <c r="AP115" s="2791">
        <f>+$J115*AP97</f>
        <v>0</v>
      </c>
      <c r="AQ115" s="2435"/>
      <c r="AR115" s="2435"/>
      <c r="AS115" s="2791">
        <f>+$J115*AS97</f>
        <v>0</v>
      </c>
      <c r="AT115" s="2435"/>
      <c r="AU115" s="2435"/>
      <c r="AV115" s="2791">
        <f>+$J115*AV97</f>
        <v>0</v>
      </c>
      <c r="AW115" s="2435"/>
      <c r="AX115" s="2435"/>
      <c r="AY115" s="2791">
        <f>+$J115*AY97</f>
        <v>0</v>
      </c>
      <c r="AZ115" s="2435"/>
      <c r="BA115" s="2435"/>
      <c r="BB115" s="2791">
        <f>+$J115*BB97</f>
        <v>0</v>
      </c>
      <c r="BC115" s="2435"/>
      <c r="BD115" s="2435"/>
      <c r="BE115" s="2791">
        <f>+$J115*BE97</f>
        <v>0</v>
      </c>
      <c r="BF115" s="2435"/>
      <c r="BG115" s="2435"/>
      <c r="BH115" s="2791">
        <f>+$J115*BH97</f>
        <v>0</v>
      </c>
      <c r="BI115" s="2435"/>
      <c r="BJ115" s="2435"/>
      <c r="BK115" s="2791">
        <f>+$J115*BK97</f>
        <v>0</v>
      </c>
      <c r="BL115" s="2435"/>
      <c r="BM115" s="2435"/>
      <c r="BN115" s="2791">
        <f>+$J115*BN97</f>
        <v>0</v>
      </c>
      <c r="BO115" s="2435"/>
      <c r="BP115" s="2435"/>
      <c r="BQ115" s="2846">
        <f>+$J115*BQ97</f>
        <v>0</v>
      </c>
      <c r="BR115" s="2435"/>
      <c r="BS115" s="2847"/>
      <c r="BT115" s="2791">
        <f>+$J115*BT97*ProRata</f>
        <v>0</v>
      </c>
      <c r="BU115" s="2435"/>
      <c r="BV115" s="2435"/>
      <c r="BW115" s="2791">
        <f>+$J115*BW97*ProRata</f>
        <v>0</v>
      </c>
      <c r="BX115" s="2435"/>
      <c r="BY115" s="2435"/>
      <c r="BZ115" s="2791">
        <f>+$J115*BZ97*ProRata</f>
        <v>0</v>
      </c>
      <c r="CA115" s="2435"/>
      <c r="CB115" s="2435"/>
      <c r="CC115" s="2791">
        <f>+$J115*CC97*ProRata</f>
        <v>0</v>
      </c>
      <c r="CD115" s="2435"/>
      <c r="CE115" s="2435"/>
      <c r="CF115" s="2791">
        <f>+$J115*CF97*ProRata</f>
        <v>0</v>
      </c>
      <c r="CG115" s="2435"/>
      <c r="CH115" s="2435"/>
      <c r="CI115" s="2791">
        <f>+$J115*CI97*ProRata</f>
        <v>0</v>
      </c>
      <c r="CJ115" s="2435"/>
      <c r="CK115" s="2435"/>
      <c r="CL115" s="2791">
        <f>+$J115*CL97*ProRata</f>
        <v>0</v>
      </c>
      <c r="CM115" s="2435"/>
      <c r="CN115" s="2435"/>
      <c r="CO115" s="2791">
        <f>+$J115*CO97*ProRata</f>
        <v>0</v>
      </c>
      <c r="CP115" s="2435"/>
      <c r="CQ115" s="2435"/>
      <c r="CR115" s="2791">
        <f>+$J115*CR97*ProRata</f>
        <v>0</v>
      </c>
      <c r="CS115" s="2435"/>
      <c r="CT115" s="2435"/>
      <c r="CU115" s="2791">
        <f>+$J115*CU97*ProRata</f>
        <v>0</v>
      </c>
      <c r="CV115" s="2435"/>
      <c r="CW115" s="2435"/>
      <c r="CX115" s="2791">
        <f>+$J115*CX97*ProRata</f>
        <v>0</v>
      </c>
      <c r="CY115" s="2435"/>
      <c r="CZ115" s="2435"/>
      <c r="DA115" s="2791">
        <f>+$J115*DA97*ProRata</f>
        <v>0</v>
      </c>
      <c r="DB115" s="2435"/>
      <c r="DC115" s="2435"/>
      <c r="DD115" s="2791">
        <f>+$J115*DD97*ProRata</f>
        <v>0</v>
      </c>
      <c r="DE115" s="2435"/>
      <c r="DF115" s="2435"/>
      <c r="DG115" s="2791">
        <f>+$J115*DG97*ProRata</f>
        <v>0</v>
      </c>
      <c r="DH115" s="2435"/>
      <c r="DI115" s="2435"/>
      <c r="DJ115" s="2791">
        <f>+$J115*DJ97*ProRata</f>
        <v>0</v>
      </c>
      <c r="DK115" s="2435"/>
      <c r="DL115" s="2435"/>
      <c r="DM115" s="2791">
        <f>+$J115*DM97*ProRata</f>
        <v>0</v>
      </c>
      <c r="DN115" s="2435"/>
      <c r="DO115" s="2435"/>
      <c r="DP115" s="2791">
        <f>+$J115*DP97*ProRata</f>
        <v>0</v>
      </c>
      <c r="DQ115" s="2435"/>
      <c r="DR115" s="2435"/>
      <c r="DS115" s="2791">
        <f>+$J115*DS97*ProRata</f>
        <v>0</v>
      </c>
      <c r="DT115" s="2435"/>
      <c r="DU115" s="2435"/>
      <c r="DV115" s="2791">
        <f>+$J115*DV97*ProRata</f>
        <v>0</v>
      </c>
      <c r="DW115" s="2435"/>
      <c r="DX115" s="2435"/>
      <c r="DY115" s="2846">
        <f>+$J115*DY97*ProRata</f>
        <v>0</v>
      </c>
      <c r="DZ115" s="2435"/>
      <c r="EA115" s="2847"/>
      <c r="EB115" s="17"/>
    </row>
    <row r="116" spans="2:132" ht="18" hidden="1" customHeight="1" outlineLevel="1">
      <c r="B116" s="2845" t="s">
        <v>1921</v>
      </c>
      <c r="C116" s="2821"/>
      <c r="D116" s="2821"/>
      <c r="E116" s="2821"/>
      <c r="F116" s="2821"/>
      <c r="G116" s="2821"/>
      <c r="H116" s="2821"/>
      <c r="I116" s="2821"/>
      <c r="J116" s="2854">
        <f>'Operating Budget'!$E$48</f>
        <v>0.05</v>
      </c>
      <c r="K116" s="1862"/>
      <c r="L116" s="2849">
        <f>+$J116*L98</f>
        <v>0</v>
      </c>
      <c r="M116" s="2435"/>
      <c r="N116" s="2435"/>
      <c r="O116" s="2791">
        <f>+$J116*O98</f>
        <v>0</v>
      </c>
      <c r="P116" s="2435"/>
      <c r="Q116" s="2435"/>
      <c r="R116" s="2791">
        <f>+$J116*R98</f>
        <v>0</v>
      </c>
      <c r="S116" s="2435"/>
      <c r="T116" s="2435"/>
      <c r="U116" s="2791">
        <f>+$J116*U98</f>
        <v>0</v>
      </c>
      <c r="V116" s="2435"/>
      <c r="W116" s="2435"/>
      <c r="X116" s="2791">
        <f>+$J116*X98</f>
        <v>0</v>
      </c>
      <c r="Y116" s="2435"/>
      <c r="Z116" s="2435"/>
      <c r="AA116" s="2791">
        <f>+$J116*AA98</f>
        <v>0</v>
      </c>
      <c r="AB116" s="2435"/>
      <c r="AC116" s="2435"/>
      <c r="AD116" s="2791">
        <f>+$J116*AD98</f>
        <v>0</v>
      </c>
      <c r="AE116" s="2435"/>
      <c r="AF116" s="2435"/>
      <c r="AG116" s="2791">
        <f>+$J116*AG98</f>
        <v>0</v>
      </c>
      <c r="AH116" s="2435"/>
      <c r="AI116" s="2435"/>
      <c r="AJ116" s="2791">
        <f>+$J116*AJ98</f>
        <v>0</v>
      </c>
      <c r="AK116" s="2435"/>
      <c r="AL116" s="2435"/>
      <c r="AM116" s="2791">
        <f>+$J116*AM98</f>
        <v>0</v>
      </c>
      <c r="AN116" s="2435"/>
      <c r="AO116" s="2435"/>
      <c r="AP116" s="2791">
        <f>+$J116*AP98</f>
        <v>0</v>
      </c>
      <c r="AQ116" s="2435"/>
      <c r="AR116" s="2435"/>
      <c r="AS116" s="2791">
        <f>+$J116*AS98</f>
        <v>0</v>
      </c>
      <c r="AT116" s="2435"/>
      <c r="AU116" s="2435"/>
      <c r="AV116" s="2791">
        <f>+$J116*AV98</f>
        <v>0</v>
      </c>
      <c r="AW116" s="2435"/>
      <c r="AX116" s="2435"/>
      <c r="AY116" s="2791">
        <f>+$J116*AY98</f>
        <v>0</v>
      </c>
      <c r="AZ116" s="2435"/>
      <c r="BA116" s="2435"/>
      <c r="BB116" s="2791">
        <f>+$J116*BB98</f>
        <v>0</v>
      </c>
      <c r="BC116" s="2435"/>
      <c r="BD116" s="2435"/>
      <c r="BE116" s="2791">
        <f>+$J116*BE98</f>
        <v>0</v>
      </c>
      <c r="BF116" s="2435"/>
      <c r="BG116" s="2435"/>
      <c r="BH116" s="2791">
        <f>+$J116*BH98</f>
        <v>0</v>
      </c>
      <c r="BI116" s="2435"/>
      <c r="BJ116" s="2435"/>
      <c r="BK116" s="2791">
        <f>+$J116*BK98</f>
        <v>0</v>
      </c>
      <c r="BL116" s="2435"/>
      <c r="BM116" s="2435"/>
      <c r="BN116" s="2791">
        <f>+$J116*BN98</f>
        <v>0</v>
      </c>
      <c r="BO116" s="2435"/>
      <c r="BP116" s="2435"/>
      <c r="BQ116" s="2846">
        <f>+$J116*BQ98</f>
        <v>0</v>
      </c>
      <c r="BR116" s="2435"/>
      <c r="BS116" s="2847"/>
      <c r="BT116" s="2791">
        <f>+$J116*BT98*ProRata</f>
        <v>0</v>
      </c>
      <c r="BU116" s="2435"/>
      <c r="BV116" s="2435"/>
      <c r="BW116" s="2791">
        <f>+$J116*BW98*ProRata</f>
        <v>0</v>
      </c>
      <c r="BX116" s="2435"/>
      <c r="BY116" s="2435"/>
      <c r="BZ116" s="2791">
        <f>+$J116*BZ98*ProRata</f>
        <v>0</v>
      </c>
      <c r="CA116" s="2435"/>
      <c r="CB116" s="2435"/>
      <c r="CC116" s="2791">
        <f>+$J116*CC98*ProRata</f>
        <v>0</v>
      </c>
      <c r="CD116" s="2435"/>
      <c r="CE116" s="2435"/>
      <c r="CF116" s="2791">
        <f>+$J116*CF98*ProRata</f>
        <v>0</v>
      </c>
      <c r="CG116" s="2435"/>
      <c r="CH116" s="2435"/>
      <c r="CI116" s="2791">
        <f>+$J116*CI98*ProRata</f>
        <v>0</v>
      </c>
      <c r="CJ116" s="2435"/>
      <c r="CK116" s="2435"/>
      <c r="CL116" s="2791">
        <f>+$J116*CL98*ProRata</f>
        <v>0</v>
      </c>
      <c r="CM116" s="2435"/>
      <c r="CN116" s="2435"/>
      <c r="CO116" s="2791">
        <f>+$J116*CO98*ProRata</f>
        <v>0</v>
      </c>
      <c r="CP116" s="2435"/>
      <c r="CQ116" s="2435"/>
      <c r="CR116" s="2791">
        <f>+$J116*CR98*ProRata</f>
        <v>0</v>
      </c>
      <c r="CS116" s="2435"/>
      <c r="CT116" s="2435"/>
      <c r="CU116" s="2791">
        <f>+$J116*CU98*ProRata</f>
        <v>0</v>
      </c>
      <c r="CV116" s="2435"/>
      <c r="CW116" s="2435"/>
      <c r="CX116" s="2791">
        <f>+$J116*CX98*ProRata</f>
        <v>0</v>
      </c>
      <c r="CY116" s="2435"/>
      <c r="CZ116" s="2435"/>
      <c r="DA116" s="2791">
        <f>+$J116*DA98*ProRata</f>
        <v>0</v>
      </c>
      <c r="DB116" s="2435"/>
      <c r="DC116" s="2435"/>
      <c r="DD116" s="2791">
        <f>+$J116*DD98*ProRata</f>
        <v>0</v>
      </c>
      <c r="DE116" s="2435"/>
      <c r="DF116" s="2435"/>
      <c r="DG116" s="2791">
        <f>+$J116*DG98*ProRata</f>
        <v>0</v>
      </c>
      <c r="DH116" s="2435"/>
      <c r="DI116" s="2435"/>
      <c r="DJ116" s="2791">
        <f>+$J116*DJ98*ProRata</f>
        <v>0</v>
      </c>
      <c r="DK116" s="2435"/>
      <c r="DL116" s="2435"/>
      <c r="DM116" s="2791">
        <f>+$J116*DM98*ProRata</f>
        <v>0</v>
      </c>
      <c r="DN116" s="2435"/>
      <c r="DO116" s="2435"/>
      <c r="DP116" s="2791">
        <f>+$J116*DP98*ProRata</f>
        <v>0</v>
      </c>
      <c r="DQ116" s="2435"/>
      <c r="DR116" s="2435"/>
      <c r="DS116" s="2791">
        <f>+$J116*DS98*ProRata</f>
        <v>0</v>
      </c>
      <c r="DT116" s="2435"/>
      <c r="DU116" s="2435"/>
      <c r="DV116" s="2791">
        <f>+$J116*DV98*ProRata</f>
        <v>0</v>
      </c>
      <c r="DW116" s="2435"/>
      <c r="DX116" s="2435"/>
      <c r="DY116" s="2846">
        <f>+$J116*DY98*ProRata</f>
        <v>0</v>
      </c>
      <c r="DZ116" s="2435"/>
      <c r="EA116" s="2847"/>
      <c r="EB116" s="17"/>
    </row>
    <row r="117" spans="2:132" ht="18" hidden="1" customHeight="1" outlineLevel="1">
      <c r="B117" s="2845" t="s">
        <v>1687</v>
      </c>
      <c r="C117" s="2821"/>
      <c r="D117" s="2821"/>
      <c r="E117" s="2821"/>
      <c r="F117" s="2821"/>
      <c r="G117" s="2821"/>
      <c r="H117" s="2821"/>
      <c r="I117" s="2821"/>
      <c r="J117" s="2854">
        <f>'Operating Budget'!$E$49</f>
        <v>0.05</v>
      </c>
      <c r="K117" s="1862"/>
      <c r="L117" s="2904">
        <f>+$J117*(L99+L100+L101)</f>
        <v>0</v>
      </c>
      <c r="M117" s="2435"/>
      <c r="N117" s="2435"/>
      <c r="O117" s="2801">
        <f>+$J117*(O99+O100+O101)</f>
        <v>0</v>
      </c>
      <c r="P117" s="2435"/>
      <c r="Q117" s="2435"/>
      <c r="R117" s="2801">
        <f>+$J117*(R99+R100+R101)</f>
        <v>0</v>
      </c>
      <c r="S117" s="2435"/>
      <c r="T117" s="2435"/>
      <c r="U117" s="2801">
        <f>+$J117*(U99+U100+U101)</f>
        <v>0</v>
      </c>
      <c r="V117" s="2435"/>
      <c r="W117" s="2435"/>
      <c r="X117" s="2801">
        <f>+$J117*(X99+X100+X101)</f>
        <v>0</v>
      </c>
      <c r="Y117" s="2435"/>
      <c r="Z117" s="2435"/>
      <c r="AA117" s="2801">
        <f>+$J117*(AA99+AA100+AA101)</f>
        <v>0</v>
      </c>
      <c r="AB117" s="2435"/>
      <c r="AC117" s="2435"/>
      <c r="AD117" s="2801">
        <f>+$J117*(AD99+AD100+AD101)</f>
        <v>0</v>
      </c>
      <c r="AE117" s="2435"/>
      <c r="AF117" s="2435"/>
      <c r="AG117" s="2801">
        <f>+$J117*(AG99+AG100+AG101)</f>
        <v>0</v>
      </c>
      <c r="AH117" s="2435"/>
      <c r="AI117" s="2435"/>
      <c r="AJ117" s="2801">
        <f>+$J117*(AJ99+AJ100+AJ101)</f>
        <v>0</v>
      </c>
      <c r="AK117" s="2435"/>
      <c r="AL117" s="2435"/>
      <c r="AM117" s="2801">
        <f>+$J117*(AM99+AM100+AM101)</f>
        <v>0</v>
      </c>
      <c r="AN117" s="2435"/>
      <c r="AO117" s="2435"/>
      <c r="AP117" s="2801">
        <f>+$J117*(AP99+AP100+AP101)</f>
        <v>0</v>
      </c>
      <c r="AQ117" s="2435"/>
      <c r="AR117" s="2435"/>
      <c r="AS117" s="2801">
        <f>+$J117*(AS99+AS100+AS101)</f>
        <v>0</v>
      </c>
      <c r="AT117" s="2435"/>
      <c r="AU117" s="2435"/>
      <c r="AV117" s="2801">
        <f>+$J117*(AV99+AV100+AV101)</f>
        <v>0</v>
      </c>
      <c r="AW117" s="2435"/>
      <c r="AX117" s="2435"/>
      <c r="AY117" s="2801">
        <f>+$J117*(AY99+AY100+AY101)</f>
        <v>0</v>
      </c>
      <c r="AZ117" s="2435"/>
      <c r="BA117" s="2435"/>
      <c r="BB117" s="2801">
        <f>+$J117*(BB99+BB100+BB101)</f>
        <v>0</v>
      </c>
      <c r="BC117" s="2435"/>
      <c r="BD117" s="2435"/>
      <c r="BE117" s="2801">
        <f>+$J117*(BE99+BE100+BE101)</f>
        <v>0</v>
      </c>
      <c r="BF117" s="2435"/>
      <c r="BG117" s="2435"/>
      <c r="BH117" s="2801">
        <f>+$J117*(BH99+BH100+BH101)</f>
        <v>0</v>
      </c>
      <c r="BI117" s="2435"/>
      <c r="BJ117" s="2435"/>
      <c r="BK117" s="2801">
        <f>+$J117*(BK99+BK100+BK101)</f>
        <v>0</v>
      </c>
      <c r="BL117" s="2435"/>
      <c r="BM117" s="2435"/>
      <c r="BN117" s="2801">
        <f>+$J117*(BN99+BN100+BN101)</f>
        <v>0</v>
      </c>
      <c r="BO117" s="2435"/>
      <c r="BP117" s="2435"/>
      <c r="BQ117" s="2933">
        <f>+$J117*(BQ99+BQ100+BQ101)</f>
        <v>0</v>
      </c>
      <c r="BR117" s="2435"/>
      <c r="BS117" s="2847"/>
      <c r="BT117" s="2801">
        <f>+$J117*(BT99+BT100+BT101)*ProRata</f>
        <v>0</v>
      </c>
      <c r="BU117" s="2435"/>
      <c r="BV117" s="2435"/>
      <c r="BW117" s="2801">
        <f>+$J117*(BW99+BW100+BW101)*ProRata</f>
        <v>0</v>
      </c>
      <c r="BX117" s="2435"/>
      <c r="BY117" s="2435"/>
      <c r="BZ117" s="2801">
        <f>+$J117*(BZ99+BZ100+BZ101)*ProRata</f>
        <v>0</v>
      </c>
      <c r="CA117" s="2435"/>
      <c r="CB117" s="2435"/>
      <c r="CC117" s="2801">
        <f>+$J117*(CC99+CC100+CC101)*ProRata</f>
        <v>0</v>
      </c>
      <c r="CD117" s="2435"/>
      <c r="CE117" s="2435"/>
      <c r="CF117" s="2801">
        <f>+$J117*(CF99+CF100+CF101)*ProRata</f>
        <v>0</v>
      </c>
      <c r="CG117" s="2435"/>
      <c r="CH117" s="2435"/>
      <c r="CI117" s="2801">
        <f>+$J117*(CI99+CI100+CI101)*ProRata</f>
        <v>0</v>
      </c>
      <c r="CJ117" s="2435"/>
      <c r="CK117" s="2435"/>
      <c r="CL117" s="2801">
        <f>+$J117*(CL99+CL100+CL101)*ProRata</f>
        <v>0</v>
      </c>
      <c r="CM117" s="2435"/>
      <c r="CN117" s="2435"/>
      <c r="CO117" s="2801">
        <f>+$J117*(CO99+CO100+CO101)*ProRata</f>
        <v>0</v>
      </c>
      <c r="CP117" s="2435"/>
      <c r="CQ117" s="2435"/>
      <c r="CR117" s="2801">
        <f>+$J117*(CR99+CR100+CR101)*ProRata</f>
        <v>0</v>
      </c>
      <c r="CS117" s="2435"/>
      <c r="CT117" s="2435"/>
      <c r="CU117" s="2801">
        <f>+$J117*(CU99+CU100+CU101)*ProRata</f>
        <v>0</v>
      </c>
      <c r="CV117" s="2435"/>
      <c r="CW117" s="2435"/>
      <c r="CX117" s="2801">
        <f>+$J117*(CX99+CX100+CX101)*ProRata</f>
        <v>0</v>
      </c>
      <c r="CY117" s="2435"/>
      <c r="CZ117" s="2435"/>
      <c r="DA117" s="2801">
        <f>+$J117*(DA99+DA100+DA101)*ProRata</f>
        <v>0</v>
      </c>
      <c r="DB117" s="2435"/>
      <c r="DC117" s="2435"/>
      <c r="DD117" s="2801">
        <f>+$J117*(DD99+DD100+DD101)*ProRata</f>
        <v>0</v>
      </c>
      <c r="DE117" s="2435"/>
      <c r="DF117" s="2435"/>
      <c r="DG117" s="2801">
        <f>+$J117*(DG99+DG100+DG101)*ProRata</f>
        <v>0</v>
      </c>
      <c r="DH117" s="2435"/>
      <c r="DI117" s="2435"/>
      <c r="DJ117" s="2801">
        <f>+$J117*(DJ99+DJ100+DJ101)*ProRata</f>
        <v>0</v>
      </c>
      <c r="DK117" s="2435"/>
      <c r="DL117" s="2435"/>
      <c r="DM117" s="2801">
        <f>+$J117*(DM99+DM100+DM101)*ProRata</f>
        <v>0</v>
      </c>
      <c r="DN117" s="2435"/>
      <c r="DO117" s="2435"/>
      <c r="DP117" s="2801">
        <f>+$J117*(DP99+DP100+DP101)*ProRata</f>
        <v>0</v>
      </c>
      <c r="DQ117" s="2435"/>
      <c r="DR117" s="2435"/>
      <c r="DS117" s="2801">
        <f>+$J117*(DS99+DS100+DS101)*ProRata</f>
        <v>0</v>
      </c>
      <c r="DT117" s="2435"/>
      <c r="DU117" s="2435"/>
      <c r="DV117" s="2801">
        <f>+$J117*(DV99+DV100+DV101)*ProRata</f>
        <v>0</v>
      </c>
      <c r="DW117" s="2435"/>
      <c r="DX117" s="2435"/>
      <c r="DY117" s="2933">
        <f>+$J117*(DY99+DY100+DY101)*ProRata</f>
        <v>0</v>
      </c>
      <c r="DZ117" s="2435"/>
      <c r="EA117" s="2847"/>
      <c r="EB117" s="17"/>
    </row>
    <row r="118" spans="2:132" ht="18" hidden="1" customHeight="1" outlineLevel="1">
      <c r="B118" s="2845" t="str">
        <f>'Operating Budget'!$D$40</f>
        <v>Other: (Specify)</v>
      </c>
      <c r="C118" s="2821"/>
      <c r="D118" s="2821"/>
      <c r="E118" s="2821"/>
      <c r="F118" s="2821"/>
      <c r="G118" s="2821"/>
      <c r="H118" s="2821"/>
      <c r="I118" s="2821"/>
      <c r="J118" s="2854">
        <f>'Operating Budget'!$E$50</f>
        <v>0.05</v>
      </c>
      <c r="K118" s="1862"/>
      <c r="L118" s="2849">
        <f>+$J118*L103</f>
        <v>0</v>
      </c>
      <c r="M118" s="2435"/>
      <c r="N118" s="2435"/>
      <c r="O118" s="2791">
        <f>+$J118*O103</f>
        <v>0</v>
      </c>
      <c r="P118" s="2435"/>
      <c r="Q118" s="2435"/>
      <c r="R118" s="2791">
        <f>+$J118*R103</f>
        <v>0</v>
      </c>
      <c r="S118" s="2435"/>
      <c r="T118" s="2435"/>
      <c r="U118" s="2791">
        <f>+$J118*U103</f>
        <v>0</v>
      </c>
      <c r="V118" s="2435"/>
      <c r="W118" s="2435"/>
      <c r="X118" s="2791">
        <f>+$J118*X103</f>
        <v>0</v>
      </c>
      <c r="Y118" s="2435"/>
      <c r="Z118" s="2435"/>
      <c r="AA118" s="2791">
        <f>+$J118*AA103</f>
        <v>0</v>
      </c>
      <c r="AB118" s="2435"/>
      <c r="AC118" s="2435"/>
      <c r="AD118" s="2791">
        <f>+$J118*AD103</f>
        <v>0</v>
      </c>
      <c r="AE118" s="2435"/>
      <c r="AF118" s="2435"/>
      <c r="AG118" s="2791">
        <f>+$J118*AG103</f>
        <v>0</v>
      </c>
      <c r="AH118" s="2435"/>
      <c r="AI118" s="2435"/>
      <c r="AJ118" s="2791">
        <f>+$J118*AJ103</f>
        <v>0</v>
      </c>
      <c r="AK118" s="2435"/>
      <c r="AL118" s="2435"/>
      <c r="AM118" s="2791">
        <f>+$J118*AM103</f>
        <v>0</v>
      </c>
      <c r="AN118" s="2435"/>
      <c r="AO118" s="2435"/>
      <c r="AP118" s="2791">
        <f>+$J118*AP103</f>
        <v>0</v>
      </c>
      <c r="AQ118" s="2435"/>
      <c r="AR118" s="2435"/>
      <c r="AS118" s="2791">
        <f>+$J118*AS103</f>
        <v>0</v>
      </c>
      <c r="AT118" s="2435"/>
      <c r="AU118" s="2435"/>
      <c r="AV118" s="2791">
        <f>+$J118*AV103</f>
        <v>0</v>
      </c>
      <c r="AW118" s="2435"/>
      <c r="AX118" s="2435"/>
      <c r="AY118" s="2791">
        <f>+$J118*AY103</f>
        <v>0</v>
      </c>
      <c r="AZ118" s="2435"/>
      <c r="BA118" s="2435"/>
      <c r="BB118" s="2791">
        <f>+$J118*BB103</f>
        <v>0</v>
      </c>
      <c r="BC118" s="2435"/>
      <c r="BD118" s="2435"/>
      <c r="BE118" s="2791">
        <f>+$J118*BE103</f>
        <v>0</v>
      </c>
      <c r="BF118" s="2435"/>
      <c r="BG118" s="2435"/>
      <c r="BH118" s="2791">
        <f>+$J118*BH103</f>
        <v>0</v>
      </c>
      <c r="BI118" s="2435"/>
      <c r="BJ118" s="2435"/>
      <c r="BK118" s="2791">
        <f>+$J118*BK103</f>
        <v>0</v>
      </c>
      <c r="BL118" s="2435"/>
      <c r="BM118" s="2435"/>
      <c r="BN118" s="2791">
        <f>+$J118*BN103</f>
        <v>0</v>
      </c>
      <c r="BO118" s="2435"/>
      <c r="BP118" s="2435"/>
      <c r="BQ118" s="2846">
        <f>+$J118*BQ103</f>
        <v>0</v>
      </c>
      <c r="BR118" s="2435"/>
      <c r="BS118" s="2847"/>
      <c r="BT118" s="2791">
        <f>+$J118*BT103*ProRata</f>
        <v>0</v>
      </c>
      <c r="BU118" s="2435"/>
      <c r="BV118" s="2435"/>
      <c r="BW118" s="2791">
        <f>+$J118*BW103*ProRata</f>
        <v>0</v>
      </c>
      <c r="BX118" s="2435"/>
      <c r="BY118" s="2435"/>
      <c r="BZ118" s="2791">
        <f>+$J118*BZ103*ProRata</f>
        <v>0</v>
      </c>
      <c r="CA118" s="2435"/>
      <c r="CB118" s="2435"/>
      <c r="CC118" s="2791">
        <f>+$J118*CC103*ProRata</f>
        <v>0</v>
      </c>
      <c r="CD118" s="2435"/>
      <c r="CE118" s="2435"/>
      <c r="CF118" s="2791">
        <f>+$J118*CF103*ProRata</f>
        <v>0</v>
      </c>
      <c r="CG118" s="2435"/>
      <c r="CH118" s="2435"/>
      <c r="CI118" s="2791">
        <f>+$J118*CI103*ProRata</f>
        <v>0</v>
      </c>
      <c r="CJ118" s="2435"/>
      <c r="CK118" s="2435"/>
      <c r="CL118" s="2791">
        <f>+$J118*CL103*ProRata</f>
        <v>0</v>
      </c>
      <c r="CM118" s="2435"/>
      <c r="CN118" s="2435"/>
      <c r="CO118" s="2791">
        <f>+$J118*CO103*ProRata</f>
        <v>0</v>
      </c>
      <c r="CP118" s="2435"/>
      <c r="CQ118" s="2435"/>
      <c r="CR118" s="2791">
        <f>+$J118*CR103*ProRata</f>
        <v>0</v>
      </c>
      <c r="CS118" s="2435"/>
      <c r="CT118" s="2435"/>
      <c r="CU118" s="2791">
        <f>+$J118*CU103*ProRata</f>
        <v>0</v>
      </c>
      <c r="CV118" s="2435"/>
      <c r="CW118" s="2435"/>
      <c r="CX118" s="2791">
        <f>+$J118*CX103*ProRata</f>
        <v>0</v>
      </c>
      <c r="CY118" s="2435"/>
      <c r="CZ118" s="2435"/>
      <c r="DA118" s="2791">
        <f>+$J118*DA103*ProRata</f>
        <v>0</v>
      </c>
      <c r="DB118" s="2435"/>
      <c r="DC118" s="2435"/>
      <c r="DD118" s="2791">
        <f>+$J118*DD103*ProRata</f>
        <v>0</v>
      </c>
      <c r="DE118" s="2435"/>
      <c r="DF118" s="2435"/>
      <c r="DG118" s="2791">
        <f>+$J118*DG103*ProRata</f>
        <v>0</v>
      </c>
      <c r="DH118" s="2435"/>
      <c r="DI118" s="2435"/>
      <c r="DJ118" s="2791">
        <f>+$J118*DJ103*ProRata</f>
        <v>0</v>
      </c>
      <c r="DK118" s="2435"/>
      <c r="DL118" s="2435"/>
      <c r="DM118" s="2791">
        <f>+$J118*DM103*ProRata</f>
        <v>0</v>
      </c>
      <c r="DN118" s="2435"/>
      <c r="DO118" s="2435"/>
      <c r="DP118" s="2791">
        <f>+$J118*DP103*ProRata</f>
        <v>0</v>
      </c>
      <c r="DQ118" s="2435"/>
      <c r="DR118" s="2435"/>
      <c r="DS118" s="2791">
        <f>+$J118*DS103*ProRata</f>
        <v>0</v>
      </c>
      <c r="DT118" s="2435"/>
      <c r="DU118" s="2435"/>
      <c r="DV118" s="2791">
        <f>+$J118*DV103*ProRata</f>
        <v>0</v>
      </c>
      <c r="DW118" s="2435"/>
      <c r="DX118" s="2435"/>
      <c r="DY118" s="2846">
        <f>+$J118*DY103*ProRata</f>
        <v>0</v>
      </c>
      <c r="DZ118" s="2435"/>
      <c r="EA118" s="2847"/>
      <c r="EB118" s="17"/>
    </row>
    <row r="119" spans="2:132" ht="18" hidden="1" customHeight="1" outlineLevel="1">
      <c r="B119" s="2845" t="s">
        <v>1961</v>
      </c>
      <c r="C119" s="2821"/>
      <c r="D119" s="2821"/>
      <c r="E119" s="2821"/>
      <c r="F119" s="2821"/>
      <c r="G119" s="2821"/>
      <c r="H119" s="2821"/>
      <c r="I119" s="2821"/>
      <c r="J119" s="2854">
        <f>'Operating Budget'!$E$51</f>
        <v>0.05</v>
      </c>
      <c r="K119" s="1862"/>
      <c r="L119" s="2849">
        <f>+$J119*(L107+L108)</f>
        <v>0</v>
      </c>
      <c r="M119" s="2435"/>
      <c r="N119" s="2435"/>
      <c r="O119" s="2791">
        <f>+$J119*(O107+O108)</f>
        <v>0</v>
      </c>
      <c r="P119" s="2435"/>
      <c r="Q119" s="2435"/>
      <c r="R119" s="2791">
        <f>+$J119*(R107+R108)</f>
        <v>0</v>
      </c>
      <c r="S119" s="2435"/>
      <c r="T119" s="2435"/>
      <c r="U119" s="2791">
        <f>+$J119*(U107+U108)</f>
        <v>0</v>
      </c>
      <c r="V119" s="2435"/>
      <c r="W119" s="2435"/>
      <c r="X119" s="2791">
        <f>+$J119*(X107+X108)</f>
        <v>0</v>
      </c>
      <c r="Y119" s="2435"/>
      <c r="Z119" s="2435"/>
      <c r="AA119" s="2791">
        <f>+$J119*(AA107+AA108)</f>
        <v>0</v>
      </c>
      <c r="AB119" s="2435"/>
      <c r="AC119" s="2435"/>
      <c r="AD119" s="2791">
        <f>+$J119*(AD107+AD108)</f>
        <v>0</v>
      </c>
      <c r="AE119" s="2435"/>
      <c r="AF119" s="2435"/>
      <c r="AG119" s="2791">
        <f>+$J119*(AG107+AG108)</f>
        <v>0</v>
      </c>
      <c r="AH119" s="2435"/>
      <c r="AI119" s="2435"/>
      <c r="AJ119" s="2791">
        <f>+$J119*(AJ107+AJ108)</f>
        <v>0</v>
      </c>
      <c r="AK119" s="2435"/>
      <c r="AL119" s="2435"/>
      <c r="AM119" s="2791">
        <f>+$J119*(AM107+AM108)</f>
        <v>0</v>
      </c>
      <c r="AN119" s="2435"/>
      <c r="AO119" s="2435"/>
      <c r="AP119" s="2791">
        <f>+$J119*(AP107+AP108)</f>
        <v>0</v>
      </c>
      <c r="AQ119" s="2435"/>
      <c r="AR119" s="2435"/>
      <c r="AS119" s="2791">
        <f>+$J119*(AS107+AS108)</f>
        <v>0</v>
      </c>
      <c r="AT119" s="2435"/>
      <c r="AU119" s="2435"/>
      <c r="AV119" s="2791">
        <f>+$J119*(AV107+AV108)</f>
        <v>0</v>
      </c>
      <c r="AW119" s="2435"/>
      <c r="AX119" s="2435"/>
      <c r="AY119" s="2791">
        <f>+$J119*(AY107+AY108)</f>
        <v>0</v>
      </c>
      <c r="AZ119" s="2435"/>
      <c r="BA119" s="2435"/>
      <c r="BB119" s="2791">
        <f>+$J119*(BB107+BB108)</f>
        <v>0</v>
      </c>
      <c r="BC119" s="2435"/>
      <c r="BD119" s="2435"/>
      <c r="BE119" s="2791">
        <f>+$J119*(BE107+BE108)</f>
        <v>0</v>
      </c>
      <c r="BF119" s="2435"/>
      <c r="BG119" s="2435"/>
      <c r="BH119" s="2791">
        <f>+$J119*(BH107+BH108)</f>
        <v>0</v>
      </c>
      <c r="BI119" s="2435"/>
      <c r="BJ119" s="2435"/>
      <c r="BK119" s="2791">
        <f>+$J119*(BK107+BK108)</f>
        <v>0</v>
      </c>
      <c r="BL119" s="2435"/>
      <c r="BM119" s="2435"/>
      <c r="BN119" s="2791">
        <f>+$J119*(BN107+BN108)</f>
        <v>0</v>
      </c>
      <c r="BO119" s="2435"/>
      <c r="BP119" s="2435"/>
      <c r="BQ119" s="2846">
        <f>+$J119*(BQ107+BQ108)</f>
        <v>0</v>
      </c>
      <c r="BR119" s="2435"/>
      <c r="BS119" s="2847"/>
      <c r="BT119" s="2791">
        <f>+$J119*(BT107+BT108)*ProRata</f>
        <v>0</v>
      </c>
      <c r="BU119" s="2435"/>
      <c r="BV119" s="2435"/>
      <c r="BW119" s="2791">
        <f>+$J119*(BW107+BW108)*ProRata</f>
        <v>0</v>
      </c>
      <c r="BX119" s="2435"/>
      <c r="BY119" s="2435"/>
      <c r="BZ119" s="2791">
        <f>+$J119*(BZ107+BZ108)*ProRata</f>
        <v>0</v>
      </c>
      <c r="CA119" s="2435"/>
      <c r="CB119" s="2435"/>
      <c r="CC119" s="2791">
        <f>+$J119*(CC107+CC108)*ProRata</f>
        <v>0</v>
      </c>
      <c r="CD119" s="2435"/>
      <c r="CE119" s="2435"/>
      <c r="CF119" s="2791">
        <f>+$J119*(CF107+CF108)*ProRata</f>
        <v>0</v>
      </c>
      <c r="CG119" s="2435"/>
      <c r="CH119" s="2435"/>
      <c r="CI119" s="2791">
        <f>+$J119*(CI107+CI108)*ProRata</f>
        <v>0</v>
      </c>
      <c r="CJ119" s="2435"/>
      <c r="CK119" s="2435"/>
      <c r="CL119" s="2791">
        <f>+$J119*(CL107+CL108)*ProRata</f>
        <v>0</v>
      </c>
      <c r="CM119" s="2435"/>
      <c r="CN119" s="2435"/>
      <c r="CO119" s="2791">
        <f>+$J119*(CO107+CO108)*ProRata</f>
        <v>0</v>
      </c>
      <c r="CP119" s="2435"/>
      <c r="CQ119" s="2435"/>
      <c r="CR119" s="2791">
        <f>+$J119*(CR107+CR108)*ProRata</f>
        <v>0</v>
      </c>
      <c r="CS119" s="2435"/>
      <c r="CT119" s="2435"/>
      <c r="CU119" s="2791">
        <f>+$J119*(CU107+CU108)*ProRata</f>
        <v>0</v>
      </c>
      <c r="CV119" s="2435"/>
      <c r="CW119" s="2435"/>
      <c r="CX119" s="2791">
        <f>+$J119*(CX107+CX108)*ProRata</f>
        <v>0</v>
      </c>
      <c r="CY119" s="2435"/>
      <c r="CZ119" s="2435"/>
      <c r="DA119" s="2791">
        <f>+$J119*(DA107+DA108)*ProRata</f>
        <v>0</v>
      </c>
      <c r="DB119" s="2435"/>
      <c r="DC119" s="2435"/>
      <c r="DD119" s="2791">
        <f>+$J119*(DD107+DD108)*ProRata</f>
        <v>0</v>
      </c>
      <c r="DE119" s="2435"/>
      <c r="DF119" s="2435"/>
      <c r="DG119" s="2791">
        <f>+$J119*(DG107+DG108)*ProRata</f>
        <v>0</v>
      </c>
      <c r="DH119" s="2435"/>
      <c r="DI119" s="2435"/>
      <c r="DJ119" s="2791">
        <f>+$J119*(DJ107+DJ108)*ProRata</f>
        <v>0</v>
      </c>
      <c r="DK119" s="2435"/>
      <c r="DL119" s="2435"/>
      <c r="DM119" s="2791">
        <f>+$J119*(DM107+DM108)*ProRata</f>
        <v>0</v>
      </c>
      <c r="DN119" s="2435"/>
      <c r="DO119" s="2435"/>
      <c r="DP119" s="2791">
        <f>+$J119*(DP107+DP108)*ProRata</f>
        <v>0</v>
      </c>
      <c r="DQ119" s="2435"/>
      <c r="DR119" s="2435"/>
      <c r="DS119" s="2791">
        <f>+$J119*(DS107+DS108)*ProRata</f>
        <v>0</v>
      </c>
      <c r="DT119" s="2435"/>
      <c r="DU119" s="2435"/>
      <c r="DV119" s="2791">
        <f>+$J119*(DV107+DV108)*ProRata</f>
        <v>0</v>
      </c>
      <c r="DW119" s="2435"/>
      <c r="DX119" s="2435"/>
      <c r="DY119" s="2846">
        <f>+$J119*(DY107+DY108)*ProRata</f>
        <v>0</v>
      </c>
      <c r="DZ119" s="2435"/>
      <c r="EA119" s="2847"/>
      <c r="EB119" s="17"/>
    </row>
    <row r="120" spans="2:132" ht="18" hidden="1" customHeight="1" outlineLevel="1">
      <c r="B120" s="2845" t="s">
        <v>1962</v>
      </c>
      <c r="C120" s="2821"/>
      <c r="D120" s="2821"/>
      <c r="E120" s="2821"/>
      <c r="F120" s="2821"/>
      <c r="G120" s="2821"/>
      <c r="H120" s="2821"/>
      <c r="I120" s="2821"/>
      <c r="J120" s="2864">
        <f>'Operating Budget'!$F$52</f>
        <v>0.5</v>
      </c>
      <c r="K120" s="1865"/>
      <c r="L120" s="2849">
        <f>+$J120*L109</f>
        <v>0</v>
      </c>
      <c r="M120" s="2435"/>
      <c r="N120" s="2435"/>
      <c r="O120" s="2791">
        <f>+$J120*O109</f>
        <v>0</v>
      </c>
      <c r="P120" s="2435"/>
      <c r="Q120" s="2435"/>
      <c r="R120" s="2791">
        <f>+$J120*R109</f>
        <v>0</v>
      </c>
      <c r="S120" s="2435"/>
      <c r="T120" s="2435"/>
      <c r="U120" s="2791">
        <f>+$J120*U109</f>
        <v>0</v>
      </c>
      <c r="V120" s="2435"/>
      <c r="W120" s="2435"/>
      <c r="X120" s="2791">
        <f>+$J120*X109</f>
        <v>0</v>
      </c>
      <c r="Y120" s="2435"/>
      <c r="Z120" s="2435"/>
      <c r="AA120" s="2791">
        <f>+$J120*AA109</f>
        <v>0</v>
      </c>
      <c r="AB120" s="2435"/>
      <c r="AC120" s="2435"/>
      <c r="AD120" s="2791">
        <f>+$J120*AD109</f>
        <v>0</v>
      </c>
      <c r="AE120" s="2435"/>
      <c r="AF120" s="2435"/>
      <c r="AG120" s="2791">
        <f>+$J120*AG109</f>
        <v>0</v>
      </c>
      <c r="AH120" s="2435"/>
      <c r="AI120" s="2435"/>
      <c r="AJ120" s="2791">
        <f>+$J120*AJ109</f>
        <v>0</v>
      </c>
      <c r="AK120" s="2435"/>
      <c r="AL120" s="2435"/>
      <c r="AM120" s="2791">
        <f>+$J120*AM109</f>
        <v>0</v>
      </c>
      <c r="AN120" s="2435"/>
      <c r="AO120" s="2435"/>
      <c r="AP120" s="2791">
        <f>+$J120*AP109</f>
        <v>0</v>
      </c>
      <c r="AQ120" s="2435"/>
      <c r="AR120" s="2435"/>
      <c r="AS120" s="2791">
        <f>+$J120*AS109</f>
        <v>0</v>
      </c>
      <c r="AT120" s="2435"/>
      <c r="AU120" s="2435"/>
      <c r="AV120" s="2791">
        <f>+$J120*AV109</f>
        <v>0</v>
      </c>
      <c r="AW120" s="2435"/>
      <c r="AX120" s="2435"/>
      <c r="AY120" s="2791">
        <f>+$J120*AY109</f>
        <v>0</v>
      </c>
      <c r="AZ120" s="2435"/>
      <c r="BA120" s="2435"/>
      <c r="BB120" s="2791">
        <f>+$J120*BB109</f>
        <v>0</v>
      </c>
      <c r="BC120" s="2435"/>
      <c r="BD120" s="2435"/>
      <c r="BE120" s="2791">
        <f>+$J120*BE109</f>
        <v>0</v>
      </c>
      <c r="BF120" s="2435"/>
      <c r="BG120" s="2435"/>
      <c r="BH120" s="2791">
        <f>+$J120*BH109</f>
        <v>0</v>
      </c>
      <c r="BI120" s="2435"/>
      <c r="BJ120" s="2435"/>
      <c r="BK120" s="2791">
        <f>+$J120*BK109</f>
        <v>0</v>
      </c>
      <c r="BL120" s="2435"/>
      <c r="BM120" s="2435"/>
      <c r="BN120" s="2791">
        <f>+$J120*BN109</f>
        <v>0</v>
      </c>
      <c r="BO120" s="2435"/>
      <c r="BP120" s="2435"/>
      <c r="BQ120" s="2846">
        <f>+$J120*BQ109</f>
        <v>0</v>
      </c>
      <c r="BR120" s="2435"/>
      <c r="BS120" s="2847"/>
      <c r="BT120" s="2791">
        <f>+$J120*BT108*ProRata</f>
        <v>0</v>
      </c>
      <c r="BU120" s="2435"/>
      <c r="BV120" s="2435"/>
      <c r="BW120" s="2791">
        <f>+$J120*BW108*ProRata</f>
        <v>0</v>
      </c>
      <c r="BX120" s="2435"/>
      <c r="BY120" s="2435"/>
      <c r="BZ120" s="2791">
        <f>+$J120*BZ108*ProRata</f>
        <v>0</v>
      </c>
      <c r="CA120" s="2435"/>
      <c r="CB120" s="2435"/>
      <c r="CC120" s="2791">
        <f>+$J120*CC108*ProRata</f>
        <v>0</v>
      </c>
      <c r="CD120" s="2435"/>
      <c r="CE120" s="2435"/>
      <c r="CF120" s="2791">
        <f>+$J120*CF108*ProRata</f>
        <v>0</v>
      </c>
      <c r="CG120" s="2435"/>
      <c r="CH120" s="2435"/>
      <c r="CI120" s="2791">
        <f>+$J120*CI108*ProRata</f>
        <v>0</v>
      </c>
      <c r="CJ120" s="2435"/>
      <c r="CK120" s="2435"/>
      <c r="CL120" s="2791">
        <f>+$J120*CL108*ProRata</f>
        <v>0</v>
      </c>
      <c r="CM120" s="2435"/>
      <c r="CN120" s="2435"/>
      <c r="CO120" s="2791">
        <f>+$J120*CO108*ProRata</f>
        <v>0</v>
      </c>
      <c r="CP120" s="2435"/>
      <c r="CQ120" s="2435"/>
      <c r="CR120" s="2791">
        <f>+$J120*CR108*ProRata</f>
        <v>0</v>
      </c>
      <c r="CS120" s="2435"/>
      <c r="CT120" s="2435"/>
      <c r="CU120" s="2791">
        <f>+$J120*CU108*ProRata</f>
        <v>0</v>
      </c>
      <c r="CV120" s="2435"/>
      <c r="CW120" s="2435"/>
      <c r="CX120" s="2791">
        <f>+$J120*CX108*ProRata</f>
        <v>0</v>
      </c>
      <c r="CY120" s="2435"/>
      <c r="CZ120" s="2435"/>
      <c r="DA120" s="2791">
        <f>+$J120*DA108*ProRata</f>
        <v>0</v>
      </c>
      <c r="DB120" s="2435"/>
      <c r="DC120" s="2435"/>
      <c r="DD120" s="2791">
        <f>+$J120*DD108*ProRata</f>
        <v>0</v>
      </c>
      <c r="DE120" s="2435"/>
      <c r="DF120" s="2435"/>
      <c r="DG120" s="2791">
        <f>+$J120*DG108*ProRata</f>
        <v>0</v>
      </c>
      <c r="DH120" s="2435"/>
      <c r="DI120" s="2435"/>
      <c r="DJ120" s="2791">
        <f>+$J120*DJ108*ProRata</f>
        <v>0</v>
      </c>
      <c r="DK120" s="2435"/>
      <c r="DL120" s="2435"/>
      <c r="DM120" s="2791">
        <f>+$J120*DM108*ProRata</f>
        <v>0</v>
      </c>
      <c r="DN120" s="2435"/>
      <c r="DO120" s="2435"/>
      <c r="DP120" s="2791">
        <f>+$J120*DP108*ProRata</f>
        <v>0</v>
      </c>
      <c r="DQ120" s="2435"/>
      <c r="DR120" s="2435"/>
      <c r="DS120" s="2791">
        <f>+$J120*DS108*ProRata</f>
        <v>0</v>
      </c>
      <c r="DT120" s="2435"/>
      <c r="DU120" s="2435"/>
      <c r="DV120" s="2791">
        <f>+$J120*DV108*ProRata</f>
        <v>0</v>
      </c>
      <c r="DW120" s="2435"/>
      <c r="DX120" s="2435"/>
      <c r="DY120" s="2846">
        <f>+$J120*DY108*ProRata</f>
        <v>0</v>
      </c>
      <c r="DZ120" s="2435"/>
      <c r="EA120" s="2847"/>
      <c r="EB120" s="17"/>
    </row>
    <row r="121" spans="2:132" ht="18" hidden="1" customHeight="1" collapsed="1">
      <c r="B121" s="2921" t="s">
        <v>1929</v>
      </c>
      <c r="C121" s="1777"/>
      <c r="D121" s="1777"/>
      <c r="E121" s="1777"/>
      <c r="F121" s="1777"/>
      <c r="G121" s="1777"/>
      <c r="H121" s="1777"/>
      <c r="I121" s="1777"/>
      <c r="J121" s="1777"/>
      <c r="K121" s="1777"/>
      <c r="L121" s="2880">
        <f>SUM(L114:N120)</f>
        <v>0</v>
      </c>
      <c r="M121" s="1777"/>
      <c r="N121" s="1777"/>
      <c r="O121" s="2793">
        <f>SUM(O114:Q120)</f>
        <v>0</v>
      </c>
      <c r="P121" s="1777"/>
      <c r="Q121" s="1777"/>
      <c r="R121" s="2793">
        <f>SUM(R114:T120)</f>
        <v>0</v>
      </c>
      <c r="S121" s="1777"/>
      <c r="T121" s="1777"/>
      <c r="U121" s="2793">
        <f>SUM(U114:W120)</f>
        <v>0</v>
      </c>
      <c r="V121" s="1777"/>
      <c r="W121" s="1777"/>
      <c r="X121" s="2793">
        <f>SUM(X114:Z120)</f>
        <v>0</v>
      </c>
      <c r="Y121" s="1777"/>
      <c r="Z121" s="1777"/>
      <c r="AA121" s="2793">
        <f>SUM(AA114:AC120)</f>
        <v>0</v>
      </c>
      <c r="AB121" s="1777"/>
      <c r="AC121" s="1777"/>
      <c r="AD121" s="2793">
        <f>SUM(AD114:AF120)</f>
        <v>0</v>
      </c>
      <c r="AE121" s="1777"/>
      <c r="AF121" s="1777"/>
      <c r="AG121" s="2793">
        <f>SUM(AG114:AI120)</f>
        <v>0</v>
      </c>
      <c r="AH121" s="1777"/>
      <c r="AI121" s="1777"/>
      <c r="AJ121" s="2793">
        <f>SUM(AJ114:AL120)</f>
        <v>0</v>
      </c>
      <c r="AK121" s="1777"/>
      <c r="AL121" s="1777"/>
      <c r="AM121" s="2793">
        <f>SUM(AM114:AO120)</f>
        <v>0</v>
      </c>
      <c r="AN121" s="1777"/>
      <c r="AO121" s="1777"/>
      <c r="AP121" s="2793">
        <f>SUM(AP114:AR120)</f>
        <v>0</v>
      </c>
      <c r="AQ121" s="1777"/>
      <c r="AR121" s="1777"/>
      <c r="AS121" s="2793">
        <f>SUM(AS114:AU120)</f>
        <v>0</v>
      </c>
      <c r="AT121" s="1777"/>
      <c r="AU121" s="1777"/>
      <c r="AV121" s="2793">
        <f>SUM(AV114:AX120)</f>
        <v>0</v>
      </c>
      <c r="AW121" s="1777"/>
      <c r="AX121" s="1777"/>
      <c r="AY121" s="2793">
        <f>SUM(AY114:BA120)</f>
        <v>0</v>
      </c>
      <c r="AZ121" s="1777"/>
      <c r="BA121" s="1777"/>
      <c r="BB121" s="2793">
        <f>SUM(BB114:BD120)</f>
        <v>0</v>
      </c>
      <c r="BC121" s="1777"/>
      <c r="BD121" s="1777"/>
      <c r="BE121" s="2793">
        <f>SUM(BE114:BG120)</f>
        <v>0</v>
      </c>
      <c r="BF121" s="1777"/>
      <c r="BG121" s="1777"/>
      <c r="BH121" s="2793">
        <f>SUM(BH114:BJ120)</f>
        <v>0</v>
      </c>
      <c r="BI121" s="1777"/>
      <c r="BJ121" s="1777"/>
      <c r="BK121" s="2793">
        <f>SUM(BK114:BM120)</f>
        <v>0</v>
      </c>
      <c r="BL121" s="1777"/>
      <c r="BM121" s="1777"/>
      <c r="BN121" s="2793">
        <f>SUM(BN114:BP120)</f>
        <v>0</v>
      </c>
      <c r="BO121" s="1777"/>
      <c r="BP121" s="1777"/>
      <c r="BQ121" s="2819">
        <f>SUM(BQ114:BS120)</f>
        <v>0</v>
      </c>
      <c r="BR121" s="1777"/>
      <c r="BS121" s="2807"/>
      <c r="BT121" s="2793">
        <f>SUM(BT114:BV120)</f>
        <v>0</v>
      </c>
      <c r="BU121" s="1777"/>
      <c r="BV121" s="1777"/>
      <c r="BW121" s="2793">
        <f>SUM(BW114:BY120)</f>
        <v>0</v>
      </c>
      <c r="BX121" s="1777"/>
      <c r="BY121" s="1777"/>
      <c r="BZ121" s="2793">
        <f>SUM(BZ114:CB120)</f>
        <v>0</v>
      </c>
      <c r="CA121" s="1777"/>
      <c r="CB121" s="1777"/>
      <c r="CC121" s="2793">
        <f>SUM(CC114:CE120)</f>
        <v>0</v>
      </c>
      <c r="CD121" s="1777"/>
      <c r="CE121" s="1777"/>
      <c r="CF121" s="2793">
        <f>SUM(CF114:CH120)</f>
        <v>0</v>
      </c>
      <c r="CG121" s="1777"/>
      <c r="CH121" s="1777"/>
      <c r="CI121" s="2793">
        <f>SUM(CI114:CK120)</f>
        <v>0</v>
      </c>
      <c r="CJ121" s="1777"/>
      <c r="CK121" s="1777"/>
      <c r="CL121" s="2793">
        <f>SUM(CL114:CN120)</f>
        <v>0</v>
      </c>
      <c r="CM121" s="1777"/>
      <c r="CN121" s="1777"/>
      <c r="CO121" s="2793">
        <f>SUM(CO114:CQ120)</f>
        <v>0</v>
      </c>
      <c r="CP121" s="1777"/>
      <c r="CQ121" s="1777"/>
      <c r="CR121" s="2793">
        <f>SUM(CR114:CT120)</f>
        <v>0</v>
      </c>
      <c r="CS121" s="1777"/>
      <c r="CT121" s="1777"/>
      <c r="CU121" s="2793">
        <f>SUM(CU114:CW120)</f>
        <v>0</v>
      </c>
      <c r="CV121" s="1777"/>
      <c r="CW121" s="1777"/>
      <c r="CX121" s="2793">
        <f>SUM(CX114:CZ120)</f>
        <v>0</v>
      </c>
      <c r="CY121" s="1777"/>
      <c r="CZ121" s="1777"/>
      <c r="DA121" s="2793">
        <f>SUM(DA114:DC120)</f>
        <v>0</v>
      </c>
      <c r="DB121" s="1777"/>
      <c r="DC121" s="1777"/>
      <c r="DD121" s="2793">
        <f>SUM(DD114:DF120)</f>
        <v>0</v>
      </c>
      <c r="DE121" s="1777"/>
      <c r="DF121" s="1777"/>
      <c r="DG121" s="2793">
        <f>SUM(DG114:DI120)</f>
        <v>0</v>
      </c>
      <c r="DH121" s="1777"/>
      <c r="DI121" s="1777"/>
      <c r="DJ121" s="2793">
        <f>SUM(DJ114:DL120)</f>
        <v>0</v>
      </c>
      <c r="DK121" s="1777"/>
      <c r="DL121" s="1777"/>
      <c r="DM121" s="2793">
        <f>SUM(DM114:DO120)</f>
        <v>0</v>
      </c>
      <c r="DN121" s="1777"/>
      <c r="DO121" s="1777"/>
      <c r="DP121" s="2793">
        <f>SUM(DP114:DR120)</f>
        <v>0</v>
      </c>
      <c r="DQ121" s="1777"/>
      <c r="DR121" s="1777"/>
      <c r="DS121" s="2793">
        <f>SUM(DS114:DU120)</f>
        <v>0</v>
      </c>
      <c r="DT121" s="1777"/>
      <c r="DU121" s="1777"/>
      <c r="DV121" s="2793">
        <f>SUM(DV114:DX120)</f>
        <v>0</v>
      </c>
      <c r="DW121" s="1777"/>
      <c r="DX121" s="1777"/>
      <c r="DY121" s="2819">
        <f>SUM(DY114:EA120)</f>
        <v>0</v>
      </c>
      <c r="DZ121" s="1777"/>
      <c r="EA121" s="2807"/>
      <c r="EB121" s="17"/>
    </row>
    <row r="122" spans="2:132" ht="18" hidden="1" customHeight="1" thickBot="1">
      <c r="B122" s="2815" t="s">
        <v>1930</v>
      </c>
      <c r="C122" s="2803"/>
      <c r="D122" s="2803"/>
      <c r="E122" s="2803"/>
      <c r="F122" s="2803"/>
      <c r="G122" s="2803"/>
      <c r="H122" s="2803"/>
      <c r="I122" s="2803"/>
      <c r="J122" s="2803"/>
      <c r="K122" s="2816"/>
      <c r="L122" s="2817">
        <f>L111-L121</f>
        <v>0</v>
      </c>
      <c r="M122" s="2803"/>
      <c r="N122" s="2803"/>
      <c r="O122" s="2817">
        <f>O111-O121</f>
        <v>0</v>
      </c>
      <c r="P122" s="2803"/>
      <c r="Q122" s="2803"/>
      <c r="R122" s="2817">
        <f>R111-R121</f>
        <v>0</v>
      </c>
      <c r="S122" s="2803"/>
      <c r="T122" s="2803"/>
      <c r="U122" s="2817">
        <f>U111-U121</f>
        <v>0</v>
      </c>
      <c r="V122" s="2803"/>
      <c r="W122" s="2803"/>
      <c r="X122" s="2817">
        <f>X111-X121</f>
        <v>0</v>
      </c>
      <c r="Y122" s="2803"/>
      <c r="Z122" s="2803"/>
      <c r="AA122" s="2817">
        <f>AA111-AA121</f>
        <v>0</v>
      </c>
      <c r="AB122" s="2803"/>
      <c r="AC122" s="2803"/>
      <c r="AD122" s="2817">
        <f>AD111-AD121</f>
        <v>0</v>
      </c>
      <c r="AE122" s="2803"/>
      <c r="AF122" s="2803"/>
      <c r="AG122" s="2817">
        <f>AG111-AG121</f>
        <v>0</v>
      </c>
      <c r="AH122" s="2803"/>
      <c r="AI122" s="2803"/>
      <c r="AJ122" s="2817">
        <f>AJ111-AJ121</f>
        <v>0</v>
      </c>
      <c r="AK122" s="2803"/>
      <c r="AL122" s="2803"/>
      <c r="AM122" s="2817">
        <f>AM111-AM121</f>
        <v>0</v>
      </c>
      <c r="AN122" s="2803"/>
      <c r="AO122" s="2803"/>
      <c r="AP122" s="2817">
        <f>AP111-AP121</f>
        <v>0</v>
      </c>
      <c r="AQ122" s="2803"/>
      <c r="AR122" s="2803"/>
      <c r="AS122" s="2817">
        <f>AS111-AS121</f>
        <v>0</v>
      </c>
      <c r="AT122" s="2803"/>
      <c r="AU122" s="2803"/>
      <c r="AV122" s="2817">
        <f>AV111-AV121</f>
        <v>0</v>
      </c>
      <c r="AW122" s="2803"/>
      <c r="AX122" s="2803"/>
      <c r="AY122" s="2817">
        <f>AY111-AY121</f>
        <v>0</v>
      </c>
      <c r="AZ122" s="2803"/>
      <c r="BA122" s="2803"/>
      <c r="BB122" s="2817">
        <f>BB111-BB121</f>
        <v>0</v>
      </c>
      <c r="BC122" s="2803"/>
      <c r="BD122" s="2803"/>
      <c r="BE122" s="2817">
        <f>BE111-BE121</f>
        <v>0</v>
      </c>
      <c r="BF122" s="2803"/>
      <c r="BG122" s="2803"/>
      <c r="BH122" s="2817">
        <f>BH111-BH121</f>
        <v>0</v>
      </c>
      <c r="BI122" s="2803"/>
      <c r="BJ122" s="2803"/>
      <c r="BK122" s="2817">
        <f>BK111-BK121</f>
        <v>0</v>
      </c>
      <c r="BL122" s="2803"/>
      <c r="BM122" s="2803"/>
      <c r="BN122" s="2817">
        <f>BN111-BN121</f>
        <v>0</v>
      </c>
      <c r="BO122" s="2803"/>
      <c r="BP122" s="2803"/>
      <c r="BQ122" s="2929">
        <f>BQ111-BQ121</f>
        <v>0</v>
      </c>
      <c r="BR122" s="2803"/>
      <c r="BS122" s="2894"/>
      <c r="BT122" s="2817">
        <f>BT111-BT121</f>
        <v>0</v>
      </c>
      <c r="BU122" s="2803"/>
      <c r="BV122" s="2803"/>
      <c r="BW122" s="2817">
        <f>BW111-BW121</f>
        <v>0</v>
      </c>
      <c r="BX122" s="2803"/>
      <c r="BY122" s="2803"/>
      <c r="BZ122" s="2817">
        <f>BZ111-BZ121</f>
        <v>0</v>
      </c>
      <c r="CA122" s="2803"/>
      <c r="CB122" s="2803"/>
      <c r="CC122" s="2817">
        <f>CC111-CC121</f>
        <v>0</v>
      </c>
      <c r="CD122" s="2803"/>
      <c r="CE122" s="2803"/>
      <c r="CF122" s="2817">
        <f>CF111-CF121</f>
        <v>0</v>
      </c>
      <c r="CG122" s="2803"/>
      <c r="CH122" s="2803"/>
      <c r="CI122" s="2817">
        <f>CI111-CI121</f>
        <v>0</v>
      </c>
      <c r="CJ122" s="2803"/>
      <c r="CK122" s="2803"/>
      <c r="CL122" s="2817">
        <f>CL111-CL121</f>
        <v>0</v>
      </c>
      <c r="CM122" s="2803"/>
      <c r="CN122" s="2803"/>
      <c r="CO122" s="2817">
        <f>CO111-CO121</f>
        <v>0</v>
      </c>
      <c r="CP122" s="2803"/>
      <c r="CQ122" s="2803"/>
      <c r="CR122" s="2817">
        <f>CR111-CR121</f>
        <v>0</v>
      </c>
      <c r="CS122" s="2803"/>
      <c r="CT122" s="2803"/>
      <c r="CU122" s="2817">
        <f>CU111-CU121</f>
        <v>0</v>
      </c>
      <c r="CV122" s="2803"/>
      <c r="CW122" s="2803"/>
      <c r="CX122" s="2817">
        <f>CX111-CX121</f>
        <v>0</v>
      </c>
      <c r="CY122" s="2803"/>
      <c r="CZ122" s="2803"/>
      <c r="DA122" s="2817">
        <f>DA111-DA121</f>
        <v>0</v>
      </c>
      <c r="DB122" s="2803"/>
      <c r="DC122" s="2803"/>
      <c r="DD122" s="2817">
        <f>DD111-DD121</f>
        <v>0</v>
      </c>
      <c r="DE122" s="2803"/>
      <c r="DF122" s="2803"/>
      <c r="DG122" s="2817">
        <f>DG111-DG121</f>
        <v>0</v>
      </c>
      <c r="DH122" s="2803"/>
      <c r="DI122" s="2803"/>
      <c r="DJ122" s="2817">
        <f>DJ111-DJ121</f>
        <v>0</v>
      </c>
      <c r="DK122" s="2803"/>
      <c r="DL122" s="2803"/>
      <c r="DM122" s="2817">
        <f>DM111-DM121</f>
        <v>0</v>
      </c>
      <c r="DN122" s="2803"/>
      <c r="DO122" s="2803"/>
      <c r="DP122" s="2817">
        <f>DP111-DP121</f>
        <v>0</v>
      </c>
      <c r="DQ122" s="2803"/>
      <c r="DR122" s="2803"/>
      <c r="DS122" s="2817">
        <f>DS111-DS121</f>
        <v>0</v>
      </c>
      <c r="DT122" s="2803"/>
      <c r="DU122" s="2803"/>
      <c r="DV122" s="2817">
        <f>DV111-DV121</f>
        <v>0</v>
      </c>
      <c r="DW122" s="2803"/>
      <c r="DX122" s="2803"/>
      <c r="DY122" s="2932">
        <f>DY111-DY121</f>
        <v>0</v>
      </c>
      <c r="DZ122" s="2810"/>
      <c r="EA122" s="2829"/>
      <c r="EB122" s="17"/>
    </row>
    <row r="123" spans="2:132" ht="18" hidden="1" customHeight="1" thickTop="1">
      <c r="B123" s="703"/>
      <c r="L123" s="17"/>
      <c r="BS123" s="688"/>
      <c r="EA123" s="688"/>
      <c r="EB123" s="17"/>
    </row>
    <row r="124" spans="2:132" ht="18" hidden="1" customHeight="1">
      <c r="B124" s="2954" t="s">
        <v>1931</v>
      </c>
      <c r="C124" s="1777"/>
      <c r="D124" s="1777"/>
      <c r="E124" s="1777"/>
      <c r="F124" s="1777"/>
      <c r="G124" s="1777"/>
      <c r="H124" s="1777"/>
      <c r="I124" s="1778"/>
      <c r="J124" s="2981" t="s">
        <v>1878</v>
      </c>
      <c r="K124" s="1778"/>
      <c r="L124" s="2843" t="s">
        <v>1879</v>
      </c>
      <c r="M124" s="1777"/>
      <c r="N124" s="1777"/>
      <c r="O124" s="2789" t="s">
        <v>1880</v>
      </c>
      <c r="P124" s="1777"/>
      <c r="Q124" s="1777"/>
      <c r="R124" s="2789" t="s">
        <v>1881</v>
      </c>
      <c r="S124" s="1777"/>
      <c r="T124" s="1777"/>
      <c r="U124" s="2789" t="s">
        <v>1882</v>
      </c>
      <c r="V124" s="1777"/>
      <c r="W124" s="1777"/>
      <c r="X124" s="2789" t="s">
        <v>1883</v>
      </c>
      <c r="Y124" s="1777"/>
      <c r="Z124" s="1777"/>
      <c r="AA124" s="2789" t="s">
        <v>1884</v>
      </c>
      <c r="AB124" s="1777"/>
      <c r="AC124" s="1777"/>
      <c r="AD124" s="2789" t="s">
        <v>1885</v>
      </c>
      <c r="AE124" s="1777"/>
      <c r="AF124" s="1777"/>
      <c r="AG124" s="2789" t="s">
        <v>1886</v>
      </c>
      <c r="AH124" s="1777"/>
      <c r="AI124" s="1777"/>
      <c r="AJ124" s="2789" t="s">
        <v>1887</v>
      </c>
      <c r="AK124" s="1777"/>
      <c r="AL124" s="1777"/>
      <c r="AM124" s="2789" t="s">
        <v>1888</v>
      </c>
      <c r="AN124" s="1777"/>
      <c r="AO124" s="1777"/>
      <c r="AP124" s="2789" t="s">
        <v>1889</v>
      </c>
      <c r="AQ124" s="1777"/>
      <c r="AR124" s="1777"/>
      <c r="AS124" s="2789" t="s">
        <v>1890</v>
      </c>
      <c r="AT124" s="1777"/>
      <c r="AU124" s="1777"/>
      <c r="AV124" s="2789" t="s">
        <v>1891</v>
      </c>
      <c r="AW124" s="1777"/>
      <c r="AX124" s="1777"/>
      <c r="AY124" s="2789" t="s">
        <v>1892</v>
      </c>
      <c r="AZ124" s="1777"/>
      <c r="BA124" s="1777"/>
      <c r="BB124" s="2789" t="s">
        <v>1893</v>
      </c>
      <c r="BC124" s="1777"/>
      <c r="BD124" s="1777"/>
      <c r="BE124" s="2789" t="s">
        <v>1894</v>
      </c>
      <c r="BF124" s="1777"/>
      <c r="BG124" s="1777"/>
      <c r="BH124" s="2789" t="s">
        <v>1895</v>
      </c>
      <c r="BI124" s="1777"/>
      <c r="BJ124" s="1777"/>
      <c r="BK124" s="2789" t="s">
        <v>1896</v>
      </c>
      <c r="BL124" s="1777"/>
      <c r="BM124" s="1777"/>
      <c r="BN124" s="2789" t="s">
        <v>1897</v>
      </c>
      <c r="BO124" s="1777"/>
      <c r="BP124" s="1777"/>
      <c r="BQ124" s="2806" t="s">
        <v>1898</v>
      </c>
      <c r="BR124" s="1777"/>
      <c r="BS124" s="2807"/>
      <c r="BT124" s="2789" t="s">
        <v>1899</v>
      </c>
      <c r="BU124" s="1777"/>
      <c r="BV124" s="1777"/>
      <c r="BW124" s="2789" t="s">
        <v>1900</v>
      </c>
      <c r="BX124" s="1777"/>
      <c r="BY124" s="1777"/>
      <c r="BZ124" s="2789" t="s">
        <v>1901</v>
      </c>
      <c r="CA124" s="1777"/>
      <c r="CB124" s="1777"/>
      <c r="CC124" s="2789" t="s">
        <v>1902</v>
      </c>
      <c r="CD124" s="1777"/>
      <c r="CE124" s="1777"/>
      <c r="CF124" s="2789" t="s">
        <v>1903</v>
      </c>
      <c r="CG124" s="1777"/>
      <c r="CH124" s="1777"/>
      <c r="CI124" s="2789" t="s">
        <v>1904</v>
      </c>
      <c r="CJ124" s="1777"/>
      <c r="CK124" s="1777"/>
      <c r="CL124" s="2789" t="s">
        <v>1905</v>
      </c>
      <c r="CM124" s="1777"/>
      <c r="CN124" s="1777"/>
      <c r="CO124" s="2789" t="s">
        <v>1906</v>
      </c>
      <c r="CP124" s="1777"/>
      <c r="CQ124" s="1777"/>
      <c r="CR124" s="2789" t="s">
        <v>1907</v>
      </c>
      <c r="CS124" s="1777"/>
      <c r="CT124" s="1777"/>
      <c r="CU124" s="2789" t="s">
        <v>1908</v>
      </c>
      <c r="CV124" s="1777"/>
      <c r="CW124" s="1777"/>
      <c r="CX124" s="2789" t="s">
        <v>1909</v>
      </c>
      <c r="CY124" s="1777"/>
      <c r="CZ124" s="1777"/>
      <c r="DA124" s="2789" t="s">
        <v>1910</v>
      </c>
      <c r="DB124" s="1777"/>
      <c r="DC124" s="1777"/>
      <c r="DD124" s="2789" t="s">
        <v>1911</v>
      </c>
      <c r="DE124" s="1777"/>
      <c r="DF124" s="1777"/>
      <c r="DG124" s="2789" t="s">
        <v>1912</v>
      </c>
      <c r="DH124" s="1777"/>
      <c r="DI124" s="1777"/>
      <c r="DJ124" s="2789" t="s">
        <v>1913</v>
      </c>
      <c r="DK124" s="1777"/>
      <c r="DL124" s="1777"/>
      <c r="DM124" s="2789" t="s">
        <v>1914</v>
      </c>
      <c r="DN124" s="1777"/>
      <c r="DO124" s="1777"/>
      <c r="DP124" s="2789" t="s">
        <v>1915</v>
      </c>
      <c r="DQ124" s="1777"/>
      <c r="DR124" s="1777"/>
      <c r="DS124" s="2789" t="s">
        <v>1916</v>
      </c>
      <c r="DT124" s="1777"/>
      <c r="DU124" s="1777"/>
      <c r="DV124" s="2789" t="s">
        <v>1917</v>
      </c>
      <c r="DW124" s="1777"/>
      <c r="DX124" s="1777"/>
      <c r="DY124" s="2806" t="s">
        <v>1918</v>
      </c>
      <c r="DZ124" s="1777"/>
      <c r="EA124" s="2807"/>
      <c r="EB124" s="17"/>
    </row>
    <row r="125" spans="2:132" ht="36" hidden="1" customHeight="1" outlineLevel="1">
      <c r="B125" s="2909" t="s">
        <v>1932</v>
      </c>
      <c r="C125" s="2821"/>
      <c r="D125" s="2821"/>
      <c r="E125" s="2821"/>
      <c r="F125" s="2821"/>
      <c r="G125" s="2821"/>
      <c r="H125" s="2821"/>
      <c r="I125" s="2821"/>
      <c r="J125" s="2951">
        <v>3.5000000000000003E-2</v>
      </c>
      <c r="K125" s="1865"/>
      <c r="L125" s="2856">
        <f>SUM('Operating Budget'!$E$113-'Operating Budget'!$E$95-'Operating Budget'!$E$112)*ProRata</f>
        <v>0</v>
      </c>
      <c r="M125" s="2435"/>
      <c r="N125" s="2435"/>
      <c r="O125" s="2798">
        <f>(1+$J$125)*L125</f>
        <v>0</v>
      </c>
      <c r="P125" s="1953"/>
      <c r="Q125" s="1953"/>
      <c r="R125" s="2798">
        <f>(1+$J$125)*O125</f>
        <v>0</v>
      </c>
      <c r="S125" s="1953"/>
      <c r="T125" s="1953"/>
      <c r="U125" s="2798">
        <f>(1+$J$125)*R125</f>
        <v>0</v>
      </c>
      <c r="V125" s="1953"/>
      <c r="W125" s="1953"/>
      <c r="X125" s="2798">
        <f>(1+$J$125)*U125</f>
        <v>0</v>
      </c>
      <c r="Y125" s="1953"/>
      <c r="Z125" s="1953"/>
      <c r="AA125" s="2798">
        <f>(1+$J$125)*X125</f>
        <v>0</v>
      </c>
      <c r="AB125" s="1953"/>
      <c r="AC125" s="1953"/>
      <c r="AD125" s="2798">
        <f>(1+$J$125)*AA125</f>
        <v>0</v>
      </c>
      <c r="AE125" s="1953"/>
      <c r="AF125" s="1953"/>
      <c r="AG125" s="2798">
        <f>(1+$J$125)*AD125</f>
        <v>0</v>
      </c>
      <c r="AH125" s="1953"/>
      <c r="AI125" s="1953"/>
      <c r="AJ125" s="2798">
        <f>(1+$J$125)*AG125</f>
        <v>0</v>
      </c>
      <c r="AK125" s="1953"/>
      <c r="AL125" s="1953"/>
      <c r="AM125" s="2798">
        <f>(1+$J$125)*AJ125</f>
        <v>0</v>
      </c>
      <c r="AN125" s="1953"/>
      <c r="AO125" s="1953"/>
      <c r="AP125" s="2798">
        <f>(1+$J$125)*AM125</f>
        <v>0</v>
      </c>
      <c r="AQ125" s="1953"/>
      <c r="AR125" s="1953"/>
      <c r="AS125" s="2798">
        <f>(1+$J$125)*AP125</f>
        <v>0</v>
      </c>
      <c r="AT125" s="1953"/>
      <c r="AU125" s="1953"/>
      <c r="AV125" s="2798">
        <f>(1+$J$125)*AS125</f>
        <v>0</v>
      </c>
      <c r="AW125" s="1953"/>
      <c r="AX125" s="1953"/>
      <c r="AY125" s="2798">
        <f>(1+$J$125)*AV125</f>
        <v>0</v>
      </c>
      <c r="AZ125" s="1953"/>
      <c r="BA125" s="1953"/>
      <c r="BB125" s="2798">
        <f>(1+$J$125)*AY125</f>
        <v>0</v>
      </c>
      <c r="BC125" s="1953"/>
      <c r="BD125" s="1953"/>
      <c r="BE125" s="2798">
        <f>(1+$J$125)*BB125</f>
        <v>0</v>
      </c>
      <c r="BF125" s="1953"/>
      <c r="BG125" s="1953"/>
      <c r="BH125" s="2798">
        <f>(1+$J$125)*BE125</f>
        <v>0</v>
      </c>
      <c r="BI125" s="1953"/>
      <c r="BJ125" s="1953"/>
      <c r="BK125" s="2798">
        <f>(1+$J$125)*BH125</f>
        <v>0</v>
      </c>
      <c r="BL125" s="1953"/>
      <c r="BM125" s="1953"/>
      <c r="BN125" s="2798">
        <f>(1+$J$125)*BK125</f>
        <v>0</v>
      </c>
      <c r="BO125" s="1953"/>
      <c r="BP125" s="1953"/>
      <c r="BQ125" s="2913">
        <f>(1+$J$125)*BN125</f>
        <v>0</v>
      </c>
      <c r="BR125" s="1953"/>
      <c r="BS125" s="2879"/>
      <c r="BT125" s="2798">
        <f>(1+$J$125)*BQ125</f>
        <v>0</v>
      </c>
      <c r="BU125" s="1953"/>
      <c r="BV125" s="1953"/>
      <c r="BW125" s="2798">
        <f>(1+$J$125)*BT125</f>
        <v>0</v>
      </c>
      <c r="BX125" s="1953"/>
      <c r="BY125" s="1953"/>
      <c r="BZ125" s="2798">
        <f>(1+$J$125)*BW125</f>
        <v>0</v>
      </c>
      <c r="CA125" s="1953"/>
      <c r="CB125" s="1953"/>
      <c r="CC125" s="2798">
        <f>(1+$J$125)*BZ125</f>
        <v>0</v>
      </c>
      <c r="CD125" s="1953"/>
      <c r="CE125" s="1953"/>
      <c r="CF125" s="2798">
        <f>(1+$J$125)*CC125</f>
        <v>0</v>
      </c>
      <c r="CG125" s="1953"/>
      <c r="CH125" s="1953"/>
      <c r="CI125" s="2798">
        <f>(1+$J$125)*CF125</f>
        <v>0</v>
      </c>
      <c r="CJ125" s="1953"/>
      <c r="CK125" s="1953"/>
      <c r="CL125" s="2798">
        <f>(1+$J$125)*CI125</f>
        <v>0</v>
      </c>
      <c r="CM125" s="1953"/>
      <c r="CN125" s="1953"/>
      <c r="CO125" s="2798">
        <f>(1+$J$125)*CL125</f>
        <v>0</v>
      </c>
      <c r="CP125" s="1953"/>
      <c r="CQ125" s="1953"/>
      <c r="CR125" s="2798">
        <f>(1+$J$125)*CO125</f>
        <v>0</v>
      </c>
      <c r="CS125" s="1953"/>
      <c r="CT125" s="1953"/>
      <c r="CU125" s="2798">
        <f>(1+$J$125)*CR125</f>
        <v>0</v>
      </c>
      <c r="CV125" s="1953"/>
      <c r="CW125" s="1953"/>
      <c r="CX125" s="2798">
        <f>(1+$J$125)*CU125</f>
        <v>0</v>
      </c>
      <c r="CY125" s="1953"/>
      <c r="CZ125" s="1953"/>
      <c r="DA125" s="2798">
        <f>(1+$J$125)*CX125</f>
        <v>0</v>
      </c>
      <c r="DB125" s="1953"/>
      <c r="DC125" s="1953"/>
      <c r="DD125" s="2798">
        <f>(1+$J$125)*DA125</f>
        <v>0</v>
      </c>
      <c r="DE125" s="1953"/>
      <c r="DF125" s="1953"/>
      <c r="DG125" s="2798">
        <f>(1+$J$125)*DD125</f>
        <v>0</v>
      </c>
      <c r="DH125" s="1953"/>
      <c r="DI125" s="1953"/>
      <c r="DJ125" s="2798">
        <f>(1+$J$125)*DG125</f>
        <v>0</v>
      </c>
      <c r="DK125" s="1953"/>
      <c r="DL125" s="1953"/>
      <c r="DM125" s="2798">
        <f>(1+$J$125)*DJ125</f>
        <v>0</v>
      </c>
      <c r="DN125" s="1953"/>
      <c r="DO125" s="1953"/>
      <c r="DP125" s="2798">
        <f>(1+$J$125)*DM125</f>
        <v>0</v>
      </c>
      <c r="DQ125" s="1953"/>
      <c r="DR125" s="1953"/>
      <c r="DS125" s="2798">
        <f>(1+$J$125)*DP125</f>
        <v>0</v>
      </c>
      <c r="DT125" s="1953"/>
      <c r="DU125" s="1953"/>
      <c r="DV125" s="2798">
        <f>(1+$J$125)*DS125</f>
        <v>0</v>
      </c>
      <c r="DW125" s="1953"/>
      <c r="DX125" s="1953"/>
      <c r="DY125" s="2913">
        <f>(1+$J$125)*DV125</f>
        <v>0</v>
      </c>
      <c r="DZ125" s="1953"/>
      <c r="EA125" s="2879"/>
      <c r="EB125" s="17"/>
    </row>
    <row r="126" spans="2:132" ht="18" hidden="1" customHeight="1" outlineLevel="1">
      <c r="B126" s="2857" t="s">
        <v>310</v>
      </c>
      <c r="C126" s="2821"/>
      <c r="D126" s="2821"/>
      <c r="E126" s="2821"/>
      <c r="F126" s="2821"/>
      <c r="G126" s="2821"/>
      <c r="H126" s="2821"/>
      <c r="I126" s="2821"/>
      <c r="J126" s="2876">
        <v>0.02</v>
      </c>
      <c r="K126" s="2023"/>
      <c r="L126" s="2856">
        <f>+'Operating Budget'!$E$95*ProRata</f>
        <v>0</v>
      </c>
      <c r="M126" s="2435"/>
      <c r="N126" s="2435"/>
      <c r="O126" s="2792">
        <f>(1+$J$126)*L126</f>
        <v>0</v>
      </c>
      <c r="P126" s="2435"/>
      <c r="Q126" s="2435"/>
      <c r="R126" s="2792">
        <f>(1+$J$126)*O126</f>
        <v>0</v>
      </c>
      <c r="S126" s="2435"/>
      <c r="T126" s="2435"/>
      <c r="U126" s="2792">
        <f>(1+$J$126)*R126</f>
        <v>0</v>
      </c>
      <c r="V126" s="2435"/>
      <c r="W126" s="2435"/>
      <c r="X126" s="2792">
        <f>(1+$J$126)*U126</f>
        <v>0</v>
      </c>
      <c r="Y126" s="2435"/>
      <c r="Z126" s="2435"/>
      <c r="AA126" s="2792">
        <f>(1+$J$126)*X126</f>
        <v>0</v>
      </c>
      <c r="AB126" s="2435"/>
      <c r="AC126" s="2435"/>
      <c r="AD126" s="2792">
        <f>(1+$J$126)*AA126</f>
        <v>0</v>
      </c>
      <c r="AE126" s="2435"/>
      <c r="AF126" s="2435"/>
      <c r="AG126" s="2792">
        <f>(1+$J$126)*AD126</f>
        <v>0</v>
      </c>
      <c r="AH126" s="2435"/>
      <c r="AI126" s="2435"/>
      <c r="AJ126" s="2792">
        <f>(1+$J$126)*AG126</f>
        <v>0</v>
      </c>
      <c r="AK126" s="2435"/>
      <c r="AL126" s="2435"/>
      <c r="AM126" s="2792">
        <f>(1+$J$126)*AJ126</f>
        <v>0</v>
      </c>
      <c r="AN126" s="2435"/>
      <c r="AO126" s="2435"/>
      <c r="AP126" s="2792">
        <f>(1+$J$126)*AM126</f>
        <v>0</v>
      </c>
      <c r="AQ126" s="2435"/>
      <c r="AR126" s="2435"/>
      <c r="AS126" s="2792">
        <f>(1+$J$126)*AP126</f>
        <v>0</v>
      </c>
      <c r="AT126" s="2435"/>
      <c r="AU126" s="2435"/>
      <c r="AV126" s="2792">
        <f>(1+$J$126)*AS126</f>
        <v>0</v>
      </c>
      <c r="AW126" s="2435"/>
      <c r="AX126" s="2435"/>
      <c r="AY126" s="2792">
        <f>(1+$J$126)*AV126</f>
        <v>0</v>
      </c>
      <c r="AZ126" s="2435"/>
      <c r="BA126" s="2435"/>
      <c r="BB126" s="2792">
        <f>(1+$J$126)*AY126</f>
        <v>0</v>
      </c>
      <c r="BC126" s="2435"/>
      <c r="BD126" s="2435"/>
      <c r="BE126" s="2792">
        <f>(1+$J$126)*BB126</f>
        <v>0</v>
      </c>
      <c r="BF126" s="2435"/>
      <c r="BG126" s="2435"/>
      <c r="BH126" s="2792">
        <f>(1+$J$126)*BE126</f>
        <v>0</v>
      </c>
      <c r="BI126" s="2435"/>
      <c r="BJ126" s="2435"/>
      <c r="BK126" s="2792">
        <f>(1+$J$126)*BH126</f>
        <v>0</v>
      </c>
      <c r="BL126" s="2435"/>
      <c r="BM126" s="2435"/>
      <c r="BN126" s="2792">
        <f>(1+$J$126)*BK126</f>
        <v>0</v>
      </c>
      <c r="BO126" s="2435"/>
      <c r="BP126" s="2435"/>
      <c r="BQ126" s="2881">
        <f>(1+$J$126)*BN126</f>
        <v>0</v>
      </c>
      <c r="BR126" s="2435"/>
      <c r="BS126" s="2847"/>
      <c r="BT126" s="2792">
        <f>(1+$J$126)*BQ126</f>
        <v>0</v>
      </c>
      <c r="BU126" s="2435"/>
      <c r="BV126" s="2435"/>
      <c r="BW126" s="2792">
        <f>(1+$J$126)*BT126</f>
        <v>0</v>
      </c>
      <c r="BX126" s="2435"/>
      <c r="BY126" s="2435"/>
      <c r="BZ126" s="2792">
        <f>(1+$J$126)*BW126</f>
        <v>0</v>
      </c>
      <c r="CA126" s="2435"/>
      <c r="CB126" s="2435"/>
      <c r="CC126" s="2792">
        <f>(1+$J$126)*BZ126</f>
        <v>0</v>
      </c>
      <c r="CD126" s="2435"/>
      <c r="CE126" s="2435"/>
      <c r="CF126" s="2792">
        <f>(1+$J$126)*CC126</f>
        <v>0</v>
      </c>
      <c r="CG126" s="2435"/>
      <c r="CH126" s="2435"/>
      <c r="CI126" s="2792">
        <f>(1+$J$126)*CF126</f>
        <v>0</v>
      </c>
      <c r="CJ126" s="2435"/>
      <c r="CK126" s="2435"/>
      <c r="CL126" s="2792">
        <f>(1+$J$126)*CI126</f>
        <v>0</v>
      </c>
      <c r="CM126" s="2435"/>
      <c r="CN126" s="2435"/>
      <c r="CO126" s="2792">
        <f>(1+$J$126)*CL126</f>
        <v>0</v>
      </c>
      <c r="CP126" s="2435"/>
      <c r="CQ126" s="2435"/>
      <c r="CR126" s="2792">
        <f>(1+$J$126)*CO126</f>
        <v>0</v>
      </c>
      <c r="CS126" s="2435"/>
      <c r="CT126" s="2435"/>
      <c r="CU126" s="2792">
        <f>(1+$J$126)*CR126</f>
        <v>0</v>
      </c>
      <c r="CV126" s="2435"/>
      <c r="CW126" s="2435"/>
      <c r="CX126" s="2792">
        <f>(1+$J$126)*CU126</f>
        <v>0</v>
      </c>
      <c r="CY126" s="2435"/>
      <c r="CZ126" s="2435"/>
      <c r="DA126" s="2792">
        <f>(1+$J$126)*CX126</f>
        <v>0</v>
      </c>
      <c r="DB126" s="2435"/>
      <c r="DC126" s="2435"/>
      <c r="DD126" s="2792">
        <f>(1+$J$126)*DA126</f>
        <v>0</v>
      </c>
      <c r="DE126" s="2435"/>
      <c r="DF126" s="2435"/>
      <c r="DG126" s="2792">
        <f>(1+$J$126)*DD126</f>
        <v>0</v>
      </c>
      <c r="DH126" s="2435"/>
      <c r="DI126" s="2435"/>
      <c r="DJ126" s="2792">
        <f>(1+$J$126)*DG126</f>
        <v>0</v>
      </c>
      <c r="DK126" s="2435"/>
      <c r="DL126" s="2435"/>
      <c r="DM126" s="2792">
        <f>(1+$J$126)*DJ126</f>
        <v>0</v>
      </c>
      <c r="DN126" s="2435"/>
      <c r="DO126" s="2435"/>
      <c r="DP126" s="2792">
        <f>(1+$J$126)*DM126</f>
        <v>0</v>
      </c>
      <c r="DQ126" s="2435"/>
      <c r="DR126" s="2435"/>
      <c r="DS126" s="2792">
        <f>(1+$J$126)*DP126</f>
        <v>0</v>
      </c>
      <c r="DT126" s="2435"/>
      <c r="DU126" s="2435"/>
      <c r="DV126" s="2792">
        <f>(1+$J$126)*DS126</f>
        <v>0</v>
      </c>
      <c r="DW126" s="2435"/>
      <c r="DX126" s="2435"/>
      <c r="DY126" s="2881">
        <f>(1+$J$126)*DV126</f>
        <v>0</v>
      </c>
      <c r="DZ126" s="2435"/>
      <c r="EA126" s="2847"/>
      <c r="EB126" s="17"/>
    </row>
    <row r="127" spans="2:132" ht="18" hidden="1" customHeight="1" outlineLevel="1">
      <c r="B127" s="2857" t="s">
        <v>433</v>
      </c>
      <c r="C127" s="2821"/>
      <c r="D127" s="2821"/>
      <c r="E127" s="2821"/>
      <c r="F127" s="2821"/>
      <c r="G127" s="2821"/>
      <c r="H127" s="2821"/>
      <c r="I127" s="2821"/>
      <c r="J127" s="2876">
        <v>2.5000000000000001E-2</v>
      </c>
      <c r="K127" s="2023"/>
      <c r="L127" s="2856">
        <f>'Operating Budget'!$E$112*ProRata</f>
        <v>0</v>
      </c>
      <c r="M127" s="2435"/>
      <c r="N127" s="2435"/>
      <c r="O127" s="2792">
        <f>(1+$J$127)*L127</f>
        <v>0</v>
      </c>
      <c r="P127" s="2435"/>
      <c r="Q127" s="2435"/>
      <c r="R127" s="2792">
        <f>(1+$J$127)*O127</f>
        <v>0</v>
      </c>
      <c r="S127" s="2435"/>
      <c r="T127" s="2435"/>
      <c r="U127" s="2792">
        <f>(1+$J$127)*R127</f>
        <v>0</v>
      </c>
      <c r="V127" s="2435"/>
      <c r="W127" s="2435"/>
      <c r="X127" s="2792">
        <f>(1+$J$127)*U127</f>
        <v>0</v>
      </c>
      <c r="Y127" s="2435"/>
      <c r="Z127" s="2435"/>
      <c r="AA127" s="2792">
        <f>(1+$J$127)*X127</f>
        <v>0</v>
      </c>
      <c r="AB127" s="2435"/>
      <c r="AC127" s="2435"/>
      <c r="AD127" s="2792">
        <f>(1+$J$127)*AA127</f>
        <v>0</v>
      </c>
      <c r="AE127" s="2435"/>
      <c r="AF127" s="2435"/>
      <c r="AG127" s="2792">
        <f>(1+$J$127)*AD127</f>
        <v>0</v>
      </c>
      <c r="AH127" s="2435"/>
      <c r="AI127" s="2435"/>
      <c r="AJ127" s="2792">
        <f>(1+$J$127)*AG127</f>
        <v>0</v>
      </c>
      <c r="AK127" s="2435"/>
      <c r="AL127" s="2435"/>
      <c r="AM127" s="2792">
        <f>(1+$J$127)*AJ127</f>
        <v>0</v>
      </c>
      <c r="AN127" s="2435"/>
      <c r="AO127" s="2435"/>
      <c r="AP127" s="2792">
        <f>(1+$J$127)*AM127</f>
        <v>0</v>
      </c>
      <c r="AQ127" s="2435"/>
      <c r="AR127" s="2435"/>
      <c r="AS127" s="2792">
        <f>(1+$J$127)*AP127</f>
        <v>0</v>
      </c>
      <c r="AT127" s="2435"/>
      <c r="AU127" s="2435"/>
      <c r="AV127" s="2792">
        <f>(1+$J$127)*AS127</f>
        <v>0</v>
      </c>
      <c r="AW127" s="2435"/>
      <c r="AX127" s="2435"/>
      <c r="AY127" s="2792">
        <f>(1+$J$127)*AV127</f>
        <v>0</v>
      </c>
      <c r="AZ127" s="2435"/>
      <c r="BA127" s="2435"/>
      <c r="BB127" s="2792">
        <f>(1+$J$127)*AY127</f>
        <v>0</v>
      </c>
      <c r="BC127" s="2435"/>
      <c r="BD127" s="2435"/>
      <c r="BE127" s="2792">
        <f>(1+$J$127)*BB127</f>
        <v>0</v>
      </c>
      <c r="BF127" s="2435"/>
      <c r="BG127" s="2435"/>
      <c r="BH127" s="2792">
        <f>(1+$J$127)*BE127</f>
        <v>0</v>
      </c>
      <c r="BI127" s="2435"/>
      <c r="BJ127" s="2435"/>
      <c r="BK127" s="2792">
        <f>(1+$J$127)*BH127</f>
        <v>0</v>
      </c>
      <c r="BL127" s="2435"/>
      <c r="BM127" s="2435"/>
      <c r="BN127" s="2792">
        <f>(1+$J$127)*BK127</f>
        <v>0</v>
      </c>
      <c r="BO127" s="2435"/>
      <c r="BP127" s="2435"/>
      <c r="BQ127" s="2881">
        <f>(1+$J$127)*BN127</f>
        <v>0</v>
      </c>
      <c r="BR127" s="2435"/>
      <c r="BS127" s="2847"/>
      <c r="BT127" s="2792">
        <f>(1+$J$127)*BQ127</f>
        <v>0</v>
      </c>
      <c r="BU127" s="2435"/>
      <c r="BV127" s="2435"/>
      <c r="BW127" s="2792">
        <f>(1+$J$127)*BT127</f>
        <v>0</v>
      </c>
      <c r="BX127" s="2435"/>
      <c r="BY127" s="2435"/>
      <c r="BZ127" s="2792">
        <f>(1+$J$127)*BW127</f>
        <v>0</v>
      </c>
      <c r="CA127" s="2435"/>
      <c r="CB127" s="2435"/>
      <c r="CC127" s="2792">
        <f>(1+$J$127)*BZ127</f>
        <v>0</v>
      </c>
      <c r="CD127" s="2435"/>
      <c r="CE127" s="2435"/>
      <c r="CF127" s="2792">
        <f>(1+$J$127)*CC127</f>
        <v>0</v>
      </c>
      <c r="CG127" s="2435"/>
      <c r="CH127" s="2435"/>
      <c r="CI127" s="2792">
        <f>(1+$J$127)*CF127</f>
        <v>0</v>
      </c>
      <c r="CJ127" s="2435"/>
      <c r="CK127" s="2435"/>
      <c r="CL127" s="2792">
        <f>(1+$J$127)*CI127</f>
        <v>0</v>
      </c>
      <c r="CM127" s="2435"/>
      <c r="CN127" s="2435"/>
      <c r="CO127" s="2792">
        <f>(1+$J$127)*CL127</f>
        <v>0</v>
      </c>
      <c r="CP127" s="2435"/>
      <c r="CQ127" s="2435"/>
      <c r="CR127" s="2792">
        <f>(1+$J$127)*CO127</f>
        <v>0</v>
      </c>
      <c r="CS127" s="2435"/>
      <c r="CT127" s="2435"/>
      <c r="CU127" s="2792">
        <f>(1+$J$127)*CR127</f>
        <v>0</v>
      </c>
      <c r="CV127" s="2435"/>
      <c r="CW127" s="2435"/>
      <c r="CX127" s="2792">
        <f>(1+$J$127)*CU127</f>
        <v>0</v>
      </c>
      <c r="CY127" s="2435"/>
      <c r="CZ127" s="2435"/>
      <c r="DA127" s="2792">
        <f>(1+$J$127)*CX127</f>
        <v>0</v>
      </c>
      <c r="DB127" s="2435"/>
      <c r="DC127" s="2435"/>
      <c r="DD127" s="2792">
        <f>(1+$J$127)*DA127</f>
        <v>0</v>
      </c>
      <c r="DE127" s="2435"/>
      <c r="DF127" s="2435"/>
      <c r="DG127" s="2792">
        <f>(1+$J$127)*DD127</f>
        <v>0</v>
      </c>
      <c r="DH127" s="2435"/>
      <c r="DI127" s="2435"/>
      <c r="DJ127" s="2792">
        <f>(1+$J$127)*DG127</f>
        <v>0</v>
      </c>
      <c r="DK127" s="2435"/>
      <c r="DL127" s="2435"/>
      <c r="DM127" s="2792">
        <f>(1+$J$127)*DJ127</f>
        <v>0</v>
      </c>
      <c r="DN127" s="2435"/>
      <c r="DO127" s="2435"/>
      <c r="DP127" s="2792">
        <f>(1+$J$127)*DM127</f>
        <v>0</v>
      </c>
      <c r="DQ127" s="2435"/>
      <c r="DR127" s="2435"/>
      <c r="DS127" s="2792">
        <f>(1+$J$127)*DP127</f>
        <v>0</v>
      </c>
      <c r="DT127" s="2435"/>
      <c r="DU127" s="2435"/>
      <c r="DV127" s="2792">
        <f>(1+$J$127)*DS127</f>
        <v>0</v>
      </c>
      <c r="DW127" s="2435"/>
      <c r="DX127" s="2435"/>
      <c r="DY127" s="2881">
        <f>(1+$J$127)*DV127</f>
        <v>0</v>
      </c>
      <c r="DZ127" s="2435"/>
      <c r="EA127" s="2847"/>
      <c r="EB127" s="17"/>
    </row>
    <row r="128" spans="2:132" ht="36" hidden="1" customHeight="1" outlineLevel="1">
      <c r="B128" s="2943" t="str">
        <f>'Operating Budget'!$D$116</f>
        <v>Required Replacement Reserve Deposits</v>
      </c>
      <c r="C128" s="2821"/>
      <c r="D128" s="2821"/>
      <c r="E128" s="2821"/>
      <c r="F128" s="2821"/>
      <c r="G128" s="2821"/>
      <c r="H128" s="2821"/>
      <c r="I128" s="2821"/>
      <c r="J128" s="2876">
        <v>0.05</v>
      </c>
      <c r="K128" s="2023"/>
      <c r="L128" s="2856">
        <f>SUM('Operating Budget'!$E$116+'Operating Budget'!$F$116)*ProRata</f>
        <v>0</v>
      </c>
      <c r="M128" s="2435"/>
      <c r="N128" s="2435"/>
      <c r="O128" s="2792">
        <f>(1+$J$128)*L128</f>
        <v>0</v>
      </c>
      <c r="P128" s="2435"/>
      <c r="Q128" s="2435"/>
      <c r="R128" s="2792">
        <f>(1+$J$128)*O128</f>
        <v>0</v>
      </c>
      <c r="S128" s="2435"/>
      <c r="T128" s="2435"/>
      <c r="U128" s="2792">
        <f>(1+$J$128)*R128</f>
        <v>0</v>
      </c>
      <c r="V128" s="2435"/>
      <c r="W128" s="2435"/>
      <c r="X128" s="2792">
        <f>(1+$J$128)*U128</f>
        <v>0</v>
      </c>
      <c r="Y128" s="2435"/>
      <c r="Z128" s="2435"/>
      <c r="AA128" s="2792">
        <f>(1+$J$128)*X128</f>
        <v>0</v>
      </c>
      <c r="AB128" s="2435"/>
      <c r="AC128" s="2435"/>
      <c r="AD128" s="2792">
        <f>(1+$J$128)*AA128</f>
        <v>0</v>
      </c>
      <c r="AE128" s="2435"/>
      <c r="AF128" s="2435"/>
      <c r="AG128" s="2792">
        <f>(1+$J$128)*AD128</f>
        <v>0</v>
      </c>
      <c r="AH128" s="2435"/>
      <c r="AI128" s="2435"/>
      <c r="AJ128" s="2792">
        <f>(1+$J$128)*AG128</f>
        <v>0</v>
      </c>
      <c r="AK128" s="2435"/>
      <c r="AL128" s="2435"/>
      <c r="AM128" s="2792">
        <f>(1+$J$128)*AJ128</f>
        <v>0</v>
      </c>
      <c r="AN128" s="2435"/>
      <c r="AO128" s="2435"/>
      <c r="AP128" s="2792">
        <f>(1+$J$128)*AM128</f>
        <v>0</v>
      </c>
      <c r="AQ128" s="2435"/>
      <c r="AR128" s="2435"/>
      <c r="AS128" s="2792">
        <f>(1+$J$128)*AP128</f>
        <v>0</v>
      </c>
      <c r="AT128" s="2435"/>
      <c r="AU128" s="2435"/>
      <c r="AV128" s="2792">
        <f>(1+$J$128)*AS128</f>
        <v>0</v>
      </c>
      <c r="AW128" s="2435"/>
      <c r="AX128" s="2435"/>
      <c r="AY128" s="2792">
        <f>(1+$J$128)*AV128</f>
        <v>0</v>
      </c>
      <c r="AZ128" s="2435"/>
      <c r="BA128" s="2435"/>
      <c r="BB128" s="2792">
        <f>(1+$J$128)*AY128</f>
        <v>0</v>
      </c>
      <c r="BC128" s="2435"/>
      <c r="BD128" s="2435"/>
      <c r="BE128" s="2792">
        <f>(1+$J$128)*BB128</f>
        <v>0</v>
      </c>
      <c r="BF128" s="2435"/>
      <c r="BG128" s="2435"/>
      <c r="BH128" s="2792">
        <f>(1+$J$128)*BE128</f>
        <v>0</v>
      </c>
      <c r="BI128" s="2435"/>
      <c r="BJ128" s="2435"/>
      <c r="BK128" s="2792">
        <f>(1+$J$128)*BH128</f>
        <v>0</v>
      </c>
      <c r="BL128" s="2435"/>
      <c r="BM128" s="2435"/>
      <c r="BN128" s="2792">
        <f>(1+$J$128)*BK128</f>
        <v>0</v>
      </c>
      <c r="BO128" s="2435"/>
      <c r="BP128" s="2435"/>
      <c r="BQ128" s="2881">
        <f>(1+$J$128)*BN128</f>
        <v>0</v>
      </c>
      <c r="BR128" s="2435"/>
      <c r="BS128" s="2847"/>
      <c r="BT128" s="2792">
        <f>(1+$J$128)*BQ128</f>
        <v>0</v>
      </c>
      <c r="BU128" s="2435"/>
      <c r="BV128" s="2435"/>
      <c r="BW128" s="2792">
        <f>(1+$J$128)*BT128</f>
        <v>0</v>
      </c>
      <c r="BX128" s="2435"/>
      <c r="BY128" s="2435"/>
      <c r="BZ128" s="2792">
        <f>(1+$J$128)*BW128</f>
        <v>0</v>
      </c>
      <c r="CA128" s="2435"/>
      <c r="CB128" s="2435"/>
      <c r="CC128" s="2792">
        <f>(1+$J$128)*BZ128</f>
        <v>0</v>
      </c>
      <c r="CD128" s="2435"/>
      <c r="CE128" s="2435"/>
      <c r="CF128" s="2792">
        <f>(1+$J$128)*CC128</f>
        <v>0</v>
      </c>
      <c r="CG128" s="2435"/>
      <c r="CH128" s="2435"/>
      <c r="CI128" s="2792">
        <f>(1+$J$128)*CF128</f>
        <v>0</v>
      </c>
      <c r="CJ128" s="2435"/>
      <c r="CK128" s="2435"/>
      <c r="CL128" s="2792">
        <f>(1+$J$128)*CI128</f>
        <v>0</v>
      </c>
      <c r="CM128" s="2435"/>
      <c r="CN128" s="2435"/>
      <c r="CO128" s="2792">
        <f>(1+$J$128)*CL128</f>
        <v>0</v>
      </c>
      <c r="CP128" s="2435"/>
      <c r="CQ128" s="2435"/>
      <c r="CR128" s="2792">
        <f>(1+$J$128)*CO128</f>
        <v>0</v>
      </c>
      <c r="CS128" s="2435"/>
      <c r="CT128" s="2435"/>
      <c r="CU128" s="2792">
        <f>(1+$J$128)*CR128</f>
        <v>0</v>
      </c>
      <c r="CV128" s="2435"/>
      <c r="CW128" s="2435"/>
      <c r="CX128" s="2792">
        <f>(1+$J$128)*CU128</f>
        <v>0</v>
      </c>
      <c r="CY128" s="2435"/>
      <c r="CZ128" s="2435"/>
      <c r="DA128" s="2792">
        <f>(1+$J$128)*CX128</f>
        <v>0</v>
      </c>
      <c r="DB128" s="2435"/>
      <c r="DC128" s="2435"/>
      <c r="DD128" s="2792">
        <f>(1+$J$128)*DA128</f>
        <v>0</v>
      </c>
      <c r="DE128" s="2435"/>
      <c r="DF128" s="2435"/>
      <c r="DG128" s="2792">
        <f>(1+$J$128)*DD128</f>
        <v>0</v>
      </c>
      <c r="DH128" s="2435"/>
      <c r="DI128" s="2435"/>
      <c r="DJ128" s="2792">
        <f>(1+$J$128)*DG128</f>
        <v>0</v>
      </c>
      <c r="DK128" s="2435"/>
      <c r="DL128" s="2435"/>
      <c r="DM128" s="2792">
        <f>(1+$J$128)*DJ128</f>
        <v>0</v>
      </c>
      <c r="DN128" s="2435"/>
      <c r="DO128" s="2435"/>
      <c r="DP128" s="2792">
        <f>(1+$J$128)*DM128</f>
        <v>0</v>
      </c>
      <c r="DQ128" s="2435"/>
      <c r="DR128" s="2435"/>
      <c r="DS128" s="2792">
        <f>(1+$J$128)*DP128</f>
        <v>0</v>
      </c>
      <c r="DT128" s="2435"/>
      <c r="DU128" s="2435"/>
      <c r="DV128" s="2792">
        <f>(1+$J$128)*DS128</f>
        <v>0</v>
      </c>
      <c r="DW128" s="2435"/>
      <c r="DX128" s="2435"/>
      <c r="DY128" s="2881">
        <f>(1+$J$128)*DV128</f>
        <v>0</v>
      </c>
      <c r="DZ128" s="2435"/>
      <c r="EA128" s="2847"/>
      <c r="EB128" s="17"/>
    </row>
    <row r="129" spans="2:132" ht="18" hidden="1" customHeight="1" collapsed="1">
      <c r="B129" s="2973" t="s">
        <v>1934</v>
      </c>
      <c r="C129" s="1953"/>
      <c r="D129" s="1953"/>
      <c r="E129" s="1953"/>
      <c r="F129" s="1953"/>
      <c r="G129" s="1953"/>
      <c r="H129" s="1953"/>
      <c r="I129" s="1953"/>
      <c r="J129" s="1953"/>
      <c r="K129" s="1953"/>
      <c r="L129" s="2880">
        <f>SUM(L125:N128)</f>
        <v>0</v>
      </c>
      <c r="M129" s="1777"/>
      <c r="N129" s="1777"/>
      <c r="O129" s="2793">
        <f>SUM(O125:Q128)</f>
        <v>0</v>
      </c>
      <c r="P129" s="1777"/>
      <c r="Q129" s="1777"/>
      <c r="R129" s="2793">
        <f>SUM(R125:T128)</f>
        <v>0</v>
      </c>
      <c r="S129" s="1777"/>
      <c r="T129" s="1777"/>
      <c r="U129" s="2793">
        <f>SUM(U125:W128)</f>
        <v>0</v>
      </c>
      <c r="V129" s="1777"/>
      <c r="W129" s="1777"/>
      <c r="X129" s="2793">
        <f>SUM(X125:Z128)</f>
        <v>0</v>
      </c>
      <c r="Y129" s="1777"/>
      <c r="Z129" s="1777"/>
      <c r="AA129" s="2793">
        <f>SUM(AA125:AC128)</f>
        <v>0</v>
      </c>
      <c r="AB129" s="1777"/>
      <c r="AC129" s="1777"/>
      <c r="AD129" s="2793">
        <f>SUM(AD125:AF128)</f>
        <v>0</v>
      </c>
      <c r="AE129" s="1777"/>
      <c r="AF129" s="1777"/>
      <c r="AG129" s="2793">
        <f>SUM(AG125:AI128)</f>
        <v>0</v>
      </c>
      <c r="AH129" s="1777"/>
      <c r="AI129" s="1777"/>
      <c r="AJ129" s="2793">
        <f>SUM(AJ125:AL128)</f>
        <v>0</v>
      </c>
      <c r="AK129" s="1777"/>
      <c r="AL129" s="1777"/>
      <c r="AM129" s="2793">
        <f>SUM(AM125:AO128)</f>
        <v>0</v>
      </c>
      <c r="AN129" s="1777"/>
      <c r="AO129" s="1777"/>
      <c r="AP129" s="2793">
        <f>SUM(AP125:AR128)</f>
        <v>0</v>
      </c>
      <c r="AQ129" s="1777"/>
      <c r="AR129" s="1777"/>
      <c r="AS129" s="2793">
        <f>SUM(AS125:AU128)</f>
        <v>0</v>
      </c>
      <c r="AT129" s="1777"/>
      <c r="AU129" s="1777"/>
      <c r="AV129" s="2793">
        <f>SUM(AV125:AX128)</f>
        <v>0</v>
      </c>
      <c r="AW129" s="1777"/>
      <c r="AX129" s="1777"/>
      <c r="AY129" s="2793">
        <f>SUM(AY125:BA128)</f>
        <v>0</v>
      </c>
      <c r="AZ129" s="1777"/>
      <c r="BA129" s="1777"/>
      <c r="BB129" s="2793">
        <f>SUM(BB125:BD128)</f>
        <v>0</v>
      </c>
      <c r="BC129" s="1777"/>
      <c r="BD129" s="1777"/>
      <c r="BE129" s="2793">
        <f>SUM(BE125:BG128)</f>
        <v>0</v>
      </c>
      <c r="BF129" s="1777"/>
      <c r="BG129" s="1777"/>
      <c r="BH129" s="2793">
        <f>SUM(BH125:BJ128)</f>
        <v>0</v>
      </c>
      <c r="BI129" s="1777"/>
      <c r="BJ129" s="1777"/>
      <c r="BK129" s="2793">
        <f>SUM(BK125:BM128)</f>
        <v>0</v>
      </c>
      <c r="BL129" s="1777"/>
      <c r="BM129" s="1777"/>
      <c r="BN129" s="2793">
        <f>SUM(BN125:BP128)</f>
        <v>0</v>
      </c>
      <c r="BO129" s="1777"/>
      <c r="BP129" s="1777"/>
      <c r="BQ129" s="2819">
        <f>SUM(BQ125:BS128)</f>
        <v>0</v>
      </c>
      <c r="BR129" s="1777"/>
      <c r="BS129" s="2807"/>
      <c r="BT129" s="2793">
        <f>SUM(BT125:BV128)</f>
        <v>0</v>
      </c>
      <c r="BU129" s="1777"/>
      <c r="BV129" s="1777"/>
      <c r="BW129" s="2793">
        <f>SUM(BW125:BY128)</f>
        <v>0</v>
      </c>
      <c r="BX129" s="1777"/>
      <c r="BY129" s="1777"/>
      <c r="BZ129" s="2793">
        <f>SUM(BZ125:CB128)</f>
        <v>0</v>
      </c>
      <c r="CA129" s="1777"/>
      <c r="CB129" s="1777"/>
      <c r="CC129" s="2793">
        <f>SUM(CC125:CE128)</f>
        <v>0</v>
      </c>
      <c r="CD129" s="1777"/>
      <c r="CE129" s="1777"/>
      <c r="CF129" s="2793">
        <f>SUM(CF125:CH128)</f>
        <v>0</v>
      </c>
      <c r="CG129" s="1777"/>
      <c r="CH129" s="1777"/>
      <c r="CI129" s="2793">
        <f>SUM(CI125:CK128)</f>
        <v>0</v>
      </c>
      <c r="CJ129" s="1777"/>
      <c r="CK129" s="1777"/>
      <c r="CL129" s="2793">
        <f>SUM(CL125:CN128)</f>
        <v>0</v>
      </c>
      <c r="CM129" s="1777"/>
      <c r="CN129" s="1777"/>
      <c r="CO129" s="2793">
        <f>SUM(CO125:CQ128)</f>
        <v>0</v>
      </c>
      <c r="CP129" s="1777"/>
      <c r="CQ129" s="1777"/>
      <c r="CR129" s="2793">
        <f>SUM(CR125:CT128)</f>
        <v>0</v>
      </c>
      <c r="CS129" s="1777"/>
      <c r="CT129" s="1777"/>
      <c r="CU129" s="2793">
        <f>SUM(CU125:CW128)</f>
        <v>0</v>
      </c>
      <c r="CV129" s="1777"/>
      <c r="CW129" s="1777"/>
      <c r="CX129" s="2793">
        <f>SUM(CX125:CZ128)</f>
        <v>0</v>
      </c>
      <c r="CY129" s="1777"/>
      <c r="CZ129" s="1777"/>
      <c r="DA129" s="2793">
        <f>SUM(DA125:DC128)</f>
        <v>0</v>
      </c>
      <c r="DB129" s="1777"/>
      <c r="DC129" s="1777"/>
      <c r="DD129" s="2793">
        <f>SUM(DD125:DF128)</f>
        <v>0</v>
      </c>
      <c r="DE129" s="1777"/>
      <c r="DF129" s="1777"/>
      <c r="DG129" s="2793">
        <f>SUM(DG125:DI128)</f>
        <v>0</v>
      </c>
      <c r="DH129" s="1777"/>
      <c r="DI129" s="1777"/>
      <c r="DJ129" s="2793">
        <f>SUM(DJ125:DL128)</f>
        <v>0</v>
      </c>
      <c r="DK129" s="1777"/>
      <c r="DL129" s="1777"/>
      <c r="DM129" s="2793">
        <f>SUM(DM125:DO128)</f>
        <v>0</v>
      </c>
      <c r="DN129" s="1777"/>
      <c r="DO129" s="1777"/>
      <c r="DP129" s="2793">
        <f>SUM(DP125:DR128)</f>
        <v>0</v>
      </c>
      <c r="DQ129" s="1777"/>
      <c r="DR129" s="1777"/>
      <c r="DS129" s="2793">
        <f>SUM(DS125:DU128)</f>
        <v>0</v>
      </c>
      <c r="DT129" s="1777"/>
      <c r="DU129" s="1777"/>
      <c r="DV129" s="2793">
        <f>SUM(DV125:DX128)</f>
        <v>0</v>
      </c>
      <c r="DW129" s="1777"/>
      <c r="DX129" s="1777"/>
      <c r="DY129" s="2819">
        <f>SUM(DY125:EA128)</f>
        <v>0</v>
      </c>
      <c r="DZ129" s="1777"/>
      <c r="EA129" s="2807"/>
      <c r="EB129" s="17"/>
    </row>
    <row r="130" spans="2:132" ht="18" hidden="1" customHeight="1" thickBot="1">
      <c r="B130" s="2969" t="s">
        <v>1935</v>
      </c>
      <c r="C130" s="2803"/>
      <c r="D130" s="2803"/>
      <c r="E130" s="2803"/>
      <c r="F130" s="2803"/>
      <c r="G130" s="2803"/>
      <c r="H130" s="2803"/>
      <c r="I130" s="2803"/>
      <c r="J130" s="2803"/>
      <c r="K130" s="2816"/>
      <c r="L130" s="2802">
        <f>L122-L129</f>
        <v>0</v>
      </c>
      <c r="M130" s="2803"/>
      <c r="N130" s="2803"/>
      <c r="O130" s="2802">
        <f>O122-O129</f>
        <v>0</v>
      </c>
      <c r="P130" s="2803"/>
      <c r="Q130" s="2803"/>
      <c r="R130" s="2802">
        <f>R122-R129</f>
        <v>0</v>
      </c>
      <c r="S130" s="2803"/>
      <c r="T130" s="2803"/>
      <c r="U130" s="2802">
        <f>U122-U129</f>
        <v>0</v>
      </c>
      <c r="V130" s="2803"/>
      <c r="W130" s="2803"/>
      <c r="X130" s="2802">
        <f>X122-X129</f>
        <v>0</v>
      </c>
      <c r="Y130" s="2803"/>
      <c r="Z130" s="2803"/>
      <c r="AA130" s="2802">
        <f>AA122-AA129</f>
        <v>0</v>
      </c>
      <c r="AB130" s="2803"/>
      <c r="AC130" s="2803"/>
      <c r="AD130" s="2802">
        <f>AD122-AD129</f>
        <v>0</v>
      </c>
      <c r="AE130" s="2803"/>
      <c r="AF130" s="2803"/>
      <c r="AG130" s="2802">
        <f>AG122-AG129</f>
        <v>0</v>
      </c>
      <c r="AH130" s="2803"/>
      <c r="AI130" s="2803"/>
      <c r="AJ130" s="2802">
        <f>AJ122-AJ129</f>
        <v>0</v>
      </c>
      <c r="AK130" s="2803"/>
      <c r="AL130" s="2803"/>
      <c r="AM130" s="2802">
        <f>AM122-AM129</f>
        <v>0</v>
      </c>
      <c r="AN130" s="2803"/>
      <c r="AO130" s="2803"/>
      <c r="AP130" s="2802">
        <f>AP122-AP129</f>
        <v>0</v>
      </c>
      <c r="AQ130" s="2803"/>
      <c r="AR130" s="2803"/>
      <c r="AS130" s="2802">
        <f>AS122-AS129</f>
        <v>0</v>
      </c>
      <c r="AT130" s="2803"/>
      <c r="AU130" s="2803"/>
      <c r="AV130" s="2802">
        <f>AV122-AV129</f>
        <v>0</v>
      </c>
      <c r="AW130" s="2803"/>
      <c r="AX130" s="2803"/>
      <c r="AY130" s="2802">
        <f>AY122-AY129</f>
        <v>0</v>
      </c>
      <c r="AZ130" s="2803"/>
      <c r="BA130" s="2803"/>
      <c r="BB130" s="2802">
        <f>BB122-BB129</f>
        <v>0</v>
      </c>
      <c r="BC130" s="2803"/>
      <c r="BD130" s="2803"/>
      <c r="BE130" s="2802">
        <f>BE122-BE129</f>
        <v>0</v>
      </c>
      <c r="BF130" s="2803"/>
      <c r="BG130" s="2803"/>
      <c r="BH130" s="2802">
        <f>BH122-BH129</f>
        <v>0</v>
      </c>
      <c r="BI130" s="2803"/>
      <c r="BJ130" s="2803"/>
      <c r="BK130" s="2802">
        <f>BK122-BK129</f>
        <v>0</v>
      </c>
      <c r="BL130" s="2803"/>
      <c r="BM130" s="2803"/>
      <c r="BN130" s="2802">
        <f>BN122-BN129</f>
        <v>0</v>
      </c>
      <c r="BO130" s="2803"/>
      <c r="BP130" s="2803"/>
      <c r="BQ130" s="2893">
        <f>BQ122-BQ129</f>
        <v>0</v>
      </c>
      <c r="BR130" s="2803"/>
      <c r="BS130" s="2894"/>
      <c r="BT130" s="2802">
        <f>BT122-BT129</f>
        <v>0</v>
      </c>
      <c r="BU130" s="2803"/>
      <c r="BV130" s="2803"/>
      <c r="BW130" s="2802">
        <f>BW122-BW129</f>
        <v>0</v>
      </c>
      <c r="BX130" s="2803"/>
      <c r="BY130" s="2803"/>
      <c r="BZ130" s="2802">
        <f>BZ122-BZ129</f>
        <v>0</v>
      </c>
      <c r="CA130" s="2803"/>
      <c r="CB130" s="2803"/>
      <c r="CC130" s="2802">
        <f>CC122-CC129</f>
        <v>0</v>
      </c>
      <c r="CD130" s="2803"/>
      <c r="CE130" s="2803"/>
      <c r="CF130" s="2802">
        <f>CF122-CF129</f>
        <v>0</v>
      </c>
      <c r="CG130" s="2803"/>
      <c r="CH130" s="2803"/>
      <c r="CI130" s="2802">
        <f>CI122-CI129</f>
        <v>0</v>
      </c>
      <c r="CJ130" s="2803"/>
      <c r="CK130" s="2803"/>
      <c r="CL130" s="2802">
        <f>CL122-CL129</f>
        <v>0</v>
      </c>
      <c r="CM130" s="2803"/>
      <c r="CN130" s="2803"/>
      <c r="CO130" s="2802">
        <f>CO122-CO129</f>
        <v>0</v>
      </c>
      <c r="CP130" s="2803"/>
      <c r="CQ130" s="2803"/>
      <c r="CR130" s="2802">
        <f>CR122-CR129</f>
        <v>0</v>
      </c>
      <c r="CS130" s="2803"/>
      <c r="CT130" s="2803"/>
      <c r="CU130" s="2802">
        <f>CU122-CU129</f>
        <v>0</v>
      </c>
      <c r="CV130" s="2803"/>
      <c r="CW130" s="2803"/>
      <c r="CX130" s="2802">
        <f>CX122-CX129</f>
        <v>0</v>
      </c>
      <c r="CY130" s="2803"/>
      <c r="CZ130" s="2803"/>
      <c r="DA130" s="2802">
        <f>DA122-DA129</f>
        <v>0</v>
      </c>
      <c r="DB130" s="2803"/>
      <c r="DC130" s="2803"/>
      <c r="DD130" s="2802">
        <f>DD122-DD129</f>
        <v>0</v>
      </c>
      <c r="DE130" s="2803"/>
      <c r="DF130" s="2803"/>
      <c r="DG130" s="2802">
        <f>DG122-DG129</f>
        <v>0</v>
      </c>
      <c r="DH130" s="2803"/>
      <c r="DI130" s="2803"/>
      <c r="DJ130" s="2802">
        <f>DJ122-DJ129</f>
        <v>0</v>
      </c>
      <c r="DK130" s="2803"/>
      <c r="DL130" s="2803"/>
      <c r="DM130" s="2802">
        <f>DM122-DM129</f>
        <v>0</v>
      </c>
      <c r="DN130" s="2803"/>
      <c r="DO130" s="2803"/>
      <c r="DP130" s="2802">
        <f>DP122-DP129</f>
        <v>0</v>
      </c>
      <c r="DQ130" s="2803"/>
      <c r="DR130" s="2803"/>
      <c r="DS130" s="2802">
        <f>DS122-DS129</f>
        <v>0</v>
      </c>
      <c r="DT130" s="2803"/>
      <c r="DU130" s="2803"/>
      <c r="DV130" s="2802">
        <f>DV122-DV129</f>
        <v>0</v>
      </c>
      <c r="DW130" s="2803"/>
      <c r="DX130" s="2803"/>
      <c r="DY130" s="2893">
        <f>DY122-DY129</f>
        <v>0</v>
      </c>
      <c r="DZ130" s="2803"/>
      <c r="EA130" s="2894"/>
      <c r="EB130" s="17"/>
    </row>
    <row r="131" spans="2:132" ht="18" hidden="1" customHeight="1" thickTop="1">
      <c r="B131" s="703"/>
      <c r="L131" s="17"/>
      <c r="BS131" s="688"/>
      <c r="EA131" s="688"/>
      <c r="EB131" s="17"/>
    </row>
    <row r="132" spans="2:132" ht="18" hidden="1" customHeight="1">
      <c r="B132" s="2865" t="s">
        <v>1936</v>
      </c>
      <c r="C132" s="1777"/>
      <c r="D132" s="1777"/>
      <c r="E132" s="1777"/>
      <c r="F132" s="1777"/>
      <c r="G132" s="1777"/>
      <c r="H132" s="1777"/>
      <c r="I132" s="1777"/>
      <c r="J132" s="1777"/>
      <c r="K132" s="1778"/>
      <c r="L132" s="2843" t="s">
        <v>1879</v>
      </c>
      <c r="M132" s="1777"/>
      <c r="N132" s="1777"/>
      <c r="O132" s="2789" t="s">
        <v>1880</v>
      </c>
      <c r="P132" s="1777"/>
      <c r="Q132" s="1777"/>
      <c r="R132" s="2789" t="s">
        <v>1881</v>
      </c>
      <c r="S132" s="1777"/>
      <c r="T132" s="1777"/>
      <c r="U132" s="2789" t="s">
        <v>1882</v>
      </c>
      <c r="V132" s="1777"/>
      <c r="W132" s="1777"/>
      <c r="X132" s="2789" t="s">
        <v>1883</v>
      </c>
      <c r="Y132" s="1777"/>
      <c r="Z132" s="1777"/>
      <c r="AA132" s="2789" t="s">
        <v>1884</v>
      </c>
      <c r="AB132" s="1777"/>
      <c r="AC132" s="1777"/>
      <c r="AD132" s="2789" t="s">
        <v>1885</v>
      </c>
      <c r="AE132" s="1777"/>
      <c r="AF132" s="1777"/>
      <c r="AG132" s="2789" t="s">
        <v>1886</v>
      </c>
      <c r="AH132" s="1777"/>
      <c r="AI132" s="1777"/>
      <c r="AJ132" s="2789" t="s">
        <v>1887</v>
      </c>
      <c r="AK132" s="1777"/>
      <c r="AL132" s="1777"/>
      <c r="AM132" s="2789" t="s">
        <v>1888</v>
      </c>
      <c r="AN132" s="1777"/>
      <c r="AO132" s="1777"/>
      <c r="AP132" s="2789" t="s">
        <v>1889</v>
      </c>
      <c r="AQ132" s="1777"/>
      <c r="AR132" s="1777"/>
      <c r="AS132" s="2789" t="s">
        <v>1890</v>
      </c>
      <c r="AT132" s="1777"/>
      <c r="AU132" s="1777"/>
      <c r="AV132" s="2789" t="s">
        <v>1891</v>
      </c>
      <c r="AW132" s="1777"/>
      <c r="AX132" s="1777"/>
      <c r="AY132" s="2789" t="s">
        <v>1892</v>
      </c>
      <c r="AZ132" s="1777"/>
      <c r="BA132" s="1777"/>
      <c r="BB132" s="2789" t="s">
        <v>1893</v>
      </c>
      <c r="BC132" s="1777"/>
      <c r="BD132" s="1777"/>
      <c r="BE132" s="2789" t="s">
        <v>1894</v>
      </c>
      <c r="BF132" s="1777"/>
      <c r="BG132" s="1777"/>
      <c r="BH132" s="2789" t="s">
        <v>1895</v>
      </c>
      <c r="BI132" s="1777"/>
      <c r="BJ132" s="1777"/>
      <c r="BK132" s="2789" t="s">
        <v>1896</v>
      </c>
      <c r="BL132" s="1777"/>
      <c r="BM132" s="1777"/>
      <c r="BN132" s="2789" t="s">
        <v>1897</v>
      </c>
      <c r="BO132" s="1777"/>
      <c r="BP132" s="1777"/>
      <c r="BQ132" s="2806" t="s">
        <v>1898</v>
      </c>
      <c r="BR132" s="1777"/>
      <c r="BS132" s="2807"/>
      <c r="BT132" s="2789" t="s">
        <v>1899</v>
      </c>
      <c r="BU132" s="1777"/>
      <c r="BV132" s="1777"/>
      <c r="BW132" s="2789" t="s">
        <v>1900</v>
      </c>
      <c r="BX132" s="1777"/>
      <c r="BY132" s="1777"/>
      <c r="BZ132" s="2789" t="s">
        <v>1901</v>
      </c>
      <c r="CA132" s="1777"/>
      <c r="CB132" s="1777"/>
      <c r="CC132" s="2789" t="s">
        <v>1902</v>
      </c>
      <c r="CD132" s="1777"/>
      <c r="CE132" s="1777"/>
      <c r="CF132" s="2789" t="s">
        <v>1903</v>
      </c>
      <c r="CG132" s="1777"/>
      <c r="CH132" s="1777"/>
      <c r="CI132" s="2789" t="s">
        <v>1904</v>
      </c>
      <c r="CJ132" s="1777"/>
      <c r="CK132" s="1777"/>
      <c r="CL132" s="2789" t="s">
        <v>1905</v>
      </c>
      <c r="CM132" s="1777"/>
      <c r="CN132" s="1777"/>
      <c r="CO132" s="2789" t="s">
        <v>1906</v>
      </c>
      <c r="CP132" s="1777"/>
      <c r="CQ132" s="1777"/>
      <c r="CR132" s="2789" t="s">
        <v>1907</v>
      </c>
      <c r="CS132" s="1777"/>
      <c r="CT132" s="1777"/>
      <c r="CU132" s="2789" t="s">
        <v>1908</v>
      </c>
      <c r="CV132" s="1777"/>
      <c r="CW132" s="1777"/>
      <c r="CX132" s="2789" t="s">
        <v>1909</v>
      </c>
      <c r="CY132" s="1777"/>
      <c r="CZ132" s="1777"/>
      <c r="DA132" s="2789" t="s">
        <v>1910</v>
      </c>
      <c r="DB132" s="1777"/>
      <c r="DC132" s="1777"/>
      <c r="DD132" s="2789" t="s">
        <v>1911</v>
      </c>
      <c r="DE132" s="1777"/>
      <c r="DF132" s="1777"/>
      <c r="DG132" s="2789" t="s">
        <v>1912</v>
      </c>
      <c r="DH132" s="1777"/>
      <c r="DI132" s="1777"/>
      <c r="DJ132" s="2789" t="s">
        <v>1913</v>
      </c>
      <c r="DK132" s="1777"/>
      <c r="DL132" s="1777"/>
      <c r="DM132" s="2789" t="s">
        <v>1914</v>
      </c>
      <c r="DN132" s="1777"/>
      <c r="DO132" s="1777"/>
      <c r="DP132" s="2789" t="s">
        <v>1915</v>
      </c>
      <c r="DQ132" s="1777"/>
      <c r="DR132" s="1777"/>
      <c r="DS132" s="2789" t="s">
        <v>1916</v>
      </c>
      <c r="DT132" s="1777"/>
      <c r="DU132" s="1777"/>
      <c r="DV132" s="2789" t="s">
        <v>1917</v>
      </c>
      <c r="DW132" s="1777"/>
      <c r="DX132" s="1777"/>
      <c r="DY132" s="2806" t="s">
        <v>1918</v>
      </c>
      <c r="DZ132" s="1777"/>
      <c r="EA132" s="2807"/>
      <c r="EB132" s="17"/>
    </row>
    <row r="133" spans="2:132" ht="18" hidden="1" customHeight="1" outlineLevel="1">
      <c r="B133" s="2985" t="str">
        <f>'Operating Budget'!$D$133</f>
        <v>MHP .42% Fee</v>
      </c>
      <c r="C133" s="2821"/>
      <c r="D133" s="2821"/>
      <c r="E133" s="2821"/>
      <c r="F133" s="2821"/>
      <c r="G133" s="2821"/>
      <c r="H133" s="2821"/>
      <c r="I133" s="2821"/>
      <c r="J133" s="2821"/>
      <c r="K133" s="2821"/>
      <c r="L133" s="2849">
        <f>IF(IsMhp,'Operating Budget'!$E$133+'Operating Budget'!$F$133,0)*ProRata</f>
        <v>0</v>
      </c>
      <c r="M133" s="2435"/>
      <c r="N133" s="2435"/>
      <c r="O133" s="2811">
        <f>$L$133</f>
        <v>0</v>
      </c>
      <c r="P133" s="1953"/>
      <c r="Q133" s="1953"/>
      <c r="R133" s="2811">
        <f>$L$133</f>
        <v>0</v>
      </c>
      <c r="S133" s="1953"/>
      <c r="T133" s="1953"/>
      <c r="U133" s="2811">
        <f>$L$133</f>
        <v>0</v>
      </c>
      <c r="V133" s="1953"/>
      <c r="W133" s="1953"/>
      <c r="X133" s="2811">
        <f>$L$133</f>
        <v>0</v>
      </c>
      <c r="Y133" s="1953"/>
      <c r="Z133" s="1953"/>
      <c r="AA133" s="2811">
        <f>$L$133</f>
        <v>0</v>
      </c>
      <c r="AB133" s="1953"/>
      <c r="AC133" s="1953"/>
      <c r="AD133" s="2811">
        <f>$L$133</f>
        <v>0</v>
      </c>
      <c r="AE133" s="1953"/>
      <c r="AF133" s="1953"/>
      <c r="AG133" s="2811">
        <f>$L$133</f>
        <v>0</v>
      </c>
      <c r="AH133" s="1953"/>
      <c r="AI133" s="1953"/>
      <c r="AJ133" s="2811">
        <f>$L$133</f>
        <v>0</v>
      </c>
      <c r="AK133" s="1953"/>
      <c r="AL133" s="1953"/>
      <c r="AM133" s="2811">
        <f>$L$133</f>
        <v>0</v>
      </c>
      <c r="AN133" s="1953"/>
      <c r="AO133" s="1953"/>
      <c r="AP133" s="2811">
        <f>$L$133</f>
        <v>0</v>
      </c>
      <c r="AQ133" s="1953"/>
      <c r="AR133" s="1953"/>
      <c r="AS133" s="2811">
        <f>$L$133</f>
        <v>0</v>
      </c>
      <c r="AT133" s="1953"/>
      <c r="AU133" s="1953"/>
      <c r="AV133" s="2811">
        <f>$L$133</f>
        <v>0</v>
      </c>
      <c r="AW133" s="1953"/>
      <c r="AX133" s="1953"/>
      <c r="AY133" s="2811">
        <f>$L$133</f>
        <v>0</v>
      </c>
      <c r="AZ133" s="1953"/>
      <c r="BA133" s="1953"/>
      <c r="BB133" s="2811">
        <f>$L$133</f>
        <v>0</v>
      </c>
      <c r="BC133" s="1953"/>
      <c r="BD133" s="1953"/>
      <c r="BE133" s="2811">
        <f>$L$133</f>
        <v>0</v>
      </c>
      <c r="BF133" s="1953"/>
      <c r="BG133" s="1953"/>
      <c r="BH133" s="2811">
        <f>$L$133</f>
        <v>0</v>
      </c>
      <c r="BI133" s="1953"/>
      <c r="BJ133" s="1953"/>
      <c r="BK133" s="2811">
        <f>$L$133</f>
        <v>0</v>
      </c>
      <c r="BL133" s="1953"/>
      <c r="BM133" s="1953"/>
      <c r="BN133" s="2811">
        <f>$L$133</f>
        <v>0</v>
      </c>
      <c r="BO133" s="1953"/>
      <c r="BP133" s="1953"/>
      <c r="BQ133" s="2878">
        <f>$L$133</f>
        <v>0</v>
      </c>
      <c r="BR133" s="1953"/>
      <c r="BS133" s="2879"/>
      <c r="BT133" s="2811">
        <f>$L$133</f>
        <v>0</v>
      </c>
      <c r="BU133" s="1953"/>
      <c r="BV133" s="1953"/>
      <c r="BW133" s="2811">
        <f>$L$133</f>
        <v>0</v>
      </c>
      <c r="BX133" s="1953"/>
      <c r="BY133" s="1953"/>
      <c r="BZ133" s="2811">
        <f>$L$133</f>
        <v>0</v>
      </c>
      <c r="CA133" s="1953"/>
      <c r="CB133" s="1953"/>
      <c r="CC133" s="2811">
        <f>$L$133</f>
        <v>0</v>
      </c>
      <c r="CD133" s="1953"/>
      <c r="CE133" s="1953"/>
      <c r="CF133" s="2811">
        <f>$L$133</f>
        <v>0</v>
      </c>
      <c r="CG133" s="1953"/>
      <c r="CH133" s="1953"/>
      <c r="CI133" s="2811">
        <f>$L$133</f>
        <v>0</v>
      </c>
      <c r="CJ133" s="1953"/>
      <c r="CK133" s="1953"/>
      <c r="CL133" s="2811">
        <f>$L$133</f>
        <v>0</v>
      </c>
      <c r="CM133" s="1953"/>
      <c r="CN133" s="1953"/>
      <c r="CO133" s="2811">
        <f>$L$133</f>
        <v>0</v>
      </c>
      <c r="CP133" s="1953"/>
      <c r="CQ133" s="1953"/>
      <c r="CR133" s="2811">
        <f>$L$133</f>
        <v>0</v>
      </c>
      <c r="CS133" s="1953"/>
      <c r="CT133" s="1953"/>
      <c r="CU133" s="2811">
        <f>$L$133</f>
        <v>0</v>
      </c>
      <c r="CV133" s="1953"/>
      <c r="CW133" s="1953"/>
      <c r="CX133" s="2811">
        <f>$L$133</f>
        <v>0</v>
      </c>
      <c r="CY133" s="1953"/>
      <c r="CZ133" s="1953"/>
      <c r="DA133" s="2811">
        <f>$L$133</f>
        <v>0</v>
      </c>
      <c r="DB133" s="1953"/>
      <c r="DC133" s="1953"/>
      <c r="DD133" s="2811">
        <f>$L$133</f>
        <v>0</v>
      </c>
      <c r="DE133" s="1953"/>
      <c r="DF133" s="1953"/>
      <c r="DG133" s="2811">
        <f>$L$133</f>
        <v>0</v>
      </c>
      <c r="DH133" s="1953"/>
      <c r="DI133" s="1953"/>
      <c r="DJ133" s="2811">
        <f>$L$133</f>
        <v>0</v>
      </c>
      <c r="DK133" s="1953"/>
      <c r="DL133" s="1953"/>
      <c r="DM133" s="2811">
        <f>$L$133</f>
        <v>0</v>
      </c>
      <c r="DN133" s="1953"/>
      <c r="DO133" s="1953"/>
      <c r="DP133" s="2811">
        <f>$L$133</f>
        <v>0</v>
      </c>
      <c r="DQ133" s="1953"/>
      <c r="DR133" s="1953"/>
      <c r="DS133" s="2811">
        <f>$L$133</f>
        <v>0</v>
      </c>
      <c r="DT133" s="1953"/>
      <c r="DU133" s="1953"/>
      <c r="DV133" s="2811">
        <f>$L$133</f>
        <v>0</v>
      </c>
      <c r="DW133" s="1953"/>
      <c r="DX133" s="1953"/>
      <c r="DY133" s="2878">
        <f>$L$133</f>
        <v>0</v>
      </c>
      <c r="DZ133" s="1953"/>
      <c r="EA133" s="2879"/>
      <c r="EB133" s="17"/>
    </row>
    <row r="134" spans="2:132" ht="18" hidden="1" customHeight="1" collapsed="1" thickBot="1">
      <c r="B134" s="2977" t="s">
        <v>1938</v>
      </c>
      <c r="C134" s="2810"/>
      <c r="D134" s="2810"/>
      <c r="E134" s="2810"/>
      <c r="F134" s="2810"/>
      <c r="G134" s="2810"/>
      <c r="H134" s="2810"/>
      <c r="I134" s="2810"/>
      <c r="J134" s="2810"/>
      <c r="K134" s="2810"/>
      <c r="L134" s="2956">
        <f>SUM(L133:N133)</f>
        <v>0</v>
      </c>
      <c r="M134" s="2810"/>
      <c r="N134" s="2810"/>
      <c r="O134" s="2827">
        <f>SUM(O133:Q133)</f>
        <v>0</v>
      </c>
      <c r="P134" s="2810"/>
      <c r="Q134" s="2810"/>
      <c r="R134" s="2827">
        <f>SUM(R133:T133)</f>
        <v>0</v>
      </c>
      <c r="S134" s="2810"/>
      <c r="T134" s="2810"/>
      <c r="U134" s="2827">
        <f>SUM(U133:W133)</f>
        <v>0</v>
      </c>
      <c r="V134" s="2810"/>
      <c r="W134" s="2810"/>
      <c r="X134" s="2827">
        <f>SUM(X133:Z133)</f>
        <v>0</v>
      </c>
      <c r="Y134" s="2810"/>
      <c r="Z134" s="2810"/>
      <c r="AA134" s="2827">
        <f>SUM(AA133:AC133)</f>
        <v>0</v>
      </c>
      <c r="AB134" s="2810"/>
      <c r="AC134" s="2810"/>
      <c r="AD134" s="2827">
        <f>SUM(AD133:AF133)</f>
        <v>0</v>
      </c>
      <c r="AE134" s="2810"/>
      <c r="AF134" s="2810"/>
      <c r="AG134" s="2827">
        <f>SUM(AG133:AI133)</f>
        <v>0</v>
      </c>
      <c r="AH134" s="2810"/>
      <c r="AI134" s="2810"/>
      <c r="AJ134" s="2827">
        <f>SUM(AJ133:AL133)</f>
        <v>0</v>
      </c>
      <c r="AK134" s="2810"/>
      <c r="AL134" s="2810"/>
      <c r="AM134" s="2827">
        <f>SUM(AM133:AO133)</f>
        <v>0</v>
      </c>
      <c r="AN134" s="2810"/>
      <c r="AO134" s="2810"/>
      <c r="AP134" s="2827">
        <f>SUM(AP133:AR133)</f>
        <v>0</v>
      </c>
      <c r="AQ134" s="2810"/>
      <c r="AR134" s="2810"/>
      <c r="AS134" s="2827">
        <f>SUM(AS133:AU133)</f>
        <v>0</v>
      </c>
      <c r="AT134" s="2810"/>
      <c r="AU134" s="2810"/>
      <c r="AV134" s="2827">
        <f>SUM(AV133:AX133)</f>
        <v>0</v>
      </c>
      <c r="AW134" s="2810"/>
      <c r="AX134" s="2810"/>
      <c r="AY134" s="2827">
        <f>SUM(AY133:BA133)</f>
        <v>0</v>
      </c>
      <c r="AZ134" s="2810"/>
      <c r="BA134" s="2810"/>
      <c r="BB134" s="2827">
        <f>SUM(BB133:BD133)</f>
        <v>0</v>
      </c>
      <c r="BC134" s="2810"/>
      <c r="BD134" s="2810"/>
      <c r="BE134" s="2827">
        <f>SUM(BE133:BG133)</f>
        <v>0</v>
      </c>
      <c r="BF134" s="2810"/>
      <c r="BG134" s="2810"/>
      <c r="BH134" s="2827">
        <f>SUM(BH133:BJ133)</f>
        <v>0</v>
      </c>
      <c r="BI134" s="2810"/>
      <c r="BJ134" s="2810"/>
      <c r="BK134" s="2827">
        <f>SUM(BK133:BM133)</f>
        <v>0</v>
      </c>
      <c r="BL134" s="2810"/>
      <c r="BM134" s="2810"/>
      <c r="BN134" s="2827">
        <f>SUM(BN133:BP133)</f>
        <v>0</v>
      </c>
      <c r="BO134" s="2810"/>
      <c r="BP134" s="2810"/>
      <c r="BQ134" s="2828">
        <f>SUM(BQ133:BS133)</f>
        <v>0</v>
      </c>
      <c r="BR134" s="2810"/>
      <c r="BS134" s="2829"/>
      <c r="BT134" s="2827">
        <f>SUM(BT133:BV133)</f>
        <v>0</v>
      </c>
      <c r="BU134" s="2810"/>
      <c r="BV134" s="2810"/>
      <c r="BW134" s="2827">
        <f>SUM(BW133:BY133)</f>
        <v>0</v>
      </c>
      <c r="BX134" s="2810"/>
      <c r="BY134" s="2810"/>
      <c r="BZ134" s="2827">
        <f>SUM(BZ133:CB133)</f>
        <v>0</v>
      </c>
      <c r="CA134" s="2810"/>
      <c r="CB134" s="2810"/>
      <c r="CC134" s="2827">
        <f>SUM(CC133:CE133)</f>
        <v>0</v>
      </c>
      <c r="CD134" s="2810"/>
      <c r="CE134" s="2810"/>
      <c r="CF134" s="2827">
        <f>SUM(CF133:CH133)</f>
        <v>0</v>
      </c>
      <c r="CG134" s="2810"/>
      <c r="CH134" s="2810"/>
      <c r="CI134" s="2827">
        <f>SUM(CI133:CK133)</f>
        <v>0</v>
      </c>
      <c r="CJ134" s="2810"/>
      <c r="CK134" s="2810"/>
      <c r="CL134" s="2827">
        <f>SUM(CL133:CN133)</f>
        <v>0</v>
      </c>
      <c r="CM134" s="2810"/>
      <c r="CN134" s="2810"/>
      <c r="CO134" s="2827">
        <f>SUM(CO133:CQ133)</f>
        <v>0</v>
      </c>
      <c r="CP134" s="2810"/>
      <c r="CQ134" s="2810"/>
      <c r="CR134" s="2827">
        <f>SUM(CR133:CT133)</f>
        <v>0</v>
      </c>
      <c r="CS134" s="2810"/>
      <c r="CT134" s="2810"/>
      <c r="CU134" s="2827">
        <f>SUM(CU133:CW133)</f>
        <v>0</v>
      </c>
      <c r="CV134" s="2810"/>
      <c r="CW134" s="2810"/>
      <c r="CX134" s="2827">
        <f>SUM(CX133:CZ133)</f>
        <v>0</v>
      </c>
      <c r="CY134" s="2810"/>
      <c r="CZ134" s="2810"/>
      <c r="DA134" s="2827">
        <f>SUM(DA133:DC133)</f>
        <v>0</v>
      </c>
      <c r="DB134" s="2810"/>
      <c r="DC134" s="2810"/>
      <c r="DD134" s="2827">
        <f>SUM(DD133:DF133)</f>
        <v>0</v>
      </c>
      <c r="DE134" s="2810"/>
      <c r="DF134" s="2810"/>
      <c r="DG134" s="2827">
        <f>SUM(DG133:DI133)</f>
        <v>0</v>
      </c>
      <c r="DH134" s="2810"/>
      <c r="DI134" s="2810"/>
      <c r="DJ134" s="2827">
        <f>SUM(DJ133:DL133)</f>
        <v>0</v>
      </c>
      <c r="DK134" s="2810"/>
      <c r="DL134" s="2810"/>
      <c r="DM134" s="2827">
        <f>SUM(DM133:DO133)</f>
        <v>0</v>
      </c>
      <c r="DN134" s="2810"/>
      <c r="DO134" s="2810"/>
      <c r="DP134" s="2827">
        <f>SUM(DP133:DR133)</f>
        <v>0</v>
      </c>
      <c r="DQ134" s="2810"/>
      <c r="DR134" s="2810"/>
      <c r="DS134" s="2827">
        <f>SUM(DS133:DU133)</f>
        <v>0</v>
      </c>
      <c r="DT134" s="2810"/>
      <c r="DU134" s="2810"/>
      <c r="DV134" s="2827">
        <f>SUM(DV133:DX133)</f>
        <v>0</v>
      </c>
      <c r="DW134" s="2810"/>
      <c r="DX134" s="2810"/>
      <c r="DY134" s="2828">
        <f>SUM(DY133:EA133)</f>
        <v>0</v>
      </c>
      <c r="DZ134" s="2810"/>
      <c r="EA134" s="2829"/>
      <c r="EB134" s="17"/>
    </row>
    <row r="135" spans="2:132" ht="18" hidden="1" customHeight="1" thickTop="1">
      <c r="B135" s="703"/>
      <c r="L135" s="17"/>
      <c r="BS135" s="688"/>
      <c r="EA135" s="688"/>
      <c r="EB135" s="17"/>
    </row>
    <row r="136" spans="2:132" ht="18" hidden="1" customHeight="1">
      <c r="B136" s="2979" t="s">
        <v>1939</v>
      </c>
      <c r="C136" s="1953"/>
      <c r="D136" s="1953"/>
      <c r="E136" s="1953"/>
      <c r="F136" s="1953"/>
      <c r="G136" s="1953"/>
      <c r="H136" s="1953"/>
      <c r="I136" s="1953"/>
      <c r="J136" s="1953"/>
      <c r="K136" s="1770"/>
      <c r="L136" s="2843" t="s">
        <v>1879</v>
      </c>
      <c r="M136" s="1777"/>
      <c r="N136" s="1777"/>
      <c r="O136" s="2789" t="s">
        <v>1880</v>
      </c>
      <c r="P136" s="1777"/>
      <c r="Q136" s="1777"/>
      <c r="R136" s="2789" t="s">
        <v>1881</v>
      </c>
      <c r="S136" s="1777"/>
      <c r="T136" s="1777"/>
      <c r="U136" s="2789" t="s">
        <v>1882</v>
      </c>
      <c r="V136" s="1777"/>
      <c r="W136" s="1777"/>
      <c r="X136" s="2789" t="s">
        <v>1883</v>
      </c>
      <c r="Y136" s="1777"/>
      <c r="Z136" s="1777"/>
      <c r="AA136" s="2789" t="s">
        <v>1884</v>
      </c>
      <c r="AB136" s="1777"/>
      <c r="AC136" s="1777"/>
      <c r="AD136" s="2789" t="s">
        <v>1885</v>
      </c>
      <c r="AE136" s="1777"/>
      <c r="AF136" s="1777"/>
      <c r="AG136" s="2789" t="s">
        <v>1886</v>
      </c>
      <c r="AH136" s="1777"/>
      <c r="AI136" s="1777"/>
      <c r="AJ136" s="2789" t="s">
        <v>1887</v>
      </c>
      <c r="AK136" s="1777"/>
      <c r="AL136" s="1777"/>
      <c r="AM136" s="2789" t="s">
        <v>1888</v>
      </c>
      <c r="AN136" s="1777"/>
      <c r="AO136" s="1777"/>
      <c r="AP136" s="2789" t="s">
        <v>1889</v>
      </c>
      <c r="AQ136" s="1777"/>
      <c r="AR136" s="1777"/>
      <c r="AS136" s="2789" t="s">
        <v>1890</v>
      </c>
      <c r="AT136" s="1777"/>
      <c r="AU136" s="1777"/>
      <c r="AV136" s="2789" t="s">
        <v>1891</v>
      </c>
      <c r="AW136" s="1777"/>
      <c r="AX136" s="1777"/>
      <c r="AY136" s="2789" t="s">
        <v>1892</v>
      </c>
      <c r="AZ136" s="1777"/>
      <c r="BA136" s="1777"/>
      <c r="BB136" s="2789" t="s">
        <v>1893</v>
      </c>
      <c r="BC136" s="1777"/>
      <c r="BD136" s="1777"/>
      <c r="BE136" s="2789" t="s">
        <v>1894</v>
      </c>
      <c r="BF136" s="1777"/>
      <c r="BG136" s="1777"/>
      <c r="BH136" s="2789" t="s">
        <v>1895</v>
      </c>
      <c r="BI136" s="1777"/>
      <c r="BJ136" s="1777"/>
      <c r="BK136" s="2789" t="s">
        <v>1896</v>
      </c>
      <c r="BL136" s="1777"/>
      <c r="BM136" s="1777"/>
      <c r="BN136" s="2789" t="s">
        <v>1897</v>
      </c>
      <c r="BO136" s="1777"/>
      <c r="BP136" s="1777"/>
      <c r="BQ136" s="2806" t="s">
        <v>1898</v>
      </c>
      <c r="BR136" s="1777"/>
      <c r="BS136" s="2807"/>
      <c r="BT136" s="2789" t="s">
        <v>1899</v>
      </c>
      <c r="BU136" s="1777"/>
      <c r="BV136" s="1777"/>
      <c r="BW136" s="2789" t="s">
        <v>1900</v>
      </c>
      <c r="BX136" s="1777"/>
      <c r="BY136" s="1777"/>
      <c r="BZ136" s="2789" t="s">
        <v>1901</v>
      </c>
      <c r="CA136" s="1777"/>
      <c r="CB136" s="1777"/>
      <c r="CC136" s="2789" t="s">
        <v>1902</v>
      </c>
      <c r="CD136" s="1777"/>
      <c r="CE136" s="1777"/>
      <c r="CF136" s="2789" t="s">
        <v>1903</v>
      </c>
      <c r="CG136" s="1777"/>
      <c r="CH136" s="1777"/>
      <c r="CI136" s="2789" t="s">
        <v>1904</v>
      </c>
      <c r="CJ136" s="1777"/>
      <c r="CK136" s="1777"/>
      <c r="CL136" s="2789" t="s">
        <v>1905</v>
      </c>
      <c r="CM136" s="1777"/>
      <c r="CN136" s="1777"/>
      <c r="CO136" s="2789" t="s">
        <v>1906</v>
      </c>
      <c r="CP136" s="1777"/>
      <c r="CQ136" s="1777"/>
      <c r="CR136" s="2789" t="s">
        <v>1907</v>
      </c>
      <c r="CS136" s="1777"/>
      <c r="CT136" s="1777"/>
      <c r="CU136" s="2789" t="s">
        <v>1908</v>
      </c>
      <c r="CV136" s="1777"/>
      <c r="CW136" s="1777"/>
      <c r="CX136" s="2789" t="s">
        <v>1909</v>
      </c>
      <c r="CY136" s="1777"/>
      <c r="CZ136" s="1777"/>
      <c r="DA136" s="2789" t="s">
        <v>1910</v>
      </c>
      <c r="DB136" s="1777"/>
      <c r="DC136" s="1777"/>
      <c r="DD136" s="2789" t="s">
        <v>1911</v>
      </c>
      <c r="DE136" s="1777"/>
      <c r="DF136" s="1777"/>
      <c r="DG136" s="2789" t="s">
        <v>1912</v>
      </c>
      <c r="DH136" s="1777"/>
      <c r="DI136" s="1777"/>
      <c r="DJ136" s="2789" t="s">
        <v>1913</v>
      </c>
      <c r="DK136" s="1777"/>
      <c r="DL136" s="1777"/>
      <c r="DM136" s="2789" t="s">
        <v>1914</v>
      </c>
      <c r="DN136" s="1777"/>
      <c r="DO136" s="1777"/>
      <c r="DP136" s="2789" t="s">
        <v>1915</v>
      </c>
      <c r="DQ136" s="1777"/>
      <c r="DR136" s="1777"/>
      <c r="DS136" s="2789" t="s">
        <v>1916</v>
      </c>
      <c r="DT136" s="1777"/>
      <c r="DU136" s="1777"/>
      <c r="DV136" s="2789" t="s">
        <v>1917</v>
      </c>
      <c r="DW136" s="1777"/>
      <c r="DX136" s="1777"/>
      <c r="DY136" s="2806" t="s">
        <v>1918</v>
      </c>
      <c r="DZ136" s="1777"/>
      <c r="EA136" s="2807"/>
      <c r="EB136" s="17"/>
    </row>
    <row r="137" spans="2:132" ht="18" hidden="1" customHeight="1">
      <c r="B137" s="2980"/>
      <c r="C137" s="1877"/>
      <c r="D137" s="1877"/>
      <c r="E137" s="1877"/>
      <c r="F137" s="1877"/>
      <c r="G137" s="1877"/>
      <c r="H137" s="1877"/>
      <c r="I137" s="1877"/>
      <c r="J137" s="1877"/>
      <c r="K137" s="1772"/>
      <c r="L137" s="2880">
        <f>$L$130-$L$134</f>
        <v>0</v>
      </c>
      <c r="M137" s="1777"/>
      <c r="N137" s="1777"/>
      <c r="O137" s="2811">
        <f>O130-O134</f>
        <v>0</v>
      </c>
      <c r="P137" s="1953"/>
      <c r="Q137" s="1953"/>
      <c r="R137" s="2811">
        <f>R130-R134</f>
        <v>0</v>
      </c>
      <c r="S137" s="1953"/>
      <c r="T137" s="1953"/>
      <c r="U137" s="2811">
        <f>U130-U134</f>
        <v>0</v>
      </c>
      <c r="V137" s="1953"/>
      <c r="W137" s="1953"/>
      <c r="X137" s="2811">
        <f>X130-X134</f>
        <v>0</v>
      </c>
      <c r="Y137" s="1953"/>
      <c r="Z137" s="1953"/>
      <c r="AA137" s="2811">
        <f>AA130-AA134</f>
        <v>0</v>
      </c>
      <c r="AB137" s="1953"/>
      <c r="AC137" s="1953"/>
      <c r="AD137" s="2811">
        <f>AD130-AD134</f>
        <v>0</v>
      </c>
      <c r="AE137" s="1953"/>
      <c r="AF137" s="1953"/>
      <c r="AG137" s="2811">
        <f>AG130-AG134</f>
        <v>0</v>
      </c>
      <c r="AH137" s="1953"/>
      <c r="AI137" s="1953"/>
      <c r="AJ137" s="2811">
        <f>AJ130-AJ134</f>
        <v>0</v>
      </c>
      <c r="AK137" s="1953"/>
      <c r="AL137" s="1953"/>
      <c r="AM137" s="2811">
        <f>AM130-AM134</f>
        <v>0</v>
      </c>
      <c r="AN137" s="1953"/>
      <c r="AO137" s="1953"/>
      <c r="AP137" s="2811">
        <f>AP130-AP134</f>
        <v>0</v>
      </c>
      <c r="AQ137" s="1953"/>
      <c r="AR137" s="1953"/>
      <c r="AS137" s="2811">
        <f>AS130-AS134</f>
        <v>0</v>
      </c>
      <c r="AT137" s="1953"/>
      <c r="AU137" s="1953"/>
      <c r="AV137" s="2811">
        <f>AV130-AV134</f>
        <v>0</v>
      </c>
      <c r="AW137" s="1953"/>
      <c r="AX137" s="1953"/>
      <c r="AY137" s="2811">
        <f>AY130-AY134</f>
        <v>0</v>
      </c>
      <c r="AZ137" s="1953"/>
      <c r="BA137" s="1953"/>
      <c r="BB137" s="2811">
        <f>BB130-BB134</f>
        <v>0</v>
      </c>
      <c r="BC137" s="1953"/>
      <c r="BD137" s="1953"/>
      <c r="BE137" s="2811">
        <f>BE130-BE134</f>
        <v>0</v>
      </c>
      <c r="BF137" s="1953"/>
      <c r="BG137" s="1953"/>
      <c r="BH137" s="2811">
        <f>BH130-BH134</f>
        <v>0</v>
      </c>
      <c r="BI137" s="1953"/>
      <c r="BJ137" s="1953"/>
      <c r="BK137" s="2811">
        <f>BK130-BK134</f>
        <v>0</v>
      </c>
      <c r="BL137" s="1953"/>
      <c r="BM137" s="1953"/>
      <c r="BN137" s="2811">
        <f>BN130-BN134</f>
        <v>0</v>
      </c>
      <c r="BO137" s="1953"/>
      <c r="BP137" s="1953"/>
      <c r="BQ137" s="2878">
        <f>BQ130-BQ134</f>
        <v>0</v>
      </c>
      <c r="BR137" s="1953"/>
      <c r="BS137" s="2879"/>
      <c r="BT137" s="2811">
        <f>BT130-BT134</f>
        <v>0</v>
      </c>
      <c r="BU137" s="1953"/>
      <c r="BV137" s="1953"/>
      <c r="BW137" s="2811">
        <f>BW130-BW134</f>
        <v>0</v>
      </c>
      <c r="BX137" s="1953"/>
      <c r="BY137" s="1953"/>
      <c r="BZ137" s="2811">
        <f>BZ130-BZ134</f>
        <v>0</v>
      </c>
      <c r="CA137" s="1953"/>
      <c r="CB137" s="1953"/>
      <c r="CC137" s="2811">
        <f>CC130-CC134</f>
        <v>0</v>
      </c>
      <c r="CD137" s="1953"/>
      <c r="CE137" s="1953"/>
      <c r="CF137" s="2811">
        <f>CF130-CF134</f>
        <v>0</v>
      </c>
      <c r="CG137" s="1953"/>
      <c r="CH137" s="1953"/>
      <c r="CI137" s="2811">
        <f>CI130-CI134</f>
        <v>0</v>
      </c>
      <c r="CJ137" s="1953"/>
      <c r="CK137" s="1953"/>
      <c r="CL137" s="2811">
        <f>CL130-CL134</f>
        <v>0</v>
      </c>
      <c r="CM137" s="1953"/>
      <c r="CN137" s="1953"/>
      <c r="CO137" s="2811">
        <f>CO130-CO134</f>
        <v>0</v>
      </c>
      <c r="CP137" s="1953"/>
      <c r="CQ137" s="1953"/>
      <c r="CR137" s="2811">
        <f>CR130-CR134</f>
        <v>0</v>
      </c>
      <c r="CS137" s="1953"/>
      <c r="CT137" s="1953"/>
      <c r="CU137" s="2811">
        <f>CU130-CU134</f>
        <v>0</v>
      </c>
      <c r="CV137" s="1953"/>
      <c r="CW137" s="1953"/>
      <c r="CX137" s="2811">
        <f>CX130-CX134</f>
        <v>0</v>
      </c>
      <c r="CY137" s="1953"/>
      <c r="CZ137" s="1953"/>
      <c r="DA137" s="2811">
        <f>DA130-DA134</f>
        <v>0</v>
      </c>
      <c r="DB137" s="1953"/>
      <c r="DC137" s="1953"/>
      <c r="DD137" s="2811">
        <f>DD130-DD134</f>
        <v>0</v>
      </c>
      <c r="DE137" s="1953"/>
      <c r="DF137" s="1953"/>
      <c r="DG137" s="2811">
        <f>DG130-DG134</f>
        <v>0</v>
      </c>
      <c r="DH137" s="1953"/>
      <c r="DI137" s="1953"/>
      <c r="DJ137" s="2811">
        <f>DJ130-DJ134</f>
        <v>0</v>
      </c>
      <c r="DK137" s="1953"/>
      <c r="DL137" s="1953"/>
      <c r="DM137" s="2811">
        <f>DM130-DM134</f>
        <v>0</v>
      </c>
      <c r="DN137" s="1953"/>
      <c r="DO137" s="1953"/>
      <c r="DP137" s="2811">
        <f>DP130-DP134</f>
        <v>0</v>
      </c>
      <c r="DQ137" s="1953"/>
      <c r="DR137" s="1953"/>
      <c r="DS137" s="2811">
        <f>DS130-DS134</f>
        <v>0</v>
      </c>
      <c r="DT137" s="1953"/>
      <c r="DU137" s="1953"/>
      <c r="DV137" s="2811">
        <f>DV130-DV134</f>
        <v>0</v>
      </c>
      <c r="DW137" s="1953"/>
      <c r="DX137" s="1953"/>
      <c r="DY137" s="2878">
        <f>DY130-DY134</f>
        <v>0</v>
      </c>
      <c r="DZ137" s="1953"/>
      <c r="EA137" s="2879"/>
      <c r="EB137" s="17"/>
    </row>
    <row r="138" spans="2:132" ht="18" hidden="1" customHeight="1">
      <c r="B138" s="2976" t="s">
        <v>1951</v>
      </c>
      <c r="C138" s="1953"/>
      <c r="D138" s="1953"/>
      <c r="E138" s="1953"/>
      <c r="F138" s="1953"/>
      <c r="G138" s="1953"/>
      <c r="H138" s="1953"/>
      <c r="I138" s="1953"/>
      <c r="J138" s="2864">
        <v>3.5000000000000003E-2</v>
      </c>
      <c r="K138" s="1865"/>
      <c r="L138" s="2793">
        <f>IF(L65&gt;L84*ProRata,0,L84*ProRata)</f>
        <v>0</v>
      </c>
      <c r="M138" s="1777"/>
      <c r="N138" s="1777"/>
      <c r="O138" s="2793">
        <f>(1+$J$138)*L138</f>
        <v>0</v>
      </c>
      <c r="P138" s="1777"/>
      <c r="Q138" s="1777"/>
      <c r="R138" s="2793">
        <f>(1+$J$138)*O138</f>
        <v>0</v>
      </c>
      <c r="S138" s="1777"/>
      <c r="T138" s="1777"/>
      <c r="U138" s="2793">
        <f>(1+$J$138)*R138</f>
        <v>0</v>
      </c>
      <c r="V138" s="1777"/>
      <c r="W138" s="1777"/>
      <c r="X138" s="2793">
        <f>(1+$J$138)*U138</f>
        <v>0</v>
      </c>
      <c r="Y138" s="1777"/>
      <c r="Z138" s="1777"/>
      <c r="AA138" s="2793">
        <f>(1+$J$138)*X138</f>
        <v>0</v>
      </c>
      <c r="AB138" s="1777"/>
      <c r="AC138" s="1777"/>
      <c r="AD138" s="2793">
        <f>(1+$J$138)*AA138</f>
        <v>0</v>
      </c>
      <c r="AE138" s="1777"/>
      <c r="AF138" s="1777"/>
      <c r="AG138" s="2793">
        <f>(1+$J$138)*AD138</f>
        <v>0</v>
      </c>
      <c r="AH138" s="1777"/>
      <c r="AI138" s="1777"/>
      <c r="AJ138" s="2793">
        <f>(1+$J$138)*AG138</f>
        <v>0</v>
      </c>
      <c r="AK138" s="1777"/>
      <c r="AL138" s="1777"/>
      <c r="AM138" s="2793">
        <f>(1+$J$138)*AJ138</f>
        <v>0</v>
      </c>
      <c r="AN138" s="1777"/>
      <c r="AO138" s="1777"/>
      <c r="AP138" s="2793">
        <f>(1+$J$138)*AM138</f>
        <v>0</v>
      </c>
      <c r="AQ138" s="1777"/>
      <c r="AR138" s="1777"/>
      <c r="AS138" s="2793">
        <f>(1+$J$138)*AP138</f>
        <v>0</v>
      </c>
      <c r="AT138" s="1777"/>
      <c r="AU138" s="1777"/>
      <c r="AV138" s="2793">
        <f>(1+$J$138)*AS138</f>
        <v>0</v>
      </c>
      <c r="AW138" s="1777"/>
      <c r="AX138" s="1777"/>
      <c r="AY138" s="2793">
        <f>(1+$J$138)*AV138</f>
        <v>0</v>
      </c>
      <c r="AZ138" s="1777"/>
      <c r="BA138" s="1777"/>
      <c r="BB138" s="2793">
        <f>(1+$J$138)*AY138</f>
        <v>0</v>
      </c>
      <c r="BC138" s="1777"/>
      <c r="BD138" s="1777"/>
      <c r="BE138" s="2793">
        <f>(1+$J$138)*BB138</f>
        <v>0</v>
      </c>
      <c r="BF138" s="1777"/>
      <c r="BG138" s="1777"/>
      <c r="BH138" s="2793">
        <f>(1+$J$138)*BE138</f>
        <v>0</v>
      </c>
      <c r="BI138" s="1777"/>
      <c r="BJ138" s="1777"/>
      <c r="BK138" s="2793">
        <f>(1+$J$138)*BH138</f>
        <v>0</v>
      </c>
      <c r="BL138" s="1777"/>
      <c r="BM138" s="1777"/>
      <c r="BN138" s="2793">
        <f>(1+$J$138)*BK138</f>
        <v>0</v>
      </c>
      <c r="BO138" s="1777"/>
      <c r="BP138" s="1777"/>
      <c r="BQ138" s="2819">
        <f>(1+$J$138)*BN138</f>
        <v>0</v>
      </c>
      <c r="BR138" s="1777"/>
      <c r="BS138" s="2807"/>
      <c r="BT138" s="2793">
        <f>(1+$J$138)*BQ138</f>
        <v>0</v>
      </c>
      <c r="BU138" s="1777"/>
      <c r="BV138" s="1777"/>
      <c r="BW138" s="2793">
        <f>(1+$J$138)*BT138</f>
        <v>0</v>
      </c>
      <c r="BX138" s="1777"/>
      <c r="BY138" s="1777"/>
      <c r="BZ138" s="2793">
        <f>(1+$J$138)*BW138</f>
        <v>0</v>
      </c>
      <c r="CA138" s="1777"/>
      <c r="CB138" s="1777"/>
      <c r="CC138" s="2793">
        <f>(1+$J$138)*BZ138</f>
        <v>0</v>
      </c>
      <c r="CD138" s="1777"/>
      <c r="CE138" s="1777"/>
      <c r="CF138" s="2793">
        <f>(1+$J$138)*CC138</f>
        <v>0</v>
      </c>
      <c r="CG138" s="1777"/>
      <c r="CH138" s="1777"/>
      <c r="CI138" s="2793">
        <f>(1+$J$138)*CF138</f>
        <v>0</v>
      </c>
      <c r="CJ138" s="1777"/>
      <c r="CK138" s="1777"/>
      <c r="CL138" s="2793">
        <f>(1+$J$138)*CI138</f>
        <v>0</v>
      </c>
      <c r="CM138" s="1777"/>
      <c r="CN138" s="1777"/>
      <c r="CO138" s="2793">
        <f>(1+$J$138)*CL138</f>
        <v>0</v>
      </c>
      <c r="CP138" s="1777"/>
      <c r="CQ138" s="1777"/>
      <c r="CR138" s="2793">
        <f>(1+$J$138)*CO138</f>
        <v>0</v>
      </c>
      <c r="CS138" s="1777"/>
      <c r="CT138" s="1777"/>
      <c r="CU138" s="2793">
        <f>(1+$J$138)*CR138</f>
        <v>0</v>
      </c>
      <c r="CV138" s="1777"/>
      <c r="CW138" s="1777"/>
      <c r="CX138" s="2793">
        <f>(1+$J$138)*CU138</f>
        <v>0</v>
      </c>
      <c r="CY138" s="1777"/>
      <c r="CZ138" s="1777"/>
      <c r="DA138" s="2793">
        <f>(1+$J$138)*CX138</f>
        <v>0</v>
      </c>
      <c r="DB138" s="1777"/>
      <c r="DC138" s="1777"/>
      <c r="DD138" s="2793">
        <f>(1+$J$138)*DA138</f>
        <v>0</v>
      </c>
      <c r="DE138" s="1777"/>
      <c r="DF138" s="1777"/>
      <c r="DG138" s="2793">
        <f>(1+$J$138)*DD138</f>
        <v>0</v>
      </c>
      <c r="DH138" s="1777"/>
      <c r="DI138" s="1777"/>
      <c r="DJ138" s="2793">
        <f>(1+$J$138)*DG138</f>
        <v>0</v>
      </c>
      <c r="DK138" s="1777"/>
      <c r="DL138" s="1777"/>
      <c r="DM138" s="2793">
        <f>(1+$J$138)*DJ138</f>
        <v>0</v>
      </c>
      <c r="DN138" s="1777"/>
      <c r="DO138" s="1777"/>
      <c r="DP138" s="2793">
        <f>(1+$J$138)*DM138</f>
        <v>0</v>
      </c>
      <c r="DQ138" s="1777"/>
      <c r="DR138" s="1777"/>
      <c r="DS138" s="2793">
        <f>(1+$J$138)*DP138</f>
        <v>0</v>
      </c>
      <c r="DT138" s="1777"/>
      <c r="DU138" s="1777"/>
      <c r="DV138" s="2793">
        <f>(1+$J$138)*DS138</f>
        <v>0</v>
      </c>
      <c r="DW138" s="1777"/>
      <c r="DX138" s="1777"/>
      <c r="DY138" s="2819">
        <f>(1+$J$138)*DV138</f>
        <v>0</v>
      </c>
      <c r="DZ138" s="1777"/>
      <c r="EA138" s="2807"/>
      <c r="EB138" s="17"/>
    </row>
    <row r="139" spans="2:132" s="53" customFormat="1" ht="18" hidden="1" customHeight="1">
      <c r="B139" s="2930" t="s">
        <v>1963</v>
      </c>
      <c r="C139" s="1777"/>
      <c r="D139" s="1777"/>
      <c r="E139" s="1777"/>
      <c r="F139" s="1777"/>
      <c r="G139" s="1777"/>
      <c r="H139" s="1777"/>
      <c r="I139" s="1777"/>
      <c r="J139" s="1777"/>
      <c r="K139" s="1778"/>
      <c r="L139" s="2972">
        <f>-L137+L138</f>
        <v>0</v>
      </c>
      <c r="M139" s="1777"/>
      <c r="N139" s="1777"/>
      <c r="O139" s="2901">
        <f>-O137+O138</f>
        <v>0</v>
      </c>
      <c r="P139" s="1777"/>
      <c r="Q139" s="1777"/>
      <c r="R139" s="2901">
        <f>-R137+R138</f>
        <v>0</v>
      </c>
      <c r="S139" s="1777"/>
      <c r="T139" s="1777"/>
      <c r="U139" s="2901">
        <f>-U137+U138</f>
        <v>0</v>
      </c>
      <c r="V139" s="1777"/>
      <c r="W139" s="1777"/>
      <c r="X139" s="2901">
        <f>-X137+X138</f>
        <v>0</v>
      </c>
      <c r="Y139" s="1777"/>
      <c r="Z139" s="1777"/>
      <c r="AA139" s="2901">
        <f>-AA137+AA138</f>
        <v>0</v>
      </c>
      <c r="AB139" s="1777"/>
      <c r="AC139" s="1777"/>
      <c r="AD139" s="2901">
        <f>-AD137+AD138</f>
        <v>0</v>
      </c>
      <c r="AE139" s="1777"/>
      <c r="AF139" s="1777"/>
      <c r="AG139" s="2901">
        <f>-AG137+AG138</f>
        <v>0</v>
      </c>
      <c r="AH139" s="1777"/>
      <c r="AI139" s="1777"/>
      <c r="AJ139" s="2901">
        <f>-AJ137+AJ138</f>
        <v>0</v>
      </c>
      <c r="AK139" s="1777"/>
      <c r="AL139" s="1777"/>
      <c r="AM139" s="2901">
        <f>-AM137+AM138</f>
        <v>0</v>
      </c>
      <c r="AN139" s="1777"/>
      <c r="AO139" s="1777"/>
      <c r="AP139" s="2901">
        <f>-AP137+AP138</f>
        <v>0</v>
      </c>
      <c r="AQ139" s="1777"/>
      <c r="AR139" s="1777"/>
      <c r="AS139" s="2901">
        <f>-AS137+AS138</f>
        <v>0</v>
      </c>
      <c r="AT139" s="1777"/>
      <c r="AU139" s="1777"/>
      <c r="AV139" s="2901">
        <f>-AV137+AV138</f>
        <v>0</v>
      </c>
      <c r="AW139" s="1777"/>
      <c r="AX139" s="1777"/>
      <c r="AY139" s="2901">
        <f>-AY137+AY138</f>
        <v>0</v>
      </c>
      <c r="AZ139" s="1777"/>
      <c r="BA139" s="1777"/>
      <c r="BB139" s="2901">
        <f>-BB137+BB138</f>
        <v>0</v>
      </c>
      <c r="BC139" s="1777"/>
      <c r="BD139" s="1777"/>
      <c r="BE139" s="2901">
        <f>-BE137+BE138</f>
        <v>0</v>
      </c>
      <c r="BF139" s="1777"/>
      <c r="BG139" s="1777"/>
      <c r="BH139" s="2901">
        <f>-BH137+BH138</f>
        <v>0</v>
      </c>
      <c r="BI139" s="1777"/>
      <c r="BJ139" s="1777"/>
      <c r="BK139" s="2901">
        <f>-BK137+BK138</f>
        <v>0</v>
      </c>
      <c r="BL139" s="1777"/>
      <c r="BM139" s="1777"/>
      <c r="BN139" s="2901">
        <f>-BN137+BN138</f>
        <v>0</v>
      </c>
      <c r="BO139" s="1777"/>
      <c r="BP139" s="1777"/>
      <c r="BQ139" s="2908">
        <f>-BQ137+BQ138</f>
        <v>0</v>
      </c>
      <c r="BR139" s="1777"/>
      <c r="BS139" s="2807"/>
      <c r="BT139" s="2901">
        <f>-BT137+BT138</f>
        <v>0</v>
      </c>
      <c r="BU139" s="1777"/>
      <c r="BV139" s="1777"/>
      <c r="BW139" s="2901">
        <f>-BW137+BW138</f>
        <v>0</v>
      </c>
      <c r="BX139" s="1777"/>
      <c r="BY139" s="1777"/>
      <c r="BZ139" s="2901">
        <f>-BZ137+BZ138</f>
        <v>0</v>
      </c>
      <c r="CA139" s="1777"/>
      <c r="CB139" s="1777"/>
      <c r="CC139" s="2901">
        <f>-CC137+CC138</f>
        <v>0</v>
      </c>
      <c r="CD139" s="1777"/>
      <c r="CE139" s="1777"/>
      <c r="CF139" s="2901">
        <f>-CF137+CF138</f>
        <v>0</v>
      </c>
      <c r="CG139" s="1777"/>
      <c r="CH139" s="1777"/>
      <c r="CI139" s="2901">
        <f>-CI137+CI138</f>
        <v>0</v>
      </c>
      <c r="CJ139" s="1777"/>
      <c r="CK139" s="1777"/>
      <c r="CL139" s="2901">
        <f>-CL137+CL138</f>
        <v>0</v>
      </c>
      <c r="CM139" s="1777"/>
      <c r="CN139" s="1777"/>
      <c r="CO139" s="2901">
        <f>-CO137+CO138</f>
        <v>0</v>
      </c>
      <c r="CP139" s="1777"/>
      <c r="CQ139" s="1777"/>
      <c r="CR139" s="2901">
        <f>-CR137+CR138</f>
        <v>0</v>
      </c>
      <c r="CS139" s="1777"/>
      <c r="CT139" s="1777"/>
      <c r="CU139" s="2901">
        <f>-CU137+CU138</f>
        <v>0</v>
      </c>
      <c r="CV139" s="1777"/>
      <c r="CW139" s="1777"/>
      <c r="CX139" s="2901">
        <f>-CX137+CX138</f>
        <v>0</v>
      </c>
      <c r="CY139" s="1777"/>
      <c r="CZ139" s="1777"/>
      <c r="DA139" s="2901">
        <f>-DA137+DA138</f>
        <v>0</v>
      </c>
      <c r="DB139" s="1777"/>
      <c r="DC139" s="1777"/>
      <c r="DD139" s="2901">
        <f>-DD137+DD138</f>
        <v>0</v>
      </c>
      <c r="DE139" s="1777"/>
      <c r="DF139" s="1777"/>
      <c r="DG139" s="2901">
        <f>-DG137+DG138</f>
        <v>0</v>
      </c>
      <c r="DH139" s="1777"/>
      <c r="DI139" s="1777"/>
      <c r="DJ139" s="2901">
        <f>-DJ137+DJ138</f>
        <v>0</v>
      </c>
      <c r="DK139" s="1777"/>
      <c r="DL139" s="1777"/>
      <c r="DM139" s="2901">
        <f>-DM137+DM138</f>
        <v>0</v>
      </c>
      <c r="DN139" s="1777"/>
      <c r="DO139" s="1777"/>
      <c r="DP139" s="2901">
        <f>-DP137+DP138</f>
        <v>0</v>
      </c>
      <c r="DQ139" s="1777"/>
      <c r="DR139" s="1777"/>
      <c r="DS139" s="2901">
        <f>-DS137+DS138</f>
        <v>0</v>
      </c>
      <c r="DT139" s="1777"/>
      <c r="DU139" s="1777"/>
      <c r="DV139" s="2901">
        <f>-DV137+DV138</f>
        <v>0</v>
      </c>
      <c r="DW139" s="1777"/>
      <c r="DX139" s="1777"/>
      <c r="DY139" s="2908">
        <f>-DY137+DY138</f>
        <v>0</v>
      </c>
      <c r="DZ139" s="1777"/>
      <c r="EA139" s="2807"/>
    </row>
    <row r="140" spans="2:132" ht="9" hidden="1" customHeight="1" thickBot="1">
      <c r="B140" s="704"/>
      <c r="C140" s="705"/>
      <c r="D140" s="706"/>
      <c r="E140" s="706"/>
      <c r="F140" s="2897"/>
      <c r="G140" s="2898"/>
      <c r="H140" s="705"/>
      <c r="I140" s="705"/>
      <c r="J140" s="705"/>
      <c r="K140" s="705"/>
      <c r="L140" s="689"/>
      <c r="M140" s="689"/>
      <c r="N140" s="689"/>
      <c r="O140" s="689"/>
      <c r="P140" s="689"/>
      <c r="Q140" s="689"/>
      <c r="R140" s="689"/>
      <c r="S140" s="689"/>
      <c r="T140" s="689"/>
      <c r="U140" s="689"/>
      <c r="V140" s="689"/>
      <c r="W140" s="689"/>
      <c r="X140" s="689"/>
      <c r="Y140" s="689"/>
      <c r="Z140" s="689"/>
      <c r="AA140" s="689"/>
      <c r="AB140" s="689"/>
      <c r="AC140" s="689"/>
      <c r="AD140" s="689"/>
      <c r="AE140" s="689"/>
      <c r="AF140" s="689"/>
      <c r="AG140" s="689"/>
      <c r="AH140" s="689"/>
      <c r="AI140" s="689"/>
      <c r="AJ140" s="689"/>
      <c r="AK140" s="689"/>
      <c r="AL140" s="689"/>
      <c r="AM140" s="689"/>
      <c r="AN140" s="689"/>
      <c r="AO140" s="689"/>
      <c r="AP140" s="689"/>
      <c r="AQ140" s="689"/>
      <c r="AR140" s="689"/>
      <c r="AS140" s="689"/>
      <c r="AT140" s="689"/>
      <c r="AU140" s="689"/>
      <c r="AV140" s="689"/>
      <c r="AW140" s="689"/>
      <c r="AX140" s="689"/>
      <c r="AY140" s="689"/>
      <c r="AZ140" s="689"/>
      <c r="BA140" s="689"/>
      <c r="BB140" s="689"/>
      <c r="BC140" s="689"/>
      <c r="BD140" s="689"/>
      <c r="BE140" s="689"/>
      <c r="BF140" s="689"/>
      <c r="BG140" s="689"/>
      <c r="BH140" s="689"/>
      <c r="BI140" s="689"/>
      <c r="BJ140" s="689"/>
      <c r="BK140" s="689"/>
      <c r="BL140" s="689"/>
      <c r="BM140" s="689"/>
      <c r="BN140" s="689"/>
      <c r="BO140" s="689"/>
      <c r="BP140" s="689"/>
      <c r="BQ140" s="689"/>
      <c r="BR140" s="689"/>
      <c r="BS140" s="690"/>
      <c r="BT140" s="689"/>
      <c r="BU140" s="689"/>
      <c r="BV140" s="689"/>
      <c r="BW140" s="689"/>
      <c r="BX140" s="689"/>
      <c r="BY140" s="689"/>
      <c r="BZ140" s="689"/>
      <c r="CA140" s="689"/>
      <c r="CB140" s="689"/>
      <c r="CC140" s="689"/>
      <c r="CD140" s="689"/>
      <c r="CE140" s="689"/>
      <c r="CF140" s="689"/>
      <c r="CG140" s="689"/>
      <c r="CH140" s="689"/>
      <c r="CI140" s="689"/>
      <c r="CJ140" s="689"/>
      <c r="CK140" s="689"/>
      <c r="CL140" s="689"/>
      <c r="CM140" s="689"/>
      <c r="CN140" s="689"/>
      <c r="CO140" s="689"/>
      <c r="CP140" s="689"/>
      <c r="CQ140" s="689"/>
      <c r="CR140" s="689"/>
      <c r="CS140" s="689"/>
      <c r="CT140" s="689"/>
      <c r="CU140" s="689"/>
      <c r="CV140" s="689"/>
      <c r="CW140" s="689"/>
      <c r="CX140" s="689"/>
      <c r="CY140" s="689"/>
      <c r="CZ140" s="689"/>
      <c r="DA140" s="689"/>
      <c r="DB140" s="689"/>
      <c r="DC140" s="689"/>
      <c r="DD140" s="689"/>
      <c r="DE140" s="689"/>
      <c r="DF140" s="689"/>
      <c r="DG140" s="689"/>
      <c r="DH140" s="689"/>
      <c r="DI140" s="689"/>
      <c r="DJ140" s="689"/>
      <c r="DK140" s="689"/>
      <c r="DL140" s="689"/>
      <c r="DM140" s="689"/>
      <c r="DN140" s="689"/>
      <c r="DO140" s="689"/>
      <c r="DP140" s="689"/>
      <c r="DQ140" s="689"/>
      <c r="DR140" s="689"/>
      <c r="DS140" s="689"/>
      <c r="DT140" s="689"/>
      <c r="DU140" s="689"/>
      <c r="DV140" s="689"/>
      <c r="DW140" s="689"/>
      <c r="DX140" s="689"/>
      <c r="DY140" s="689"/>
      <c r="DZ140" s="689"/>
      <c r="EA140" s="690"/>
      <c r="EB140" s="17"/>
    </row>
    <row r="141" spans="2:132" ht="18" hidden="1" customHeight="1">
      <c r="L141" s="17"/>
      <c r="EB141" s="17"/>
    </row>
    <row r="142" spans="2:132" ht="18" hidden="1" customHeight="1">
      <c r="B142" s="2861" t="s">
        <v>1954</v>
      </c>
      <c r="C142" s="2821"/>
      <c r="D142" s="2821"/>
      <c r="E142" s="2821"/>
      <c r="F142" s="2821"/>
      <c r="G142" s="2821"/>
      <c r="H142" s="2821"/>
      <c r="I142" s="2821"/>
      <c r="J142" s="2821"/>
      <c r="K142" s="2821"/>
      <c r="L142" s="2438"/>
      <c r="M142" s="2435"/>
      <c r="N142" s="2435"/>
      <c r="O142" s="53"/>
      <c r="P142" s="53"/>
      <c r="Q142" s="53"/>
      <c r="R142" s="53"/>
      <c r="S142" s="53"/>
      <c r="T142" s="53"/>
      <c r="U142" s="53"/>
      <c r="V142" s="53"/>
      <c r="W142" s="53"/>
      <c r="X142" s="53"/>
      <c r="Y142" s="53"/>
      <c r="Z142" s="53"/>
      <c r="AA142" s="53"/>
      <c r="AB142" s="53"/>
      <c r="AC142" s="53"/>
      <c r="AD142" s="53"/>
      <c r="AE142" s="53"/>
      <c r="AF142" s="53"/>
      <c r="AG142" s="53"/>
      <c r="AH142" s="53"/>
      <c r="AI142" s="53"/>
      <c r="AJ142" s="53"/>
      <c r="AK142" s="53"/>
      <c r="AL142" s="53"/>
      <c r="AM142" s="53"/>
      <c r="AN142" s="53"/>
      <c r="AO142" s="53"/>
      <c r="AP142" s="53"/>
      <c r="AQ142" s="53"/>
      <c r="AR142" s="53"/>
      <c r="AS142" s="53"/>
      <c r="AT142" s="53"/>
      <c r="AU142" s="53"/>
      <c r="AV142" s="53"/>
      <c r="AW142" s="53"/>
      <c r="AX142" s="53"/>
      <c r="AY142" s="53"/>
      <c r="AZ142" s="53"/>
      <c r="BA142" s="53"/>
      <c r="BB142" s="53"/>
      <c r="BC142" s="53"/>
      <c r="BD142" s="53"/>
      <c r="BE142" s="53"/>
      <c r="BF142" s="53"/>
      <c r="BG142" s="53"/>
      <c r="BH142" s="53"/>
      <c r="BI142" s="53"/>
      <c r="BJ142" s="53"/>
      <c r="BK142" s="53"/>
      <c r="BL142" s="53"/>
      <c r="BM142" s="53"/>
      <c r="BN142" s="53"/>
      <c r="BO142" s="53"/>
      <c r="BP142" s="53"/>
      <c r="BQ142" s="53"/>
      <c r="BR142" s="53"/>
      <c r="BS142" s="53"/>
      <c r="BT142" s="53"/>
      <c r="BU142" s="53"/>
      <c r="BV142" s="53"/>
      <c r="BW142" s="53"/>
      <c r="BX142" s="53"/>
      <c r="BY142" s="53"/>
      <c r="BZ142" s="53"/>
      <c r="CA142" s="53"/>
      <c r="CB142" s="53"/>
      <c r="CC142" s="53"/>
      <c r="CD142" s="53"/>
      <c r="CE142" s="53"/>
      <c r="CF142" s="53"/>
      <c r="CG142" s="53"/>
      <c r="CH142" s="53"/>
      <c r="CI142" s="53"/>
      <c r="CJ142" s="53"/>
      <c r="CK142" s="53"/>
      <c r="CL142" s="53"/>
      <c r="CM142" s="53"/>
      <c r="CN142" s="53"/>
      <c r="CO142" s="53"/>
      <c r="CP142" s="53"/>
      <c r="CQ142" s="53"/>
      <c r="CR142" s="53"/>
      <c r="CS142" s="53"/>
      <c r="CT142" s="53"/>
      <c r="CU142" s="53"/>
      <c r="CV142" s="53"/>
      <c r="CW142" s="53"/>
      <c r="CX142" s="53"/>
      <c r="CY142" s="53"/>
      <c r="CZ142" s="53"/>
      <c r="DA142" s="53"/>
      <c r="DB142" s="53"/>
      <c r="DC142" s="53"/>
      <c r="DD142" s="53"/>
      <c r="DE142" s="53"/>
      <c r="DF142" s="53"/>
      <c r="DG142" s="53"/>
      <c r="DH142" s="53"/>
      <c r="DI142" s="53"/>
      <c r="DJ142" s="53"/>
      <c r="DK142" s="53"/>
      <c r="DL142" s="53"/>
      <c r="DM142" s="53"/>
      <c r="DN142" s="53"/>
      <c r="DO142" s="53"/>
      <c r="DP142" s="53"/>
      <c r="DQ142" s="53"/>
      <c r="DR142" s="53"/>
      <c r="DS142" s="53"/>
      <c r="DT142" s="53"/>
      <c r="DU142" s="53"/>
      <c r="DV142" s="53"/>
      <c r="DW142" s="53"/>
      <c r="DX142" s="53"/>
      <c r="DY142" s="53"/>
      <c r="DZ142" s="53"/>
      <c r="EA142" s="53"/>
    </row>
    <row r="143" spans="2:132" ht="62.25" hidden="1" customHeight="1">
      <c r="B143" s="2950"/>
      <c r="C143" s="1861"/>
      <c r="D143" s="1861"/>
      <c r="E143" s="1861"/>
      <c r="F143" s="1861"/>
      <c r="G143" s="1861"/>
      <c r="H143" s="1861"/>
      <c r="I143" s="1861"/>
      <c r="J143" s="1861"/>
      <c r="K143" s="1861"/>
      <c r="L143" s="1861"/>
      <c r="M143" s="1861"/>
      <c r="N143" s="1861"/>
      <c r="O143" s="1861"/>
      <c r="P143" s="1861"/>
      <c r="Q143" s="1861"/>
      <c r="R143" s="1861"/>
      <c r="S143" s="1861"/>
      <c r="T143" s="1861"/>
      <c r="U143" s="1861"/>
      <c r="V143" s="1861"/>
      <c r="W143" s="1861"/>
      <c r="X143" s="1861"/>
      <c r="Y143" s="1861"/>
      <c r="Z143" s="1861"/>
      <c r="AA143" s="1861"/>
      <c r="AB143" s="1861"/>
      <c r="AC143" s="1861"/>
      <c r="AD143" s="1861"/>
      <c r="AE143" s="1861"/>
      <c r="AF143" s="1861"/>
      <c r="AG143" s="1861"/>
      <c r="AH143" s="1861"/>
      <c r="AI143" s="1861"/>
      <c r="AJ143" s="1861"/>
      <c r="AK143" s="1861"/>
      <c r="AL143" s="1861"/>
      <c r="AM143" s="1861"/>
      <c r="AN143" s="1861"/>
      <c r="AO143" s="1861"/>
      <c r="AP143" s="1861"/>
      <c r="AQ143" s="1861"/>
      <c r="AR143" s="1861"/>
      <c r="AS143" s="1861"/>
      <c r="AT143" s="1861"/>
      <c r="AU143" s="1862"/>
      <c r="AV143" s="53"/>
      <c r="AW143" s="53"/>
      <c r="AX143" s="53"/>
      <c r="AY143" s="53"/>
      <c r="AZ143" s="53"/>
      <c r="BA143" s="53"/>
      <c r="BB143" s="53"/>
      <c r="BC143" s="53"/>
      <c r="BD143" s="53"/>
      <c r="BE143" s="53"/>
      <c r="BF143" s="53"/>
      <c r="BG143" s="53"/>
      <c r="BH143" s="53"/>
      <c r="BI143" s="53"/>
      <c r="BJ143" s="53"/>
      <c r="BK143" s="53"/>
      <c r="BL143" s="53"/>
      <c r="BM143" s="53"/>
      <c r="BN143" s="53"/>
      <c r="BO143" s="53"/>
      <c r="BP143" s="53"/>
      <c r="BQ143" s="53"/>
      <c r="BR143" s="53"/>
      <c r="BS143" s="53"/>
      <c r="BT143" s="53"/>
      <c r="BU143" s="53"/>
      <c r="BV143" s="53"/>
      <c r="BW143" s="53"/>
      <c r="BX143" s="53"/>
      <c r="BY143" s="53"/>
      <c r="BZ143" s="53"/>
      <c r="CA143" s="53"/>
      <c r="CB143" s="53"/>
      <c r="CC143" s="53"/>
      <c r="CD143" s="53"/>
      <c r="CE143" s="53"/>
      <c r="CF143" s="53"/>
      <c r="CG143" s="53"/>
      <c r="CH143" s="53"/>
      <c r="CI143" s="53"/>
      <c r="CJ143" s="53"/>
      <c r="CK143" s="53"/>
      <c r="CL143" s="53"/>
      <c r="CM143" s="53"/>
      <c r="CN143" s="53"/>
      <c r="CO143" s="53"/>
      <c r="CP143" s="53"/>
      <c r="CQ143" s="53"/>
      <c r="CR143" s="53"/>
      <c r="CS143" s="53"/>
      <c r="CT143" s="53"/>
      <c r="CU143" s="53"/>
      <c r="CV143" s="53"/>
      <c r="CW143" s="53"/>
      <c r="CX143" s="53"/>
      <c r="CY143" s="53"/>
      <c r="CZ143" s="53"/>
      <c r="DA143" s="53"/>
      <c r="DB143" s="53"/>
      <c r="DC143" s="53"/>
      <c r="DD143" s="53"/>
      <c r="DE143" s="53"/>
      <c r="DF143" s="53"/>
      <c r="DG143" s="53"/>
      <c r="DH143" s="53"/>
      <c r="DI143" s="53"/>
      <c r="DJ143" s="53"/>
      <c r="DK143" s="53"/>
      <c r="DL143" s="53"/>
      <c r="DM143" s="53"/>
      <c r="DN143" s="53"/>
      <c r="DO143" s="53"/>
      <c r="DP143" s="53"/>
      <c r="DQ143" s="53"/>
      <c r="DR143" s="53"/>
      <c r="DS143" s="53"/>
      <c r="DT143" s="53"/>
      <c r="DU143" s="53"/>
      <c r="DV143" s="53"/>
      <c r="DW143" s="53"/>
      <c r="DX143" s="53"/>
      <c r="DY143" s="53"/>
      <c r="DZ143" s="53"/>
      <c r="EA143" s="53"/>
    </row>
    <row r="144" spans="2:132" ht="18" customHeight="1">
      <c r="B144" s="788"/>
      <c r="C144" s="788"/>
      <c r="D144" s="788"/>
      <c r="E144" s="788"/>
      <c r="F144" s="788"/>
      <c r="G144" s="788"/>
      <c r="H144" s="788"/>
      <c r="I144" s="788"/>
      <c r="J144" s="788"/>
      <c r="K144" s="788"/>
      <c r="L144" s="1697"/>
      <c r="M144" s="54"/>
      <c r="N144" s="54"/>
      <c r="O144" s="53"/>
      <c r="P144" s="53"/>
      <c r="Q144" s="53"/>
      <c r="R144" s="53"/>
      <c r="S144" s="53"/>
      <c r="T144" s="53"/>
      <c r="U144" s="53"/>
      <c r="V144" s="53"/>
      <c r="W144" s="53"/>
      <c r="X144" s="53"/>
      <c r="Y144" s="53"/>
      <c r="Z144" s="53"/>
      <c r="AA144" s="53"/>
      <c r="AB144" s="53"/>
      <c r="AC144" s="53"/>
      <c r="AD144" s="53"/>
      <c r="AE144" s="53"/>
      <c r="AF144" s="53"/>
      <c r="AG144" s="53"/>
      <c r="AH144" s="53"/>
      <c r="AI144" s="53"/>
      <c r="AJ144" s="53"/>
      <c r="AK144" s="53"/>
      <c r="AL144" s="53"/>
      <c r="AM144" s="53"/>
      <c r="AN144" s="53"/>
      <c r="AO144" s="53"/>
      <c r="AP144" s="53"/>
      <c r="AQ144" s="53"/>
      <c r="AR144" s="53"/>
      <c r="AS144" s="53"/>
      <c r="AT144" s="53"/>
      <c r="AU144" s="53"/>
      <c r="AV144" s="53"/>
      <c r="AW144" s="53"/>
      <c r="AX144" s="53"/>
      <c r="AY144" s="53"/>
      <c r="AZ144" s="53"/>
      <c r="BA144" s="53"/>
      <c r="BB144" s="53"/>
      <c r="BC144" s="53"/>
      <c r="BD144" s="53"/>
      <c r="BE144" s="53"/>
      <c r="BF144" s="53"/>
      <c r="BG144" s="53"/>
      <c r="BH144" s="53"/>
      <c r="BI144" s="53"/>
      <c r="BJ144" s="53"/>
      <c r="BK144" s="53"/>
      <c r="BL144" s="53"/>
      <c r="BM144" s="53"/>
      <c r="BN144" s="53"/>
      <c r="BO144" s="53"/>
      <c r="BP144" s="53"/>
      <c r="BQ144" s="53"/>
      <c r="BR144" s="53"/>
      <c r="BS144" s="53"/>
      <c r="BT144" s="53"/>
      <c r="BU144" s="53"/>
      <c r="BV144" s="53"/>
      <c r="BW144" s="53"/>
      <c r="BX144" s="53"/>
      <c r="BY144" s="53"/>
      <c r="BZ144" s="53"/>
      <c r="CA144" s="53"/>
      <c r="CB144" s="53"/>
      <c r="CC144" s="53"/>
      <c r="CD144" s="53"/>
      <c r="CE144" s="53"/>
      <c r="CF144" s="53"/>
      <c r="CG144" s="53"/>
      <c r="CH144" s="53"/>
      <c r="CI144" s="53"/>
      <c r="CJ144" s="53"/>
      <c r="CK144" s="53"/>
      <c r="CL144" s="53"/>
      <c r="CM144" s="53"/>
      <c r="CN144" s="53"/>
      <c r="CO144" s="53"/>
      <c r="CP144" s="53"/>
      <c r="CQ144" s="53"/>
      <c r="CR144" s="53"/>
      <c r="CS144" s="53"/>
      <c r="CT144" s="53"/>
      <c r="CU144" s="53"/>
      <c r="CV144" s="53"/>
      <c r="CW144" s="53"/>
      <c r="CX144" s="53"/>
      <c r="CY144" s="53"/>
      <c r="CZ144" s="53"/>
      <c r="DA144" s="53"/>
      <c r="DB144" s="53"/>
      <c r="DC144" s="53"/>
      <c r="DD144" s="53"/>
      <c r="DE144" s="53"/>
      <c r="DF144" s="53"/>
      <c r="DG144" s="53"/>
      <c r="DH144" s="53"/>
      <c r="DI144" s="53"/>
      <c r="DJ144" s="53"/>
      <c r="DK144" s="53"/>
      <c r="DL144" s="53"/>
      <c r="DM144" s="53"/>
      <c r="DN144" s="53"/>
      <c r="DO144" s="53"/>
      <c r="DP144" s="53"/>
      <c r="DQ144" s="53"/>
      <c r="DR144" s="53"/>
      <c r="DS144" s="53"/>
      <c r="DT144" s="53"/>
      <c r="DU144" s="53"/>
      <c r="DV144" s="53"/>
      <c r="DW144" s="53"/>
      <c r="DX144" s="53"/>
      <c r="DY144" s="53"/>
      <c r="DZ144" s="53"/>
      <c r="EA144" s="53"/>
    </row>
    <row r="145" spans="2:131" ht="18" customHeight="1">
      <c r="B145" s="2975" t="s">
        <v>461</v>
      </c>
      <c r="C145" s="2821"/>
      <c r="D145" s="2821"/>
      <c r="E145" s="2821"/>
      <c r="F145" s="2821"/>
      <c r="G145" s="2821"/>
      <c r="H145" s="2821"/>
      <c r="I145" s="2821"/>
      <c r="J145" s="2821"/>
      <c r="K145" s="2821"/>
      <c r="L145" s="2438"/>
      <c r="M145" s="2435"/>
      <c r="N145" s="2435"/>
      <c r="O145" s="2435"/>
      <c r="P145" s="2435"/>
      <c r="Q145" s="2435"/>
      <c r="R145" s="2435"/>
      <c r="S145" s="2435"/>
      <c r="T145" s="2435"/>
      <c r="U145" s="2435"/>
      <c r="V145" s="2435"/>
      <c r="W145" s="2435"/>
      <c r="X145" s="2435"/>
      <c r="Y145" s="2435"/>
      <c r="Z145" s="2435"/>
      <c r="AA145" s="2435"/>
      <c r="AB145" s="2435"/>
      <c r="AC145" s="2435"/>
      <c r="AD145" s="2435"/>
      <c r="AE145" s="2435"/>
      <c r="AF145" s="2435"/>
      <c r="AG145" s="2435"/>
      <c r="AH145" s="2435"/>
      <c r="AI145" s="2435"/>
      <c r="AJ145" s="2435"/>
      <c r="AK145" s="2435"/>
      <c r="AL145" s="2435"/>
      <c r="AM145" s="2435"/>
      <c r="AN145" s="2435"/>
      <c r="AO145" s="2435"/>
      <c r="AP145" s="2435"/>
      <c r="AQ145" s="2435"/>
      <c r="AR145" s="2435"/>
      <c r="AS145" s="2435"/>
      <c r="AT145" s="2435"/>
      <c r="AU145" s="2435"/>
      <c r="AV145" s="20"/>
      <c r="AW145" s="20"/>
      <c r="AX145" s="20"/>
      <c r="AY145" s="20"/>
      <c r="AZ145" s="20"/>
      <c r="BA145" s="20"/>
      <c r="BB145" s="20"/>
      <c r="BC145" s="20"/>
      <c r="BD145" s="20"/>
      <c r="BE145" s="20"/>
      <c r="BF145" s="20"/>
      <c r="BG145" s="20"/>
      <c r="BH145" s="20"/>
      <c r="BI145" s="20"/>
      <c r="BJ145" s="20"/>
      <c r="BK145" s="20"/>
      <c r="BL145" s="20"/>
      <c r="BM145" s="20"/>
      <c r="BN145" s="20"/>
      <c r="BO145" s="20"/>
      <c r="BP145" s="20"/>
      <c r="BQ145" s="20"/>
      <c r="BR145" s="20"/>
      <c r="BS145" s="20"/>
      <c r="BT145" s="20"/>
      <c r="BU145" s="20"/>
      <c r="BV145" s="20"/>
      <c r="BW145" s="20"/>
      <c r="BX145" s="20"/>
      <c r="BY145" s="20"/>
      <c r="BZ145" s="20"/>
      <c r="CA145" s="20"/>
      <c r="CB145" s="20"/>
      <c r="CC145" s="20"/>
      <c r="CD145" s="20"/>
      <c r="CE145" s="20"/>
      <c r="CF145" s="20"/>
      <c r="CG145" s="20"/>
      <c r="CH145" s="20"/>
      <c r="CI145" s="20"/>
      <c r="CJ145" s="20"/>
      <c r="CK145" s="20"/>
      <c r="CL145" s="20"/>
      <c r="CM145" s="20"/>
      <c r="CN145" s="20"/>
      <c r="CO145" s="20"/>
      <c r="CP145" s="20"/>
      <c r="CQ145" s="20"/>
      <c r="CR145" s="20"/>
      <c r="CS145" s="20"/>
      <c r="CT145" s="20"/>
      <c r="CU145" s="20"/>
      <c r="CV145" s="20"/>
      <c r="CW145" s="20"/>
      <c r="CX145" s="20"/>
      <c r="CY145" s="20"/>
      <c r="CZ145" s="20"/>
      <c r="DA145" s="20"/>
      <c r="DB145" s="20"/>
      <c r="DC145" s="20"/>
      <c r="DD145" s="20"/>
      <c r="DE145" s="20"/>
      <c r="DF145" s="20"/>
      <c r="DG145" s="20"/>
      <c r="DH145" s="20"/>
      <c r="DI145" s="20"/>
      <c r="DJ145" s="20"/>
      <c r="DK145" s="20"/>
      <c r="DL145" s="20"/>
      <c r="DM145" s="20"/>
      <c r="DN145" s="20"/>
      <c r="DO145" s="20"/>
      <c r="DP145" s="20"/>
      <c r="DQ145" s="20"/>
      <c r="DR145" s="20"/>
      <c r="DS145" s="20"/>
      <c r="DT145" s="20"/>
      <c r="DU145" s="20"/>
      <c r="DV145" s="20"/>
      <c r="DW145" s="20"/>
      <c r="DX145" s="20"/>
      <c r="DY145" s="20"/>
      <c r="DZ145" s="20"/>
      <c r="EA145" s="20"/>
    </row>
    <row r="146" spans="2:131" ht="18" customHeight="1">
      <c r="B146" s="707"/>
      <c r="C146" s="707"/>
      <c r="D146" s="707"/>
      <c r="E146" s="707"/>
      <c r="F146" s="707"/>
      <c r="G146" s="707"/>
      <c r="H146" s="707"/>
      <c r="I146" s="707"/>
      <c r="J146" s="707"/>
      <c r="K146" s="707"/>
      <c r="L146" s="19"/>
      <c r="M146" s="20"/>
      <c r="N146" s="20"/>
      <c r="O146" s="20"/>
      <c r="P146" s="20"/>
      <c r="Q146" s="20"/>
      <c r="R146" s="20"/>
      <c r="S146" s="20"/>
      <c r="T146" s="20"/>
      <c r="U146" s="20"/>
      <c r="V146" s="20"/>
      <c r="W146" s="20"/>
      <c r="X146" s="20"/>
      <c r="Y146" s="20"/>
      <c r="Z146" s="20"/>
      <c r="AA146" s="20"/>
      <c r="AB146" s="20"/>
      <c r="AC146" s="20"/>
      <c r="AD146" s="20"/>
      <c r="AE146" s="20"/>
      <c r="AF146" s="20"/>
      <c r="AG146" s="20"/>
      <c r="AH146" s="20"/>
      <c r="AI146" s="20"/>
      <c r="AJ146" s="20"/>
      <c r="AK146" s="20"/>
      <c r="AL146" s="20"/>
      <c r="AM146" s="20"/>
      <c r="AN146" s="20"/>
      <c r="AO146" s="20"/>
      <c r="AP146" s="20"/>
      <c r="AQ146" s="20"/>
      <c r="AR146" s="20"/>
      <c r="AS146" s="20"/>
      <c r="AT146" s="20"/>
      <c r="AU146" s="20"/>
      <c r="AV146" s="20"/>
      <c r="AW146" s="20"/>
      <c r="AX146" s="20"/>
      <c r="AY146" s="20"/>
      <c r="AZ146" s="20"/>
      <c r="BA146" s="20"/>
      <c r="BB146" s="20"/>
      <c r="BC146" s="20"/>
      <c r="BD146" s="20"/>
      <c r="BE146" s="20"/>
      <c r="BF146" s="20"/>
      <c r="BG146" s="20"/>
      <c r="BH146" s="20"/>
      <c r="BI146" s="20"/>
      <c r="BJ146" s="20"/>
      <c r="BK146" s="20"/>
      <c r="BL146" s="20"/>
      <c r="BM146" s="20"/>
      <c r="BN146" s="20"/>
      <c r="BO146" s="20"/>
      <c r="BP146" s="20"/>
      <c r="BQ146" s="20"/>
      <c r="BR146" s="20"/>
      <c r="BS146" s="20"/>
      <c r="BT146" s="20"/>
      <c r="BU146" s="20"/>
      <c r="BV146" s="20"/>
      <c r="BW146" s="20"/>
      <c r="BX146" s="20"/>
      <c r="BY146" s="20"/>
      <c r="BZ146" s="20"/>
      <c r="CA146" s="20"/>
      <c r="CB146" s="20"/>
      <c r="CC146" s="20"/>
      <c r="CD146" s="20"/>
      <c r="CE146" s="20"/>
      <c r="CF146" s="20"/>
      <c r="CG146" s="20"/>
      <c r="CH146" s="20"/>
      <c r="CI146" s="20"/>
      <c r="CJ146" s="20"/>
      <c r="CK146" s="20"/>
      <c r="CL146" s="20"/>
      <c r="CM146" s="20"/>
      <c r="CN146" s="20"/>
      <c r="CO146" s="20"/>
      <c r="CP146" s="20"/>
      <c r="CQ146" s="20"/>
      <c r="CR146" s="20"/>
      <c r="CS146" s="20"/>
      <c r="CT146" s="20"/>
      <c r="CU146" s="20"/>
      <c r="CV146" s="20"/>
      <c r="CW146" s="20"/>
      <c r="CX146" s="20"/>
      <c r="CY146" s="20"/>
      <c r="CZ146" s="20"/>
      <c r="DA146" s="20"/>
      <c r="DB146" s="20"/>
      <c r="DC146" s="20"/>
      <c r="DD146" s="20"/>
      <c r="DE146" s="20"/>
      <c r="DF146" s="20"/>
      <c r="DG146" s="20"/>
      <c r="DH146" s="20"/>
      <c r="DI146" s="20"/>
      <c r="DJ146" s="20"/>
      <c r="DK146" s="20"/>
      <c r="DL146" s="20"/>
      <c r="DM146" s="20"/>
      <c r="DN146" s="20"/>
      <c r="DO146" s="20"/>
      <c r="DP146" s="20"/>
      <c r="DQ146" s="20"/>
      <c r="DR146" s="20"/>
      <c r="DS146" s="20"/>
      <c r="DT146" s="20"/>
      <c r="DU146" s="20"/>
      <c r="DV146" s="20"/>
      <c r="DW146" s="20"/>
      <c r="DX146" s="20"/>
      <c r="DY146" s="20"/>
      <c r="DZ146" s="20"/>
      <c r="EA146" s="20"/>
    </row>
    <row r="147" spans="2:131" ht="18" customHeight="1">
      <c r="B147" s="708"/>
      <c r="C147" s="708"/>
      <c r="D147" s="707"/>
      <c r="E147" s="707"/>
      <c r="F147" s="707"/>
      <c r="G147" s="707"/>
      <c r="H147" s="707"/>
      <c r="I147" s="707"/>
      <c r="J147" s="707"/>
      <c r="K147" s="707"/>
      <c r="L147" s="19"/>
      <c r="M147" s="20"/>
      <c r="N147" s="20"/>
      <c r="O147" s="20"/>
      <c r="P147" s="20"/>
      <c r="Q147" s="20"/>
      <c r="R147" s="20"/>
      <c r="S147" s="20"/>
      <c r="T147" s="20"/>
      <c r="U147" s="20"/>
      <c r="V147" s="20"/>
      <c r="W147" s="20"/>
      <c r="X147" s="20"/>
      <c r="Y147" s="20"/>
      <c r="Z147" s="20"/>
      <c r="AA147" s="20"/>
      <c r="AB147" s="20"/>
      <c r="AC147" s="20"/>
      <c r="AD147" s="20"/>
      <c r="AE147" s="20"/>
      <c r="AF147" s="20"/>
      <c r="AG147" s="20"/>
      <c r="AH147" s="20"/>
      <c r="AI147" s="20"/>
      <c r="AJ147" s="20"/>
      <c r="AK147" s="20"/>
      <c r="AL147" s="20"/>
      <c r="AM147" s="20"/>
      <c r="AN147" s="20"/>
      <c r="AO147" s="20"/>
      <c r="AP147" s="20"/>
      <c r="AQ147" s="20"/>
      <c r="AR147" s="20"/>
      <c r="AS147" s="20"/>
      <c r="AT147" s="20"/>
      <c r="AU147" s="20"/>
      <c r="AV147" s="20"/>
      <c r="AW147" s="20"/>
      <c r="AX147" s="20"/>
      <c r="AY147" s="20"/>
      <c r="AZ147" s="20"/>
      <c r="BA147" s="20"/>
      <c r="BB147" s="20"/>
      <c r="BC147" s="20"/>
      <c r="BD147" s="20"/>
      <c r="BE147" s="20"/>
      <c r="BF147" s="20"/>
      <c r="BG147" s="20"/>
      <c r="BH147" s="20"/>
      <c r="BI147" s="20"/>
      <c r="BJ147" s="20"/>
      <c r="BK147" s="20"/>
      <c r="BL147" s="20"/>
      <c r="BM147" s="20"/>
      <c r="BN147" s="20"/>
      <c r="BO147" s="20"/>
      <c r="BP147" s="20"/>
      <c r="BQ147" s="20"/>
      <c r="BR147" s="20"/>
      <c r="BS147" s="20"/>
      <c r="BT147" s="20"/>
      <c r="BU147" s="20"/>
      <c r="BV147" s="20"/>
      <c r="BW147" s="20"/>
      <c r="BX147" s="20"/>
      <c r="BY147" s="20"/>
      <c r="BZ147" s="20"/>
      <c r="CA147" s="20"/>
      <c r="CB147" s="20"/>
      <c r="CC147" s="20"/>
      <c r="CD147" s="20"/>
      <c r="CE147" s="20"/>
      <c r="CF147" s="20"/>
      <c r="CG147" s="20"/>
      <c r="CH147" s="20"/>
      <c r="CI147" s="20"/>
      <c r="CJ147" s="20"/>
      <c r="CK147" s="20"/>
      <c r="CL147" s="20"/>
      <c r="CM147" s="20"/>
      <c r="CN147" s="20"/>
      <c r="CO147" s="20"/>
      <c r="CP147" s="20"/>
      <c r="CQ147" s="20"/>
      <c r="CR147" s="20"/>
      <c r="CS147" s="20"/>
      <c r="CT147" s="20"/>
      <c r="CU147" s="20"/>
      <c r="CV147" s="20"/>
      <c r="CW147" s="20"/>
      <c r="CX147" s="20"/>
      <c r="CY147" s="20"/>
      <c r="CZ147" s="20"/>
      <c r="DA147" s="20"/>
      <c r="DB147" s="20"/>
      <c r="DC147" s="20"/>
      <c r="DD147" s="20"/>
      <c r="DE147" s="20"/>
      <c r="DF147" s="20"/>
      <c r="DG147" s="20"/>
      <c r="DH147" s="20"/>
      <c r="DI147" s="20"/>
      <c r="DJ147" s="20"/>
      <c r="DK147" s="20"/>
      <c r="DL147" s="20"/>
      <c r="DM147" s="20"/>
      <c r="DN147" s="20"/>
      <c r="DO147" s="20"/>
      <c r="DP147" s="20"/>
      <c r="DQ147" s="20"/>
      <c r="DR147" s="20"/>
      <c r="DS147" s="20"/>
      <c r="DT147" s="20"/>
      <c r="DU147" s="20"/>
      <c r="DV147" s="20"/>
      <c r="DW147" s="20"/>
      <c r="DX147" s="20"/>
      <c r="DY147" s="20"/>
      <c r="DZ147" s="20"/>
      <c r="EA147" s="20"/>
    </row>
    <row r="148" spans="2:131" ht="18" customHeight="1">
      <c r="B148" s="707"/>
      <c r="C148" s="707"/>
      <c r="D148" s="707"/>
      <c r="E148" s="707"/>
      <c r="F148" s="707"/>
      <c r="G148" s="707"/>
      <c r="H148" s="707"/>
      <c r="I148" s="707"/>
      <c r="J148" s="707"/>
      <c r="K148" s="707"/>
      <c r="L148" s="19"/>
      <c r="M148" s="20"/>
      <c r="N148" s="20"/>
      <c r="O148" s="20"/>
      <c r="P148" s="20"/>
      <c r="Q148" s="20"/>
      <c r="R148" s="20"/>
      <c r="S148" s="20"/>
      <c r="T148" s="20"/>
      <c r="U148" s="20"/>
      <c r="V148" s="20"/>
      <c r="W148" s="20"/>
      <c r="X148" s="20"/>
      <c r="Y148" s="20"/>
      <c r="Z148" s="20"/>
      <c r="AA148" s="20"/>
      <c r="AB148" s="20"/>
      <c r="AC148" s="20"/>
      <c r="AD148" s="20"/>
      <c r="AE148" s="20"/>
      <c r="AF148" s="20"/>
      <c r="AG148" s="20"/>
      <c r="AH148" s="20"/>
      <c r="AI148" s="20"/>
      <c r="AJ148" s="20"/>
      <c r="AK148" s="20"/>
      <c r="AL148" s="20"/>
      <c r="AM148" s="20"/>
      <c r="AN148" s="20"/>
      <c r="AO148" s="20"/>
      <c r="AP148" s="20"/>
      <c r="AQ148" s="20"/>
      <c r="AR148" s="20"/>
      <c r="AS148" s="20"/>
      <c r="AT148" s="20"/>
      <c r="AU148" s="20"/>
      <c r="AV148" s="20"/>
      <c r="AW148" s="20"/>
      <c r="AX148" s="20"/>
      <c r="AY148" s="20"/>
      <c r="AZ148" s="20"/>
      <c r="BA148" s="20"/>
      <c r="BB148" s="20"/>
      <c r="BC148" s="20"/>
      <c r="BD148" s="20"/>
      <c r="BE148" s="20"/>
      <c r="BF148" s="20"/>
      <c r="BG148" s="20"/>
      <c r="BH148" s="20"/>
      <c r="BI148" s="20"/>
      <c r="BJ148" s="20"/>
      <c r="BK148" s="20"/>
      <c r="BL148" s="20"/>
      <c r="BM148" s="20"/>
      <c r="BN148" s="20"/>
      <c r="BO148" s="20"/>
      <c r="BP148" s="20"/>
      <c r="BQ148" s="20"/>
      <c r="BR148" s="20"/>
      <c r="BS148" s="20"/>
      <c r="BT148" s="20"/>
      <c r="BU148" s="20"/>
      <c r="BV148" s="20"/>
      <c r="BW148" s="20"/>
      <c r="BX148" s="20"/>
      <c r="BY148" s="20"/>
      <c r="BZ148" s="20"/>
      <c r="CA148" s="20"/>
      <c r="CB148" s="20"/>
      <c r="CC148" s="20"/>
      <c r="CD148" s="20"/>
      <c r="CE148" s="20"/>
      <c r="CF148" s="20"/>
      <c r="CG148" s="20"/>
      <c r="CH148" s="20"/>
      <c r="CI148" s="20"/>
      <c r="CJ148" s="20"/>
      <c r="CK148" s="20"/>
      <c r="CL148" s="20"/>
      <c r="CM148" s="20"/>
      <c r="CN148" s="20"/>
      <c r="CO148" s="20"/>
      <c r="CP148" s="20"/>
      <c r="CQ148" s="20"/>
      <c r="CR148" s="20"/>
      <c r="CS148" s="20"/>
      <c r="CT148" s="20"/>
      <c r="CU148" s="20"/>
      <c r="CV148" s="20"/>
      <c r="CW148" s="20"/>
      <c r="CX148" s="20"/>
      <c r="CY148" s="20"/>
      <c r="CZ148" s="20"/>
      <c r="DA148" s="20"/>
      <c r="DB148" s="20"/>
      <c r="DC148" s="20"/>
      <c r="DD148" s="20"/>
      <c r="DE148" s="20"/>
      <c r="DF148" s="20"/>
      <c r="DG148" s="20"/>
      <c r="DH148" s="20"/>
      <c r="DI148" s="20"/>
      <c r="DJ148" s="20"/>
      <c r="DK148" s="20"/>
      <c r="DL148" s="20"/>
      <c r="DM148" s="20"/>
      <c r="DN148" s="20"/>
      <c r="DO148" s="20"/>
      <c r="DP148" s="20"/>
      <c r="DQ148" s="20"/>
      <c r="DR148" s="20"/>
      <c r="DS148" s="20"/>
      <c r="DT148" s="20"/>
      <c r="DU148" s="20"/>
      <c r="DV148" s="20"/>
      <c r="DW148" s="20"/>
      <c r="DX148" s="20"/>
      <c r="DY148" s="20"/>
      <c r="DZ148" s="20"/>
      <c r="EA148" s="20"/>
    </row>
    <row r="149" spans="2:131" ht="18" customHeight="1">
      <c r="B149" s="707"/>
      <c r="C149" s="707"/>
      <c r="D149" s="707"/>
      <c r="E149" s="707"/>
      <c r="F149" s="707"/>
      <c r="G149" s="707"/>
      <c r="H149" s="707"/>
      <c r="I149" s="707"/>
      <c r="J149" s="707"/>
      <c r="K149" s="707"/>
      <c r="L149" s="19"/>
      <c r="M149" s="20"/>
      <c r="N149" s="20"/>
      <c r="O149" s="20"/>
      <c r="P149" s="20"/>
      <c r="Q149" s="20"/>
      <c r="R149" s="20"/>
      <c r="S149" s="20"/>
      <c r="T149" s="20"/>
      <c r="U149" s="20"/>
      <c r="V149" s="20"/>
      <c r="W149" s="20"/>
      <c r="X149" s="20"/>
      <c r="Y149" s="20"/>
      <c r="Z149" s="20"/>
      <c r="AA149" s="20"/>
      <c r="AB149" s="20"/>
      <c r="AC149" s="20"/>
      <c r="AD149" s="20"/>
      <c r="AE149" s="20"/>
      <c r="AF149" s="20"/>
      <c r="AG149" s="20"/>
      <c r="AH149" s="20"/>
      <c r="AI149" s="20"/>
      <c r="AJ149" s="20"/>
      <c r="AK149" s="20"/>
      <c r="AL149" s="20"/>
      <c r="AM149" s="20"/>
      <c r="AN149" s="20"/>
      <c r="AO149" s="20"/>
      <c r="AP149" s="20"/>
      <c r="AQ149" s="20"/>
      <c r="AR149" s="20"/>
      <c r="AS149" s="20"/>
      <c r="AT149" s="20"/>
      <c r="AU149" s="20"/>
      <c r="AV149" s="20"/>
      <c r="AW149" s="20"/>
      <c r="AX149" s="20"/>
      <c r="AY149" s="20"/>
      <c r="AZ149" s="20"/>
      <c r="BA149" s="20"/>
      <c r="BB149" s="20"/>
      <c r="BC149" s="20"/>
      <c r="BD149" s="20"/>
      <c r="BE149" s="20"/>
      <c r="BF149" s="20"/>
      <c r="BG149" s="20"/>
      <c r="BH149" s="20"/>
      <c r="BI149" s="20"/>
      <c r="BJ149" s="20"/>
      <c r="BK149" s="20"/>
      <c r="BL149" s="20"/>
      <c r="BM149" s="20"/>
      <c r="BN149" s="20"/>
      <c r="BO149" s="20"/>
      <c r="BP149" s="20"/>
      <c r="BQ149" s="20"/>
      <c r="BR149" s="20"/>
      <c r="BS149" s="20"/>
      <c r="BT149" s="20"/>
      <c r="BU149" s="20"/>
      <c r="BV149" s="20"/>
      <c r="BW149" s="20"/>
      <c r="BX149" s="20"/>
      <c r="BY149" s="20"/>
      <c r="BZ149" s="20"/>
      <c r="CA149" s="20"/>
      <c r="CB149" s="20"/>
      <c r="CC149" s="20"/>
      <c r="CD149" s="20"/>
      <c r="CE149" s="20"/>
      <c r="CF149" s="20"/>
      <c r="CG149" s="20"/>
      <c r="CH149" s="20"/>
      <c r="CI149" s="20"/>
      <c r="CJ149" s="20"/>
      <c r="CK149" s="20"/>
      <c r="CL149" s="20"/>
      <c r="CM149" s="20"/>
      <c r="CN149" s="20"/>
      <c r="CO149" s="20"/>
      <c r="CP149" s="20"/>
      <c r="CQ149" s="20"/>
      <c r="CR149" s="20"/>
      <c r="CS149" s="20"/>
      <c r="CT149" s="20"/>
      <c r="CU149" s="20"/>
      <c r="CV149" s="20"/>
      <c r="CW149" s="20"/>
      <c r="CX149" s="20"/>
      <c r="CY149" s="20"/>
      <c r="CZ149" s="20"/>
      <c r="DA149" s="20"/>
      <c r="DB149" s="20"/>
      <c r="DC149" s="20"/>
      <c r="DD149" s="20"/>
      <c r="DE149" s="20"/>
      <c r="DF149" s="20"/>
      <c r="DG149" s="20"/>
      <c r="DH149" s="20"/>
      <c r="DI149" s="20"/>
      <c r="DJ149" s="20"/>
      <c r="DK149" s="20"/>
      <c r="DL149" s="20"/>
      <c r="DM149" s="20"/>
      <c r="DN149" s="20"/>
      <c r="DO149" s="20"/>
      <c r="DP149" s="20"/>
      <c r="DQ149" s="20"/>
      <c r="DR149" s="20"/>
      <c r="DS149" s="20"/>
      <c r="DT149" s="20"/>
      <c r="DU149" s="20"/>
      <c r="DV149" s="20"/>
      <c r="DW149" s="20"/>
      <c r="DX149" s="20"/>
      <c r="DY149" s="20"/>
      <c r="DZ149" s="20"/>
      <c r="EA149" s="20"/>
    </row>
    <row r="150" spans="2:131" ht="18" customHeight="1">
      <c r="B150" s="707"/>
      <c r="C150" s="707"/>
      <c r="D150" s="707"/>
      <c r="E150" s="707"/>
      <c r="F150" s="707"/>
      <c r="G150" s="707"/>
      <c r="H150" s="707"/>
      <c r="I150" s="707"/>
      <c r="J150" s="707"/>
      <c r="K150" s="707"/>
      <c r="L150" s="19"/>
      <c r="M150" s="20"/>
      <c r="N150" s="20"/>
      <c r="O150" s="20"/>
      <c r="P150" s="20"/>
      <c r="Q150" s="20"/>
      <c r="R150" s="20"/>
      <c r="S150" s="20"/>
      <c r="T150" s="20"/>
      <c r="U150" s="20"/>
      <c r="V150" s="20"/>
      <c r="W150" s="20"/>
      <c r="X150" s="20"/>
      <c r="Y150" s="20"/>
      <c r="Z150" s="20"/>
      <c r="AA150" s="20"/>
      <c r="AB150" s="20"/>
      <c r="AC150" s="20"/>
      <c r="AD150" s="20"/>
      <c r="AE150" s="20"/>
      <c r="AF150" s="20"/>
      <c r="AG150" s="20"/>
      <c r="AH150" s="20"/>
      <c r="AI150" s="20"/>
      <c r="AJ150" s="20"/>
      <c r="AK150" s="20"/>
      <c r="AL150" s="20"/>
      <c r="AM150" s="20"/>
      <c r="AN150" s="20"/>
      <c r="AO150" s="20"/>
      <c r="AP150" s="20"/>
      <c r="AQ150" s="20"/>
      <c r="AR150" s="20"/>
      <c r="AS150" s="20"/>
      <c r="AT150" s="20"/>
      <c r="AU150" s="20"/>
      <c r="AV150" s="20"/>
      <c r="AW150" s="20"/>
      <c r="AX150" s="20"/>
      <c r="AY150" s="20"/>
      <c r="AZ150" s="20"/>
      <c r="BA150" s="20"/>
      <c r="BB150" s="20"/>
      <c r="BC150" s="20"/>
      <c r="BD150" s="20"/>
      <c r="BE150" s="20"/>
      <c r="BF150" s="20"/>
      <c r="BG150" s="20"/>
      <c r="BH150" s="20"/>
      <c r="BI150" s="20"/>
      <c r="BJ150" s="20"/>
      <c r="BK150" s="20"/>
      <c r="BL150" s="20"/>
      <c r="BM150" s="20"/>
      <c r="BN150" s="20"/>
      <c r="BO150" s="20"/>
      <c r="BP150" s="20"/>
      <c r="BQ150" s="20"/>
      <c r="BR150" s="20"/>
      <c r="BS150" s="20"/>
      <c r="BT150" s="20"/>
      <c r="BU150" s="20"/>
      <c r="BV150" s="20"/>
      <c r="BW150" s="20"/>
      <c r="BX150" s="20"/>
      <c r="BY150" s="20"/>
      <c r="BZ150" s="20"/>
      <c r="CA150" s="20"/>
      <c r="CB150" s="20"/>
      <c r="CC150" s="20"/>
      <c r="CD150" s="20"/>
      <c r="CE150" s="20"/>
      <c r="CF150" s="20"/>
      <c r="CG150" s="20"/>
      <c r="CH150" s="20"/>
      <c r="CI150" s="20"/>
      <c r="CJ150" s="20"/>
      <c r="CK150" s="20"/>
      <c r="CL150" s="20"/>
      <c r="CM150" s="20"/>
      <c r="CN150" s="20"/>
      <c r="CO150" s="20"/>
      <c r="CP150" s="20"/>
      <c r="CQ150" s="20"/>
      <c r="CR150" s="20"/>
      <c r="CS150" s="20"/>
      <c r="CT150" s="20"/>
      <c r="CU150" s="20"/>
      <c r="CV150" s="20"/>
      <c r="CW150" s="20"/>
      <c r="CX150" s="20"/>
      <c r="CY150" s="20"/>
      <c r="CZ150" s="20"/>
      <c r="DA150" s="20"/>
      <c r="DB150" s="20"/>
      <c r="DC150" s="20"/>
      <c r="DD150" s="20"/>
      <c r="DE150" s="20"/>
      <c r="DF150" s="20"/>
      <c r="DG150" s="20"/>
      <c r="DH150" s="20"/>
      <c r="DI150" s="20"/>
      <c r="DJ150" s="20"/>
      <c r="DK150" s="20"/>
      <c r="DL150" s="20"/>
      <c r="DM150" s="20"/>
      <c r="DN150" s="20"/>
      <c r="DO150" s="20"/>
      <c r="DP150" s="20"/>
      <c r="DQ150" s="20"/>
      <c r="DR150" s="20"/>
      <c r="DS150" s="20"/>
      <c r="DT150" s="20"/>
      <c r="DU150" s="20"/>
      <c r="DV150" s="20"/>
      <c r="DW150" s="20"/>
      <c r="DX150" s="20"/>
      <c r="DY150" s="20"/>
      <c r="DZ150" s="20"/>
      <c r="EA150" s="20"/>
    </row>
    <row r="151" spans="2:131" ht="18" customHeight="1">
      <c r="B151" s="707"/>
      <c r="C151" s="707"/>
      <c r="D151" s="707"/>
      <c r="E151" s="707"/>
      <c r="F151" s="707"/>
      <c r="G151" s="707"/>
      <c r="H151" s="707"/>
      <c r="I151" s="707"/>
      <c r="J151" s="707"/>
      <c r="K151" s="707"/>
      <c r="L151" s="19"/>
      <c r="M151" s="20"/>
      <c r="N151" s="20"/>
      <c r="O151" s="20"/>
      <c r="P151" s="20"/>
      <c r="Q151" s="20"/>
      <c r="R151" s="20"/>
      <c r="S151" s="20"/>
      <c r="T151" s="20"/>
      <c r="U151" s="20"/>
      <c r="V151" s="20"/>
      <c r="W151" s="20"/>
      <c r="X151" s="20"/>
      <c r="Y151" s="20"/>
      <c r="Z151" s="20"/>
      <c r="AA151" s="20"/>
      <c r="AB151" s="20"/>
      <c r="AC151" s="20"/>
      <c r="AD151" s="20"/>
      <c r="AE151" s="20"/>
      <c r="AF151" s="20"/>
      <c r="AG151" s="20"/>
      <c r="AH151" s="20"/>
      <c r="AI151" s="20"/>
      <c r="AJ151" s="20"/>
      <c r="AK151" s="20"/>
      <c r="AL151" s="20"/>
      <c r="AM151" s="20"/>
      <c r="AN151" s="20"/>
      <c r="AO151" s="20"/>
      <c r="AP151" s="20"/>
      <c r="AQ151" s="20"/>
      <c r="AR151" s="20"/>
      <c r="AS151" s="20"/>
      <c r="AT151" s="20"/>
      <c r="AU151" s="20"/>
      <c r="AV151" s="20"/>
      <c r="AW151" s="20"/>
      <c r="AX151" s="20"/>
      <c r="AY151" s="20"/>
      <c r="AZ151" s="20"/>
      <c r="BA151" s="20"/>
      <c r="BB151" s="20"/>
      <c r="BC151" s="20"/>
      <c r="BD151" s="20"/>
      <c r="BE151" s="20"/>
      <c r="BF151" s="20"/>
      <c r="BG151" s="20"/>
      <c r="BH151" s="20"/>
      <c r="BI151" s="20"/>
      <c r="BJ151" s="20"/>
      <c r="BK151" s="20"/>
      <c r="BL151" s="20"/>
      <c r="BM151" s="20"/>
      <c r="BN151" s="20"/>
      <c r="BO151" s="20"/>
      <c r="BP151" s="20"/>
      <c r="BQ151" s="20"/>
      <c r="BR151" s="20"/>
      <c r="BS151" s="20"/>
      <c r="BT151" s="20"/>
      <c r="BU151" s="20"/>
      <c r="BV151" s="20"/>
      <c r="BW151" s="20"/>
      <c r="BX151" s="20"/>
      <c r="BY151" s="20"/>
      <c r="BZ151" s="20"/>
      <c r="CA151" s="20"/>
      <c r="CB151" s="20"/>
      <c r="CC151" s="20"/>
      <c r="CD151" s="20"/>
      <c r="CE151" s="20"/>
      <c r="CF151" s="20"/>
      <c r="CG151" s="20"/>
      <c r="CH151" s="20"/>
      <c r="CI151" s="20"/>
      <c r="CJ151" s="20"/>
      <c r="CK151" s="20"/>
      <c r="CL151" s="20"/>
      <c r="CM151" s="20"/>
      <c r="CN151" s="20"/>
      <c r="CO151" s="20"/>
      <c r="CP151" s="20"/>
      <c r="CQ151" s="20"/>
      <c r="CR151" s="20"/>
      <c r="CS151" s="20"/>
      <c r="CT151" s="20"/>
      <c r="CU151" s="20"/>
      <c r="CV151" s="20"/>
      <c r="CW151" s="20"/>
      <c r="CX151" s="20"/>
      <c r="CY151" s="20"/>
      <c r="CZ151" s="20"/>
      <c r="DA151" s="20"/>
      <c r="DB151" s="20"/>
      <c r="DC151" s="20"/>
      <c r="DD151" s="20"/>
      <c r="DE151" s="20"/>
      <c r="DF151" s="20"/>
      <c r="DG151" s="20"/>
      <c r="DH151" s="20"/>
      <c r="DI151" s="20"/>
      <c r="DJ151" s="20"/>
      <c r="DK151" s="20"/>
      <c r="DL151" s="20"/>
      <c r="DM151" s="20"/>
      <c r="DN151" s="20"/>
      <c r="DO151" s="20"/>
      <c r="DP151" s="20"/>
      <c r="DQ151" s="20"/>
      <c r="DR151" s="20"/>
      <c r="DS151" s="20"/>
      <c r="DT151" s="20"/>
      <c r="DU151" s="20"/>
      <c r="DV151" s="20"/>
      <c r="DW151" s="20"/>
      <c r="DX151" s="20"/>
      <c r="DY151" s="20"/>
      <c r="DZ151" s="20"/>
      <c r="EA151" s="20"/>
    </row>
    <row r="152" spans="2:131" ht="18" customHeight="1">
      <c r="B152" s="707"/>
      <c r="C152" s="707"/>
      <c r="D152" s="707"/>
      <c r="E152" s="707"/>
      <c r="F152" s="707"/>
      <c r="G152" s="707"/>
      <c r="H152" s="707"/>
      <c r="I152" s="707"/>
      <c r="J152" s="707"/>
      <c r="K152" s="707"/>
      <c r="L152" s="19"/>
      <c r="M152" s="20"/>
      <c r="N152" s="20"/>
      <c r="O152" s="20"/>
      <c r="P152" s="20"/>
      <c r="Q152" s="20"/>
      <c r="R152" s="20"/>
      <c r="S152" s="20"/>
      <c r="T152" s="20"/>
      <c r="U152" s="20"/>
      <c r="V152" s="20"/>
      <c r="W152" s="20"/>
      <c r="X152" s="20"/>
      <c r="Y152" s="20"/>
      <c r="Z152" s="20"/>
      <c r="AA152" s="20"/>
      <c r="AB152" s="20"/>
      <c r="AC152" s="20"/>
      <c r="AD152" s="20"/>
      <c r="AE152" s="20"/>
      <c r="AF152" s="20"/>
      <c r="AG152" s="20"/>
      <c r="AH152" s="20"/>
      <c r="AI152" s="20"/>
      <c r="AJ152" s="20"/>
      <c r="AK152" s="20"/>
      <c r="AL152" s="20"/>
      <c r="AM152" s="20"/>
      <c r="AN152" s="20"/>
      <c r="AO152" s="20"/>
      <c r="AP152" s="20"/>
      <c r="AQ152" s="20"/>
      <c r="AR152" s="20"/>
      <c r="AS152" s="20"/>
      <c r="AT152" s="20"/>
      <c r="AU152" s="20"/>
      <c r="AV152" s="20"/>
      <c r="AW152" s="20"/>
      <c r="AX152" s="20"/>
      <c r="AY152" s="20"/>
      <c r="AZ152" s="20"/>
      <c r="BA152" s="20"/>
      <c r="BB152" s="20"/>
      <c r="BC152" s="20"/>
      <c r="BD152" s="20"/>
      <c r="BE152" s="20"/>
      <c r="BF152" s="20"/>
      <c r="BG152" s="20"/>
      <c r="BH152" s="20"/>
      <c r="BI152" s="20"/>
      <c r="BJ152" s="20"/>
      <c r="BK152" s="20"/>
      <c r="BL152" s="20"/>
      <c r="BM152" s="20"/>
      <c r="BN152" s="20"/>
      <c r="BO152" s="20"/>
      <c r="BP152" s="20"/>
      <c r="BQ152" s="20"/>
      <c r="BR152" s="20"/>
      <c r="BS152" s="20"/>
      <c r="BT152" s="20"/>
      <c r="BU152" s="20"/>
      <c r="BV152" s="20"/>
      <c r="BW152" s="20"/>
      <c r="BX152" s="20"/>
      <c r="BY152" s="20"/>
      <c r="BZ152" s="20"/>
      <c r="CA152" s="20"/>
      <c r="CB152" s="20"/>
      <c r="CC152" s="20"/>
      <c r="CD152" s="20"/>
      <c r="CE152" s="20"/>
      <c r="CF152" s="20"/>
      <c r="CG152" s="20"/>
      <c r="CH152" s="20"/>
      <c r="CI152" s="20"/>
      <c r="CJ152" s="20"/>
      <c r="CK152" s="20"/>
      <c r="CL152" s="20"/>
      <c r="CM152" s="20"/>
      <c r="CN152" s="20"/>
      <c r="CO152" s="20"/>
      <c r="CP152" s="20"/>
      <c r="CQ152" s="20"/>
      <c r="CR152" s="20"/>
      <c r="CS152" s="20"/>
      <c r="CT152" s="20"/>
      <c r="CU152" s="20"/>
      <c r="CV152" s="20"/>
      <c r="CW152" s="20"/>
      <c r="CX152" s="20"/>
      <c r="CY152" s="20"/>
      <c r="CZ152" s="20"/>
      <c r="DA152" s="20"/>
      <c r="DB152" s="20"/>
      <c r="DC152" s="20"/>
      <c r="DD152" s="20"/>
      <c r="DE152" s="20"/>
      <c r="DF152" s="20"/>
      <c r="DG152" s="20"/>
      <c r="DH152" s="20"/>
      <c r="DI152" s="20"/>
      <c r="DJ152" s="20"/>
      <c r="DK152" s="20"/>
      <c r="DL152" s="20"/>
      <c r="DM152" s="20"/>
      <c r="DN152" s="20"/>
      <c r="DO152" s="20"/>
      <c r="DP152" s="20"/>
      <c r="DQ152" s="20"/>
      <c r="DR152" s="20"/>
      <c r="DS152" s="20"/>
      <c r="DT152" s="20"/>
      <c r="DU152" s="20"/>
      <c r="DV152" s="20"/>
      <c r="DW152" s="20"/>
      <c r="DX152" s="20"/>
      <c r="DY152" s="20"/>
      <c r="DZ152" s="20"/>
      <c r="EA152" s="20"/>
    </row>
    <row r="153" spans="2:131" ht="18" customHeight="1">
      <c r="B153" s="707"/>
      <c r="C153" s="707"/>
      <c r="D153" s="707"/>
      <c r="E153" s="707"/>
      <c r="F153" s="707"/>
      <c r="G153" s="707"/>
      <c r="H153" s="707"/>
      <c r="I153" s="707"/>
      <c r="J153" s="707"/>
      <c r="K153" s="707"/>
      <c r="L153" s="19"/>
      <c r="M153" s="20"/>
      <c r="N153" s="20"/>
      <c r="O153" s="20"/>
      <c r="P153" s="20"/>
      <c r="Q153" s="20"/>
      <c r="R153" s="20"/>
      <c r="S153" s="20"/>
      <c r="T153" s="20"/>
      <c r="U153" s="20"/>
      <c r="V153" s="20"/>
      <c r="W153" s="20"/>
      <c r="X153" s="20"/>
      <c r="Y153" s="20"/>
      <c r="Z153" s="20"/>
      <c r="AA153" s="20"/>
      <c r="AB153" s="20"/>
      <c r="AC153" s="20"/>
      <c r="AD153" s="20"/>
      <c r="AE153" s="20"/>
      <c r="AF153" s="20"/>
      <c r="AG153" s="20"/>
      <c r="AH153" s="20"/>
      <c r="AI153" s="20"/>
      <c r="AJ153" s="20"/>
      <c r="AK153" s="20"/>
      <c r="AL153" s="20"/>
      <c r="AM153" s="20"/>
      <c r="AN153" s="20"/>
      <c r="AO153" s="20"/>
      <c r="AP153" s="20"/>
      <c r="AQ153" s="20"/>
      <c r="AR153" s="20"/>
      <c r="AS153" s="20"/>
      <c r="AT153" s="20"/>
      <c r="AU153" s="20"/>
      <c r="AV153" s="20"/>
      <c r="AW153" s="20"/>
      <c r="AX153" s="20"/>
      <c r="AY153" s="20"/>
      <c r="AZ153" s="20"/>
      <c r="BA153" s="20"/>
      <c r="BB153" s="20"/>
      <c r="BC153" s="20"/>
      <c r="BD153" s="20"/>
      <c r="BE153" s="20"/>
      <c r="BF153" s="20"/>
      <c r="BG153" s="20"/>
      <c r="BH153" s="20"/>
      <c r="BI153" s="20"/>
      <c r="BJ153" s="20"/>
      <c r="BK153" s="20"/>
      <c r="BL153" s="20"/>
      <c r="BM153" s="20"/>
      <c r="BN153" s="20"/>
      <c r="BO153" s="20"/>
      <c r="BP153" s="20"/>
      <c r="BQ153" s="20"/>
      <c r="BR153" s="20"/>
      <c r="BS153" s="20"/>
      <c r="BT153" s="20"/>
      <c r="BU153" s="20"/>
      <c r="BV153" s="20"/>
      <c r="BW153" s="20"/>
      <c r="BX153" s="20"/>
      <c r="BY153" s="20"/>
      <c r="BZ153" s="20"/>
      <c r="CA153" s="20"/>
      <c r="CB153" s="20"/>
      <c r="CC153" s="20"/>
      <c r="CD153" s="20"/>
      <c r="CE153" s="20"/>
      <c r="CF153" s="20"/>
      <c r="CG153" s="20"/>
      <c r="CH153" s="20"/>
      <c r="CI153" s="20"/>
      <c r="CJ153" s="20"/>
      <c r="CK153" s="20"/>
      <c r="CL153" s="20"/>
      <c r="CM153" s="20"/>
      <c r="CN153" s="20"/>
      <c r="CO153" s="20"/>
      <c r="CP153" s="20"/>
      <c r="CQ153" s="20"/>
      <c r="CR153" s="20"/>
      <c r="CS153" s="20"/>
      <c r="CT153" s="20"/>
      <c r="CU153" s="20"/>
      <c r="CV153" s="20"/>
      <c r="CW153" s="20"/>
      <c r="CX153" s="20"/>
      <c r="CY153" s="20"/>
      <c r="CZ153" s="20"/>
      <c r="DA153" s="20"/>
      <c r="DB153" s="20"/>
      <c r="DC153" s="20"/>
      <c r="DD153" s="20"/>
      <c r="DE153" s="20"/>
      <c r="DF153" s="20"/>
      <c r="DG153" s="20"/>
      <c r="DH153" s="20"/>
      <c r="DI153" s="20"/>
      <c r="DJ153" s="20"/>
      <c r="DK153" s="20"/>
      <c r="DL153" s="20"/>
      <c r="DM153" s="20"/>
      <c r="DN153" s="20"/>
      <c r="DO153" s="20"/>
      <c r="DP153" s="20"/>
      <c r="DQ153" s="20"/>
      <c r="DR153" s="20"/>
      <c r="DS153" s="20"/>
      <c r="DT153" s="20"/>
      <c r="DU153" s="20"/>
      <c r="DV153" s="20"/>
      <c r="DW153" s="20"/>
      <c r="DX153" s="20"/>
      <c r="DY153" s="20"/>
      <c r="DZ153" s="20"/>
      <c r="EA153" s="20"/>
    </row>
    <row r="154" spans="2:131" ht="18" customHeight="1">
      <c r="B154" s="708"/>
      <c r="C154" s="708"/>
      <c r="D154" s="707"/>
      <c r="E154" s="707"/>
      <c r="F154" s="707"/>
      <c r="G154" s="707"/>
      <c r="H154" s="707"/>
      <c r="I154" s="707"/>
      <c r="J154" s="707"/>
      <c r="K154" s="707"/>
      <c r="L154" s="19"/>
      <c r="M154" s="20"/>
      <c r="N154" s="20"/>
      <c r="O154" s="20"/>
      <c r="P154" s="20"/>
      <c r="Q154" s="20"/>
      <c r="R154" s="20"/>
      <c r="S154" s="20"/>
      <c r="T154" s="20"/>
      <c r="U154" s="20"/>
      <c r="V154" s="20"/>
      <c r="W154" s="20"/>
      <c r="X154" s="20"/>
      <c r="Y154" s="20"/>
      <c r="Z154" s="20"/>
      <c r="AA154" s="20"/>
      <c r="AB154" s="20"/>
      <c r="AC154" s="20"/>
      <c r="AD154" s="20"/>
      <c r="AE154" s="20"/>
      <c r="AF154" s="20"/>
      <c r="AG154" s="20"/>
      <c r="AH154" s="20"/>
      <c r="AI154" s="20"/>
      <c r="AJ154" s="20"/>
      <c r="AK154" s="20"/>
      <c r="AL154" s="20"/>
      <c r="AM154" s="20"/>
      <c r="AN154" s="20"/>
      <c r="AO154" s="20"/>
      <c r="AP154" s="20"/>
      <c r="AQ154" s="20"/>
      <c r="AR154" s="20"/>
      <c r="AS154" s="20"/>
      <c r="AT154" s="20"/>
      <c r="AU154" s="20"/>
      <c r="AV154" s="20"/>
      <c r="AW154" s="20"/>
      <c r="AX154" s="20"/>
      <c r="AY154" s="20"/>
      <c r="AZ154" s="20"/>
      <c r="BA154" s="20"/>
      <c r="BB154" s="20"/>
      <c r="BC154" s="20"/>
      <c r="BD154" s="20"/>
      <c r="BE154" s="20"/>
      <c r="BF154" s="20"/>
      <c r="BG154" s="20"/>
      <c r="BH154" s="20"/>
      <c r="BI154" s="20"/>
      <c r="BJ154" s="20"/>
      <c r="BK154" s="20"/>
      <c r="BL154" s="20"/>
      <c r="BM154" s="20"/>
      <c r="BN154" s="20"/>
      <c r="BO154" s="20"/>
      <c r="BP154" s="20"/>
      <c r="BQ154" s="20"/>
      <c r="BR154" s="20"/>
      <c r="BS154" s="20"/>
      <c r="BT154" s="20"/>
      <c r="BU154" s="20"/>
      <c r="BV154" s="20"/>
      <c r="BW154" s="20"/>
      <c r="BX154" s="20"/>
      <c r="BY154" s="20"/>
      <c r="BZ154" s="20"/>
      <c r="CA154" s="20"/>
      <c r="CB154" s="20"/>
      <c r="CC154" s="20"/>
      <c r="CD154" s="20"/>
      <c r="CE154" s="20"/>
      <c r="CF154" s="20"/>
      <c r="CG154" s="20"/>
      <c r="CH154" s="20"/>
      <c r="CI154" s="20"/>
      <c r="CJ154" s="20"/>
      <c r="CK154" s="20"/>
      <c r="CL154" s="20"/>
      <c r="CM154" s="20"/>
      <c r="CN154" s="20"/>
      <c r="CO154" s="20"/>
      <c r="CP154" s="20"/>
      <c r="CQ154" s="20"/>
      <c r="CR154" s="20"/>
      <c r="CS154" s="20"/>
      <c r="CT154" s="20"/>
      <c r="CU154" s="20"/>
      <c r="CV154" s="20"/>
      <c r="CW154" s="20"/>
      <c r="CX154" s="20"/>
      <c r="CY154" s="20"/>
      <c r="CZ154" s="20"/>
      <c r="DA154" s="20"/>
      <c r="DB154" s="20"/>
      <c r="DC154" s="20"/>
      <c r="DD154" s="20"/>
      <c r="DE154" s="20"/>
      <c r="DF154" s="20"/>
      <c r="DG154" s="20"/>
      <c r="DH154" s="20"/>
      <c r="DI154" s="20"/>
      <c r="DJ154" s="20"/>
      <c r="DK154" s="20"/>
      <c r="DL154" s="20"/>
      <c r="DM154" s="20"/>
      <c r="DN154" s="20"/>
      <c r="DO154" s="20"/>
      <c r="DP154" s="20"/>
      <c r="DQ154" s="20"/>
      <c r="DR154" s="20"/>
      <c r="DS154" s="20"/>
      <c r="DT154" s="20"/>
      <c r="DU154" s="20"/>
      <c r="DV154" s="20"/>
      <c r="DW154" s="20"/>
      <c r="DX154" s="20"/>
      <c r="DY154" s="20"/>
      <c r="DZ154" s="20"/>
      <c r="EA154" s="20"/>
    </row>
    <row r="155" spans="2:131" ht="18" customHeight="1">
      <c r="B155" s="707"/>
      <c r="C155" s="707"/>
      <c r="D155" s="707"/>
      <c r="E155" s="707"/>
      <c r="F155" s="707"/>
      <c r="G155" s="707"/>
      <c r="H155" s="707"/>
      <c r="I155" s="707"/>
      <c r="J155" s="707"/>
      <c r="K155" s="707"/>
      <c r="L155" s="19"/>
      <c r="M155" s="20"/>
      <c r="N155" s="20"/>
      <c r="O155" s="20"/>
      <c r="P155" s="20"/>
      <c r="Q155" s="20"/>
      <c r="R155" s="20"/>
      <c r="S155" s="20"/>
      <c r="T155" s="20"/>
      <c r="U155" s="20"/>
      <c r="V155" s="20"/>
      <c r="W155" s="20"/>
      <c r="X155" s="20"/>
      <c r="Y155" s="20"/>
      <c r="Z155" s="20"/>
      <c r="AA155" s="20"/>
      <c r="AB155" s="20"/>
      <c r="AC155" s="20"/>
      <c r="AD155" s="20"/>
      <c r="AE155" s="20"/>
      <c r="AF155" s="20"/>
      <c r="AG155" s="20"/>
      <c r="AH155" s="20"/>
      <c r="AI155" s="20"/>
      <c r="AJ155" s="20"/>
      <c r="AK155" s="20"/>
      <c r="AL155" s="20"/>
      <c r="AM155" s="20"/>
      <c r="AN155" s="20"/>
      <c r="AO155" s="20"/>
      <c r="AP155" s="20"/>
      <c r="AQ155" s="20"/>
      <c r="AR155" s="20"/>
      <c r="AS155" s="20"/>
      <c r="AT155" s="20"/>
      <c r="AU155" s="20"/>
      <c r="AV155" s="20"/>
      <c r="AW155" s="20"/>
      <c r="AX155" s="20"/>
      <c r="AY155" s="20"/>
      <c r="AZ155" s="20"/>
      <c r="BA155" s="20"/>
      <c r="BB155" s="20"/>
      <c r="BC155" s="20"/>
      <c r="BD155" s="20"/>
      <c r="BE155" s="20"/>
      <c r="BF155" s="20"/>
      <c r="BG155" s="20"/>
      <c r="BH155" s="20"/>
      <c r="BI155" s="20"/>
      <c r="BJ155" s="20"/>
      <c r="BK155" s="20"/>
      <c r="BL155" s="20"/>
      <c r="BM155" s="20"/>
      <c r="BN155" s="20"/>
      <c r="BO155" s="20"/>
      <c r="BP155" s="20"/>
      <c r="BQ155" s="20"/>
      <c r="BR155" s="20"/>
      <c r="BS155" s="20"/>
      <c r="BT155" s="20"/>
      <c r="BU155" s="20"/>
      <c r="BV155" s="20"/>
      <c r="BW155" s="20"/>
      <c r="BX155" s="20"/>
      <c r="BY155" s="20"/>
      <c r="BZ155" s="20"/>
      <c r="CA155" s="20"/>
      <c r="CB155" s="20"/>
      <c r="CC155" s="20"/>
      <c r="CD155" s="20"/>
      <c r="CE155" s="20"/>
      <c r="CF155" s="20"/>
      <c r="CG155" s="20"/>
      <c r="CH155" s="20"/>
      <c r="CI155" s="20"/>
      <c r="CJ155" s="20"/>
      <c r="CK155" s="20"/>
      <c r="CL155" s="20"/>
      <c r="CM155" s="20"/>
      <c r="CN155" s="20"/>
      <c r="CO155" s="20"/>
      <c r="CP155" s="20"/>
      <c r="CQ155" s="20"/>
      <c r="CR155" s="20"/>
      <c r="CS155" s="20"/>
      <c r="CT155" s="20"/>
      <c r="CU155" s="20"/>
      <c r="CV155" s="20"/>
      <c r="CW155" s="20"/>
      <c r="CX155" s="20"/>
      <c r="CY155" s="20"/>
      <c r="CZ155" s="20"/>
      <c r="DA155" s="20"/>
      <c r="DB155" s="20"/>
      <c r="DC155" s="20"/>
      <c r="DD155" s="20"/>
      <c r="DE155" s="20"/>
      <c r="DF155" s="20"/>
      <c r="DG155" s="20"/>
      <c r="DH155" s="20"/>
      <c r="DI155" s="20"/>
      <c r="DJ155" s="20"/>
      <c r="DK155" s="20"/>
      <c r="DL155" s="20"/>
      <c r="DM155" s="20"/>
      <c r="DN155" s="20"/>
      <c r="DO155" s="20"/>
      <c r="DP155" s="20"/>
      <c r="DQ155" s="20"/>
      <c r="DR155" s="20"/>
      <c r="DS155" s="20"/>
      <c r="DT155" s="20"/>
      <c r="DU155" s="20"/>
      <c r="DV155" s="20"/>
      <c r="DW155" s="20"/>
      <c r="DX155" s="20"/>
      <c r="DY155" s="20"/>
      <c r="DZ155" s="20"/>
      <c r="EA155" s="20"/>
    </row>
    <row r="156" spans="2:131" ht="18" customHeight="1">
      <c r="B156" s="707"/>
      <c r="C156" s="707"/>
      <c r="D156" s="707"/>
      <c r="E156" s="707"/>
      <c r="F156" s="707"/>
      <c r="G156" s="707"/>
      <c r="H156" s="707"/>
      <c r="I156" s="707"/>
      <c r="J156" s="707"/>
      <c r="K156" s="707"/>
      <c r="L156" s="19"/>
      <c r="M156" s="20"/>
      <c r="N156" s="20"/>
      <c r="O156" s="20"/>
      <c r="P156" s="20"/>
      <c r="Q156" s="20"/>
      <c r="R156" s="20"/>
      <c r="S156" s="20"/>
      <c r="T156" s="20"/>
      <c r="U156" s="20"/>
      <c r="V156" s="20"/>
      <c r="W156" s="20"/>
      <c r="X156" s="20"/>
      <c r="Y156" s="20"/>
      <c r="Z156" s="20"/>
      <c r="AA156" s="20"/>
      <c r="AB156" s="20"/>
      <c r="AC156" s="20"/>
      <c r="AD156" s="20"/>
      <c r="AE156" s="20"/>
      <c r="AF156" s="20"/>
      <c r="AG156" s="20"/>
      <c r="AH156" s="20"/>
      <c r="AI156" s="20"/>
      <c r="AJ156" s="20"/>
      <c r="AK156" s="20"/>
      <c r="AL156" s="20"/>
      <c r="AM156" s="20"/>
      <c r="AN156" s="20"/>
      <c r="AO156" s="20"/>
      <c r="AP156" s="20"/>
      <c r="AQ156" s="20"/>
      <c r="AR156" s="20"/>
      <c r="AS156" s="20"/>
      <c r="AT156" s="20"/>
      <c r="AU156" s="20"/>
      <c r="AV156" s="20"/>
      <c r="AW156" s="20"/>
      <c r="AX156" s="20"/>
      <c r="AY156" s="20"/>
      <c r="AZ156" s="20"/>
      <c r="BA156" s="20"/>
      <c r="BB156" s="20"/>
      <c r="BC156" s="20"/>
      <c r="BD156" s="20"/>
      <c r="BE156" s="20"/>
      <c r="BF156" s="20"/>
      <c r="BG156" s="20"/>
      <c r="BH156" s="20"/>
      <c r="BI156" s="20"/>
      <c r="BJ156" s="20"/>
      <c r="BK156" s="20"/>
      <c r="BL156" s="20"/>
      <c r="BM156" s="20"/>
      <c r="BN156" s="20"/>
      <c r="BO156" s="20"/>
      <c r="BP156" s="20"/>
      <c r="BQ156" s="20"/>
      <c r="BR156" s="20"/>
      <c r="BS156" s="20"/>
      <c r="BT156" s="20"/>
      <c r="BU156" s="20"/>
      <c r="BV156" s="20"/>
      <c r="BW156" s="20"/>
      <c r="BX156" s="20"/>
      <c r="BY156" s="20"/>
      <c r="BZ156" s="20"/>
      <c r="CA156" s="20"/>
      <c r="CB156" s="20"/>
      <c r="CC156" s="20"/>
      <c r="CD156" s="20"/>
      <c r="CE156" s="20"/>
      <c r="CF156" s="20"/>
      <c r="CG156" s="20"/>
      <c r="CH156" s="20"/>
      <c r="CI156" s="20"/>
      <c r="CJ156" s="20"/>
      <c r="CK156" s="20"/>
      <c r="CL156" s="20"/>
      <c r="CM156" s="20"/>
      <c r="CN156" s="20"/>
      <c r="CO156" s="20"/>
      <c r="CP156" s="20"/>
      <c r="CQ156" s="20"/>
      <c r="CR156" s="20"/>
      <c r="CS156" s="20"/>
      <c r="CT156" s="20"/>
      <c r="CU156" s="20"/>
      <c r="CV156" s="20"/>
      <c r="CW156" s="20"/>
      <c r="CX156" s="20"/>
      <c r="CY156" s="20"/>
      <c r="CZ156" s="20"/>
      <c r="DA156" s="20"/>
      <c r="DB156" s="20"/>
      <c r="DC156" s="20"/>
      <c r="DD156" s="20"/>
      <c r="DE156" s="20"/>
      <c r="DF156" s="20"/>
      <c r="DG156" s="20"/>
      <c r="DH156" s="20"/>
      <c r="DI156" s="20"/>
      <c r="DJ156" s="20"/>
      <c r="DK156" s="20"/>
      <c r="DL156" s="20"/>
      <c r="DM156" s="20"/>
      <c r="DN156" s="20"/>
      <c r="DO156" s="20"/>
      <c r="DP156" s="20"/>
      <c r="DQ156" s="20"/>
      <c r="DR156" s="20"/>
      <c r="DS156" s="20"/>
      <c r="DT156" s="20"/>
      <c r="DU156" s="20"/>
      <c r="DV156" s="20"/>
      <c r="DW156" s="20"/>
      <c r="DX156" s="20"/>
      <c r="DY156" s="20"/>
      <c r="DZ156" s="20"/>
      <c r="EA156" s="20"/>
    </row>
    <row r="157" spans="2:131" ht="18" customHeight="1">
      <c r="B157" s="707"/>
      <c r="C157" s="707"/>
      <c r="D157" s="707"/>
      <c r="E157" s="707"/>
      <c r="F157" s="707"/>
      <c r="G157" s="707"/>
      <c r="H157" s="707"/>
      <c r="I157" s="707"/>
      <c r="J157" s="707"/>
      <c r="K157" s="707"/>
      <c r="L157" s="19"/>
      <c r="M157" s="20"/>
      <c r="N157" s="20"/>
      <c r="O157" s="20"/>
      <c r="P157" s="20"/>
      <c r="Q157" s="20"/>
      <c r="R157" s="20"/>
      <c r="S157" s="20"/>
      <c r="T157" s="20"/>
      <c r="U157" s="20"/>
      <c r="V157" s="20"/>
      <c r="W157" s="20"/>
      <c r="X157" s="20"/>
      <c r="Y157" s="20"/>
      <c r="Z157" s="20"/>
      <c r="AA157" s="20"/>
      <c r="AB157" s="20"/>
      <c r="AC157" s="20"/>
      <c r="AD157" s="20"/>
      <c r="AE157" s="20"/>
      <c r="AF157" s="20"/>
      <c r="AG157" s="20"/>
      <c r="AH157" s="20"/>
      <c r="AI157" s="20"/>
      <c r="AJ157" s="20"/>
      <c r="AK157" s="20"/>
      <c r="AL157" s="20"/>
      <c r="AM157" s="20"/>
      <c r="AN157" s="20"/>
      <c r="AO157" s="20"/>
      <c r="AP157" s="20"/>
      <c r="AQ157" s="20"/>
      <c r="AR157" s="20"/>
      <c r="AS157" s="20"/>
      <c r="AT157" s="20"/>
      <c r="AU157" s="20"/>
      <c r="AV157" s="20"/>
      <c r="AW157" s="20"/>
      <c r="AX157" s="20"/>
      <c r="AY157" s="20"/>
      <c r="AZ157" s="20"/>
      <c r="BA157" s="20"/>
      <c r="BB157" s="20"/>
      <c r="BC157" s="20"/>
      <c r="BD157" s="20"/>
      <c r="BE157" s="20"/>
      <c r="BF157" s="20"/>
      <c r="BG157" s="20"/>
      <c r="BH157" s="20"/>
      <c r="BI157" s="20"/>
      <c r="BJ157" s="20"/>
      <c r="BK157" s="20"/>
      <c r="BL157" s="20"/>
      <c r="BM157" s="20"/>
      <c r="BN157" s="20"/>
      <c r="BO157" s="20"/>
      <c r="BP157" s="20"/>
      <c r="BQ157" s="20"/>
      <c r="BR157" s="20"/>
      <c r="BS157" s="20"/>
      <c r="BT157" s="20"/>
      <c r="BU157" s="20"/>
      <c r="BV157" s="20"/>
      <c r="BW157" s="20"/>
      <c r="BX157" s="20"/>
      <c r="BY157" s="20"/>
      <c r="BZ157" s="20"/>
      <c r="CA157" s="20"/>
      <c r="CB157" s="20"/>
      <c r="CC157" s="20"/>
      <c r="CD157" s="20"/>
      <c r="CE157" s="20"/>
      <c r="CF157" s="20"/>
      <c r="CG157" s="20"/>
      <c r="CH157" s="20"/>
      <c r="CI157" s="20"/>
      <c r="CJ157" s="20"/>
      <c r="CK157" s="20"/>
      <c r="CL157" s="20"/>
      <c r="CM157" s="20"/>
      <c r="CN157" s="20"/>
      <c r="CO157" s="20"/>
      <c r="CP157" s="20"/>
      <c r="CQ157" s="20"/>
      <c r="CR157" s="20"/>
      <c r="CS157" s="20"/>
      <c r="CT157" s="20"/>
      <c r="CU157" s="20"/>
      <c r="CV157" s="20"/>
      <c r="CW157" s="20"/>
      <c r="CX157" s="20"/>
      <c r="CY157" s="20"/>
      <c r="CZ157" s="20"/>
      <c r="DA157" s="20"/>
      <c r="DB157" s="20"/>
      <c r="DC157" s="20"/>
      <c r="DD157" s="20"/>
      <c r="DE157" s="20"/>
      <c r="DF157" s="20"/>
      <c r="DG157" s="20"/>
      <c r="DH157" s="20"/>
      <c r="DI157" s="20"/>
      <c r="DJ157" s="20"/>
      <c r="DK157" s="20"/>
      <c r="DL157" s="20"/>
      <c r="DM157" s="20"/>
      <c r="DN157" s="20"/>
      <c r="DO157" s="20"/>
      <c r="DP157" s="20"/>
      <c r="DQ157" s="20"/>
      <c r="DR157" s="20"/>
      <c r="DS157" s="20"/>
      <c r="DT157" s="20"/>
      <c r="DU157" s="20"/>
      <c r="DV157" s="20"/>
      <c r="DW157" s="20"/>
      <c r="DX157" s="20"/>
      <c r="DY157" s="20"/>
      <c r="DZ157" s="20"/>
      <c r="EA157" s="20"/>
    </row>
    <row r="158" spans="2:131" ht="18" customHeight="1">
      <c r="B158" s="707"/>
      <c r="C158" s="707"/>
      <c r="D158" s="707"/>
      <c r="E158" s="707"/>
      <c r="F158" s="707"/>
      <c r="G158" s="707"/>
      <c r="H158" s="707"/>
      <c r="I158" s="707"/>
      <c r="J158" s="707"/>
      <c r="K158" s="707"/>
      <c r="L158" s="19"/>
      <c r="M158" s="20"/>
      <c r="N158" s="20"/>
      <c r="O158" s="20"/>
      <c r="P158" s="20"/>
      <c r="Q158" s="20"/>
      <c r="R158" s="20"/>
      <c r="S158" s="20"/>
      <c r="T158" s="20"/>
      <c r="U158" s="20"/>
      <c r="V158" s="20"/>
      <c r="W158" s="20"/>
      <c r="X158" s="20"/>
      <c r="Y158" s="20"/>
      <c r="Z158" s="20"/>
      <c r="AA158" s="20"/>
      <c r="AB158" s="20"/>
      <c r="AC158" s="20"/>
      <c r="AD158" s="20"/>
      <c r="AE158" s="20"/>
      <c r="AF158" s="20"/>
      <c r="AG158" s="20"/>
      <c r="AH158" s="20"/>
      <c r="AI158" s="20"/>
      <c r="AJ158" s="20"/>
      <c r="AK158" s="20"/>
      <c r="AL158" s="20"/>
      <c r="AM158" s="20"/>
      <c r="AN158" s="20"/>
      <c r="AO158" s="20"/>
      <c r="AP158" s="20"/>
      <c r="AQ158" s="20"/>
      <c r="AR158" s="20"/>
      <c r="AS158" s="20"/>
      <c r="AT158" s="20"/>
      <c r="AU158" s="20"/>
      <c r="AV158" s="20"/>
      <c r="AW158" s="20"/>
      <c r="AX158" s="20"/>
      <c r="AY158" s="20"/>
      <c r="AZ158" s="20"/>
      <c r="BA158" s="20"/>
      <c r="BB158" s="20"/>
      <c r="BC158" s="20"/>
      <c r="BD158" s="20"/>
      <c r="BE158" s="20"/>
      <c r="BF158" s="20"/>
      <c r="BG158" s="20"/>
      <c r="BH158" s="20"/>
      <c r="BI158" s="20"/>
      <c r="BJ158" s="20"/>
      <c r="BK158" s="20"/>
      <c r="BL158" s="20"/>
      <c r="BM158" s="20"/>
      <c r="BN158" s="20"/>
      <c r="BO158" s="20"/>
      <c r="BP158" s="20"/>
      <c r="BQ158" s="20"/>
      <c r="BR158" s="20"/>
      <c r="BS158" s="20"/>
      <c r="BT158" s="20"/>
      <c r="BU158" s="20"/>
      <c r="BV158" s="20"/>
      <c r="BW158" s="20"/>
      <c r="BX158" s="20"/>
      <c r="BY158" s="20"/>
      <c r="BZ158" s="20"/>
      <c r="CA158" s="20"/>
      <c r="CB158" s="20"/>
      <c r="CC158" s="20"/>
      <c r="CD158" s="20"/>
      <c r="CE158" s="20"/>
      <c r="CF158" s="20"/>
      <c r="CG158" s="20"/>
      <c r="CH158" s="20"/>
      <c r="CI158" s="20"/>
      <c r="CJ158" s="20"/>
      <c r="CK158" s="20"/>
      <c r="CL158" s="20"/>
      <c r="CM158" s="20"/>
      <c r="CN158" s="20"/>
      <c r="CO158" s="20"/>
      <c r="CP158" s="20"/>
      <c r="CQ158" s="20"/>
      <c r="CR158" s="20"/>
      <c r="CS158" s="20"/>
      <c r="CT158" s="20"/>
      <c r="CU158" s="20"/>
      <c r="CV158" s="20"/>
      <c r="CW158" s="20"/>
      <c r="CX158" s="20"/>
      <c r="CY158" s="20"/>
      <c r="CZ158" s="20"/>
      <c r="DA158" s="20"/>
      <c r="DB158" s="20"/>
      <c r="DC158" s="20"/>
      <c r="DD158" s="20"/>
      <c r="DE158" s="20"/>
      <c r="DF158" s="20"/>
      <c r="DG158" s="20"/>
      <c r="DH158" s="20"/>
      <c r="DI158" s="20"/>
      <c r="DJ158" s="20"/>
      <c r="DK158" s="20"/>
      <c r="DL158" s="20"/>
      <c r="DM158" s="20"/>
      <c r="DN158" s="20"/>
      <c r="DO158" s="20"/>
      <c r="DP158" s="20"/>
      <c r="DQ158" s="20"/>
      <c r="DR158" s="20"/>
      <c r="DS158" s="20"/>
      <c r="DT158" s="20"/>
      <c r="DU158" s="20"/>
      <c r="DV158" s="20"/>
      <c r="DW158" s="20"/>
      <c r="DX158" s="20"/>
      <c r="DY158" s="20"/>
      <c r="DZ158" s="20"/>
      <c r="EA158" s="20"/>
    </row>
    <row r="159" spans="2:131" ht="18" customHeight="1">
      <c r="B159" s="707"/>
      <c r="C159" s="707"/>
      <c r="D159" s="707"/>
      <c r="E159" s="707"/>
      <c r="F159" s="707"/>
      <c r="G159" s="707"/>
      <c r="H159" s="707"/>
      <c r="I159" s="707"/>
      <c r="J159" s="707"/>
      <c r="K159" s="707"/>
      <c r="L159" s="19"/>
      <c r="M159" s="20"/>
      <c r="N159" s="20"/>
      <c r="O159" s="20"/>
      <c r="P159" s="20"/>
      <c r="Q159" s="20"/>
      <c r="R159" s="20"/>
      <c r="S159" s="20"/>
      <c r="T159" s="20"/>
      <c r="U159" s="20"/>
      <c r="V159" s="20"/>
      <c r="W159" s="20"/>
      <c r="X159" s="20"/>
      <c r="Y159" s="20"/>
      <c r="Z159" s="20"/>
      <c r="AA159" s="20"/>
      <c r="AB159" s="20"/>
      <c r="AC159" s="20"/>
      <c r="AD159" s="20"/>
      <c r="AE159" s="20"/>
      <c r="AF159" s="20"/>
      <c r="AG159" s="20"/>
      <c r="AH159" s="20"/>
      <c r="AI159" s="20"/>
      <c r="AJ159" s="20"/>
      <c r="AK159" s="20"/>
      <c r="AL159" s="20"/>
      <c r="AM159" s="20"/>
      <c r="AN159" s="20"/>
      <c r="AO159" s="20"/>
      <c r="AP159" s="20"/>
      <c r="AQ159" s="20"/>
      <c r="AR159" s="20"/>
      <c r="AS159" s="20"/>
      <c r="AT159" s="20"/>
      <c r="AU159" s="20"/>
      <c r="AV159" s="20"/>
      <c r="AW159" s="20"/>
      <c r="AX159" s="20"/>
      <c r="AY159" s="20"/>
      <c r="AZ159" s="20"/>
      <c r="BA159" s="20"/>
      <c r="BB159" s="20"/>
      <c r="BC159" s="20"/>
      <c r="BD159" s="20"/>
      <c r="BE159" s="20"/>
      <c r="BF159" s="20"/>
      <c r="BG159" s="20"/>
      <c r="BH159" s="20"/>
      <c r="BI159" s="20"/>
      <c r="BJ159" s="20"/>
      <c r="BK159" s="20"/>
      <c r="BL159" s="20"/>
      <c r="BM159" s="20"/>
      <c r="BN159" s="20"/>
      <c r="BO159" s="20"/>
      <c r="BP159" s="20"/>
      <c r="BQ159" s="20"/>
      <c r="BR159" s="20"/>
      <c r="BS159" s="20"/>
      <c r="BT159" s="20"/>
      <c r="BU159" s="20"/>
      <c r="BV159" s="20"/>
      <c r="BW159" s="20"/>
      <c r="BX159" s="20"/>
      <c r="BY159" s="20"/>
      <c r="BZ159" s="20"/>
      <c r="CA159" s="20"/>
      <c r="CB159" s="20"/>
      <c r="CC159" s="20"/>
      <c r="CD159" s="20"/>
      <c r="CE159" s="20"/>
      <c r="CF159" s="20"/>
      <c r="CG159" s="20"/>
      <c r="CH159" s="20"/>
      <c r="CI159" s="20"/>
      <c r="CJ159" s="20"/>
      <c r="CK159" s="20"/>
      <c r="CL159" s="20"/>
      <c r="CM159" s="20"/>
      <c r="CN159" s="20"/>
      <c r="CO159" s="20"/>
      <c r="CP159" s="20"/>
      <c r="CQ159" s="20"/>
      <c r="CR159" s="20"/>
      <c r="CS159" s="20"/>
      <c r="CT159" s="20"/>
      <c r="CU159" s="20"/>
      <c r="CV159" s="20"/>
      <c r="CW159" s="20"/>
      <c r="CX159" s="20"/>
      <c r="CY159" s="20"/>
      <c r="CZ159" s="20"/>
      <c r="DA159" s="20"/>
      <c r="DB159" s="20"/>
      <c r="DC159" s="20"/>
      <c r="DD159" s="20"/>
      <c r="DE159" s="20"/>
      <c r="DF159" s="20"/>
      <c r="DG159" s="20"/>
      <c r="DH159" s="20"/>
      <c r="DI159" s="20"/>
      <c r="DJ159" s="20"/>
      <c r="DK159" s="20"/>
      <c r="DL159" s="20"/>
      <c r="DM159" s="20"/>
      <c r="DN159" s="20"/>
      <c r="DO159" s="20"/>
      <c r="DP159" s="20"/>
      <c r="DQ159" s="20"/>
      <c r="DR159" s="20"/>
      <c r="DS159" s="20"/>
      <c r="DT159" s="20"/>
      <c r="DU159" s="20"/>
      <c r="DV159" s="20"/>
      <c r="DW159" s="20"/>
      <c r="DX159" s="20"/>
      <c r="DY159" s="20"/>
      <c r="DZ159" s="20"/>
      <c r="EA159" s="20"/>
    </row>
    <row r="160" spans="2:131" ht="18" customHeight="1">
      <c r="B160" s="708"/>
      <c r="C160" s="708"/>
      <c r="D160" s="707"/>
      <c r="E160" s="707"/>
      <c r="F160" s="707"/>
      <c r="G160" s="707"/>
      <c r="H160" s="707"/>
      <c r="I160" s="707"/>
      <c r="J160" s="707"/>
      <c r="K160" s="707"/>
      <c r="L160" s="19"/>
      <c r="M160" s="20"/>
      <c r="N160" s="20"/>
      <c r="O160" s="20"/>
      <c r="P160" s="20"/>
      <c r="Q160" s="20"/>
      <c r="R160" s="20"/>
      <c r="S160" s="20"/>
      <c r="T160" s="20"/>
      <c r="U160" s="20"/>
      <c r="V160" s="20"/>
      <c r="W160" s="20"/>
      <c r="X160" s="20"/>
      <c r="Y160" s="20"/>
      <c r="Z160" s="20"/>
      <c r="AA160" s="20"/>
      <c r="AB160" s="20"/>
      <c r="AC160" s="20"/>
      <c r="AD160" s="20"/>
      <c r="AE160" s="20"/>
      <c r="AF160" s="20"/>
      <c r="AG160" s="20"/>
      <c r="AH160" s="20"/>
      <c r="AI160" s="20"/>
      <c r="AJ160" s="20"/>
      <c r="AK160" s="20"/>
      <c r="AL160" s="20"/>
      <c r="AM160" s="20"/>
      <c r="AN160" s="20"/>
      <c r="AO160" s="20"/>
      <c r="AP160" s="20"/>
      <c r="AQ160" s="20"/>
      <c r="AR160" s="20"/>
      <c r="AS160" s="20"/>
      <c r="AT160" s="20"/>
      <c r="AU160" s="20"/>
      <c r="AV160" s="20"/>
      <c r="AW160" s="20"/>
      <c r="AX160" s="20"/>
      <c r="AY160" s="20"/>
      <c r="AZ160" s="20"/>
      <c r="BA160" s="20"/>
      <c r="BB160" s="20"/>
      <c r="BC160" s="20"/>
      <c r="BD160" s="20"/>
      <c r="BE160" s="20"/>
      <c r="BF160" s="20"/>
      <c r="BG160" s="20"/>
      <c r="BH160" s="20"/>
      <c r="BI160" s="20"/>
      <c r="BJ160" s="20"/>
      <c r="BK160" s="20"/>
      <c r="BL160" s="20"/>
      <c r="BM160" s="20"/>
      <c r="BN160" s="20"/>
      <c r="BO160" s="20"/>
      <c r="BP160" s="20"/>
      <c r="BQ160" s="20"/>
      <c r="BR160" s="20"/>
      <c r="BS160" s="20"/>
      <c r="BT160" s="20"/>
      <c r="BU160" s="20"/>
      <c r="BV160" s="20"/>
      <c r="BW160" s="20"/>
      <c r="BX160" s="20"/>
      <c r="BY160" s="20"/>
      <c r="BZ160" s="20"/>
      <c r="CA160" s="20"/>
      <c r="CB160" s="20"/>
      <c r="CC160" s="20"/>
      <c r="CD160" s="20"/>
      <c r="CE160" s="20"/>
      <c r="CF160" s="20"/>
      <c r="CG160" s="20"/>
      <c r="CH160" s="20"/>
      <c r="CI160" s="20"/>
      <c r="CJ160" s="20"/>
      <c r="CK160" s="20"/>
      <c r="CL160" s="20"/>
      <c r="CM160" s="20"/>
      <c r="CN160" s="20"/>
      <c r="CO160" s="20"/>
      <c r="CP160" s="20"/>
      <c r="CQ160" s="20"/>
      <c r="CR160" s="20"/>
      <c r="CS160" s="20"/>
      <c r="CT160" s="20"/>
      <c r="CU160" s="20"/>
      <c r="CV160" s="20"/>
      <c r="CW160" s="20"/>
      <c r="CX160" s="20"/>
      <c r="CY160" s="20"/>
      <c r="CZ160" s="20"/>
      <c r="DA160" s="20"/>
      <c r="DB160" s="20"/>
      <c r="DC160" s="20"/>
      <c r="DD160" s="20"/>
      <c r="DE160" s="20"/>
      <c r="DF160" s="20"/>
      <c r="DG160" s="20"/>
      <c r="DH160" s="20"/>
      <c r="DI160" s="20"/>
      <c r="DJ160" s="20"/>
      <c r="DK160" s="20"/>
      <c r="DL160" s="20"/>
      <c r="DM160" s="20"/>
      <c r="DN160" s="20"/>
      <c r="DO160" s="20"/>
      <c r="DP160" s="20"/>
      <c r="DQ160" s="20"/>
      <c r="DR160" s="20"/>
      <c r="DS160" s="20"/>
      <c r="DT160" s="20"/>
      <c r="DU160" s="20"/>
      <c r="DV160" s="20"/>
      <c r="DW160" s="20"/>
      <c r="DX160" s="20"/>
      <c r="DY160" s="20"/>
      <c r="DZ160" s="20"/>
      <c r="EA160" s="20"/>
    </row>
    <row r="161" spans="2:131" ht="18" customHeight="1">
      <c r="B161" s="708"/>
      <c r="C161" s="708"/>
      <c r="D161" s="707"/>
      <c r="E161" s="707"/>
      <c r="F161" s="707"/>
      <c r="G161" s="707"/>
      <c r="H161" s="707"/>
      <c r="I161" s="707"/>
      <c r="J161" s="707"/>
      <c r="K161" s="707"/>
      <c r="L161" s="19"/>
      <c r="M161" s="20"/>
      <c r="N161" s="20"/>
      <c r="O161" s="20"/>
      <c r="P161" s="20"/>
      <c r="Q161" s="20"/>
      <c r="R161" s="20"/>
      <c r="S161" s="20"/>
      <c r="T161" s="20"/>
      <c r="U161" s="20"/>
      <c r="V161" s="20"/>
      <c r="W161" s="20"/>
      <c r="X161" s="20"/>
      <c r="Y161" s="20"/>
      <c r="Z161" s="20"/>
      <c r="AA161" s="20"/>
      <c r="AB161" s="20"/>
      <c r="AC161" s="20"/>
      <c r="AD161" s="20"/>
      <c r="AE161" s="20"/>
      <c r="AF161" s="20"/>
      <c r="AG161" s="20"/>
      <c r="AH161" s="20"/>
      <c r="AI161" s="20"/>
      <c r="AJ161" s="20"/>
      <c r="AK161" s="20"/>
      <c r="AL161" s="20"/>
      <c r="AM161" s="20"/>
      <c r="AN161" s="20"/>
      <c r="AO161" s="20"/>
      <c r="AP161" s="20"/>
      <c r="AQ161" s="20"/>
      <c r="AR161" s="20"/>
      <c r="AS161" s="20"/>
      <c r="AT161" s="20"/>
      <c r="AU161" s="20"/>
      <c r="AV161" s="20"/>
      <c r="AW161" s="20"/>
      <c r="AX161" s="20"/>
      <c r="AY161" s="20"/>
      <c r="AZ161" s="20"/>
      <c r="BA161" s="20"/>
      <c r="BB161" s="20"/>
      <c r="BC161" s="20"/>
      <c r="BD161" s="20"/>
      <c r="BE161" s="20"/>
      <c r="BF161" s="20"/>
      <c r="BG161" s="20"/>
      <c r="BH161" s="20"/>
      <c r="BI161" s="20"/>
      <c r="BJ161" s="20"/>
      <c r="BK161" s="20"/>
      <c r="BL161" s="20"/>
      <c r="BM161" s="20"/>
      <c r="BN161" s="20"/>
      <c r="BO161" s="20"/>
      <c r="BP161" s="20"/>
      <c r="BQ161" s="20"/>
      <c r="BR161" s="20"/>
      <c r="BS161" s="20"/>
      <c r="BT161" s="20"/>
      <c r="BU161" s="20"/>
      <c r="BV161" s="20"/>
      <c r="BW161" s="20"/>
      <c r="BX161" s="20"/>
      <c r="BY161" s="20"/>
      <c r="BZ161" s="20"/>
      <c r="CA161" s="20"/>
      <c r="CB161" s="20"/>
      <c r="CC161" s="20"/>
      <c r="CD161" s="20"/>
      <c r="CE161" s="20"/>
      <c r="CF161" s="20"/>
      <c r="CG161" s="20"/>
      <c r="CH161" s="20"/>
      <c r="CI161" s="20"/>
      <c r="CJ161" s="20"/>
      <c r="CK161" s="20"/>
      <c r="CL161" s="20"/>
      <c r="CM161" s="20"/>
      <c r="CN161" s="20"/>
      <c r="CO161" s="20"/>
      <c r="CP161" s="20"/>
      <c r="CQ161" s="20"/>
      <c r="CR161" s="20"/>
      <c r="CS161" s="20"/>
      <c r="CT161" s="20"/>
      <c r="CU161" s="20"/>
      <c r="CV161" s="20"/>
      <c r="CW161" s="20"/>
      <c r="CX161" s="20"/>
      <c r="CY161" s="20"/>
      <c r="CZ161" s="20"/>
      <c r="DA161" s="20"/>
      <c r="DB161" s="20"/>
      <c r="DC161" s="20"/>
      <c r="DD161" s="20"/>
      <c r="DE161" s="20"/>
      <c r="DF161" s="20"/>
      <c r="DG161" s="20"/>
      <c r="DH161" s="20"/>
      <c r="DI161" s="20"/>
      <c r="DJ161" s="20"/>
      <c r="DK161" s="20"/>
      <c r="DL161" s="20"/>
      <c r="DM161" s="20"/>
      <c r="DN161" s="20"/>
      <c r="DO161" s="20"/>
      <c r="DP161" s="20"/>
      <c r="DQ161" s="20"/>
      <c r="DR161" s="20"/>
      <c r="DS161" s="20"/>
      <c r="DT161" s="20"/>
      <c r="DU161" s="20"/>
      <c r="DV161" s="20"/>
      <c r="DW161" s="20"/>
      <c r="DX161" s="20"/>
      <c r="DY161" s="20"/>
      <c r="DZ161" s="20"/>
      <c r="EA161" s="20"/>
    </row>
    <row r="162" spans="2:131" ht="18" customHeight="1">
      <c r="B162" s="709"/>
      <c r="C162" s="709"/>
      <c r="D162" s="707"/>
      <c r="E162" s="707"/>
      <c r="F162" s="707"/>
      <c r="G162" s="707"/>
      <c r="H162" s="707"/>
      <c r="I162" s="707"/>
      <c r="J162" s="707"/>
      <c r="K162" s="707"/>
      <c r="L162" s="19"/>
      <c r="M162" s="20"/>
      <c r="N162" s="20"/>
      <c r="O162" s="20"/>
      <c r="P162" s="20"/>
      <c r="Q162" s="20"/>
      <c r="R162" s="20"/>
      <c r="S162" s="20"/>
      <c r="T162" s="20"/>
      <c r="U162" s="20"/>
      <c r="V162" s="20"/>
      <c r="W162" s="20"/>
      <c r="X162" s="20"/>
      <c r="Y162" s="20"/>
      <c r="Z162" s="20"/>
      <c r="AA162" s="20"/>
      <c r="AB162" s="20"/>
      <c r="AC162" s="20"/>
      <c r="AD162" s="20"/>
      <c r="AE162" s="20"/>
      <c r="AF162" s="20"/>
      <c r="AG162" s="20"/>
      <c r="AH162" s="20"/>
      <c r="AI162" s="20"/>
      <c r="AJ162" s="20"/>
      <c r="AK162" s="20"/>
      <c r="AL162" s="20"/>
      <c r="AM162" s="20"/>
      <c r="AN162" s="20"/>
      <c r="AO162" s="20"/>
      <c r="AP162" s="20"/>
      <c r="AQ162" s="20"/>
      <c r="AR162" s="20"/>
      <c r="AS162" s="20"/>
      <c r="AT162" s="20"/>
      <c r="AU162" s="20"/>
      <c r="AV162" s="20"/>
      <c r="AW162" s="20"/>
      <c r="AX162" s="20"/>
      <c r="AY162" s="20"/>
      <c r="AZ162" s="20"/>
      <c r="BA162" s="20"/>
      <c r="BB162" s="20"/>
      <c r="BC162" s="20"/>
      <c r="BD162" s="20"/>
      <c r="BE162" s="20"/>
      <c r="BF162" s="20"/>
      <c r="BG162" s="20"/>
      <c r="BH162" s="20"/>
      <c r="BI162" s="20"/>
      <c r="BJ162" s="20"/>
      <c r="BK162" s="20"/>
      <c r="BL162" s="20"/>
      <c r="BM162" s="20"/>
      <c r="BN162" s="20"/>
      <c r="BO162" s="20"/>
      <c r="BP162" s="20"/>
      <c r="BQ162" s="20"/>
      <c r="BR162" s="20"/>
      <c r="BS162" s="20"/>
      <c r="BT162" s="20"/>
      <c r="BU162" s="20"/>
      <c r="BV162" s="20"/>
      <c r="BW162" s="20"/>
      <c r="BX162" s="20"/>
      <c r="BY162" s="20"/>
      <c r="BZ162" s="20"/>
      <c r="CA162" s="20"/>
      <c r="CB162" s="20"/>
      <c r="CC162" s="20"/>
      <c r="CD162" s="20"/>
      <c r="CE162" s="20"/>
      <c r="CF162" s="20"/>
      <c r="CG162" s="20"/>
      <c r="CH162" s="20"/>
      <c r="CI162" s="20"/>
      <c r="CJ162" s="20"/>
      <c r="CK162" s="20"/>
      <c r="CL162" s="20"/>
      <c r="CM162" s="20"/>
      <c r="CN162" s="20"/>
      <c r="CO162" s="20"/>
      <c r="CP162" s="20"/>
      <c r="CQ162" s="20"/>
      <c r="CR162" s="20"/>
      <c r="CS162" s="20"/>
      <c r="CT162" s="20"/>
      <c r="CU162" s="20"/>
      <c r="CV162" s="20"/>
      <c r="CW162" s="20"/>
      <c r="CX162" s="20"/>
      <c r="CY162" s="20"/>
      <c r="CZ162" s="20"/>
      <c r="DA162" s="20"/>
      <c r="DB162" s="20"/>
      <c r="DC162" s="20"/>
      <c r="DD162" s="20"/>
      <c r="DE162" s="20"/>
      <c r="DF162" s="20"/>
      <c r="DG162" s="20"/>
      <c r="DH162" s="20"/>
      <c r="DI162" s="20"/>
      <c r="DJ162" s="20"/>
      <c r="DK162" s="20"/>
      <c r="DL162" s="20"/>
      <c r="DM162" s="20"/>
      <c r="DN162" s="20"/>
      <c r="DO162" s="20"/>
      <c r="DP162" s="20"/>
      <c r="DQ162" s="20"/>
      <c r="DR162" s="20"/>
      <c r="DS162" s="20"/>
      <c r="DT162" s="20"/>
      <c r="DU162" s="20"/>
      <c r="DV162" s="20"/>
      <c r="DW162" s="20"/>
      <c r="DX162" s="20"/>
      <c r="DY162" s="20"/>
      <c r="DZ162" s="20"/>
      <c r="EA162" s="20"/>
    </row>
    <row r="163" spans="2:131" ht="18" customHeight="1">
      <c r="B163" s="707"/>
      <c r="C163" s="707"/>
      <c r="D163" s="707"/>
      <c r="E163" s="707"/>
      <c r="F163" s="707"/>
      <c r="G163" s="707"/>
      <c r="H163" s="707"/>
      <c r="I163" s="707"/>
      <c r="J163" s="707"/>
      <c r="K163" s="707"/>
      <c r="L163" s="19"/>
      <c r="M163" s="20"/>
      <c r="N163" s="20"/>
      <c r="O163" s="20"/>
      <c r="P163" s="20"/>
      <c r="Q163" s="20"/>
      <c r="R163" s="20"/>
      <c r="S163" s="20"/>
      <c r="T163" s="20"/>
      <c r="U163" s="20"/>
      <c r="V163" s="20"/>
      <c r="W163" s="20"/>
      <c r="X163" s="20"/>
      <c r="Y163" s="20"/>
      <c r="Z163" s="20"/>
      <c r="AA163" s="20"/>
      <c r="AB163" s="20"/>
      <c r="AC163" s="20"/>
      <c r="AD163" s="20"/>
      <c r="AE163" s="20"/>
      <c r="AF163" s="20"/>
      <c r="AG163" s="20"/>
      <c r="AH163" s="20"/>
      <c r="AI163" s="20"/>
      <c r="AJ163" s="20"/>
      <c r="AK163" s="20"/>
      <c r="AL163" s="20"/>
      <c r="AM163" s="20"/>
      <c r="AN163" s="20"/>
      <c r="AO163" s="20"/>
      <c r="AP163" s="20"/>
      <c r="AQ163" s="20"/>
      <c r="AR163" s="20"/>
      <c r="AS163" s="20"/>
      <c r="AT163" s="20"/>
      <c r="AU163" s="20"/>
      <c r="AV163" s="20"/>
      <c r="AW163" s="20"/>
      <c r="AX163" s="20"/>
      <c r="AY163" s="20"/>
      <c r="AZ163" s="20"/>
      <c r="BA163" s="20"/>
      <c r="BB163" s="20"/>
      <c r="BC163" s="20"/>
      <c r="BD163" s="20"/>
      <c r="BE163" s="20"/>
      <c r="BF163" s="20"/>
      <c r="BG163" s="20"/>
      <c r="BH163" s="20"/>
      <c r="BI163" s="20"/>
      <c r="BJ163" s="20"/>
      <c r="BK163" s="20"/>
      <c r="BL163" s="20"/>
      <c r="BM163" s="20"/>
      <c r="BN163" s="20"/>
      <c r="BO163" s="20"/>
      <c r="BP163" s="20"/>
      <c r="BQ163" s="20"/>
      <c r="BR163" s="20"/>
      <c r="BS163" s="20"/>
      <c r="BT163" s="20"/>
      <c r="BU163" s="20"/>
      <c r="BV163" s="20"/>
      <c r="BW163" s="20"/>
      <c r="BX163" s="20"/>
      <c r="BY163" s="20"/>
      <c r="BZ163" s="20"/>
      <c r="CA163" s="20"/>
      <c r="CB163" s="20"/>
      <c r="CC163" s="20"/>
      <c r="CD163" s="20"/>
      <c r="CE163" s="20"/>
      <c r="CF163" s="20"/>
      <c r="CG163" s="20"/>
      <c r="CH163" s="20"/>
      <c r="CI163" s="20"/>
      <c r="CJ163" s="20"/>
      <c r="CK163" s="20"/>
      <c r="CL163" s="20"/>
      <c r="CM163" s="20"/>
      <c r="CN163" s="20"/>
      <c r="CO163" s="20"/>
      <c r="CP163" s="20"/>
      <c r="CQ163" s="20"/>
      <c r="CR163" s="20"/>
      <c r="CS163" s="20"/>
      <c r="CT163" s="20"/>
      <c r="CU163" s="20"/>
      <c r="CV163" s="20"/>
      <c r="CW163" s="20"/>
      <c r="CX163" s="20"/>
      <c r="CY163" s="20"/>
      <c r="CZ163" s="20"/>
      <c r="DA163" s="20"/>
      <c r="DB163" s="20"/>
      <c r="DC163" s="20"/>
      <c r="DD163" s="20"/>
      <c r="DE163" s="20"/>
      <c r="DF163" s="20"/>
      <c r="DG163" s="20"/>
      <c r="DH163" s="20"/>
      <c r="DI163" s="20"/>
      <c r="DJ163" s="20"/>
      <c r="DK163" s="20"/>
      <c r="DL163" s="20"/>
      <c r="DM163" s="20"/>
      <c r="DN163" s="20"/>
      <c r="DO163" s="20"/>
      <c r="DP163" s="20"/>
      <c r="DQ163" s="20"/>
      <c r="DR163" s="20"/>
      <c r="DS163" s="20"/>
      <c r="DT163" s="20"/>
      <c r="DU163" s="20"/>
      <c r="DV163" s="20"/>
      <c r="DW163" s="20"/>
      <c r="DX163" s="20"/>
      <c r="DY163" s="20"/>
      <c r="DZ163" s="20"/>
      <c r="EA163" s="20"/>
    </row>
    <row r="164" spans="2:131" ht="18" customHeight="1">
      <c r="B164" s="707"/>
      <c r="C164" s="707"/>
      <c r="D164" s="707"/>
      <c r="E164" s="707"/>
      <c r="F164" s="707"/>
      <c r="G164" s="707"/>
      <c r="H164" s="707"/>
      <c r="I164" s="707"/>
      <c r="J164" s="707"/>
      <c r="K164" s="707"/>
      <c r="L164" s="19"/>
      <c r="M164" s="20"/>
      <c r="N164" s="20"/>
      <c r="O164" s="20"/>
      <c r="P164" s="20"/>
      <c r="Q164" s="20"/>
      <c r="R164" s="20"/>
      <c r="S164" s="20"/>
      <c r="T164" s="20"/>
      <c r="U164" s="20"/>
      <c r="V164" s="20"/>
      <c r="W164" s="20"/>
      <c r="X164" s="20"/>
      <c r="Y164" s="20"/>
      <c r="Z164" s="20"/>
      <c r="AA164" s="20"/>
      <c r="AB164" s="20"/>
      <c r="AC164" s="20"/>
      <c r="AD164" s="20"/>
      <c r="AE164" s="20"/>
      <c r="AF164" s="20"/>
      <c r="AG164" s="20"/>
      <c r="AH164" s="20"/>
      <c r="AI164" s="20"/>
      <c r="AJ164" s="20"/>
      <c r="AK164" s="20"/>
      <c r="AL164" s="20"/>
      <c r="AM164" s="20"/>
      <c r="AN164" s="20"/>
      <c r="AO164" s="20"/>
      <c r="AP164" s="20"/>
      <c r="AQ164" s="20"/>
      <c r="AR164" s="20"/>
      <c r="AS164" s="20"/>
      <c r="AT164" s="20"/>
      <c r="AU164" s="20"/>
      <c r="AV164" s="20"/>
      <c r="AW164" s="20"/>
      <c r="AX164" s="20"/>
      <c r="AY164" s="20"/>
      <c r="AZ164" s="20"/>
      <c r="BA164" s="20"/>
      <c r="BB164" s="20"/>
      <c r="BC164" s="20"/>
      <c r="BD164" s="20"/>
      <c r="BE164" s="20"/>
      <c r="BF164" s="20"/>
      <c r="BG164" s="20"/>
      <c r="BH164" s="20"/>
      <c r="BI164" s="20"/>
      <c r="BJ164" s="20"/>
      <c r="BK164" s="20"/>
      <c r="BL164" s="20"/>
      <c r="BM164" s="20"/>
      <c r="BN164" s="20"/>
      <c r="BO164" s="20"/>
      <c r="BP164" s="20"/>
      <c r="BQ164" s="20"/>
      <c r="BR164" s="20"/>
      <c r="BS164" s="20"/>
      <c r="BT164" s="20"/>
      <c r="BU164" s="20"/>
      <c r="BV164" s="20"/>
      <c r="BW164" s="20"/>
      <c r="BX164" s="20"/>
      <c r="BY164" s="20"/>
      <c r="BZ164" s="20"/>
      <c r="CA164" s="20"/>
      <c r="CB164" s="20"/>
      <c r="CC164" s="20"/>
      <c r="CD164" s="20"/>
      <c r="CE164" s="20"/>
      <c r="CF164" s="20"/>
      <c r="CG164" s="20"/>
      <c r="CH164" s="20"/>
      <c r="CI164" s="20"/>
      <c r="CJ164" s="20"/>
      <c r="CK164" s="20"/>
      <c r="CL164" s="20"/>
      <c r="CM164" s="20"/>
      <c r="CN164" s="20"/>
      <c r="CO164" s="20"/>
      <c r="CP164" s="20"/>
      <c r="CQ164" s="20"/>
      <c r="CR164" s="20"/>
      <c r="CS164" s="20"/>
      <c r="CT164" s="20"/>
      <c r="CU164" s="20"/>
      <c r="CV164" s="20"/>
      <c r="CW164" s="20"/>
      <c r="CX164" s="20"/>
      <c r="CY164" s="20"/>
      <c r="CZ164" s="20"/>
      <c r="DA164" s="20"/>
      <c r="DB164" s="20"/>
      <c r="DC164" s="20"/>
      <c r="DD164" s="20"/>
      <c r="DE164" s="20"/>
      <c r="DF164" s="20"/>
      <c r="DG164" s="20"/>
      <c r="DH164" s="20"/>
      <c r="DI164" s="20"/>
      <c r="DJ164" s="20"/>
      <c r="DK164" s="20"/>
      <c r="DL164" s="20"/>
      <c r="DM164" s="20"/>
      <c r="DN164" s="20"/>
      <c r="DO164" s="20"/>
      <c r="DP164" s="20"/>
      <c r="DQ164" s="20"/>
      <c r="DR164" s="20"/>
      <c r="DS164" s="20"/>
      <c r="DT164" s="20"/>
      <c r="DU164" s="20"/>
      <c r="DV164" s="20"/>
      <c r="DW164" s="20"/>
      <c r="DX164" s="20"/>
      <c r="DY164" s="20"/>
      <c r="DZ164" s="20"/>
      <c r="EA164" s="20"/>
    </row>
    <row r="165" spans="2:131" ht="18" customHeight="1">
      <c r="B165" s="707"/>
      <c r="C165" s="707"/>
      <c r="D165" s="707"/>
      <c r="E165" s="707"/>
      <c r="F165" s="707"/>
      <c r="G165" s="707"/>
      <c r="H165" s="707"/>
      <c r="I165" s="707"/>
      <c r="J165" s="707"/>
      <c r="K165" s="707"/>
      <c r="L165" s="19"/>
      <c r="M165" s="20"/>
      <c r="N165" s="20"/>
      <c r="O165" s="20"/>
      <c r="P165" s="20"/>
      <c r="Q165" s="20"/>
      <c r="R165" s="20"/>
      <c r="S165" s="20"/>
      <c r="T165" s="20"/>
      <c r="U165" s="20"/>
      <c r="V165" s="20"/>
      <c r="W165" s="20"/>
      <c r="X165" s="20"/>
      <c r="Y165" s="20"/>
      <c r="Z165" s="20"/>
      <c r="AA165" s="20"/>
      <c r="AB165" s="20"/>
      <c r="AC165" s="20"/>
      <c r="AD165" s="20"/>
      <c r="AE165" s="20"/>
      <c r="AF165" s="20"/>
      <c r="AG165" s="20"/>
      <c r="AH165" s="20"/>
      <c r="AI165" s="20"/>
      <c r="AJ165" s="20"/>
      <c r="AK165" s="20"/>
      <c r="AL165" s="20"/>
      <c r="AM165" s="20"/>
      <c r="AN165" s="20"/>
      <c r="AO165" s="20"/>
      <c r="AP165" s="20"/>
      <c r="AQ165" s="20"/>
      <c r="AR165" s="20"/>
      <c r="AS165" s="20"/>
      <c r="AT165" s="20"/>
      <c r="AU165" s="20"/>
      <c r="AV165" s="20"/>
      <c r="AW165" s="20"/>
      <c r="AX165" s="20"/>
      <c r="AY165" s="20"/>
      <c r="AZ165" s="20"/>
      <c r="BA165" s="20"/>
      <c r="BB165" s="20"/>
      <c r="BC165" s="20"/>
      <c r="BD165" s="20"/>
      <c r="BE165" s="20"/>
      <c r="BF165" s="20"/>
      <c r="BG165" s="20"/>
      <c r="BH165" s="20"/>
      <c r="BI165" s="20"/>
      <c r="BJ165" s="20"/>
      <c r="BK165" s="20"/>
      <c r="BL165" s="20"/>
      <c r="BM165" s="20"/>
      <c r="BN165" s="20"/>
      <c r="BO165" s="20"/>
      <c r="BP165" s="20"/>
      <c r="BQ165" s="20"/>
      <c r="BR165" s="20"/>
      <c r="BS165" s="20"/>
      <c r="BT165" s="20"/>
      <c r="BU165" s="20"/>
      <c r="BV165" s="20"/>
      <c r="BW165" s="20"/>
      <c r="BX165" s="20"/>
      <c r="BY165" s="20"/>
      <c r="BZ165" s="20"/>
      <c r="CA165" s="20"/>
      <c r="CB165" s="20"/>
      <c r="CC165" s="20"/>
      <c r="CD165" s="20"/>
      <c r="CE165" s="20"/>
      <c r="CF165" s="20"/>
      <c r="CG165" s="20"/>
      <c r="CH165" s="20"/>
      <c r="CI165" s="20"/>
      <c r="CJ165" s="20"/>
      <c r="CK165" s="20"/>
      <c r="CL165" s="20"/>
      <c r="CM165" s="20"/>
      <c r="CN165" s="20"/>
      <c r="CO165" s="20"/>
      <c r="CP165" s="20"/>
      <c r="CQ165" s="20"/>
      <c r="CR165" s="20"/>
      <c r="CS165" s="20"/>
      <c r="CT165" s="20"/>
      <c r="CU165" s="20"/>
      <c r="CV165" s="20"/>
      <c r="CW165" s="20"/>
      <c r="CX165" s="20"/>
      <c r="CY165" s="20"/>
      <c r="CZ165" s="20"/>
      <c r="DA165" s="20"/>
      <c r="DB165" s="20"/>
      <c r="DC165" s="20"/>
      <c r="DD165" s="20"/>
      <c r="DE165" s="20"/>
      <c r="DF165" s="20"/>
      <c r="DG165" s="20"/>
      <c r="DH165" s="20"/>
      <c r="DI165" s="20"/>
      <c r="DJ165" s="20"/>
      <c r="DK165" s="20"/>
      <c r="DL165" s="20"/>
      <c r="DM165" s="20"/>
      <c r="DN165" s="20"/>
      <c r="DO165" s="20"/>
      <c r="DP165" s="20"/>
      <c r="DQ165" s="20"/>
      <c r="DR165" s="20"/>
      <c r="DS165" s="20"/>
      <c r="DT165" s="20"/>
      <c r="DU165" s="20"/>
      <c r="DV165" s="20"/>
      <c r="DW165" s="20"/>
      <c r="DX165" s="20"/>
      <c r="DY165" s="20"/>
      <c r="DZ165" s="20"/>
      <c r="EA165" s="20"/>
    </row>
    <row r="166" spans="2:131" ht="18" customHeight="1">
      <c r="B166" s="708"/>
      <c r="C166" s="708"/>
      <c r="D166" s="707"/>
      <c r="E166" s="707"/>
      <c r="F166" s="707"/>
      <c r="G166" s="707"/>
      <c r="H166" s="707"/>
      <c r="I166" s="707"/>
      <c r="J166" s="707"/>
      <c r="K166" s="707"/>
      <c r="L166" s="19"/>
      <c r="M166" s="20"/>
      <c r="N166" s="20"/>
      <c r="O166" s="20"/>
      <c r="P166" s="20"/>
      <c r="Q166" s="20"/>
      <c r="R166" s="20"/>
      <c r="S166" s="20"/>
      <c r="T166" s="20"/>
      <c r="U166" s="20"/>
      <c r="V166" s="20"/>
      <c r="W166" s="20"/>
      <c r="X166" s="20"/>
      <c r="Y166" s="20"/>
      <c r="Z166" s="20"/>
      <c r="AA166" s="20"/>
      <c r="AB166" s="20"/>
      <c r="AC166" s="20"/>
      <c r="AD166" s="20"/>
      <c r="AE166" s="20"/>
      <c r="AF166" s="20"/>
      <c r="AG166" s="20"/>
      <c r="AH166" s="20"/>
      <c r="AI166" s="20"/>
      <c r="AJ166" s="20"/>
      <c r="AK166" s="20"/>
      <c r="AL166" s="20"/>
      <c r="AM166" s="20"/>
      <c r="AN166" s="20"/>
      <c r="AO166" s="20"/>
      <c r="AP166" s="20"/>
      <c r="AQ166" s="20"/>
      <c r="AR166" s="20"/>
      <c r="AS166" s="20"/>
      <c r="AT166" s="20"/>
      <c r="AU166" s="20"/>
      <c r="AV166" s="20"/>
      <c r="AW166" s="20"/>
      <c r="AX166" s="20"/>
      <c r="AY166" s="20"/>
      <c r="AZ166" s="20"/>
      <c r="BA166" s="20"/>
      <c r="BB166" s="20"/>
      <c r="BC166" s="20"/>
      <c r="BD166" s="20"/>
      <c r="BE166" s="20"/>
      <c r="BF166" s="20"/>
      <c r="BG166" s="20"/>
      <c r="BH166" s="20"/>
      <c r="BI166" s="20"/>
      <c r="BJ166" s="20"/>
      <c r="BK166" s="20"/>
      <c r="BL166" s="20"/>
      <c r="BM166" s="20"/>
      <c r="BN166" s="20"/>
      <c r="BO166" s="20"/>
      <c r="BP166" s="20"/>
      <c r="BQ166" s="20"/>
      <c r="BR166" s="20"/>
      <c r="BS166" s="20"/>
      <c r="BT166" s="20"/>
      <c r="BU166" s="20"/>
      <c r="BV166" s="20"/>
      <c r="BW166" s="20"/>
      <c r="BX166" s="20"/>
      <c r="BY166" s="20"/>
      <c r="BZ166" s="20"/>
      <c r="CA166" s="20"/>
      <c r="CB166" s="20"/>
      <c r="CC166" s="20"/>
      <c r="CD166" s="20"/>
      <c r="CE166" s="20"/>
      <c r="CF166" s="20"/>
      <c r="CG166" s="20"/>
      <c r="CH166" s="20"/>
      <c r="CI166" s="20"/>
      <c r="CJ166" s="20"/>
      <c r="CK166" s="20"/>
      <c r="CL166" s="20"/>
      <c r="CM166" s="20"/>
      <c r="CN166" s="20"/>
      <c r="CO166" s="20"/>
      <c r="CP166" s="20"/>
      <c r="CQ166" s="20"/>
      <c r="CR166" s="20"/>
      <c r="CS166" s="20"/>
      <c r="CT166" s="20"/>
      <c r="CU166" s="20"/>
      <c r="CV166" s="20"/>
      <c r="CW166" s="20"/>
      <c r="CX166" s="20"/>
      <c r="CY166" s="20"/>
      <c r="CZ166" s="20"/>
      <c r="DA166" s="20"/>
      <c r="DB166" s="20"/>
      <c r="DC166" s="20"/>
      <c r="DD166" s="20"/>
      <c r="DE166" s="20"/>
      <c r="DF166" s="20"/>
      <c r="DG166" s="20"/>
      <c r="DH166" s="20"/>
      <c r="DI166" s="20"/>
      <c r="DJ166" s="20"/>
      <c r="DK166" s="20"/>
      <c r="DL166" s="20"/>
      <c r="DM166" s="20"/>
      <c r="DN166" s="20"/>
      <c r="DO166" s="20"/>
      <c r="DP166" s="20"/>
      <c r="DQ166" s="20"/>
      <c r="DR166" s="20"/>
      <c r="DS166" s="20"/>
      <c r="DT166" s="20"/>
      <c r="DU166" s="20"/>
      <c r="DV166" s="20"/>
      <c r="DW166" s="20"/>
      <c r="DX166" s="20"/>
      <c r="DY166" s="20"/>
      <c r="DZ166" s="20"/>
      <c r="EA166" s="20"/>
    </row>
    <row r="167" spans="2:131" ht="18" customHeight="1">
      <c r="B167" s="707"/>
      <c r="C167" s="707"/>
      <c r="D167" s="707"/>
      <c r="E167" s="707"/>
      <c r="F167" s="707"/>
      <c r="G167" s="707"/>
      <c r="H167" s="707"/>
      <c r="I167" s="707"/>
      <c r="J167" s="707"/>
      <c r="K167" s="707"/>
      <c r="L167" s="19"/>
      <c r="M167" s="20"/>
      <c r="N167" s="20"/>
      <c r="O167" s="20"/>
      <c r="P167" s="20"/>
      <c r="Q167" s="20"/>
      <c r="R167" s="20"/>
      <c r="S167" s="20"/>
      <c r="T167" s="20"/>
      <c r="U167" s="20"/>
      <c r="V167" s="20"/>
      <c r="W167" s="20"/>
      <c r="X167" s="20"/>
      <c r="Y167" s="20"/>
      <c r="Z167" s="20"/>
      <c r="AA167" s="20"/>
      <c r="AB167" s="20"/>
      <c r="AC167" s="20"/>
      <c r="AD167" s="20"/>
      <c r="AE167" s="20"/>
      <c r="AF167" s="20"/>
      <c r="AG167" s="20"/>
      <c r="AH167" s="20"/>
      <c r="AI167" s="20"/>
      <c r="AJ167" s="20"/>
      <c r="AK167" s="20"/>
      <c r="AL167" s="20"/>
      <c r="AM167" s="20"/>
      <c r="AN167" s="20"/>
      <c r="AO167" s="20"/>
      <c r="AP167" s="20"/>
      <c r="AQ167" s="20"/>
      <c r="AR167" s="20"/>
      <c r="AS167" s="20"/>
      <c r="AT167" s="20"/>
      <c r="AU167" s="20"/>
      <c r="AV167" s="20"/>
      <c r="AW167" s="20"/>
      <c r="AX167" s="20"/>
      <c r="AY167" s="20"/>
      <c r="AZ167" s="20"/>
      <c r="BA167" s="20"/>
      <c r="BB167" s="20"/>
      <c r="BC167" s="20"/>
      <c r="BD167" s="20"/>
      <c r="BE167" s="20"/>
      <c r="BF167" s="20"/>
      <c r="BG167" s="20"/>
      <c r="BH167" s="20"/>
      <c r="BI167" s="20"/>
      <c r="BJ167" s="20"/>
      <c r="BK167" s="20"/>
      <c r="BL167" s="20"/>
      <c r="BM167" s="20"/>
      <c r="BN167" s="20"/>
      <c r="BO167" s="20"/>
      <c r="BP167" s="20"/>
      <c r="BQ167" s="20"/>
      <c r="BR167" s="20"/>
      <c r="BS167" s="20"/>
      <c r="BT167" s="20"/>
      <c r="BU167" s="20"/>
      <c r="BV167" s="20"/>
      <c r="BW167" s="20"/>
      <c r="BX167" s="20"/>
      <c r="BY167" s="20"/>
      <c r="BZ167" s="20"/>
      <c r="CA167" s="20"/>
      <c r="CB167" s="20"/>
      <c r="CC167" s="20"/>
      <c r="CD167" s="20"/>
      <c r="CE167" s="20"/>
      <c r="CF167" s="20"/>
      <c r="CG167" s="20"/>
      <c r="CH167" s="20"/>
      <c r="CI167" s="20"/>
      <c r="CJ167" s="20"/>
      <c r="CK167" s="20"/>
      <c r="CL167" s="20"/>
      <c r="CM167" s="20"/>
      <c r="CN167" s="20"/>
      <c r="CO167" s="20"/>
      <c r="CP167" s="20"/>
      <c r="CQ167" s="20"/>
      <c r="CR167" s="20"/>
      <c r="CS167" s="20"/>
      <c r="CT167" s="20"/>
      <c r="CU167" s="20"/>
      <c r="CV167" s="20"/>
      <c r="CW167" s="20"/>
      <c r="CX167" s="20"/>
      <c r="CY167" s="20"/>
      <c r="CZ167" s="20"/>
      <c r="DA167" s="20"/>
      <c r="DB167" s="20"/>
      <c r="DC167" s="20"/>
      <c r="DD167" s="20"/>
      <c r="DE167" s="20"/>
      <c r="DF167" s="20"/>
      <c r="DG167" s="20"/>
      <c r="DH167" s="20"/>
      <c r="DI167" s="20"/>
      <c r="DJ167" s="20"/>
      <c r="DK167" s="20"/>
      <c r="DL167" s="20"/>
      <c r="DM167" s="20"/>
      <c r="DN167" s="20"/>
      <c r="DO167" s="20"/>
      <c r="DP167" s="20"/>
      <c r="DQ167" s="20"/>
      <c r="DR167" s="20"/>
      <c r="DS167" s="20"/>
      <c r="DT167" s="20"/>
      <c r="DU167" s="20"/>
      <c r="DV167" s="20"/>
      <c r="DW167" s="20"/>
      <c r="DX167" s="20"/>
      <c r="DY167" s="20"/>
      <c r="DZ167" s="20"/>
      <c r="EA167" s="20"/>
    </row>
    <row r="168" spans="2:131" ht="18" customHeight="1">
      <c r="B168" s="707"/>
      <c r="C168" s="707"/>
      <c r="D168" s="707"/>
      <c r="E168" s="707"/>
      <c r="F168" s="707"/>
      <c r="G168" s="707"/>
      <c r="H168" s="707"/>
      <c r="I168" s="707"/>
      <c r="J168" s="707"/>
      <c r="K168" s="707"/>
      <c r="L168" s="19"/>
      <c r="M168" s="20"/>
      <c r="N168" s="20"/>
      <c r="O168" s="20"/>
      <c r="P168" s="20"/>
      <c r="Q168" s="20"/>
      <c r="R168" s="20"/>
      <c r="S168" s="20"/>
      <c r="T168" s="20"/>
      <c r="U168" s="20"/>
      <c r="V168" s="20"/>
      <c r="W168" s="20"/>
      <c r="X168" s="20"/>
      <c r="Y168" s="20"/>
      <c r="Z168" s="20"/>
      <c r="AA168" s="20"/>
      <c r="AB168" s="20"/>
      <c r="AC168" s="20"/>
      <c r="AD168" s="20"/>
      <c r="AE168" s="20"/>
      <c r="AF168" s="20"/>
      <c r="AG168" s="20"/>
      <c r="AH168" s="20"/>
      <c r="AI168" s="20"/>
      <c r="AJ168" s="20"/>
      <c r="AK168" s="20"/>
      <c r="AL168" s="20"/>
      <c r="AM168" s="20"/>
      <c r="AN168" s="20"/>
      <c r="AO168" s="20"/>
      <c r="AP168" s="20"/>
      <c r="AQ168" s="20"/>
      <c r="AR168" s="20"/>
      <c r="AS168" s="20"/>
      <c r="AT168" s="20"/>
      <c r="AU168" s="20"/>
      <c r="AV168" s="20"/>
      <c r="AW168" s="20"/>
      <c r="AX168" s="20"/>
      <c r="AY168" s="20"/>
      <c r="AZ168" s="20"/>
      <c r="BA168" s="20"/>
      <c r="BB168" s="20"/>
      <c r="BC168" s="20"/>
      <c r="BD168" s="20"/>
      <c r="BE168" s="20"/>
      <c r="BF168" s="20"/>
      <c r="BG168" s="20"/>
      <c r="BH168" s="20"/>
      <c r="BI168" s="20"/>
      <c r="BJ168" s="20"/>
      <c r="BK168" s="20"/>
      <c r="BL168" s="20"/>
      <c r="BM168" s="20"/>
      <c r="BN168" s="20"/>
      <c r="BO168" s="20"/>
      <c r="BP168" s="20"/>
      <c r="BQ168" s="20"/>
      <c r="BR168" s="20"/>
      <c r="BS168" s="20"/>
      <c r="BT168" s="20"/>
      <c r="BU168" s="20"/>
      <c r="BV168" s="20"/>
      <c r="BW168" s="20"/>
      <c r="BX168" s="20"/>
      <c r="BY168" s="20"/>
      <c r="BZ168" s="20"/>
      <c r="CA168" s="20"/>
      <c r="CB168" s="20"/>
      <c r="CC168" s="20"/>
      <c r="CD168" s="20"/>
      <c r="CE168" s="20"/>
      <c r="CF168" s="20"/>
      <c r="CG168" s="20"/>
      <c r="CH168" s="20"/>
      <c r="CI168" s="20"/>
      <c r="CJ168" s="20"/>
      <c r="CK168" s="20"/>
      <c r="CL168" s="20"/>
      <c r="CM168" s="20"/>
      <c r="CN168" s="20"/>
      <c r="CO168" s="20"/>
      <c r="CP168" s="20"/>
      <c r="CQ168" s="20"/>
      <c r="CR168" s="20"/>
      <c r="CS168" s="20"/>
      <c r="CT168" s="20"/>
      <c r="CU168" s="20"/>
      <c r="CV168" s="20"/>
      <c r="CW168" s="20"/>
      <c r="CX168" s="20"/>
      <c r="CY168" s="20"/>
      <c r="CZ168" s="20"/>
      <c r="DA168" s="20"/>
      <c r="DB168" s="20"/>
      <c r="DC168" s="20"/>
      <c r="DD168" s="20"/>
      <c r="DE168" s="20"/>
      <c r="DF168" s="20"/>
      <c r="DG168" s="20"/>
      <c r="DH168" s="20"/>
      <c r="DI168" s="20"/>
      <c r="DJ168" s="20"/>
      <c r="DK168" s="20"/>
      <c r="DL168" s="20"/>
      <c r="DM168" s="20"/>
      <c r="DN168" s="20"/>
      <c r="DO168" s="20"/>
      <c r="DP168" s="20"/>
      <c r="DQ168" s="20"/>
      <c r="DR168" s="20"/>
      <c r="DS168" s="20"/>
      <c r="DT168" s="20"/>
      <c r="DU168" s="20"/>
      <c r="DV168" s="20"/>
      <c r="DW168" s="20"/>
      <c r="DX168" s="20"/>
      <c r="DY168" s="20"/>
      <c r="DZ168" s="20"/>
      <c r="EA168" s="20"/>
    </row>
    <row r="169" spans="2:131" ht="18" customHeight="1">
      <c r="B169" s="707"/>
      <c r="C169" s="707"/>
      <c r="D169" s="707"/>
      <c r="E169" s="707"/>
      <c r="F169" s="707"/>
      <c r="G169" s="707"/>
      <c r="H169" s="707"/>
      <c r="I169" s="707"/>
      <c r="J169" s="707"/>
      <c r="K169" s="707"/>
      <c r="L169" s="19"/>
      <c r="M169" s="20"/>
      <c r="N169" s="20"/>
      <c r="O169" s="20"/>
      <c r="P169" s="20"/>
      <c r="Q169" s="20"/>
      <c r="R169" s="20"/>
      <c r="S169" s="20"/>
      <c r="T169" s="20"/>
      <c r="U169" s="20"/>
      <c r="V169" s="20"/>
      <c r="W169" s="20"/>
      <c r="X169" s="20"/>
      <c r="Y169" s="20"/>
      <c r="Z169" s="20"/>
      <c r="AA169" s="20"/>
      <c r="AB169" s="20"/>
      <c r="AC169" s="20"/>
      <c r="AD169" s="20"/>
      <c r="AE169" s="20"/>
      <c r="AF169" s="20"/>
      <c r="AG169" s="20"/>
      <c r="AH169" s="20"/>
      <c r="AI169" s="20"/>
      <c r="AJ169" s="20"/>
      <c r="AK169" s="20"/>
      <c r="AL169" s="20"/>
      <c r="AM169" s="20"/>
      <c r="AN169" s="20"/>
      <c r="AO169" s="20"/>
      <c r="AP169" s="20"/>
      <c r="AQ169" s="20"/>
      <c r="AR169" s="20"/>
      <c r="AS169" s="20"/>
      <c r="AT169" s="20"/>
      <c r="AU169" s="20"/>
      <c r="AV169" s="20"/>
      <c r="AW169" s="20"/>
      <c r="AX169" s="20"/>
      <c r="AY169" s="20"/>
      <c r="AZ169" s="20"/>
      <c r="BA169" s="20"/>
      <c r="BB169" s="20"/>
      <c r="BC169" s="20"/>
      <c r="BD169" s="20"/>
      <c r="BE169" s="20"/>
      <c r="BF169" s="20"/>
      <c r="BG169" s="20"/>
      <c r="BH169" s="20"/>
      <c r="BI169" s="20"/>
      <c r="BJ169" s="20"/>
      <c r="BK169" s="20"/>
      <c r="BL169" s="20"/>
      <c r="BM169" s="20"/>
      <c r="BN169" s="20"/>
      <c r="BO169" s="20"/>
      <c r="BP169" s="20"/>
      <c r="BQ169" s="20"/>
      <c r="BR169" s="20"/>
      <c r="BS169" s="20"/>
      <c r="BT169" s="20"/>
      <c r="BU169" s="20"/>
      <c r="BV169" s="20"/>
      <c r="BW169" s="20"/>
      <c r="BX169" s="20"/>
      <c r="BY169" s="20"/>
      <c r="BZ169" s="20"/>
      <c r="CA169" s="20"/>
      <c r="CB169" s="20"/>
      <c r="CC169" s="20"/>
      <c r="CD169" s="20"/>
      <c r="CE169" s="20"/>
      <c r="CF169" s="20"/>
      <c r="CG169" s="20"/>
      <c r="CH169" s="20"/>
      <c r="CI169" s="20"/>
      <c r="CJ169" s="20"/>
      <c r="CK169" s="20"/>
      <c r="CL169" s="20"/>
      <c r="CM169" s="20"/>
      <c r="CN169" s="20"/>
      <c r="CO169" s="20"/>
      <c r="CP169" s="20"/>
      <c r="CQ169" s="20"/>
      <c r="CR169" s="20"/>
      <c r="CS169" s="20"/>
      <c r="CT169" s="20"/>
      <c r="CU169" s="20"/>
      <c r="CV169" s="20"/>
      <c r="CW169" s="20"/>
      <c r="CX169" s="20"/>
      <c r="CY169" s="20"/>
      <c r="CZ169" s="20"/>
      <c r="DA169" s="20"/>
      <c r="DB169" s="20"/>
      <c r="DC169" s="20"/>
      <c r="DD169" s="20"/>
      <c r="DE169" s="20"/>
      <c r="DF169" s="20"/>
      <c r="DG169" s="20"/>
      <c r="DH169" s="20"/>
      <c r="DI169" s="20"/>
      <c r="DJ169" s="20"/>
      <c r="DK169" s="20"/>
      <c r="DL169" s="20"/>
      <c r="DM169" s="20"/>
      <c r="DN169" s="20"/>
      <c r="DO169" s="20"/>
      <c r="DP169" s="20"/>
      <c r="DQ169" s="20"/>
      <c r="DR169" s="20"/>
      <c r="DS169" s="20"/>
      <c r="DT169" s="20"/>
      <c r="DU169" s="20"/>
      <c r="DV169" s="20"/>
      <c r="DW169" s="20"/>
      <c r="DX169" s="20"/>
      <c r="DY169" s="20"/>
      <c r="DZ169" s="20"/>
      <c r="EA169" s="20"/>
    </row>
    <row r="170" spans="2:131" ht="18" customHeight="1">
      <c r="B170" s="707"/>
      <c r="C170" s="707"/>
      <c r="D170" s="707"/>
      <c r="E170" s="707"/>
      <c r="F170" s="707"/>
      <c r="G170" s="707"/>
      <c r="H170" s="707"/>
      <c r="I170" s="707"/>
      <c r="J170" s="707"/>
      <c r="K170" s="707"/>
      <c r="L170" s="19"/>
      <c r="M170" s="20"/>
      <c r="N170" s="20"/>
      <c r="O170" s="20"/>
      <c r="P170" s="20"/>
      <c r="Q170" s="20"/>
      <c r="R170" s="20"/>
      <c r="S170" s="20"/>
      <c r="T170" s="20"/>
      <c r="U170" s="20"/>
      <c r="V170" s="20"/>
      <c r="W170" s="20"/>
      <c r="X170" s="20"/>
      <c r="Y170" s="20"/>
      <c r="Z170" s="20"/>
      <c r="AA170" s="20"/>
      <c r="AB170" s="20"/>
      <c r="AC170" s="20"/>
      <c r="AD170" s="20"/>
      <c r="AE170" s="20"/>
      <c r="AF170" s="20"/>
      <c r="AG170" s="20"/>
      <c r="AH170" s="20"/>
      <c r="AI170" s="20"/>
      <c r="AJ170" s="20"/>
      <c r="AK170" s="20"/>
      <c r="AL170" s="20"/>
      <c r="AM170" s="20"/>
      <c r="AN170" s="20"/>
      <c r="AO170" s="20"/>
      <c r="AP170" s="20"/>
      <c r="AQ170" s="20"/>
      <c r="AR170" s="20"/>
      <c r="AS170" s="20"/>
      <c r="AT170" s="20"/>
      <c r="AU170" s="20"/>
      <c r="AV170" s="20"/>
      <c r="AW170" s="20"/>
      <c r="AX170" s="20"/>
      <c r="AY170" s="20"/>
      <c r="AZ170" s="20"/>
      <c r="BA170" s="20"/>
      <c r="BB170" s="20"/>
      <c r="BC170" s="20"/>
      <c r="BD170" s="20"/>
      <c r="BE170" s="20"/>
      <c r="BF170" s="20"/>
      <c r="BG170" s="20"/>
      <c r="BH170" s="20"/>
      <c r="BI170" s="20"/>
      <c r="BJ170" s="20"/>
      <c r="BK170" s="20"/>
      <c r="BL170" s="20"/>
      <c r="BM170" s="20"/>
      <c r="BN170" s="20"/>
      <c r="BO170" s="20"/>
      <c r="BP170" s="20"/>
      <c r="BQ170" s="20"/>
      <c r="BR170" s="20"/>
      <c r="BS170" s="20"/>
      <c r="BT170" s="20"/>
      <c r="BU170" s="20"/>
      <c r="BV170" s="20"/>
      <c r="BW170" s="20"/>
      <c r="BX170" s="20"/>
      <c r="BY170" s="20"/>
      <c r="BZ170" s="20"/>
      <c r="CA170" s="20"/>
      <c r="CB170" s="20"/>
      <c r="CC170" s="20"/>
      <c r="CD170" s="20"/>
      <c r="CE170" s="20"/>
      <c r="CF170" s="20"/>
      <c r="CG170" s="20"/>
      <c r="CH170" s="20"/>
      <c r="CI170" s="20"/>
      <c r="CJ170" s="20"/>
      <c r="CK170" s="20"/>
      <c r="CL170" s="20"/>
      <c r="CM170" s="20"/>
      <c r="CN170" s="20"/>
      <c r="CO170" s="20"/>
      <c r="CP170" s="20"/>
      <c r="CQ170" s="20"/>
      <c r="CR170" s="20"/>
      <c r="CS170" s="20"/>
      <c r="CT170" s="20"/>
      <c r="CU170" s="20"/>
      <c r="CV170" s="20"/>
      <c r="CW170" s="20"/>
      <c r="CX170" s="20"/>
      <c r="CY170" s="20"/>
      <c r="CZ170" s="20"/>
      <c r="DA170" s="20"/>
      <c r="DB170" s="20"/>
      <c r="DC170" s="20"/>
      <c r="DD170" s="20"/>
      <c r="DE170" s="20"/>
      <c r="DF170" s="20"/>
      <c r="DG170" s="20"/>
      <c r="DH170" s="20"/>
      <c r="DI170" s="20"/>
      <c r="DJ170" s="20"/>
      <c r="DK170" s="20"/>
      <c r="DL170" s="20"/>
      <c r="DM170" s="20"/>
      <c r="DN170" s="20"/>
      <c r="DO170" s="20"/>
      <c r="DP170" s="20"/>
      <c r="DQ170" s="20"/>
      <c r="DR170" s="20"/>
      <c r="DS170" s="20"/>
      <c r="DT170" s="20"/>
      <c r="DU170" s="20"/>
      <c r="DV170" s="20"/>
      <c r="DW170" s="20"/>
      <c r="DX170" s="20"/>
      <c r="DY170" s="20"/>
      <c r="DZ170" s="20"/>
      <c r="EA170" s="20"/>
    </row>
    <row r="171" spans="2:131" ht="18" customHeight="1">
      <c r="B171" s="707"/>
      <c r="C171" s="707"/>
      <c r="D171" s="707"/>
      <c r="E171" s="707"/>
      <c r="F171" s="707"/>
      <c r="G171" s="707"/>
      <c r="H171" s="707"/>
      <c r="I171" s="707"/>
      <c r="J171" s="707"/>
      <c r="K171" s="707"/>
      <c r="L171" s="19"/>
      <c r="M171" s="20"/>
      <c r="N171" s="20"/>
      <c r="O171" s="20"/>
      <c r="P171" s="20"/>
      <c r="Q171" s="20"/>
      <c r="R171" s="20"/>
      <c r="S171" s="20"/>
      <c r="T171" s="20"/>
      <c r="U171" s="20"/>
      <c r="V171" s="20"/>
      <c r="W171" s="20"/>
      <c r="X171" s="20"/>
      <c r="Y171" s="20"/>
      <c r="Z171" s="20"/>
      <c r="AA171" s="20"/>
      <c r="AB171" s="20"/>
      <c r="AC171" s="20"/>
      <c r="AD171" s="20"/>
      <c r="AE171" s="20"/>
      <c r="AF171" s="20"/>
      <c r="AG171" s="20"/>
      <c r="AH171" s="20"/>
      <c r="AI171" s="20"/>
      <c r="AJ171" s="20"/>
      <c r="AK171" s="20"/>
      <c r="AL171" s="20"/>
      <c r="AM171" s="20"/>
      <c r="AN171" s="20"/>
      <c r="AO171" s="20"/>
      <c r="AP171" s="20"/>
      <c r="AQ171" s="20"/>
      <c r="AR171" s="20"/>
      <c r="AS171" s="20"/>
      <c r="AT171" s="20"/>
      <c r="AU171" s="20"/>
      <c r="AV171" s="20"/>
      <c r="AW171" s="20"/>
      <c r="AX171" s="20"/>
      <c r="AY171" s="20"/>
      <c r="AZ171" s="20"/>
      <c r="BA171" s="20"/>
      <c r="BB171" s="20"/>
      <c r="BC171" s="20"/>
      <c r="BD171" s="20"/>
      <c r="BE171" s="20"/>
      <c r="BF171" s="20"/>
      <c r="BG171" s="20"/>
      <c r="BH171" s="20"/>
      <c r="BI171" s="20"/>
      <c r="BJ171" s="20"/>
      <c r="BK171" s="20"/>
      <c r="BL171" s="20"/>
      <c r="BM171" s="20"/>
      <c r="BN171" s="20"/>
      <c r="BO171" s="20"/>
      <c r="BP171" s="20"/>
      <c r="BQ171" s="20"/>
      <c r="BR171" s="20"/>
      <c r="BS171" s="20"/>
      <c r="BT171" s="20"/>
      <c r="BU171" s="20"/>
      <c r="BV171" s="20"/>
      <c r="BW171" s="20"/>
      <c r="BX171" s="20"/>
      <c r="BY171" s="20"/>
      <c r="BZ171" s="20"/>
      <c r="CA171" s="20"/>
      <c r="CB171" s="20"/>
      <c r="CC171" s="20"/>
      <c r="CD171" s="20"/>
      <c r="CE171" s="20"/>
      <c r="CF171" s="20"/>
      <c r="CG171" s="20"/>
      <c r="CH171" s="20"/>
      <c r="CI171" s="20"/>
      <c r="CJ171" s="20"/>
      <c r="CK171" s="20"/>
      <c r="CL171" s="20"/>
      <c r="CM171" s="20"/>
      <c r="CN171" s="20"/>
      <c r="CO171" s="20"/>
      <c r="CP171" s="20"/>
      <c r="CQ171" s="20"/>
      <c r="CR171" s="20"/>
      <c r="CS171" s="20"/>
      <c r="CT171" s="20"/>
      <c r="CU171" s="20"/>
      <c r="CV171" s="20"/>
      <c r="CW171" s="20"/>
      <c r="CX171" s="20"/>
      <c r="CY171" s="20"/>
      <c r="CZ171" s="20"/>
      <c r="DA171" s="20"/>
      <c r="DB171" s="20"/>
      <c r="DC171" s="20"/>
      <c r="DD171" s="20"/>
      <c r="DE171" s="20"/>
      <c r="DF171" s="20"/>
      <c r="DG171" s="20"/>
      <c r="DH171" s="20"/>
      <c r="DI171" s="20"/>
      <c r="DJ171" s="20"/>
      <c r="DK171" s="20"/>
      <c r="DL171" s="20"/>
      <c r="DM171" s="20"/>
      <c r="DN171" s="20"/>
      <c r="DO171" s="20"/>
      <c r="DP171" s="20"/>
      <c r="DQ171" s="20"/>
      <c r="DR171" s="20"/>
      <c r="DS171" s="20"/>
      <c r="DT171" s="20"/>
      <c r="DU171" s="20"/>
      <c r="DV171" s="20"/>
      <c r="DW171" s="20"/>
      <c r="DX171" s="20"/>
      <c r="DY171" s="20"/>
      <c r="DZ171" s="20"/>
      <c r="EA171" s="20"/>
    </row>
    <row r="172" spans="2:131" ht="18" customHeight="1">
      <c r="B172" s="708"/>
      <c r="C172" s="708"/>
      <c r="D172" s="707"/>
      <c r="E172" s="707"/>
      <c r="F172" s="707"/>
      <c r="G172" s="707"/>
      <c r="H172" s="707"/>
      <c r="I172" s="707"/>
      <c r="J172" s="707"/>
      <c r="K172" s="707"/>
      <c r="L172" s="19"/>
      <c r="M172" s="20"/>
      <c r="N172" s="20"/>
      <c r="O172" s="20"/>
      <c r="P172" s="20"/>
      <c r="Q172" s="20"/>
      <c r="R172" s="20"/>
      <c r="S172" s="20"/>
      <c r="T172" s="20"/>
      <c r="U172" s="20"/>
      <c r="V172" s="20"/>
      <c r="W172" s="20"/>
      <c r="X172" s="20"/>
      <c r="Y172" s="20"/>
      <c r="Z172" s="20"/>
      <c r="AA172" s="20"/>
      <c r="AB172" s="20"/>
      <c r="AC172" s="20"/>
      <c r="AD172" s="20"/>
      <c r="AE172" s="20"/>
      <c r="AF172" s="20"/>
      <c r="AG172" s="20"/>
      <c r="AH172" s="20"/>
      <c r="AI172" s="20"/>
      <c r="AJ172" s="20"/>
      <c r="AK172" s="20"/>
      <c r="AL172" s="20"/>
      <c r="AM172" s="20"/>
      <c r="AN172" s="20"/>
      <c r="AO172" s="20"/>
      <c r="AP172" s="20"/>
      <c r="AQ172" s="20"/>
      <c r="AR172" s="20"/>
      <c r="AS172" s="20"/>
      <c r="AT172" s="20"/>
      <c r="AU172" s="20"/>
      <c r="AV172" s="20"/>
      <c r="AW172" s="20"/>
      <c r="AX172" s="20"/>
      <c r="AY172" s="20"/>
      <c r="AZ172" s="20"/>
      <c r="BA172" s="20"/>
      <c r="BB172" s="20"/>
      <c r="BC172" s="20"/>
      <c r="BD172" s="20"/>
      <c r="BE172" s="20"/>
      <c r="BF172" s="20"/>
      <c r="BG172" s="20"/>
      <c r="BH172" s="20"/>
      <c r="BI172" s="20"/>
      <c r="BJ172" s="20"/>
      <c r="BK172" s="20"/>
      <c r="BL172" s="20"/>
      <c r="BM172" s="20"/>
      <c r="BN172" s="20"/>
      <c r="BO172" s="20"/>
      <c r="BP172" s="20"/>
      <c r="BQ172" s="20"/>
      <c r="BR172" s="20"/>
      <c r="BS172" s="20"/>
      <c r="BT172" s="20"/>
      <c r="BU172" s="20"/>
      <c r="BV172" s="20"/>
      <c r="BW172" s="20"/>
      <c r="BX172" s="20"/>
      <c r="BY172" s="20"/>
      <c r="BZ172" s="20"/>
      <c r="CA172" s="20"/>
      <c r="CB172" s="20"/>
      <c r="CC172" s="20"/>
      <c r="CD172" s="20"/>
      <c r="CE172" s="20"/>
      <c r="CF172" s="20"/>
      <c r="CG172" s="20"/>
      <c r="CH172" s="20"/>
      <c r="CI172" s="20"/>
      <c r="CJ172" s="20"/>
      <c r="CK172" s="20"/>
      <c r="CL172" s="20"/>
      <c r="CM172" s="20"/>
      <c r="CN172" s="20"/>
      <c r="CO172" s="20"/>
      <c r="CP172" s="20"/>
      <c r="CQ172" s="20"/>
      <c r="CR172" s="20"/>
      <c r="CS172" s="20"/>
      <c r="CT172" s="20"/>
      <c r="CU172" s="20"/>
      <c r="CV172" s="20"/>
      <c r="CW172" s="20"/>
      <c r="CX172" s="20"/>
      <c r="CY172" s="20"/>
      <c r="CZ172" s="20"/>
      <c r="DA172" s="20"/>
      <c r="DB172" s="20"/>
      <c r="DC172" s="20"/>
      <c r="DD172" s="20"/>
      <c r="DE172" s="20"/>
      <c r="DF172" s="20"/>
      <c r="DG172" s="20"/>
      <c r="DH172" s="20"/>
      <c r="DI172" s="20"/>
      <c r="DJ172" s="20"/>
      <c r="DK172" s="20"/>
      <c r="DL172" s="20"/>
      <c r="DM172" s="20"/>
      <c r="DN172" s="20"/>
      <c r="DO172" s="20"/>
      <c r="DP172" s="20"/>
      <c r="DQ172" s="20"/>
      <c r="DR172" s="20"/>
      <c r="DS172" s="20"/>
      <c r="DT172" s="20"/>
      <c r="DU172" s="20"/>
      <c r="DV172" s="20"/>
      <c r="DW172" s="20"/>
      <c r="DX172" s="20"/>
      <c r="DY172" s="20"/>
      <c r="DZ172" s="20"/>
      <c r="EA172" s="20"/>
    </row>
    <row r="173" spans="2:131" ht="18" customHeight="1">
      <c r="B173" s="707"/>
      <c r="C173" s="707"/>
      <c r="D173" s="707"/>
      <c r="E173" s="707"/>
      <c r="F173" s="707"/>
      <c r="G173" s="707"/>
      <c r="H173" s="707"/>
      <c r="I173" s="707"/>
      <c r="J173" s="707"/>
      <c r="K173" s="707"/>
      <c r="L173" s="19"/>
      <c r="M173" s="20"/>
      <c r="N173" s="20"/>
      <c r="O173" s="20"/>
      <c r="P173" s="20"/>
      <c r="Q173" s="20"/>
      <c r="R173" s="20"/>
      <c r="S173" s="20"/>
      <c r="T173" s="20"/>
      <c r="U173" s="20"/>
      <c r="V173" s="20"/>
      <c r="W173" s="20"/>
      <c r="X173" s="20"/>
      <c r="Y173" s="20"/>
      <c r="Z173" s="20"/>
      <c r="AA173" s="20"/>
      <c r="AB173" s="20"/>
      <c r="AC173" s="20"/>
      <c r="AD173" s="20"/>
      <c r="AE173" s="20"/>
      <c r="AF173" s="20"/>
      <c r="AG173" s="20"/>
      <c r="AH173" s="20"/>
      <c r="AI173" s="20"/>
      <c r="AJ173" s="20"/>
      <c r="AK173" s="20"/>
      <c r="AL173" s="20"/>
      <c r="AM173" s="20"/>
      <c r="AN173" s="20"/>
      <c r="AO173" s="20"/>
      <c r="AP173" s="20"/>
      <c r="AQ173" s="20"/>
      <c r="AR173" s="20"/>
      <c r="AS173" s="20"/>
      <c r="AT173" s="20"/>
      <c r="AU173" s="20"/>
      <c r="AV173" s="20"/>
      <c r="AW173" s="20"/>
      <c r="AX173" s="20"/>
      <c r="AY173" s="20"/>
      <c r="AZ173" s="20"/>
      <c r="BA173" s="20"/>
      <c r="BB173" s="20"/>
      <c r="BC173" s="20"/>
      <c r="BD173" s="20"/>
      <c r="BE173" s="20"/>
      <c r="BF173" s="20"/>
      <c r="BG173" s="20"/>
      <c r="BH173" s="20"/>
      <c r="BI173" s="20"/>
      <c r="BJ173" s="20"/>
      <c r="BK173" s="20"/>
      <c r="BL173" s="20"/>
      <c r="BM173" s="20"/>
      <c r="BN173" s="20"/>
      <c r="BO173" s="20"/>
      <c r="BP173" s="20"/>
      <c r="BQ173" s="20"/>
      <c r="BR173" s="20"/>
      <c r="BS173" s="20"/>
      <c r="BT173" s="20"/>
      <c r="BU173" s="20"/>
      <c r="BV173" s="20"/>
      <c r="BW173" s="20"/>
      <c r="BX173" s="20"/>
      <c r="BY173" s="20"/>
      <c r="BZ173" s="20"/>
      <c r="CA173" s="20"/>
      <c r="CB173" s="20"/>
      <c r="CC173" s="20"/>
      <c r="CD173" s="20"/>
      <c r="CE173" s="20"/>
      <c r="CF173" s="20"/>
      <c r="CG173" s="20"/>
      <c r="CH173" s="20"/>
      <c r="CI173" s="20"/>
      <c r="CJ173" s="20"/>
      <c r="CK173" s="20"/>
      <c r="CL173" s="20"/>
      <c r="CM173" s="20"/>
      <c r="CN173" s="20"/>
      <c r="CO173" s="20"/>
      <c r="CP173" s="20"/>
      <c r="CQ173" s="20"/>
      <c r="CR173" s="20"/>
      <c r="CS173" s="20"/>
      <c r="CT173" s="20"/>
      <c r="CU173" s="20"/>
      <c r="CV173" s="20"/>
      <c r="CW173" s="20"/>
      <c r="CX173" s="20"/>
      <c r="CY173" s="20"/>
      <c r="CZ173" s="20"/>
      <c r="DA173" s="20"/>
      <c r="DB173" s="20"/>
      <c r="DC173" s="20"/>
      <c r="DD173" s="20"/>
      <c r="DE173" s="20"/>
      <c r="DF173" s="20"/>
      <c r="DG173" s="20"/>
      <c r="DH173" s="20"/>
      <c r="DI173" s="20"/>
      <c r="DJ173" s="20"/>
      <c r="DK173" s="20"/>
      <c r="DL173" s="20"/>
      <c r="DM173" s="20"/>
      <c r="DN173" s="20"/>
      <c r="DO173" s="20"/>
      <c r="DP173" s="20"/>
      <c r="DQ173" s="20"/>
      <c r="DR173" s="20"/>
      <c r="DS173" s="20"/>
      <c r="DT173" s="20"/>
      <c r="DU173" s="20"/>
      <c r="DV173" s="20"/>
      <c r="DW173" s="20"/>
      <c r="DX173" s="20"/>
      <c r="DY173" s="20"/>
      <c r="DZ173" s="20"/>
      <c r="EA173" s="20"/>
    </row>
    <row r="174" spans="2:131" ht="18" customHeight="1">
      <c r="B174" s="707"/>
      <c r="C174" s="707"/>
      <c r="D174" s="707"/>
      <c r="E174" s="707"/>
      <c r="F174" s="707"/>
      <c r="G174" s="707"/>
      <c r="H174" s="707"/>
      <c r="I174" s="707"/>
      <c r="J174" s="707"/>
      <c r="K174" s="707"/>
      <c r="L174" s="19"/>
      <c r="M174" s="20"/>
      <c r="N174" s="20"/>
      <c r="O174" s="20"/>
      <c r="P174" s="20"/>
      <c r="Q174" s="20"/>
      <c r="R174" s="20"/>
      <c r="S174" s="20"/>
      <c r="T174" s="20"/>
      <c r="U174" s="20"/>
      <c r="V174" s="20"/>
      <c r="W174" s="20"/>
      <c r="X174" s="20"/>
      <c r="Y174" s="20"/>
      <c r="Z174" s="20"/>
      <c r="AA174" s="20"/>
      <c r="AB174" s="20"/>
      <c r="AC174" s="20"/>
      <c r="AD174" s="20"/>
      <c r="AE174" s="20"/>
      <c r="AF174" s="20"/>
      <c r="AG174" s="20"/>
      <c r="AH174" s="20"/>
      <c r="AI174" s="20"/>
      <c r="AJ174" s="20"/>
      <c r="AK174" s="20"/>
      <c r="AL174" s="20"/>
      <c r="AM174" s="20"/>
      <c r="AN174" s="20"/>
      <c r="AO174" s="20"/>
      <c r="AP174" s="20"/>
      <c r="AQ174" s="20"/>
      <c r="AR174" s="20"/>
      <c r="AS174" s="20"/>
      <c r="AT174" s="20"/>
      <c r="AU174" s="20"/>
      <c r="AV174" s="20"/>
      <c r="AW174" s="20"/>
      <c r="AX174" s="20"/>
      <c r="AY174" s="20"/>
      <c r="AZ174" s="20"/>
      <c r="BA174" s="20"/>
      <c r="BB174" s="20"/>
      <c r="BC174" s="20"/>
      <c r="BD174" s="20"/>
      <c r="BE174" s="20"/>
      <c r="BF174" s="20"/>
      <c r="BG174" s="20"/>
      <c r="BH174" s="20"/>
      <c r="BI174" s="20"/>
      <c r="BJ174" s="20"/>
      <c r="BK174" s="20"/>
      <c r="BL174" s="20"/>
      <c r="BM174" s="20"/>
      <c r="BN174" s="20"/>
      <c r="BO174" s="20"/>
      <c r="BP174" s="20"/>
      <c r="BQ174" s="20"/>
      <c r="BR174" s="20"/>
      <c r="BS174" s="20"/>
      <c r="BT174" s="20"/>
      <c r="BU174" s="20"/>
      <c r="BV174" s="20"/>
      <c r="BW174" s="20"/>
      <c r="BX174" s="20"/>
      <c r="BY174" s="20"/>
      <c r="BZ174" s="20"/>
      <c r="CA174" s="20"/>
      <c r="CB174" s="20"/>
      <c r="CC174" s="20"/>
      <c r="CD174" s="20"/>
      <c r="CE174" s="20"/>
      <c r="CF174" s="20"/>
      <c r="CG174" s="20"/>
      <c r="CH174" s="20"/>
      <c r="CI174" s="20"/>
      <c r="CJ174" s="20"/>
      <c r="CK174" s="20"/>
      <c r="CL174" s="20"/>
      <c r="CM174" s="20"/>
      <c r="CN174" s="20"/>
      <c r="CO174" s="20"/>
      <c r="CP174" s="20"/>
      <c r="CQ174" s="20"/>
      <c r="CR174" s="20"/>
      <c r="CS174" s="20"/>
      <c r="CT174" s="20"/>
      <c r="CU174" s="20"/>
      <c r="CV174" s="20"/>
      <c r="CW174" s="20"/>
      <c r="CX174" s="20"/>
      <c r="CY174" s="20"/>
      <c r="CZ174" s="20"/>
      <c r="DA174" s="20"/>
      <c r="DB174" s="20"/>
      <c r="DC174" s="20"/>
      <c r="DD174" s="20"/>
      <c r="DE174" s="20"/>
      <c r="DF174" s="20"/>
      <c r="DG174" s="20"/>
      <c r="DH174" s="20"/>
      <c r="DI174" s="20"/>
      <c r="DJ174" s="20"/>
      <c r="DK174" s="20"/>
      <c r="DL174" s="20"/>
      <c r="DM174" s="20"/>
      <c r="DN174" s="20"/>
      <c r="DO174" s="20"/>
      <c r="DP174" s="20"/>
      <c r="DQ174" s="20"/>
      <c r="DR174" s="20"/>
      <c r="DS174" s="20"/>
      <c r="DT174" s="20"/>
      <c r="DU174" s="20"/>
      <c r="DV174" s="20"/>
      <c r="DW174" s="20"/>
      <c r="DX174" s="20"/>
      <c r="DY174" s="20"/>
      <c r="DZ174" s="20"/>
      <c r="EA174" s="20"/>
    </row>
    <row r="175" spans="2:131" ht="18" customHeight="1">
      <c r="B175" s="707"/>
      <c r="C175" s="707"/>
      <c r="D175" s="707"/>
      <c r="E175" s="707"/>
      <c r="F175" s="707"/>
      <c r="G175" s="707"/>
      <c r="H175" s="707"/>
      <c r="I175" s="707"/>
      <c r="J175" s="707"/>
      <c r="K175" s="707"/>
      <c r="L175" s="19"/>
      <c r="M175" s="20"/>
      <c r="N175" s="20"/>
      <c r="O175" s="20"/>
      <c r="P175" s="20"/>
      <c r="Q175" s="20"/>
      <c r="R175" s="20"/>
      <c r="S175" s="20"/>
      <c r="T175" s="20"/>
      <c r="U175" s="20"/>
      <c r="V175" s="20"/>
      <c r="W175" s="20"/>
      <c r="X175" s="20"/>
      <c r="Y175" s="20"/>
      <c r="Z175" s="20"/>
      <c r="AA175" s="20"/>
      <c r="AB175" s="20"/>
      <c r="AC175" s="20"/>
      <c r="AD175" s="20"/>
      <c r="AE175" s="20"/>
      <c r="AF175" s="20"/>
      <c r="AG175" s="20"/>
      <c r="AH175" s="20"/>
      <c r="AI175" s="20"/>
      <c r="AJ175" s="20"/>
      <c r="AK175" s="20"/>
      <c r="AL175" s="20"/>
      <c r="AM175" s="20"/>
      <c r="AN175" s="20"/>
      <c r="AO175" s="20"/>
      <c r="AP175" s="20"/>
      <c r="AQ175" s="20"/>
      <c r="AR175" s="20"/>
      <c r="AS175" s="20"/>
      <c r="AT175" s="20"/>
      <c r="AU175" s="20"/>
      <c r="AV175" s="20"/>
      <c r="AW175" s="20"/>
      <c r="AX175" s="20"/>
      <c r="AY175" s="20"/>
      <c r="AZ175" s="20"/>
      <c r="BA175" s="20"/>
      <c r="BB175" s="20"/>
      <c r="BC175" s="20"/>
      <c r="BD175" s="20"/>
      <c r="BE175" s="20"/>
      <c r="BF175" s="20"/>
      <c r="BG175" s="20"/>
      <c r="BH175" s="20"/>
      <c r="BI175" s="20"/>
      <c r="BJ175" s="20"/>
      <c r="BK175" s="20"/>
      <c r="BL175" s="20"/>
      <c r="BM175" s="20"/>
      <c r="BN175" s="20"/>
      <c r="BO175" s="20"/>
      <c r="BP175" s="20"/>
      <c r="BQ175" s="20"/>
      <c r="BR175" s="20"/>
      <c r="BS175" s="20"/>
      <c r="BT175" s="20"/>
      <c r="BU175" s="20"/>
      <c r="BV175" s="20"/>
      <c r="BW175" s="20"/>
      <c r="BX175" s="20"/>
      <c r="BY175" s="20"/>
      <c r="BZ175" s="20"/>
      <c r="CA175" s="20"/>
      <c r="CB175" s="20"/>
      <c r="CC175" s="20"/>
      <c r="CD175" s="20"/>
      <c r="CE175" s="20"/>
      <c r="CF175" s="20"/>
      <c r="CG175" s="20"/>
      <c r="CH175" s="20"/>
      <c r="CI175" s="20"/>
      <c r="CJ175" s="20"/>
      <c r="CK175" s="20"/>
      <c r="CL175" s="20"/>
      <c r="CM175" s="20"/>
      <c r="CN175" s="20"/>
      <c r="CO175" s="20"/>
      <c r="CP175" s="20"/>
      <c r="CQ175" s="20"/>
      <c r="CR175" s="20"/>
      <c r="CS175" s="20"/>
      <c r="CT175" s="20"/>
      <c r="CU175" s="20"/>
      <c r="CV175" s="20"/>
      <c r="CW175" s="20"/>
      <c r="CX175" s="20"/>
      <c r="CY175" s="20"/>
      <c r="CZ175" s="20"/>
      <c r="DA175" s="20"/>
      <c r="DB175" s="20"/>
      <c r="DC175" s="20"/>
      <c r="DD175" s="20"/>
      <c r="DE175" s="20"/>
      <c r="DF175" s="20"/>
      <c r="DG175" s="20"/>
      <c r="DH175" s="20"/>
      <c r="DI175" s="20"/>
      <c r="DJ175" s="20"/>
      <c r="DK175" s="20"/>
      <c r="DL175" s="20"/>
      <c r="DM175" s="20"/>
      <c r="DN175" s="20"/>
      <c r="DO175" s="20"/>
      <c r="DP175" s="20"/>
      <c r="DQ175" s="20"/>
      <c r="DR175" s="20"/>
      <c r="DS175" s="20"/>
      <c r="DT175" s="20"/>
      <c r="DU175" s="20"/>
      <c r="DV175" s="20"/>
      <c r="DW175" s="20"/>
      <c r="DX175" s="20"/>
      <c r="DY175" s="20"/>
      <c r="DZ175" s="20"/>
      <c r="EA175" s="20"/>
    </row>
    <row r="176" spans="2:131" ht="18" customHeight="1">
      <c r="B176" s="707"/>
      <c r="C176" s="707"/>
      <c r="D176" s="707"/>
      <c r="E176" s="707"/>
      <c r="F176" s="707"/>
      <c r="G176" s="707"/>
      <c r="H176" s="707"/>
      <c r="I176" s="707"/>
      <c r="J176" s="707"/>
      <c r="K176" s="707"/>
      <c r="L176" s="19"/>
      <c r="M176" s="20"/>
      <c r="N176" s="20"/>
      <c r="O176" s="20"/>
      <c r="P176" s="20"/>
      <c r="Q176" s="20"/>
      <c r="R176" s="20"/>
      <c r="S176" s="20"/>
      <c r="T176" s="20"/>
      <c r="U176" s="20"/>
      <c r="V176" s="20"/>
      <c r="W176" s="20"/>
      <c r="X176" s="20"/>
      <c r="Y176" s="20"/>
      <c r="Z176" s="20"/>
      <c r="AA176" s="20"/>
      <c r="AB176" s="20"/>
      <c r="AC176" s="20"/>
      <c r="AD176" s="20"/>
      <c r="AE176" s="20"/>
      <c r="AF176" s="20"/>
      <c r="AG176" s="20"/>
      <c r="AH176" s="20"/>
      <c r="AI176" s="20"/>
      <c r="AJ176" s="20"/>
      <c r="AK176" s="20"/>
      <c r="AL176" s="20"/>
      <c r="AM176" s="20"/>
      <c r="AN176" s="20"/>
      <c r="AO176" s="20"/>
      <c r="AP176" s="20"/>
      <c r="AQ176" s="20"/>
      <c r="AR176" s="20"/>
      <c r="AS176" s="20"/>
      <c r="AT176" s="20"/>
      <c r="AU176" s="20"/>
      <c r="AV176" s="20"/>
      <c r="AW176" s="20"/>
      <c r="AX176" s="20"/>
      <c r="AY176" s="20"/>
      <c r="AZ176" s="20"/>
      <c r="BA176" s="20"/>
      <c r="BB176" s="20"/>
      <c r="BC176" s="20"/>
      <c r="BD176" s="20"/>
      <c r="BE176" s="20"/>
      <c r="BF176" s="20"/>
      <c r="BG176" s="20"/>
      <c r="BH176" s="20"/>
      <c r="BI176" s="20"/>
      <c r="BJ176" s="20"/>
      <c r="BK176" s="20"/>
      <c r="BL176" s="20"/>
      <c r="BM176" s="20"/>
      <c r="BN176" s="20"/>
      <c r="BO176" s="20"/>
      <c r="BP176" s="20"/>
      <c r="BQ176" s="20"/>
      <c r="BR176" s="20"/>
      <c r="BS176" s="20"/>
      <c r="BT176" s="20"/>
      <c r="BU176" s="20"/>
      <c r="BV176" s="20"/>
      <c r="BW176" s="20"/>
      <c r="BX176" s="20"/>
      <c r="BY176" s="20"/>
      <c r="BZ176" s="20"/>
      <c r="CA176" s="20"/>
      <c r="CB176" s="20"/>
      <c r="CC176" s="20"/>
      <c r="CD176" s="20"/>
      <c r="CE176" s="20"/>
      <c r="CF176" s="20"/>
      <c r="CG176" s="20"/>
      <c r="CH176" s="20"/>
      <c r="CI176" s="20"/>
      <c r="CJ176" s="20"/>
      <c r="CK176" s="20"/>
      <c r="CL176" s="20"/>
      <c r="CM176" s="20"/>
      <c r="CN176" s="20"/>
      <c r="CO176" s="20"/>
      <c r="CP176" s="20"/>
      <c r="CQ176" s="20"/>
      <c r="CR176" s="20"/>
      <c r="CS176" s="20"/>
      <c r="CT176" s="20"/>
      <c r="CU176" s="20"/>
      <c r="CV176" s="20"/>
      <c r="CW176" s="20"/>
      <c r="CX176" s="20"/>
      <c r="CY176" s="20"/>
      <c r="CZ176" s="20"/>
      <c r="DA176" s="20"/>
      <c r="DB176" s="20"/>
      <c r="DC176" s="20"/>
      <c r="DD176" s="20"/>
      <c r="DE176" s="20"/>
      <c r="DF176" s="20"/>
      <c r="DG176" s="20"/>
      <c r="DH176" s="20"/>
      <c r="DI176" s="20"/>
      <c r="DJ176" s="20"/>
      <c r="DK176" s="20"/>
      <c r="DL176" s="20"/>
      <c r="DM176" s="20"/>
      <c r="DN176" s="20"/>
      <c r="DO176" s="20"/>
      <c r="DP176" s="20"/>
      <c r="DQ176" s="20"/>
      <c r="DR176" s="20"/>
      <c r="DS176" s="20"/>
      <c r="DT176" s="20"/>
      <c r="DU176" s="20"/>
      <c r="DV176" s="20"/>
      <c r="DW176" s="20"/>
      <c r="DX176" s="20"/>
      <c r="DY176" s="20"/>
      <c r="DZ176" s="20"/>
      <c r="EA176" s="20"/>
    </row>
    <row r="177" spans="2:131" ht="18" customHeight="1">
      <c r="B177" s="707"/>
      <c r="C177" s="707"/>
      <c r="D177" s="707"/>
      <c r="E177" s="707"/>
      <c r="F177" s="707"/>
      <c r="G177" s="707"/>
      <c r="H177" s="707"/>
      <c r="I177" s="707"/>
      <c r="J177" s="707"/>
      <c r="K177" s="707"/>
      <c r="L177" s="19"/>
      <c r="M177" s="20"/>
      <c r="N177" s="20"/>
      <c r="O177" s="20"/>
      <c r="P177" s="20"/>
      <c r="Q177" s="20"/>
      <c r="R177" s="20"/>
      <c r="S177" s="20"/>
      <c r="T177" s="20"/>
      <c r="U177" s="20"/>
      <c r="V177" s="20"/>
      <c r="W177" s="20"/>
      <c r="X177" s="20"/>
      <c r="Y177" s="20"/>
      <c r="Z177" s="20"/>
      <c r="AA177" s="20"/>
      <c r="AB177" s="20"/>
      <c r="AC177" s="20"/>
      <c r="AD177" s="20"/>
      <c r="AE177" s="20"/>
      <c r="AF177" s="20"/>
      <c r="AG177" s="20"/>
      <c r="AH177" s="20"/>
      <c r="AI177" s="20"/>
      <c r="AJ177" s="20"/>
      <c r="AK177" s="20"/>
      <c r="AL177" s="20"/>
      <c r="AM177" s="20"/>
      <c r="AN177" s="20"/>
      <c r="AO177" s="20"/>
      <c r="AP177" s="20"/>
      <c r="AQ177" s="20"/>
      <c r="AR177" s="20"/>
      <c r="AS177" s="20"/>
      <c r="AT177" s="20"/>
      <c r="AU177" s="20"/>
      <c r="AV177" s="20"/>
      <c r="AW177" s="20"/>
      <c r="AX177" s="20"/>
      <c r="AY177" s="20"/>
      <c r="AZ177" s="20"/>
      <c r="BA177" s="20"/>
      <c r="BB177" s="20"/>
      <c r="BC177" s="20"/>
      <c r="BD177" s="20"/>
      <c r="BE177" s="20"/>
      <c r="BF177" s="20"/>
      <c r="BG177" s="20"/>
      <c r="BH177" s="20"/>
      <c r="BI177" s="20"/>
      <c r="BJ177" s="20"/>
      <c r="BK177" s="20"/>
      <c r="BL177" s="20"/>
      <c r="BM177" s="20"/>
      <c r="BN177" s="20"/>
      <c r="BO177" s="20"/>
      <c r="BP177" s="20"/>
      <c r="BQ177" s="20"/>
      <c r="BR177" s="20"/>
      <c r="BS177" s="20"/>
      <c r="BT177" s="20"/>
      <c r="BU177" s="20"/>
      <c r="BV177" s="20"/>
      <c r="BW177" s="20"/>
      <c r="BX177" s="20"/>
      <c r="BY177" s="20"/>
      <c r="BZ177" s="20"/>
      <c r="CA177" s="20"/>
      <c r="CB177" s="20"/>
      <c r="CC177" s="20"/>
      <c r="CD177" s="20"/>
      <c r="CE177" s="20"/>
      <c r="CF177" s="20"/>
      <c r="CG177" s="20"/>
      <c r="CH177" s="20"/>
      <c r="CI177" s="20"/>
      <c r="CJ177" s="20"/>
      <c r="CK177" s="20"/>
      <c r="CL177" s="20"/>
      <c r="CM177" s="20"/>
      <c r="CN177" s="20"/>
      <c r="CO177" s="20"/>
      <c r="CP177" s="20"/>
      <c r="CQ177" s="20"/>
      <c r="CR177" s="20"/>
      <c r="CS177" s="20"/>
      <c r="CT177" s="20"/>
      <c r="CU177" s="20"/>
      <c r="CV177" s="20"/>
      <c r="CW177" s="20"/>
      <c r="CX177" s="20"/>
      <c r="CY177" s="20"/>
      <c r="CZ177" s="20"/>
      <c r="DA177" s="20"/>
      <c r="DB177" s="20"/>
      <c r="DC177" s="20"/>
      <c r="DD177" s="20"/>
      <c r="DE177" s="20"/>
      <c r="DF177" s="20"/>
      <c r="DG177" s="20"/>
      <c r="DH177" s="20"/>
      <c r="DI177" s="20"/>
      <c r="DJ177" s="20"/>
      <c r="DK177" s="20"/>
      <c r="DL177" s="20"/>
      <c r="DM177" s="20"/>
      <c r="DN177" s="20"/>
      <c r="DO177" s="20"/>
      <c r="DP177" s="20"/>
      <c r="DQ177" s="20"/>
      <c r="DR177" s="20"/>
      <c r="DS177" s="20"/>
      <c r="DT177" s="20"/>
      <c r="DU177" s="20"/>
      <c r="DV177" s="20"/>
      <c r="DW177" s="20"/>
      <c r="DX177" s="20"/>
      <c r="DY177" s="20"/>
      <c r="DZ177" s="20"/>
      <c r="EA177" s="20"/>
    </row>
    <row r="178" spans="2:131" ht="18" customHeight="1">
      <c r="B178" s="708"/>
      <c r="C178" s="708"/>
      <c r="D178" s="707"/>
      <c r="E178" s="707"/>
      <c r="F178" s="707"/>
      <c r="G178" s="707"/>
      <c r="H178" s="707"/>
      <c r="I178" s="707"/>
      <c r="J178" s="707"/>
      <c r="K178" s="707"/>
      <c r="L178" s="19"/>
      <c r="M178" s="20"/>
      <c r="N178" s="20"/>
      <c r="O178" s="20"/>
      <c r="P178" s="20"/>
      <c r="Q178" s="20"/>
      <c r="R178" s="20"/>
      <c r="S178" s="20"/>
      <c r="T178" s="20"/>
      <c r="U178" s="20"/>
      <c r="V178" s="20"/>
      <c r="W178" s="20"/>
      <c r="X178" s="20"/>
      <c r="Y178" s="20"/>
      <c r="Z178" s="20"/>
      <c r="AA178" s="20"/>
      <c r="AB178" s="20"/>
      <c r="AC178" s="20"/>
      <c r="AD178" s="20"/>
      <c r="AE178" s="20"/>
      <c r="AF178" s="20"/>
      <c r="AG178" s="20"/>
      <c r="AH178" s="20"/>
      <c r="AI178" s="20"/>
      <c r="AJ178" s="20"/>
      <c r="AK178" s="20"/>
      <c r="AL178" s="20"/>
      <c r="AM178" s="20"/>
      <c r="AN178" s="20"/>
      <c r="AO178" s="20"/>
      <c r="AP178" s="20"/>
      <c r="AQ178" s="20"/>
      <c r="AR178" s="20"/>
      <c r="AS178" s="20"/>
      <c r="AT178" s="20"/>
      <c r="AU178" s="20"/>
      <c r="AV178" s="20"/>
      <c r="AW178" s="20"/>
      <c r="AX178" s="20"/>
      <c r="AY178" s="20"/>
      <c r="AZ178" s="20"/>
      <c r="BA178" s="20"/>
      <c r="BB178" s="20"/>
      <c r="BC178" s="20"/>
      <c r="BD178" s="20"/>
      <c r="BE178" s="20"/>
      <c r="BF178" s="20"/>
      <c r="BG178" s="20"/>
      <c r="BH178" s="20"/>
      <c r="BI178" s="20"/>
      <c r="BJ178" s="20"/>
      <c r="BK178" s="20"/>
      <c r="BL178" s="20"/>
      <c r="BM178" s="20"/>
      <c r="BN178" s="20"/>
      <c r="BO178" s="20"/>
      <c r="BP178" s="20"/>
      <c r="BQ178" s="20"/>
      <c r="BR178" s="20"/>
      <c r="BS178" s="20"/>
      <c r="BT178" s="20"/>
      <c r="BU178" s="20"/>
      <c r="BV178" s="20"/>
      <c r="BW178" s="20"/>
      <c r="BX178" s="20"/>
      <c r="BY178" s="20"/>
      <c r="BZ178" s="20"/>
      <c r="CA178" s="20"/>
      <c r="CB178" s="20"/>
      <c r="CC178" s="20"/>
      <c r="CD178" s="20"/>
      <c r="CE178" s="20"/>
      <c r="CF178" s="20"/>
      <c r="CG178" s="20"/>
      <c r="CH178" s="20"/>
      <c r="CI178" s="20"/>
      <c r="CJ178" s="20"/>
      <c r="CK178" s="20"/>
      <c r="CL178" s="20"/>
      <c r="CM178" s="20"/>
      <c r="CN178" s="20"/>
      <c r="CO178" s="20"/>
      <c r="CP178" s="20"/>
      <c r="CQ178" s="20"/>
      <c r="CR178" s="20"/>
      <c r="CS178" s="20"/>
      <c r="CT178" s="20"/>
      <c r="CU178" s="20"/>
      <c r="CV178" s="20"/>
      <c r="CW178" s="20"/>
      <c r="CX178" s="20"/>
      <c r="CY178" s="20"/>
      <c r="CZ178" s="20"/>
      <c r="DA178" s="20"/>
      <c r="DB178" s="20"/>
      <c r="DC178" s="20"/>
      <c r="DD178" s="20"/>
      <c r="DE178" s="20"/>
      <c r="DF178" s="20"/>
      <c r="DG178" s="20"/>
      <c r="DH178" s="20"/>
      <c r="DI178" s="20"/>
      <c r="DJ178" s="20"/>
      <c r="DK178" s="20"/>
      <c r="DL178" s="20"/>
      <c r="DM178" s="20"/>
      <c r="DN178" s="20"/>
      <c r="DO178" s="20"/>
      <c r="DP178" s="20"/>
      <c r="DQ178" s="20"/>
      <c r="DR178" s="20"/>
      <c r="DS178" s="20"/>
      <c r="DT178" s="20"/>
      <c r="DU178" s="20"/>
      <c r="DV178" s="20"/>
      <c r="DW178" s="20"/>
      <c r="DX178" s="20"/>
      <c r="DY178" s="20"/>
      <c r="DZ178" s="20"/>
      <c r="EA178" s="20"/>
    </row>
    <row r="179" spans="2:131" ht="18" customHeight="1">
      <c r="B179" s="707"/>
      <c r="C179" s="707"/>
      <c r="D179" s="707"/>
      <c r="E179" s="707"/>
      <c r="F179" s="707"/>
      <c r="G179" s="707"/>
      <c r="H179" s="707"/>
      <c r="I179" s="707"/>
      <c r="J179" s="707"/>
      <c r="K179" s="707"/>
      <c r="L179" s="19"/>
      <c r="M179" s="20"/>
      <c r="N179" s="20"/>
      <c r="O179" s="20"/>
      <c r="P179" s="20"/>
      <c r="Q179" s="20"/>
      <c r="R179" s="20"/>
      <c r="S179" s="20"/>
      <c r="T179" s="20"/>
      <c r="U179" s="20"/>
      <c r="V179" s="20"/>
      <c r="W179" s="20"/>
      <c r="X179" s="20"/>
      <c r="Y179" s="20"/>
      <c r="Z179" s="20"/>
      <c r="AA179" s="20"/>
      <c r="AB179" s="20"/>
      <c r="AC179" s="20"/>
      <c r="AD179" s="20"/>
      <c r="AE179" s="20"/>
      <c r="AF179" s="20"/>
      <c r="AG179" s="20"/>
      <c r="AH179" s="20"/>
      <c r="AI179" s="20"/>
      <c r="AJ179" s="20"/>
      <c r="AK179" s="20"/>
      <c r="AL179" s="20"/>
      <c r="AM179" s="20"/>
      <c r="AN179" s="20"/>
      <c r="AO179" s="20"/>
      <c r="AP179" s="20"/>
      <c r="AQ179" s="20"/>
      <c r="AR179" s="20"/>
      <c r="AS179" s="20"/>
      <c r="AT179" s="20"/>
      <c r="AU179" s="20"/>
      <c r="AV179" s="20"/>
      <c r="AW179" s="20"/>
      <c r="AX179" s="20"/>
      <c r="AY179" s="20"/>
      <c r="AZ179" s="20"/>
      <c r="BA179" s="20"/>
      <c r="BB179" s="20"/>
      <c r="BC179" s="20"/>
      <c r="BD179" s="20"/>
      <c r="BE179" s="20"/>
      <c r="BF179" s="20"/>
      <c r="BG179" s="20"/>
      <c r="BH179" s="20"/>
      <c r="BI179" s="20"/>
      <c r="BJ179" s="20"/>
      <c r="BK179" s="20"/>
      <c r="BL179" s="20"/>
      <c r="BM179" s="20"/>
      <c r="BN179" s="20"/>
      <c r="BO179" s="20"/>
      <c r="BP179" s="20"/>
      <c r="BQ179" s="20"/>
      <c r="BR179" s="20"/>
      <c r="BS179" s="20"/>
      <c r="BT179" s="20"/>
      <c r="BU179" s="20"/>
      <c r="BV179" s="20"/>
      <c r="BW179" s="20"/>
      <c r="BX179" s="20"/>
      <c r="BY179" s="20"/>
      <c r="BZ179" s="20"/>
      <c r="CA179" s="20"/>
      <c r="CB179" s="20"/>
      <c r="CC179" s="20"/>
      <c r="CD179" s="20"/>
      <c r="CE179" s="20"/>
      <c r="CF179" s="20"/>
      <c r="CG179" s="20"/>
      <c r="CH179" s="20"/>
      <c r="CI179" s="20"/>
      <c r="CJ179" s="20"/>
      <c r="CK179" s="20"/>
      <c r="CL179" s="20"/>
      <c r="CM179" s="20"/>
      <c r="CN179" s="20"/>
      <c r="CO179" s="20"/>
      <c r="CP179" s="20"/>
      <c r="CQ179" s="20"/>
      <c r="CR179" s="20"/>
      <c r="CS179" s="20"/>
      <c r="CT179" s="20"/>
      <c r="CU179" s="20"/>
      <c r="CV179" s="20"/>
      <c r="CW179" s="20"/>
      <c r="CX179" s="20"/>
      <c r="CY179" s="20"/>
      <c r="CZ179" s="20"/>
      <c r="DA179" s="20"/>
      <c r="DB179" s="20"/>
      <c r="DC179" s="20"/>
      <c r="DD179" s="20"/>
      <c r="DE179" s="20"/>
      <c r="DF179" s="20"/>
      <c r="DG179" s="20"/>
      <c r="DH179" s="20"/>
      <c r="DI179" s="20"/>
      <c r="DJ179" s="20"/>
      <c r="DK179" s="20"/>
      <c r="DL179" s="20"/>
      <c r="DM179" s="20"/>
      <c r="DN179" s="20"/>
      <c r="DO179" s="20"/>
      <c r="DP179" s="20"/>
      <c r="DQ179" s="20"/>
      <c r="DR179" s="20"/>
      <c r="DS179" s="20"/>
      <c r="DT179" s="20"/>
      <c r="DU179" s="20"/>
      <c r="DV179" s="20"/>
      <c r="DW179" s="20"/>
      <c r="DX179" s="20"/>
      <c r="DY179" s="20"/>
      <c r="DZ179" s="20"/>
      <c r="EA179" s="20"/>
    </row>
    <row r="180" spans="2:131" ht="18" customHeight="1">
      <c r="B180" s="707"/>
      <c r="C180" s="707"/>
      <c r="D180" s="707"/>
      <c r="E180" s="707"/>
      <c r="F180" s="707"/>
      <c r="G180" s="707"/>
      <c r="H180" s="707"/>
      <c r="I180" s="707"/>
      <c r="J180" s="707"/>
      <c r="K180" s="707"/>
      <c r="L180" s="19"/>
      <c r="M180" s="20"/>
      <c r="N180" s="20"/>
      <c r="O180" s="20"/>
      <c r="P180" s="20"/>
      <c r="Q180" s="20"/>
      <c r="R180" s="20"/>
      <c r="S180" s="20"/>
      <c r="T180" s="20"/>
      <c r="U180" s="20"/>
      <c r="V180" s="20"/>
      <c r="W180" s="20"/>
      <c r="X180" s="20"/>
      <c r="Y180" s="20"/>
      <c r="Z180" s="20"/>
      <c r="AA180" s="20"/>
      <c r="AB180" s="20"/>
      <c r="AC180" s="20"/>
      <c r="AD180" s="20"/>
      <c r="AE180" s="20"/>
      <c r="AF180" s="20"/>
      <c r="AG180" s="20"/>
      <c r="AH180" s="20"/>
      <c r="AI180" s="20"/>
      <c r="AJ180" s="20"/>
      <c r="AK180" s="20"/>
      <c r="AL180" s="20"/>
      <c r="AM180" s="20"/>
      <c r="AN180" s="20"/>
      <c r="AO180" s="20"/>
      <c r="AP180" s="20"/>
      <c r="AQ180" s="20"/>
      <c r="AR180" s="20"/>
      <c r="AS180" s="20"/>
      <c r="AT180" s="20"/>
      <c r="AU180" s="20"/>
      <c r="AV180" s="20"/>
      <c r="AW180" s="20"/>
      <c r="AX180" s="20"/>
      <c r="AY180" s="20"/>
      <c r="AZ180" s="20"/>
      <c r="BA180" s="20"/>
      <c r="BB180" s="20"/>
      <c r="BC180" s="20"/>
      <c r="BD180" s="20"/>
      <c r="BE180" s="20"/>
      <c r="BF180" s="20"/>
      <c r="BG180" s="20"/>
      <c r="BH180" s="20"/>
      <c r="BI180" s="20"/>
      <c r="BJ180" s="20"/>
      <c r="BK180" s="20"/>
      <c r="BL180" s="20"/>
      <c r="BM180" s="20"/>
      <c r="BN180" s="20"/>
      <c r="BO180" s="20"/>
      <c r="BP180" s="20"/>
      <c r="BQ180" s="20"/>
      <c r="BR180" s="20"/>
      <c r="BS180" s="20"/>
      <c r="BT180" s="20"/>
      <c r="BU180" s="20"/>
      <c r="BV180" s="20"/>
      <c r="BW180" s="20"/>
      <c r="BX180" s="20"/>
      <c r="BY180" s="20"/>
      <c r="BZ180" s="20"/>
      <c r="CA180" s="20"/>
      <c r="CB180" s="20"/>
      <c r="CC180" s="20"/>
      <c r="CD180" s="20"/>
      <c r="CE180" s="20"/>
      <c r="CF180" s="20"/>
      <c r="CG180" s="20"/>
      <c r="CH180" s="20"/>
      <c r="CI180" s="20"/>
      <c r="CJ180" s="20"/>
      <c r="CK180" s="20"/>
      <c r="CL180" s="20"/>
      <c r="CM180" s="20"/>
      <c r="CN180" s="20"/>
      <c r="CO180" s="20"/>
      <c r="CP180" s="20"/>
      <c r="CQ180" s="20"/>
      <c r="CR180" s="20"/>
      <c r="CS180" s="20"/>
      <c r="CT180" s="20"/>
      <c r="CU180" s="20"/>
      <c r="CV180" s="20"/>
      <c r="CW180" s="20"/>
      <c r="CX180" s="20"/>
      <c r="CY180" s="20"/>
      <c r="CZ180" s="20"/>
      <c r="DA180" s="20"/>
      <c r="DB180" s="20"/>
      <c r="DC180" s="20"/>
      <c r="DD180" s="20"/>
      <c r="DE180" s="20"/>
      <c r="DF180" s="20"/>
      <c r="DG180" s="20"/>
      <c r="DH180" s="20"/>
      <c r="DI180" s="20"/>
      <c r="DJ180" s="20"/>
      <c r="DK180" s="20"/>
      <c r="DL180" s="20"/>
      <c r="DM180" s="20"/>
      <c r="DN180" s="20"/>
      <c r="DO180" s="20"/>
      <c r="DP180" s="20"/>
      <c r="DQ180" s="20"/>
      <c r="DR180" s="20"/>
      <c r="DS180" s="20"/>
      <c r="DT180" s="20"/>
      <c r="DU180" s="20"/>
      <c r="DV180" s="20"/>
      <c r="DW180" s="20"/>
      <c r="DX180" s="20"/>
      <c r="DY180" s="20"/>
      <c r="DZ180" s="20"/>
      <c r="EA180" s="20"/>
    </row>
    <row r="181" spans="2:131" ht="18" customHeight="1">
      <c r="B181" s="707"/>
      <c r="C181" s="707"/>
      <c r="D181" s="707"/>
      <c r="E181" s="707"/>
      <c r="F181" s="707"/>
      <c r="G181" s="707"/>
      <c r="H181" s="707"/>
      <c r="I181" s="707"/>
      <c r="J181" s="707"/>
      <c r="K181" s="707"/>
      <c r="L181" s="19"/>
      <c r="M181" s="20"/>
      <c r="N181" s="20"/>
      <c r="O181" s="20"/>
      <c r="P181" s="20"/>
      <c r="Q181" s="20"/>
      <c r="R181" s="20"/>
      <c r="S181" s="20"/>
      <c r="T181" s="20"/>
      <c r="U181" s="20"/>
      <c r="V181" s="20"/>
      <c r="W181" s="20"/>
      <c r="X181" s="20"/>
      <c r="Y181" s="20"/>
      <c r="Z181" s="20"/>
      <c r="AA181" s="20"/>
      <c r="AB181" s="20"/>
      <c r="AC181" s="20"/>
      <c r="AD181" s="20"/>
      <c r="AE181" s="20"/>
      <c r="AF181" s="20"/>
      <c r="AG181" s="20"/>
      <c r="AH181" s="20"/>
      <c r="AI181" s="20"/>
      <c r="AJ181" s="20"/>
      <c r="AK181" s="20"/>
      <c r="AL181" s="20"/>
      <c r="AM181" s="20"/>
      <c r="AN181" s="20"/>
      <c r="AO181" s="20"/>
      <c r="AP181" s="20"/>
      <c r="AQ181" s="20"/>
      <c r="AR181" s="20"/>
      <c r="AS181" s="20"/>
      <c r="AT181" s="20"/>
      <c r="AU181" s="20"/>
      <c r="AV181" s="20"/>
      <c r="AW181" s="20"/>
      <c r="AX181" s="20"/>
      <c r="AY181" s="20"/>
      <c r="AZ181" s="20"/>
      <c r="BA181" s="20"/>
      <c r="BB181" s="20"/>
      <c r="BC181" s="20"/>
      <c r="BD181" s="20"/>
      <c r="BE181" s="20"/>
      <c r="BF181" s="20"/>
      <c r="BG181" s="20"/>
      <c r="BH181" s="20"/>
      <c r="BI181" s="20"/>
      <c r="BJ181" s="20"/>
      <c r="BK181" s="20"/>
      <c r="BL181" s="20"/>
      <c r="BM181" s="20"/>
      <c r="BN181" s="20"/>
      <c r="BO181" s="20"/>
      <c r="BP181" s="20"/>
      <c r="BQ181" s="20"/>
      <c r="BR181" s="20"/>
      <c r="BS181" s="20"/>
      <c r="BT181" s="20"/>
      <c r="BU181" s="20"/>
      <c r="BV181" s="20"/>
      <c r="BW181" s="20"/>
      <c r="BX181" s="20"/>
      <c r="BY181" s="20"/>
      <c r="BZ181" s="20"/>
      <c r="CA181" s="20"/>
      <c r="CB181" s="20"/>
      <c r="CC181" s="20"/>
      <c r="CD181" s="20"/>
      <c r="CE181" s="20"/>
      <c r="CF181" s="20"/>
      <c r="CG181" s="20"/>
      <c r="CH181" s="20"/>
      <c r="CI181" s="20"/>
      <c r="CJ181" s="20"/>
      <c r="CK181" s="20"/>
      <c r="CL181" s="20"/>
      <c r="CM181" s="20"/>
      <c r="CN181" s="20"/>
      <c r="CO181" s="20"/>
      <c r="CP181" s="20"/>
      <c r="CQ181" s="20"/>
      <c r="CR181" s="20"/>
      <c r="CS181" s="20"/>
      <c r="CT181" s="20"/>
      <c r="CU181" s="20"/>
      <c r="CV181" s="20"/>
      <c r="CW181" s="20"/>
      <c r="CX181" s="20"/>
      <c r="CY181" s="20"/>
      <c r="CZ181" s="20"/>
      <c r="DA181" s="20"/>
      <c r="DB181" s="20"/>
      <c r="DC181" s="20"/>
      <c r="DD181" s="20"/>
      <c r="DE181" s="20"/>
      <c r="DF181" s="20"/>
      <c r="DG181" s="20"/>
      <c r="DH181" s="20"/>
      <c r="DI181" s="20"/>
      <c r="DJ181" s="20"/>
      <c r="DK181" s="20"/>
      <c r="DL181" s="20"/>
      <c r="DM181" s="20"/>
      <c r="DN181" s="20"/>
      <c r="DO181" s="20"/>
      <c r="DP181" s="20"/>
      <c r="DQ181" s="20"/>
      <c r="DR181" s="20"/>
      <c r="DS181" s="20"/>
      <c r="DT181" s="20"/>
      <c r="DU181" s="20"/>
      <c r="DV181" s="20"/>
      <c r="DW181" s="20"/>
      <c r="DX181" s="20"/>
      <c r="DY181" s="20"/>
      <c r="DZ181" s="20"/>
      <c r="EA181" s="20"/>
    </row>
    <row r="182" spans="2:131" ht="18" customHeight="1">
      <c r="B182" s="707"/>
      <c r="C182" s="707"/>
      <c r="D182" s="707"/>
      <c r="E182" s="707"/>
      <c r="F182" s="707"/>
      <c r="G182" s="707"/>
      <c r="H182" s="707"/>
      <c r="I182" s="707"/>
      <c r="J182" s="707"/>
      <c r="K182" s="707"/>
      <c r="L182" s="19"/>
      <c r="M182" s="20"/>
      <c r="N182" s="20"/>
      <c r="O182" s="20"/>
      <c r="P182" s="20"/>
      <c r="Q182" s="20"/>
      <c r="R182" s="20"/>
      <c r="S182" s="20"/>
      <c r="T182" s="20"/>
      <c r="U182" s="20"/>
      <c r="V182" s="20"/>
      <c r="W182" s="20"/>
      <c r="X182" s="20"/>
      <c r="Y182" s="20"/>
      <c r="Z182" s="20"/>
      <c r="AA182" s="20"/>
      <c r="AB182" s="20"/>
      <c r="AC182" s="20"/>
      <c r="AD182" s="20"/>
      <c r="AE182" s="20"/>
      <c r="AF182" s="20"/>
      <c r="AG182" s="20"/>
      <c r="AH182" s="20"/>
      <c r="AI182" s="20"/>
      <c r="AJ182" s="20"/>
      <c r="AK182" s="20"/>
      <c r="AL182" s="20"/>
      <c r="AM182" s="20"/>
      <c r="AN182" s="20"/>
      <c r="AO182" s="20"/>
      <c r="AP182" s="20"/>
      <c r="AQ182" s="20"/>
      <c r="AR182" s="20"/>
      <c r="AS182" s="20"/>
      <c r="AT182" s="20"/>
      <c r="AU182" s="20"/>
      <c r="AV182" s="20"/>
      <c r="AW182" s="20"/>
      <c r="AX182" s="20"/>
      <c r="AY182" s="20"/>
      <c r="AZ182" s="20"/>
      <c r="BA182" s="20"/>
      <c r="BB182" s="20"/>
      <c r="BC182" s="20"/>
      <c r="BD182" s="20"/>
      <c r="BE182" s="20"/>
      <c r="BF182" s="20"/>
      <c r="BG182" s="20"/>
      <c r="BH182" s="20"/>
      <c r="BI182" s="20"/>
      <c r="BJ182" s="20"/>
      <c r="BK182" s="20"/>
      <c r="BL182" s="20"/>
      <c r="BM182" s="20"/>
      <c r="BN182" s="20"/>
      <c r="BO182" s="20"/>
      <c r="BP182" s="20"/>
      <c r="BQ182" s="20"/>
      <c r="BR182" s="20"/>
      <c r="BS182" s="20"/>
      <c r="BT182" s="20"/>
      <c r="BU182" s="20"/>
      <c r="BV182" s="20"/>
      <c r="BW182" s="20"/>
      <c r="BX182" s="20"/>
      <c r="BY182" s="20"/>
      <c r="BZ182" s="20"/>
      <c r="CA182" s="20"/>
      <c r="CB182" s="20"/>
      <c r="CC182" s="20"/>
      <c r="CD182" s="20"/>
      <c r="CE182" s="20"/>
      <c r="CF182" s="20"/>
      <c r="CG182" s="20"/>
      <c r="CH182" s="20"/>
      <c r="CI182" s="20"/>
      <c r="CJ182" s="20"/>
      <c r="CK182" s="20"/>
      <c r="CL182" s="20"/>
      <c r="CM182" s="20"/>
      <c r="CN182" s="20"/>
      <c r="CO182" s="20"/>
      <c r="CP182" s="20"/>
      <c r="CQ182" s="20"/>
      <c r="CR182" s="20"/>
      <c r="CS182" s="20"/>
      <c r="CT182" s="20"/>
      <c r="CU182" s="20"/>
      <c r="CV182" s="20"/>
      <c r="CW182" s="20"/>
      <c r="CX182" s="20"/>
      <c r="CY182" s="20"/>
      <c r="CZ182" s="20"/>
      <c r="DA182" s="20"/>
      <c r="DB182" s="20"/>
      <c r="DC182" s="20"/>
      <c r="DD182" s="20"/>
      <c r="DE182" s="20"/>
      <c r="DF182" s="20"/>
      <c r="DG182" s="20"/>
      <c r="DH182" s="20"/>
      <c r="DI182" s="20"/>
      <c r="DJ182" s="20"/>
      <c r="DK182" s="20"/>
      <c r="DL182" s="20"/>
      <c r="DM182" s="20"/>
      <c r="DN182" s="20"/>
      <c r="DO182" s="20"/>
      <c r="DP182" s="20"/>
      <c r="DQ182" s="20"/>
      <c r="DR182" s="20"/>
      <c r="DS182" s="20"/>
      <c r="DT182" s="20"/>
      <c r="DU182" s="20"/>
      <c r="DV182" s="20"/>
      <c r="DW182" s="20"/>
      <c r="DX182" s="20"/>
      <c r="DY182" s="20"/>
      <c r="DZ182" s="20"/>
      <c r="EA182" s="20"/>
    </row>
    <row r="183" spans="2:131" ht="18" customHeight="1">
      <c r="B183" s="707"/>
      <c r="C183" s="707"/>
      <c r="D183" s="707"/>
      <c r="E183" s="707"/>
      <c r="F183" s="707"/>
      <c r="G183" s="707"/>
      <c r="H183" s="707"/>
      <c r="I183" s="707"/>
      <c r="J183" s="707"/>
      <c r="K183" s="707"/>
      <c r="L183" s="19"/>
      <c r="M183" s="20"/>
      <c r="N183" s="20"/>
      <c r="O183" s="20"/>
      <c r="P183" s="20"/>
      <c r="Q183" s="20"/>
      <c r="R183" s="20"/>
      <c r="S183" s="20"/>
      <c r="T183" s="20"/>
      <c r="U183" s="20"/>
      <c r="V183" s="20"/>
      <c r="W183" s="20"/>
      <c r="X183" s="20"/>
      <c r="Y183" s="20"/>
      <c r="Z183" s="20"/>
      <c r="AA183" s="20"/>
      <c r="AB183" s="20"/>
      <c r="AC183" s="20"/>
      <c r="AD183" s="20"/>
      <c r="AE183" s="20"/>
      <c r="AF183" s="20"/>
      <c r="AG183" s="20"/>
      <c r="AH183" s="20"/>
      <c r="AI183" s="20"/>
      <c r="AJ183" s="20"/>
      <c r="AK183" s="20"/>
      <c r="AL183" s="20"/>
      <c r="AM183" s="20"/>
      <c r="AN183" s="20"/>
      <c r="AO183" s="20"/>
      <c r="AP183" s="20"/>
      <c r="AQ183" s="20"/>
      <c r="AR183" s="20"/>
      <c r="AS183" s="20"/>
      <c r="AT183" s="20"/>
      <c r="AU183" s="20"/>
      <c r="AV183" s="20"/>
      <c r="AW183" s="20"/>
      <c r="AX183" s="20"/>
      <c r="AY183" s="20"/>
      <c r="AZ183" s="20"/>
      <c r="BA183" s="20"/>
      <c r="BB183" s="20"/>
      <c r="BC183" s="20"/>
      <c r="BD183" s="20"/>
      <c r="BE183" s="20"/>
      <c r="BF183" s="20"/>
      <c r="BG183" s="20"/>
      <c r="BH183" s="20"/>
      <c r="BI183" s="20"/>
      <c r="BJ183" s="20"/>
      <c r="BK183" s="20"/>
      <c r="BL183" s="20"/>
      <c r="BM183" s="20"/>
      <c r="BN183" s="20"/>
      <c r="BO183" s="20"/>
      <c r="BP183" s="20"/>
      <c r="BQ183" s="20"/>
      <c r="BR183" s="20"/>
      <c r="BS183" s="20"/>
      <c r="BT183" s="20"/>
      <c r="BU183" s="20"/>
      <c r="BV183" s="20"/>
      <c r="BW183" s="20"/>
      <c r="BX183" s="20"/>
      <c r="BY183" s="20"/>
      <c r="BZ183" s="20"/>
      <c r="CA183" s="20"/>
      <c r="CB183" s="20"/>
      <c r="CC183" s="20"/>
      <c r="CD183" s="20"/>
      <c r="CE183" s="20"/>
      <c r="CF183" s="20"/>
      <c r="CG183" s="20"/>
      <c r="CH183" s="20"/>
      <c r="CI183" s="20"/>
      <c r="CJ183" s="20"/>
      <c r="CK183" s="20"/>
      <c r="CL183" s="20"/>
      <c r="CM183" s="20"/>
      <c r="CN183" s="20"/>
      <c r="CO183" s="20"/>
      <c r="CP183" s="20"/>
      <c r="CQ183" s="20"/>
      <c r="CR183" s="20"/>
      <c r="CS183" s="20"/>
      <c r="CT183" s="20"/>
      <c r="CU183" s="20"/>
      <c r="CV183" s="20"/>
      <c r="CW183" s="20"/>
      <c r="CX183" s="20"/>
      <c r="CY183" s="20"/>
      <c r="CZ183" s="20"/>
      <c r="DA183" s="20"/>
      <c r="DB183" s="20"/>
      <c r="DC183" s="20"/>
      <c r="DD183" s="20"/>
      <c r="DE183" s="20"/>
      <c r="DF183" s="20"/>
      <c r="DG183" s="20"/>
      <c r="DH183" s="20"/>
      <c r="DI183" s="20"/>
      <c r="DJ183" s="20"/>
      <c r="DK183" s="20"/>
      <c r="DL183" s="20"/>
      <c r="DM183" s="20"/>
      <c r="DN183" s="20"/>
      <c r="DO183" s="20"/>
      <c r="DP183" s="20"/>
      <c r="DQ183" s="20"/>
      <c r="DR183" s="20"/>
      <c r="DS183" s="20"/>
      <c r="DT183" s="20"/>
      <c r="DU183" s="20"/>
      <c r="DV183" s="20"/>
      <c r="DW183" s="20"/>
      <c r="DX183" s="20"/>
      <c r="DY183" s="20"/>
      <c r="DZ183" s="20"/>
      <c r="EA183" s="20"/>
    </row>
    <row r="184" spans="2:131" ht="18" customHeight="1">
      <c r="B184" s="708"/>
      <c r="C184" s="708"/>
      <c r="D184" s="707"/>
      <c r="E184" s="707"/>
      <c r="F184" s="707"/>
      <c r="G184" s="707"/>
      <c r="H184" s="707"/>
      <c r="I184" s="707"/>
      <c r="J184" s="707"/>
      <c r="K184" s="707"/>
      <c r="L184" s="19"/>
      <c r="M184" s="20"/>
      <c r="N184" s="20"/>
      <c r="O184" s="20"/>
      <c r="P184" s="20"/>
      <c r="Q184" s="20"/>
      <c r="R184" s="20"/>
      <c r="S184" s="20"/>
      <c r="T184" s="20"/>
      <c r="U184" s="20"/>
      <c r="V184" s="20"/>
      <c r="W184" s="20"/>
      <c r="X184" s="20"/>
      <c r="Y184" s="20"/>
      <c r="Z184" s="20"/>
      <c r="AA184" s="20"/>
      <c r="AB184" s="20"/>
      <c r="AC184" s="20"/>
      <c r="AD184" s="20"/>
      <c r="AE184" s="20"/>
      <c r="AF184" s="20"/>
      <c r="AG184" s="20"/>
      <c r="AH184" s="20"/>
      <c r="AI184" s="20"/>
      <c r="AJ184" s="20"/>
      <c r="AK184" s="20"/>
      <c r="AL184" s="20"/>
      <c r="AM184" s="20"/>
      <c r="AN184" s="20"/>
      <c r="AO184" s="20"/>
      <c r="AP184" s="20"/>
      <c r="AQ184" s="20"/>
      <c r="AR184" s="20"/>
      <c r="AS184" s="20"/>
      <c r="AT184" s="20"/>
      <c r="AU184" s="20"/>
      <c r="AV184" s="20"/>
      <c r="AW184" s="20"/>
      <c r="AX184" s="20"/>
      <c r="AY184" s="20"/>
      <c r="AZ184" s="20"/>
      <c r="BA184" s="20"/>
      <c r="BB184" s="20"/>
      <c r="BC184" s="20"/>
      <c r="BD184" s="20"/>
      <c r="BE184" s="20"/>
      <c r="BF184" s="20"/>
      <c r="BG184" s="20"/>
      <c r="BH184" s="20"/>
      <c r="BI184" s="20"/>
      <c r="BJ184" s="20"/>
      <c r="BK184" s="20"/>
      <c r="BL184" s="20"/>
      <c r="BM184" s="20"/>
      <c r="BN184" s="20"/>
      <c r="BO184" s="20"/>
      <c r="BP184" s="20"/>
      <c r="BQ184" s="20"/>
      <c r="BR184" s="20"/>
      <c r="BS184" s="20"/>
      <c r="BT184" s="20"/>
      <c r="BU184" s="20"/>
      <c r="BV184" s="20"/>
      <c r="BW184" s="20"/>
      <c r="BX184" s="20"/>
      <c r="BY184" s="20"/>
      <c r="BZ184" s="20"/>
      <c r="CA184" s="20"/>
      <c r="CB184" s="20"/>
      <c r="CC184" s="20"/>
      <c r="CD184" s="20"/>
      <c r="CE184" s="20"/>
      <c r="CF184" s="20"/>
      <c r="CG184" s="20"/>
      <c r="CH184" s="20"/>
      <c r="CI184" s="20"/>
      <c r="CJ184" s="20"/>
      <c r="CK184" s="20"/>
      <c r="CL184" s="20"/>
      <c r="CM184" s="20"/>
      <c r="CN184" s="20"/>
      <c r="CO184" s="20"/>
      <c r="CP184" s="20"/>
      <c r="CQ184" s="20"/>
      <c r="CR184" s="20"/>
      <c r="CS184" s="20"/>
      <c r="CT184" s="20"/>
      <c r="CU184" s="20"/>
      <c r="CV184" s="20"/>
      <c r="CW184" s="20"/>
      <c r="CX184" s="20"/>
      <c r="CY184" s="20"/>
      <c r="CZ184" s="20"/>
      <c r="DA184" s="20"/>
      <c r="DB184" s="20"/>
      <c r="DC184" s="20"/>
      <c r="DD184" s="20"/>
      <c r="DE184" s="20"/>
      <c r="DF184" s="20"/>
      <c r="DG184" s="20"/>
      <c r="DH184" s="20"/>
      <c r="DI184" s="20"/>
      <c r="DJ184" s="20"/>
      <c r="DK184" s="20"/>
      <c r="DL184" s="20"/>
      <c r="DM184" s="20"/>
      <c r="DN184" s="20"/>
      <c r="DO184" s="20"/>
      <c r="DP184" s="20"/>
      <c r="DQ184" s="20"/>
      <c r="DR184" s="20"/>
      <c r="DS184" s="20"/>
      <c r="DT184" s="20"/>
      <c r="DU184" s="20"/>
      <c r="DV184" s="20"/>
      <c r="DW184" s="20"/>
      <c r="DX184" s="20"/>
      <c r="DY184" s="20"/>
      <c r="DZ184" s="20"/>
      <c r="EA184" s="20"/>
    </row>
    <row r="185" spans="2:131" ht="18" customHeight="1">
      <c r="B185" s="707"/>
      <c r="C185" s="707"/>
      <c r="D185" s="707"/>
      <c r="E185" s="707"/>
      <c r="F185" s="707"/>
      <c r="G185" s="707"/>
      <c r="H185" s="707"/>
      <c r="I185" s="707"/>
      <c r="J185" s="707"/>
      <c r="K185" s="707"/>
      <c r="L185" s="19"/>
      <c r="M185" s="20"/>
      <c r="N185" s="20"/>
      <c r="O185" s="20"/>
      <c r="P185" s="20"/>
      <c r="Q185" s="20"/>
      <c r="R185" s="20"/>
      <c r="S185" s="20"/>
      <c r="T185" s="20"/>
      <c r="U185" s="20"/>
      <c r="V185" s="20"/>
      <c r="W185" s="20"/>
      <c r="X185" s="20"/>
      <c r="Y185" s="20"/>
      <c r="Z185" s="20"/>
      <c r="AA185" s="20"/>
      <c r="AB185" s="20"/>
      <c r="AC185" s="20"/>
      <c r="AD185" s="20"/>
      <c r="AE185" s="20"/>
      <c r="AF185" s="20"/>
      <c r="AG185" s="20"/>
      <c r="AH185" s="20"/>
      <c r="AI185" s="20"/>
      <c r="AJ185" s="20"/>
      <c r="AK185" s="20"/>
      <c r="AL185" s="20"/>
      <c r="AM185" s="20"/>
      <c r="AN185" s="20"/>
      <c r="AO185" s="20"/>
      <c r="AP185" s="20"/>
      <c r="AQ185" s="20"/>
      <c r="AR185" s="20"/>
      <c r="AS185" s="20"/>
      <c r="AT185" s="20"/>
      <c r="AU185" s="20"/>
      <c r="AV185" s="20"/>
      <c r="AW185" s="20"/>
      <c r="AX185" s="20"/>
      <c r="AY185" s="20"/>
      <c r="AZ185" s="20"/>
      <c r="BA185" s="20"/>
      <c r="BB185" s="20"/>
      <c r="BC185" s="20"/>
      <c r="BD185" s="20"/>
      <c r="BE185" s="20"/>
      <c r="BF185" s="20"/>
      <c r="BG185" s="20"/>
      <c r="BH185" s="20"/>
      <c r="BI185" s="20"/>
      <c r="BJ185" s="20"/>
      <c r="BK185" s="20"/>
      <c r="BL185" s="20"/>
      <c r="BM185" s="20"/>
      <c r="BN185" s="20"/>
      <c r="BO185" s="20"/>
      <c r="BP185" s="20"/>
      <c r="BQ185" s="20"/>
      <c r="BR185" s="20"/>
      <c r="BS185" s="20"/>
      <c r="BT185" s="20"/>
      <c r="BU185" s="20"/>
      <c r="BV185" s="20"/>
      <c r="BW185" s="20"/>
      <c r="BX185" s="20"/>
      <c r="BY185" s="20"/>
      <c r="BZ185" s="20"/>
      <c r="CA185" s="20"/>
      <c r="CB185" s="20"/>
      <c r="CC185" s="20"/>
      <c r="CD185" s="20"/>
      <c r="CE185" s="20"/>
      <c r="CF185" s="20"/>
      <c r="CG185" s="20"/>
      <c r="CH185" s="20"/>
      <c r="CI185" s="20"/>
      <c r="CJ185" s="20"/>
      <c r="CK185" s="20"/>
      <c r="CL185" s="20"/>
      <c r="CM185" s="20"/>
      <c r="CN185" s="20"/>
      <c r="CO185" s="20"/>
      <c r="CP185" s="20"/>
      <c r="CQ185" s="20"/>
      <c r="CR185" s="20"/>
      <c r="CS185" s="20"/>
      <c r="CT185" s="20"/>
      <c r="CU185" s="20"/>
      <c r="CV185" s="20"/>
      <c r="CW185" s="20"/>
      <c r="CX185" s="20"/>
      <c r="CY185" s="20"/>
      <c r="CZ185" s="20"/>
      <c r="DA185" s="20"/>
      <c r="DB185" s="20"/>
      <c r="DC185" s="20"/>
      <c r="DD185" s="20"/>
      <c r="DE185" s="20"/>
      <c r="DF185" s="20"/>
      <c r="DG185" s="20"/>
      <c r="DH185" s="20"/>
      <c r="DI185" s="20"/>
      <c r="DJ185" s="20"/>
      <c r="DK185" s="20"/>
      <c r="DL185" s="20"/>
      <c r="DM185" s="20"/>
      <c r="DN185" s="20"/>
      <c r="DO185" s="20"/>
      <c r="DP185" s="20"/>
      <c r="DQ185" s="20"/>
      <c r="DR185" s="20"/>
      <c r="DS185" s="20"/>
      <c r="DT185" s="20"/>
      <c r="DU185" s="20"/>
      <c r="DV185" s="20"/>
      <c r="DW185" s="20"/>
      <c r="DX185" s="20"/>
      <c r="DY185" s="20"/>
      <c r="DZ185" s="20"/>
      <c r="EA185" s="20"/>
    </row>
    <row r="186" spans="2:131" ht="18" customHeight="1">
      <c r="B186" s="707"/>
      <c r="C186" s="707"/>
      <c r="D186" s="707"/>
      <c r="E186" s="707"/>
      <c r="F186" s="707"/>
      <c r="G186" s="707"/>
      <c r="H186" s="707"/>
      <c r="I186" s="707"/>
      <c r="J186" s="707"/>
      <c r="K186" s="707"/>
      <c r="L186" s="19"/>
      <c r="M186" s="20"/>
      <c r="N186" s="20"/>
      <c r="O186" s="20"/>
      <c r="P186" s="20"/>
      <c r="Q186" s="20"/>
      <c r="R186" s="20"/>
      <c r="S186" s="20"/>
      <c r="T186" s="20"/>
      <c r="U186" s="20"/>
      <c r="V186" s="20"/>
      <c r="W186" s="20"/>
      <c r="X186" s="20"/>
      <c r="Y186" s="20"/>
      <c r="Z186" s="20"/>
      <c r="AA186" s="20"/>
      <c r="AB186" s="20"/>
      <c r="AC186" s="20"/>
      <c r="AD186" s="20"/>
      <c r="AE186" s="20"/>
      <c r="AF186" s="20"/>
      <c r="AG186" s="20"/>
      <c r="AH186" s="20"/>
      <c r="AI186" s="20"/>
      <c r="AJ186" s="20"/>
      <c r="AK186" s="20"/>
      <c r="AL186" s="20"/>
      <c r="AM186" s="20"/>
      <c r="AN186" s="20"/>
      <c r="AO186" s="20"/>
      <c r="AP186" s="20"/>
      <c r="AQ186" s="20"/>
      <c r="AR186" s="20"/>
      <c r="AS186" s="20"/>
      <c r="AT186" s="20"/>
      <c r="AU186" s="20"/>
      <c r="AV186" s="20"/>
      <c r="AW186" s="20"/>
      <c r="AX186" s="20"/>
      <c r="AY186" s="20"/>
      <c r="AZ186" s="20"/>
      <c r="BA186" s="20"/>
      <c r="BB186" s="20"/>
      <c r="BC186" s="20"/>
      <c r="BD186" s="20"/>
      <c r="BE186" s="20"/>
      <c r="BF186" s="20"/>
      <c r="BG186" s="20"/>
      <c r="BH186" s="20"/>
      <c r="BI186" s="20"/>
      <c r="BJ186" s="20"/>
      <c r="BK186" s="20"/>
      <c r="BL186" s="20"/>
      <c r="BM186" s="20"/>
      <c r="BN186" s="20"/>
      <c r="BO186" s="20"/>
      <c r="BP186" s="20"/>
      <c r="BQ186" s="20"/>
      <c r="BR186" s="20"/>
      <c r="BS186" s="20"/>
      <c r="BT186" s="20"/>
      <c r="BU186" s="20"/>
      <c r="BV186" s="20"/>
      <c r="BW186" s="20"/>
      <c r="BX186" s="20"/>
      <c r="BY186" s="20"/>
      <c r="BZ186" s="20"/>
      <c r="CA186" s="20"/>
      <c r="CB186" s="20"/>
      <c r="CC186" s="20"/>
      <c r="CD186" s="20"/>
      <c r="CE186" s="20"/>
      <c r="CF186" s="20"/>
      <c r="CG186" s="20"/>
      <c r="CH186" s="20"/>
      <c r="CI186" s="20"/>
      <c r="CJ186" s="20"/>
      <c r="CK186" s="20"/>
      <c r="CL186" s="20"/>
      <c r="CM186" s="20"/>
      <c r="CN186" s="20"/>
      <c r="CO186" s="20"/>
      <c r="CP186" s="20"/>
      <c r="CQ186" s="20"/>
      <c r="CR186" s="20"/>
      <c r="CS186" s="20"/>
      <c r="CT186" s="20"/>
      <c r="CU186" s="20"/>
      <c r="CV186" s="20"/>
      <c r="CW186" s="20"/>
      <c r="CX186" s="20"/>
      <c r="CY186" s="20"/>
      <c r="CZ186" s="20"/>
      <c r="DA186" s="20"/>
      <c r="DB186" s="20"/>
      <c r="DC186" s="20"/>
      <c r="DD186" s="20"/>
      <c r="DE186" s="20"/>
      <c r="DF186" s="20"/>
      <c r="DG186" s="20"/>
      <c r="DH186" s="20"/>
      <c r="DI186" s="20"/>
      <c r="DJ186" s="20"/>
      <c r="DK186" s="20"/>
      <c r="DL186" s="20"/>
      <c r="DM186" s="20"/>
      <c r="DN186" s="20"/>
      <c r="DO186" s="20"/>
      <c r="DP186" s="20"/>
      <c r="DQ186" s="20"/>
      <c r="DR186" s="20"/>
      <c r="DS186" s="20"/>
      <c r="DT186" s="20"/>
      <c r="DU186" s="20"/>
      <c r="DV186" s="20"/>
      <c r="DW186" s="20"/>
      <c r="DX186" s="20"/>
      <c r="DY186" s="20"/>
      <c r="DZ186" s="20"/>
      <c r="EA186" s="20"/>
    </row>
    <row r="187" spans="2:131" ht="18" customHeight="1">
      <c r="B187" s="707"/>
      <c r="C187" s="707"/>
      <c r="D187" s="707"/>
      <c r="E187" s="707"/>
      <c r="F187" s="707"/>
      <c r="G187" s="707"/>
      <c r="H187" s="707"/>
      <c r="I187" s="707"/>
      <c r="J187" s="707"/>
      <c r="K187" s="707"/>
      <c r="L187" s="19"/>
      <c r="M187" s="20"/>
      <c r="N187" s="20"/>
      <c r="O187" s="20"/>
      <c r="P187" s="20"/>
      <c r="Q187" s="20"/>
      <c r="R187" s="20"/>
      <c r="S187" s="20"/>
      <c r="T187" s="20"/>
      <c r="U187" s="20"/>
      <c r="V187" s="20"/>
      <c r="W187" s="20"/>
      <c r="X187" s="20"/>
      <c r="Y187" s="20"/>
      <c r="Z187" s="20"/>
      <c r="AA187" s="20"/>
      <c r="AB187" s="20"/>
      <c r="AC187" s="20"/>
      <c r="AD187" s="20"/>
      <c r="AE187" s="20"/>
      <c r="AF187" s="20"/>
      <c r="AG187" s="20"/>
      <c r="AH187" s="20"/>
      <c r="AI187" s="20"/>
      <c r="AJ187" s="20"/>
      <c r="AK187" s="20"/>
      <c r="AL187" s="20"/>
      <c r="AM187" s="20"/>
      <c r="AN187" s="20"/>
      <c r="AO187" s="20"/>
      <c r="AP187" s="20"/>
      <c r="AQ187" s="20"/>
      <c r="AR187" s="20"/>
      <c r="AS187" s="20"/>
      <c r="AT187" s="20"/>
      <c r="AU187" s="20"/>
      <c r="AV187" s="20"/>
      <c r="AW187" s="20"/>
      <c r="AX187" s="20"/>
      <c r="AY187" s="20"/>
      <c r="AZ187" s="20"/>
      <c r="BA187" s="20"/>
      <c r="BB187" s="20"/>
      <c r="BC187" s="20"/>
      <c r="BD187" s="20"/>
      <c r="BE187" s="20"/>
      <c r="BF187" s="20"/>
      <c r="BG187" s="20"/>
      <c r="BH187" s="20"/>
      <c r="BI187" s="20"/>
      <c r="BJ187" s="20"/>
      <c r="BK187" s="20"/>
      <c r="BL187" s="20"/>
      <c r="BM187" s="20"/>
      <c r="BN187" s="20"/>
      <c r="BO187" s="20"/>
      <c r="BP187" s="20"/>
      <c r="BQ187" s="20"/>
      <c r="BR187" s="20"/>
      <c r="BS187" s="20"/>
      <c r="BT187" s="20"/>
      <c r="BU187" s="20"/>
      <c r="BV187" s="20"/>
      <c r="BW187" s="20"/>
      <c r="BX187" s="20"/>
      <c r="BY187" s="20"/>
      <c r="BZ187" s="20"/>
      <c r="CA187" s="20"/>
      <c r="CB187" s="20"/>
      <c r="CC187" s="20"/>
      <c r="CD187" s="20"/>
      <c r="CE187" s="20"/>
      <c r="CF187" s="20"/>
      <c r="CG187" s="20"/>
      <c r="CH187" s="20"/>
      <c r="CI187" s="20"/>
      <c r="CJ187" s="20"/>
      <c r="CK187" s="20"/>
      <c r="CL187" s="20"/>
      <c r="CM187" s="20"/>
      <c r="CN187" s="20"/>
      <c r="CO187" s="20"/>
      <c r="CP187" s="20"/>
      <c r="CQ187" s="20"/>
      <c r="CR187" s="20"/>
      <c r="CS187" s="20"/>
      <c r="CT187" s="20"/>
      <c r="CU187" s="20"/>
      <c r="CV187" s="20"/>
      <c r="CW187" s="20"/>
      <c r="CX187" s="20"/>
      <c r="CY187" s="20"/>
      <c r="CZ187" s="20"/>
      <c r="DA187" s="20"/>
      <c r="DB187" s="20"/>
      <c r="DC187" s="20"/>
      <c r="DD187" s="20"/>
      <c r="DE187" s="20"/>
      <c r="DF187" s="20"/>
      <c r="DG187" s="20"/>
      <c r="DH187" s="20"/>
      <c r="DI187" s="20"/>
      <c r="DJ187" s="20"/>
      <c r="DK187" s="20"/>
      <c r="DL187" s="20"/>
      <c r="DM187" s="20"/>
      <c r="DN187" s="20"/>
      <c r="DO187" s="20"/>
      <c r="DP187" s="20"/>
      <c r="DQ187" s="20"/>
      <c r="DR187" s="20"/>
      <c r="DS187" s="20"/>
      <c r="DT187" s="20"/>
      <c r="DU187" s="20"/>
      <c r="DV187" s="20"/>
      <c r="DW187" s="20"/>
      <c r="DX187" s="20"/>
      <c r="DY187" s="20"/>
      <c r="DZ187" s="20"/>
      <c r="EA187" s="20"/>
    </row>
    <row r="188" spans="2:131" ht="18" customHeight="1">
      <c r="B188" s="707"/>
      <c r="C188" s="707"/>
      <c r="D188" s="707"/>
      <c r="E188" s="707"/>
      <c r="F188" s="707"/>
      <c r="G188" s="707"/>
      <c r="H188" s="707"/>
      <c r="I188" s="707"/>
      <c r="J188" s="707"/>
      <c r="K188" s="707"/>
      <c r="L188" s="19"/>
      <c r="M188" s="20"/>
      <c r="N188" s="20"/>
      <c r="O188" s="20"/>
      <c r="P188" s="20"/>
      <c r="Q188" s="20"/>
      <c r="R188" s="20"/>
      <c r="S188" s="20"/>
      <c r="T188" s="20"/>
      <c r="U188" s="20"/>
      <c r="V188" s="20"/>
      <c r="W188" s="20"/>
      <c r="X188" s="20"/>
      <c r="Y188" s="20"/>
      <c r="Z188" s="20"/>
      <c r="AA188" s="20"/>
      <c r="AB188" s="20"/>
      <c r="AC188" s="20"/>
      <c r="AD188" s="20"/>
      <c r="AE188" s="20"/>
      <c r="AF188" s="20"/>
      <c r="AG188" s="20"/>
      <c r="AH188" s="20"/>
      <c r="AI188" s="20"/>
      <c r="AJ188" s="20"/>
      <c r="AK188" s="20"/>
      <c r="AL188" s="20"/>
      <c r="AM188" s="20"/>
      <c r="AN188" s="20"/>
      <c r="AO188" s="20"/>
      <c r="AP188" s="20"/>
      <c r="AQ188" s="20"/>
      <c r="AR188" s="20"/>
      <c r="AS188" s="20"/>
      <c r="AT188" s="20"/>
      <c r="AU188" s="20"/>
      <c r="AV188" s="20"/>
      <c r="AW188" s="20"/>
      <c r="AX188" s="20"/>
      <c r="AY188" s="20"/>
      <c r="AZ188" s="20"/>
      <c r="BA188" s="20"/>
      <c r="BB188" s="20"/>
      <c r="BC188" s="20"/>
      <c r="BD188" s="20"/>
      <c r="BE188" s="20"/>
      <c r="BF188" s="20"/>
      <c r="BG188" s="20"/>
      <c r="BH188" s="20"/>
      <c r="BI188" s="20"/>
      <c r="BJ188" s="20"/>
      <c r="BK188" s="20"/>
      <c r="BL188" s="20"/>
      <c r="BM188" s="20"/>
      <c r="BN188" s="20"/>
      <c r="BO188" s="20"/>
      <c r="BP188" s="20"/>
      <c r="BQ188" s="20"/>
      <c r="BR188" s="20"/>
      <c r="BS188" s="20"/>
      <c r="BT188" s="20"/>
      <c r="BU188" s="20"/>
      <c r="BV188" s="20"/>
      <c r="BW188" s="20"/>
      <c r="BX188" s="20"/>
      <c r="BY188" s="20"/>
      <c r="BZ188" s="20"/>
      <c r="CA188" s="20"/>
      <c r="CB188" s="20"/>
      <c r="CC188" s="20"/>
      <c r="CD188" s="20"/>
      <c r="CE188" s="20"/>
      <c r="CF188" s="20"/>
      <c r="CG188" s="20"/>
      <c r="CH188" s="20"/>
      <c r="CI188" s="20"/>
      <c r="CJ188" s="20"/>
      <c r="CK188" s="20"/>
      <c r="CL188" s="20"/>
      <c r="CM188" s="20"/>
      <c r="CN188" s="20"/>
      <c r="CO188" s="20"/>
      <c r="CP188" s="20"/>
      <c r="CQ188" s="20"/>
      <c r="CR188" s="20"/>
      <c r="CS188" s="20"/>
      <c r="CT188" s="20"/>
      <c r="CU188" s="20"/>
      <c r="CV188" s="20"/>
      <c r="CW188" s="20"/>
      <c r="CX188" s="20"/>
      <c r="CY188" s="20"/>
      <c r="CZ188" s="20"/>
      <c r="DA188" s="20"/>
      <c r="DB188" s="20"/>
      <c r="DC188" s="20"/>
      <c r="DD188" s="20"/>
      <c r="DE188" s="20"/>
      <c r="DF188" s="20"/>
      <c r="DG188" s="20"/>
      <c r="DH188" s="20"/>
      <c r="DI188" s="20"/>
      <c r="DJ188" s="20"/>
      <c r="DK188" s="20"/>
      <c r="DL188" s="20"/>
      <c r="DM188" s="20"/>
      <c r="DN188" s="20"/>
      <c r="DO188" s="20"/>
      <c r="DP188" s="20"/>
      <c r="DQ188" s="20"/>
      <c r="DR188" s="20"/>
      <c r="DS188" s="20"/>
      <c r="DT188" s="20"/>
      <c r="DU188" s="20"/>
      <c r="DV188" s="20"/>
      <c r="DW188" s="20"/>
      <c r="DX188" s="20"/>
      <c r="DY188" s="20"/>
      <c r="DZ188" s="20"/>
      <c r="EA188" s="20"/>
    </row>
    <row r="189" spans="2:131" ht="18" customHeight="1">
      <c r="B189" s="707"/>
      <c r="C189" s="707"/>
      <c r="D189" s="707"/>
      <c r="E189" s="707"/>
      <c r="F189" s="707"/>
      <c r="G189" s="707"/>
      <c r="H189" s="707"/>
      <c r="I189" s="707"/>
      <c r="J189" s="707"/>
      <c r="K189" s="707"/>
      <c r="L189" s="19"/>
      <c r="M189" s="20"/>
      <c r="N189" s="20"/>
      <c r="O189" s="20"/>
      <c r="P189" s="20"/>
      <c r="Q189" s="20"/>
      <c r="R189" s="20"/>
      <c r="S189" s="20"/>
      <c r="T189" s="20"/>
      <c r="U189" s="20"/>
      <c r="V189" s="20"/>
      <c r="W189" s="20"/>
      <c r="X189" s="20"/>
      <c r="Y189" s="20"/>
      <c r="Z189" s="20"/>
      <c r="AA189" s="20"/>
      <c r="AB189" s="20"/>
      <c r="AC189" s="20"/>
      <c r="AD189" s="20"/>
      <c r="AE189" s="20"/>
      <c r="AF189" s="20"/>
      <c r="AG189" s="20"/>
      <c r="AH189" s="20"/>
      <c r="AI189" s="20"/>
      <c r="AJ189" s="20"/>
      <c r="AK189" s="20"/>
      <c r="AL189" s="20"/>
      <c r="AM189" s="20"/>
      <c r="AN189" s="20"/>
      <c r="AO189" s="20"/>
      <c r="AP189" s="20"/>
      <c r="AQ189" s="20"/>
      <c r="AR189" s="20"/>
      <c r="AS189" s="20"/>
      <c r="AT189" s="20"/>
      <c r="AU189" s="20"/>
      <c r="AV189" s="20"/>
      <c r="AW189" s="20"/>
      <c r="AX189" s="20"/>
      <c r="AY189" s="20"/>
      <c r="AZ189" s="20"/>
      <c r="BA189" s="20"/>
      <c r="BB189" s="20"/>
      <c r="BC189" s="20"/>
      <c r="BD189" s="20"/>
      <c r="BE189" s="20"/>
      <c r="BF189" s="20"/>
      <c r="BG189" s="20"/>
      <c r="BH189" s="20"/>
      <c r="BI189" s="20"/>
      <c r="BJ189" s="20"/>
      <c r="BK189" s="20"/>
      <c r="BL189" s="20"/>
      <c r="BM189" s="20"/>
      <c r="BN189" s="20"/>
      <c r="BO189" s="20"/>
      <c r="BP189" s="20"/>
      <c r="BQ189" s="20"/>
      <c r="BR189" s="20"/>
      <c r="BS189" s="20"/>
      <c r="BT189" s="20"/>
      <c r="BU189" s="20"/>
      <c r="BV189" s="20"/>
      <c r="BW189" s="20"/>
      <c r="BX189" s="20"/>
      <c r="BY189" s="20"/>
      <c r="BZ189" s="20"/>
      <c r="CA189" s="20"/>
      <c r="CB189" s="20"/>
      <c r="CC189" s="20"/>
      <c r="CD189" s="20"/>
      <c r="CE189" s="20"/>
      <c r="CF189" s="20"/>
      <c r="CG189" s="20"/>
      <c r="CH189" s="20"/>
      <c r="CI189" s="20"/>
      <c r="CJ189" s="20"/>
      <c r="CK189" s="20"/>
      <c r="CL189" s="20"/>
      <c r="CM189" s="20"/>
      <c r="CN189" s="20"/>
      <c r="CO189" s="20"/>
      <c r="CP189" s="20"/>
      <c r="CQ189" s="20"/>
      <c r="CR189" s="20"/>
      <c r="CS189" s="20"/>
      <c r="CT189" s="20"/>
      <c r="CU189" s="20"/>
      <c r="CV189" s="20"/>
      <c r="CW189" s="20"/>
      <c r="CX189" s="20"/>
      <c r="CY189" s="20"/>
      <c r="CZ189" s="20"/>
      <c r="DA189" s="20"/>
      <c r="DB189" s="20"/>
      <c r="DC189" s="20"/>
      <c r="DD189" s="20"/>
      <c r="DE189" s="20"/>
      <c r="DF189" s="20"/>
      <c r="DG189" s="20"/>
      <c r="DH189" s="20"/>
      <c r="DI189" s="20"/>
      <c r="DJ189" s="20"/>
      <c r="DK189" s="20"/>
      <c r="DL189" s="20"/>
      <c r="DM189" s="20"/>
      <c r="DN189" s="20"/>
      <c r="DO189" s="20"/>
      <c r="DP189" s="20"/>
      <c r="DQ189" s="20"/>
      <c r="DR189" s="20"/>
      <c r="DS189" s="20"/>
      <c r="DT189" s="20"/>
      <c r="DU189" s="20"/>
      <c r="DV189" s="20"/>
      <c r="DW189" s="20"/>
      <c r="DX189" s="20"/>
      <c r="DY189" s="20"/>
      <c r="DZ189" s="20"/>
      <c r="EA189" s="20"/>
    </row>
    <row r="190" spans="2:131" ht="18" customHeight="1">
      <c r="B190" s="708"/>
      <c r="C190" s="708"/>
      <c r="D190" s="707"/>
      <c r="E190" s="707"/>
      <c r="F190" s="707"/>
      <c r="G190" s="707"/>
      <c r="H190" s="707"/>
      <c r="I190" s="707"/>
      <c r="J190" s="707"/>
      <c r="K190" s="707"/>
      <c r="L190" s="19"/>
      <c r="M190" s="20"/>
      <c r="N190" s="20"/>
      <c r="O190" s="20"/>
      <c r="P190" s="20"/>
      <c r="Q190" s="20"/>
      <c r="R190" s="20"/>
      <c r="S190" s="20"/>
      <c r="T190" s="20"/>
      <c r="U190" s="20"/>
      <c r="V190" s="20"/>
      <c r="W190" s="20"/>
      <c r="X190" s="20"/>
      <c r="Y190" s="20"/>
      <c r="Z190" s="20"/>
      <c r="AA190" s="20"/>
      <c r="AB190" s="20"/>
      <c r="AC190" s="20"/>
      <c r="AD190" s="20"/>
      <c r="AE190" s="20"/>
      <c r="AF190" s="20"/>
      <c r="AG190" s="20"/>
      <c r="AH190" s="20"/>
      <c r="AI190" s="20"/>
      <c r="AJ190" s="20"/>
      <c r="AK190" s="20"/>
      <c r="AL190" s="20"/>
      <c r="AM190" s="20"/>
      <c r="AN190" s="20"/>
      <c r="AO190" s="20"/>
      <c r="AP190" s="20"/>
      <c r="AQ190" s="20"/>
      <c r="AR190" s="20"/>
      <c r="AS190" s="20"/>
      <c r="AT190" s="20"/>
      <c r="AU190" s="20"/>
      <c r="AV190" s="20"/>
      <c r="AW190" s="20"/>
      <c r="AX190" s="20"/>
      <c r="AY190" s="20"/>
      <c r="AZ190" s="20"/>
      <c r="BA190" s="20"/>
      <c r="BB190" s="20"/>
      <c r="BC190" s="20"/>
      <c r="BD190" s="20"/>
      <c r="BE190" s="20"/>
      <c r="BF190" s="20"/>
      <c r="BG190" s="20"/>
      <c r="BH190" s="20"/>
      <c r="BI190" s="20"/>
      <c r="BJ190" s="20"/>
      <c r="BK190" s="20"/>
      <c r="BL190" s="20"/>
      <c r="BM190" s="20"/>
      <c r="BN190" s="20"/>
      <c r="BO190" s="20"/>
      <c r="BP190" s="20"/>
      <c r="BQ190" s="20"/>
      <c r="BR190" s="20"/>
      <c r="BS190" s="20"/>
      <c r="BT190" s="20"/>
      <c r="BU190" s="20"/>
      <c r="BV190" s="20"/>
      <c r="BW190" s="20"/>
      <c r="BX190" s="20"/>
      <c r="BY190" s="20"/>
      <c r="BZ190" s="20"/>
      <c r="CA190" s="20"/>
      <c r="CB190" s="20"/>
      <c r="CC190" s="20"/>
      <c r="CD190" s="20"/>
      <c r="CE190" s="20"/>
      <c r="CF190" s="20"/>
      <c r="CG190" s="20"/>
      <c r="CH190" s="20"/>
      <c r="CI190" s="20"/>
      <c r="CJ190" s="20"/>
      <c r="CK190" s="20"/>
      <c r="CL190" s="20"/>
      <c r="CM190" s="20"/>
      <c r="CN190" s="20"/>
      <c r="CO190" s="20"/>
      <c r="CP190" s="20"/>
      <c r="CQ190" s="20"/>
      <c r="CR190" s="20"/>
      <c r="CS190" s="20"/>
      <c r="CT190" s="20"/>
      <c r="CU190" s="20"/>
      <c r="CV190" s="20"/>
      <c r="CW190" s="20"/>
      <c r="CX190" s="20"/>
      <c r="CY190" s="20"/>
      <c r="CZ190" s="20"/>
      <c r="DA190" s="20"/>
      <c r="DB190" s="20"/>
      <c r="DC190" s="20"/>
      <c r="DD190" s="20"/>
      <c r="DE190" s="20"/>
      <c r="DF190" s="20"/>
      <c r="DG190" s="20"/>
      <c r="DH190" s="20"/>
      <c r="DI190" s="20"/>
      <c r="DJ190" s="20"/>
      <c r="DK190" s="20"/>
      <c r="DL190" s="20"/>
      <c r="DM190" s="20"/>
      <c r="DN190" s="20"/>
      <c r="DO190" s="20"/>
      <c r="DP190" s="20"/>
      <c r="DQ190" s="20"/>
      <c r="DR190" s="20"/>
      <c r="DS190" s="20"/>
      <c r="DT190" s="20"/>
      <c r="DU190" s="20"/>
      <c r="DV190" s="20"/>
      <c r="DW190" s="20"/>
      <c r="DX190" s="20"/>
      <c r="DY190" s="20"/>
      <c r="DZ190" s="20"/>
      <c r="EA190" s="20"/>
    </row>
    <row r="191" spans="2:131" ht="18" customHeight="1">
      <c r="B191" s="707"/>
      <c r="C191" s="707"/>
      <c r="D191" s="707"/>
      <c r="E191" s="707"/>
      <c r="F191" s="707"/>
      <c r="G191" s="707"/>
      <c r="H191" s="707"/>
      <c r="I191" s="707"/>
      <c r="J191" s="707"/>
      <c r="K191" s="707"/>
      <c r="L191" s="19"/>
      <c r="M191" s="20"/>
      <c r="N191" s="20"/>
      <c r="O191" s="20"/>
      <c r="P191" s="20"/>
      <c r="Q191" s="20"/>
      <c r="R191" s="20"/>
      <c r="S191" s="20"/>
      <c r="T191" s="20"/>
      <c r="U191" s="20"/>
      <c r="V191" s="20"/>
      <c r="W191" s="20"/>
      <c r="X191" s="20"/>
      <c r="Y191" s="20"/>
      <c r="Z191" s="20"/>
      <c r="AA191" s="20"/>
      <c r="AB191" s="20"/>
      <c r="AC191" s="20"/>
      <c r="AD191" s="20"/>
      <c r="AE191" s="20"/>
      <c r="AF191" s="20"/>
      <c r="AG191" s="20"/>
      <c r="AH191" s="20"/>
      <c r="AI191" s="20"/>
      <c r="AJ191" s="20"/>
      <c r="AK191" s="20"/>
      <c r="AL191" s="20"/>
      <c r="AM191" s="20"/>
      <c r="AN191" s="20"/>
      <c r="AO191" s="20"/>
      <c r="AP191" s="20"/>
      <c r="AQ191" s="20"/>
      <c r="AR191" s="20"/>
      <c r="AS191" s="20"/>
      <c r="AT191" s="20"/>
      <c r="AU191" s="20"/>
      <c r="AV191" s="20"/>
      <c r="AW191" s="20"/>
      <c r="AX191" s="20"/>
      <c r="AY191" s="20"/>
      <c r="AZ191" s="20"/>
      <c r="BA191" s="20"/>
      <c r="BB191" s="20"/>
      <c r="BC191" s="20"/>
      <c r="BD191" s="20"/>
      <c r="BE191" s="20"/>
      <c r="BF191" s="20"/>
      <c r="BG191" s="20"/>
      <c r="BH191" s="20"/>
      <c r="BI191" s="20"/>
      <c r="BJ191" s="20"/>
      <c r="BK191" s="20"/>
      <c r="BL191" s="20"/>
      <c r="BM191" s="20"/>
      <c r="BN191" s="20"/>
      <c r="BO191" s="20"/>
      <c r="BP191" s="20"/>
      <c r="BQ191" s="20"/>
      <c r="BR191" s="20"/>
      <c r="BS191" s="20"/>
      <c r="BT191" s="20"/>
      <c r="BU191" s="20"/>
      <c r="BV191" s="20"/>
      <c r="BW191" s="20"/>
      <c r="BX191" s="20"/>
      <c r="BY191" s="20"/>
      <c r="BZ191" s="20"/>
      <c r="CA191" s="20"/>
      <c r="CB191" s="20"/>
      <c r="CC191" s="20"/>
      <c r="CD191" s="20"/>
      <c r="CE191" s="20"/>
      <c r="CF191" s="20"/>
      <c r="CG191" s="20"/>
      <c r="CH191" s="20"/>
      <c r="CI191" s="20"/>
      <c r="CJ191" s="20"/>
      <c r="CK191" s="20"/>
      <c r="CL191" s="20"/>
      <c r="CM191" s="20"/>
      <c r="CN191" s="20"/>
      <c r="CO191" s="20"/>
      <c r="CP191" s="20"/>
      <c r="CQ191" s="20"/>
      <c r="CR191" s="20"/>
      <c r="CS191" s="20"/>
      <c r="CT191" s="20"/>
      <c r="CU191" s="20"/>
      <c r="CV191" s="20"/>
      <c r="CW191" s="20"/>
      <c r="CX191" s="20"/>
      <c r="CY191" s="20"/>
      <c r="CZ191" s="20"/>
      <c r="DA191" s="20"/>
      <c r="DB191" s="20"/>
      <c r="DC191" s="20"/>
      <c r="DD191" s="20"/>
      <c r="DE191" s="20"/>
      <c r="DF191" s="20"/>
      <c r="DG191" s="20"/>
      <c r="DH191" s="20"/>
      <c r="DI191" s="20"/>
      <c r="DJ191" s="20"/>
      <c r="DK191" s="20"/>
      <c r="DL191" s="20"/>
      <c r="DM191" s="20"/>
      <c r="DN191" s="20"/>
      <c r="DO191" s="20"/>
      <c r="DP191" s="20"/>
      <c r="DQ191" s="20"/>
      <c r="DR191" s="20"/>
      <c r="DS191" s="20"/>
      <c r="DT191" s="20"/>
      <c r="DU191" s="20"/>
      <c r="DV191" s="20"/>
      <c r="DW191" s="20"/>
      <c r="DX191" s="20"/>
      <c r="DY191" s="20"/>
      <c r="DZ191" s="20"/>
      <c r="EA191" s="20"/>
    </row>
    <row r="192" spans="2:131" ht="18" customHeight="1">
      <c r="B192" s="707"/>
      <c r="C192" s="707"/>
      <c r="D192" s="707"/>
      <c r="E192" s="707"/>
      <c r="F192" s="707"/>
      <c r="G192" s="707"/>
      <c r="H192" s="707"/>
      <c r="I192" s="707"/>
      <c r="J192" s="707"/>
      <c r="K192" s="707"/>
      <c r="L192" s="19"/>
      <c r="M192" s="20"/>
      <c r="N192" s="20"/>
      <c r="O192" s="20"/>
      <c r="P192" s="20"/>
      <c r="Q192" s="20"/>
      <c r="R192" s="20"/>
      <c r="S192" s="20"/>
      <c r="T192" s="20"/>
      <c r="U192" s="20"/>
      <c r="V192" s="20"/>
      <c r="W192" s="20"/>
      <c r="X192" s="20"/>
      <c r="Y192" s="20"/>
      <c r="Z192" s="20"/>
      <c r="AA192" s="20"/>
      <c r="AB192" s="20"/>
      <c r="AC192" s="20"/>
      <c r="AD192" s="20"/>
      <c r="AE192" s="20"/>
      <c r="AF192" s="20"/>
      <c r="AG192" s="20"/>
      <c r="AH192" s="20"/>
      <c r="AI192" s="20"/>
      <c r="AJ192" s="20"/>
      <c r="AK192" s="20"/>
      <c r="AL192" s="20"/>
      <c r="AM192" s="20"/>
      <c r="AN192" s="20"/>
      <c r="AO192" s="20"/>
      <c r="AP192" s="20"/>
      <c r="AQ192" s="20"/>
      <c r="AR192" s="20"/>
      <c r="AS192" s="20"/>
      <c r="AT192" s="20"/>
      <c r="AU192" s="20"/>
      <c r="AV192" s="20"/>
      <c r="AW192" s="20"/>
      <c r="AX192" s="20"/>
      <c r="AY192" s="20"/>
      <c r="AZ192" s="20"/>
      <c r="BA192" s="20"/>
      <c r="BB192" s="20"/>
      <c r="BC192" s="20"/>
      <c r="BD192" s="20"/>
      <c r="BE192" s="20"/>
      <c r="BF192" s="20"/>
      <c r="BG192" s="20"/>
      <c r="BH192" s="20"/>
      <c r="BI192" s="20"/>
      <c r="BJ192" s="20"/>
      <c r="BK192" s="20"/>
      <c r="BL192" s="20"/>
      <c r="BM192" s="20"/>
      <c r="BN192" s="20"/>
      <c r="BO192" s="20"/>
      <c r="BP192" s="20"/>
      <c r="BQ192" s="20"/>
      <c r="BR192" s="20"/>
      <c r="BS192" s="20"/>
      <c r="BT192" s="20"/>
      <c r="BU192" s="20"/>
      <c r="BV192" s="20"/>
      <c r="BW192" s="20"/>
      <c r="BX192" s="20"/>
      <c r="BY192" s="20"/>
      <c r="BZ192" s="20"/>
      <c r="CA192" s="20"/>
      <c r="CB192" s="20"/>
      <c r="CC192" s="20"/>
      <c r="CD192" s="20"/>
      <c r="CE192" s="20"/>
      <c r="CF192" s="20"/>
      <c r="CG192" s="20"/>
      <c r="CH192" s="20"/>
      <c r="CI192" s="20"/>
      <c r="CJ192" s="20"/>
      <c r="CK192" s="20"/>
      <c r="CL192" s="20"/>
      <c r="CM192" s="20"/>
      <c r="CN192" s="20"/>
      <c r="CO192" s="20"/>
      <c r="CP192" s="20"/>
      <c r="CQ192" s="20"/>
      <c r="CR192" s="20"/>
      <c r="CS192" s="20"/>
      <c r="CT192" s="20"/>
      <c r="CU192" s="20"/>
      <c r="CV192" s="20"/>
      <c r="CW192" s="20"/>
      <c r="CX192" s="20"/>
      <c r="CY192" s="20"/>
      <c r="CZ192" s="20"/>
      <c r="DA192" s="20"/>
      <c r="DB192" s="20"/>
      <c r="DC192" s="20"/>
      <c r="DD192" s="20"/>
      <c r="DE192" s="20"/>
      <c r="DF192" s="20"/>
      <c r="DG192" s="20"/>
      <c r="DH192" s="20"/>
      <c r="DI192" s="20"/>
      <c r="DJ192" s="20"/>
      <c r="DK192" s="20"/>
      <c r="DL192" s="20"/>
      <c r="DM192" s="20"/>
      <c r="DN192" s="20"/>
      <c r="DO192" s="20"/>
      <c r="DP192" s="20"/>
      <c r="DQ192" s="20"/>
      <c r="DR192" s="20"/>
      <c r="DS192" s="20"/>
      <c r="DT192" s="20"/>
      <c r="DU192" s="20"/>
      <c r="DV192" s="20"/>
      <c r="DW192" s="20"/>
      <c r="DX192" s="20"/>
      <c r="DY192" s="20"/>
      <c r="DZ192" s="20"/>
      <c r="EA192" s="20"/>
    </row>
    <row r="193" spans="2:131" ht="18" customHeight="1">
      <c r="B193" s="707"/>
      <c r="C193" s="707"/>
      <c r="D193" s="707"/>
      <c r="E193" s="707"/>
      <c r="F193" s="707"/>
      <c r="G193" s="707"/>
      <c r="H193" s="707"/>
      <c r="I193" s="707"/>
      <c r="J193" s="707"/>
      <c r="K193" s="707"/>
      <c r="L193" s="19"/>
      <c r="M193" s="20"/>
      <c r="N193" s="20"/>
      <c r="O193" s="20"/>
      <c r="P193" s="20"/>
      <c r="Q193" s="20"/>
      <c r="R193" s="20"/>
      <c r="S193" s="20"/>
      <c r="T193" s="20"/>
      <c r="U193" s="20"/>
      <c r="V193" s="20"/>
      <c r="W193" s="20"/>
      <c r="X193" s="20"/>
      <c r="Y193" s="20"/>
      <c r="Z193" s="20"/>
      <c r="AA193" s="20"/>
      <c r="AB193" s="20"/>
      <c r="AC193" s="20"/>
      <c r="AD193" s="20"/>
      <c r="AE193" s="20"/>
      <c r="AF193" s="20"/>
      <c r="AG193" s="20"/>
      <c r="AH193" s="20"/>
      <c r="AI193" s="20"/>
      <c r="AJ193" s="20"/>
      <c r="AK193" s="20"/>
      <c r="AL193" s="20"/>
      <c r="AM193" s="20"/>
      <c r="AN193" s="20"/>
      <c r="AO193" s="20"/>
      <c r="AP193" s="20"/>
      <c r="AQ193" s="20"/>
      <c r="AR193" s="20"/>
      <c r="AS193" s="20"/>
      <c r="AT193" s="20"/>
      <c r="AU193" s="20"/>
      <c r="AV193" s="20"/>
      <c r="AW193" s="20"/>
      <c r="AX193" s="20"/>
      <c r="AY193" s="20"/>
      <c r="AZ193" s="20"/>
      <c r="BA193" s="20"/>
      <c r="BB193" s="20"/>
      <c r="BC193" s="20"/>
      <c r="BD193" s="20"/>
      <c r="BE193" s="20"/>
      <c r="BF193" s="20"/>
      <c r="BG193" s="20"/>
      <c r="BH193" s="20"/>
      <c r="BI193" s="20"/>
      <c r="BJ193" s="20"/>
      <c r="BK193" s="20"/>
      <c r="BL193" s="20"/>
      <c r="BM193" s="20"/>
      <c r="BN193" s="20"/>
      <c r="BO193" s="20"/>
      <c r="BP193" s="20"/>
      <c r="BQ193" s="20"/>
      <c r="BR193" s="20"/>
      <c r="BS193" s="20"/>
      <c r="BT193" s="20"/>
      <c r="BU193" s="20"/>
      <c r="BV193" s="20"/>
      <c r="BW193" s="20"/>
      <c r="BX193" s="20"/>
      <c r="BY193" s="20"/>
      <c r="BZ193" s="20"/>
      <c r="CA193" s="20"/>
      <c r="CB193" s="20"/>
      <c r="CC193" s="20"/>
      <c r="CD193" s="20"/>
      <c r="CE193" s="20"/>
      <c r="CF193" s="20"/>
      <c r="CG193" s="20"/>
      <c r="CH193" s="20"/>
      <c r="CI193" s="20"/>
      <c r="CJ193" s="20"/>
      <c r="CK193" s="20"/>
      <c r="CL193" s="20"/>
      <c r="CM193" s="20"/>
      <c r="CN193" s="20"/>
      <c r="CO193" s="20"/>
      <c r="CP193" s="20"/>
      <c r="CQ193" s="20"/>
      <c r="CR193" s="20"/>
      <c r="CS193" s="20"/>
      <c r="CT193" s="20"/>
      <c r="CU193" s="20"/>
      <c r="CV193" s="20"/>
      <c r="CW193" s="20"/>
      <c r="CX193" s="20"/>
      <c r="CY193" s="20"/>
      <c r="CZ193" s="20"/>
      <c r="DA193" s="20"/>
      <c r="DB193" s="20"/>
      <c r="DC193" s="20"/>
      <c r="DD193" s="20"/>
      <c r="DE193" s="20"/>
      <c r="DF193" s="20"/>
      <c r="DG193" s="20"/>
      <c r="DH193" s="20"/>
      <c r="DI193" s="20"/>
      <c r="DJ193" s="20"/>
      <c r="DK193" s="20"/>
      <c r="DL193" s="20"/>
      <c r="DM193" s="20"/>
      <c r="DN193" s="20"/>
      <c r="DO193" s="20"/>
      <c r="DP193" s="20"/>
      <c r="DQ193" s="20"/>
      <c r="DR193" s="20"/>
      <c r="DS193" s="20"/>
      <c r="DT193" s="20"/>
      <c r="DU193" s="20"/>
      <c r="DV193" s="20"/>
      <c r="DW193" s="20"/>
      <c r="DX193" s="20"/>
      <c r="DY193" s="20"/>
      <c r="DZ193" s="20"/>
      <c r="EA193" s="20"/>
    </row>
    <row r="194" spans="2:131" ht="18" customHeight="1">
      <c r="B194" s="707"/>
      <c r="C194" s="707"/>
      <c r="D194" s="707"/>
      <c r="E194" s="707"/>
      <c r="F194" s="707"/>
      <c r="G194" s="707"/>
      <c r="H194" s="707"/>
      <c r="I194" s="707"/>
      <c r="J194" s="707"/>
      <c r="K194" s="707"/>
      <c r="L194" s="19"/>
      <c r="M194" s="20"/>
      <c r="N194" s="20"/>
      <c r="O194" s="20"/>
      <c r="P194" s="20"/>
      <c r="Q194" s="20"/>
      <c r="R194" s="20"/>
      <c r="S194" s="20"/>
      <c r="T194" s="20"/>
      <c r="U194" s="20"/>
      <c r="V194" s="20"/>
      <c r="W194" s="20"/>
      <c r="X194" s="20"/>
      <c r="Y194" s="20"/>
      <c r="Z194" s="20"/>
      <c r="AA194" s="20"/>
      <c r="AB194" s="20"/>
      <c r="AC194" s="20"/>
      <c r="AD194" s="20"/>
      <c r="AE194" s="20"/>
      <c r="AF194" s="20"/>
      <c r="AG194" s="20"/>
      <c r="AH194" s="20"/>
      <c r="AI194" s="20"/>
      <c r="AJ194" s="20"/>
      <c r="AK194" s="20"/>
      <c r="AL194" s="20"/>
      <c r="AM194" s="20"/>
      <c r="AN194" s="20"/>
      <c r="AO194" s="20"/>
      <c r="AP194" s="20"/>
      <c r="AQ194" s="20"/>
      <c r="AR194" s="20"/>
      <c r="AS194" s="20"/>
      <c r="AT194" s="20"/>
      <c r="AU194" s="20"/>
      <c r="AV194" s="20"/>
      <c r="AW194" s="20"/>
      <c r="AX194" s="20"/>
      <c r="AY194" s="20"/>
      <c r="AZ194" s="20"/>
      <c r="BA194" s="20"/>
      <c r="BB194" s="20"/>
      <c r="BC194" s="20"/>
      <c r="BD194" s="20"/>
      <c r="BE194" s="20"/>
      <c r="BF194" s="20"/>
      <c r="BG194" s="20"/>
      <c r="BH194" s="20"/>
      <c r="BI194" s="20"/>
      <c r="BJ194" s="20"/>
      <c r="BK194" s="20"/>
      <c r="BL194" s="20"/>
      <c r="BM194" s="20"/>
      <c r="BN194" s="20"/>
      <c r="BO194" s="20"/>
      <c r="BP194" s="20"/>
      <c r="BQ194" s="20"/>
      <c r="BR194" s="20"/>
      <c r="BS194" s="20"/>
      <c r="BT194" s="20"/>
      <c r="BU194" s="20"/>
      <c r="BV194" s="20"/>
      <c r="BW194" s="20"/>
      <c r="BX194" s="20"/>
      <c r="BY194" s="20"/>
      <c r="BZ194" s="20"/>
      <c r="CA194" s="20"/>
      <c r="CB194" s="20"/>
      <c r="CC194" s="20"/>
      <c r="CD194" s="20"/>
      <c r="CE194" s="20"/>
      <c r="CF194" s="20"/>
      <c r="CG194" s="20"/>
      <c r="CH194" s="20"/>
      <c r="CI194" s="20"/>
      <c r="CJ194" s="20"/>
      <c r="CK194" s="20"/>
      <c r="CL194" s="20"/>
      <c r="CM194" s="20"/>
      <c r="CN194" s="20"/>
      <c r="CO194" s="20"/>
      <c r="CP194" s="20"/>
      <c r="CQ194" s="20"/>
      <c r="CR194" s="20"/>
      <c r="CS194" s="20"/>
      <c r="CT194" s="20"/>
      <c r="CU194" s="20"/>
      <c r="CV194" s="20"/>
      <c r="CW194" s="20"/>
      <c r="CX194" s="20"/>
      <c r="CY194" s="20"/>
      <c r="CZ194" s="20"/>
      <c r="DA194" s="20"/>
      <c r="DB194" s="20"/>
      <c r="DC194" s="20"/>
      <c r="DD194" s="20"/>
      <c r="DE194" s="20"/>
      <c r="DF194" s="20"/>
      <c r="DG194" s="20"/>
      <c r="DH194" s="20"/>
      <c r="DI194" s="20"/>
      <c r="DJ194" s="20"/>
      <c r="DK194" s="20"/>
      <c r="DL194" s="20"/>
      <c r="DM194" s="20"/>
      <c r="DN194" s="20"/>
      <c r="DO194" s="20"/>
      <c r="DP194" s="20"/>
      <c r="DQ194" s="20"/>
      <c r="DR194" s="20"/>
      <c r="DS194" s="20"/>
      <c r="DT194" s="20"/>
      <c r="DU194" s="20"/>
      <c r="DV194" s="20"/>
      <c r="DW194" s="20"/>
      <c r="DX194" s="20"/>
      <c r="DY194" s="20"/>
      <c r="DZ194" s="20"/>
      <c r="EA194" s="20"/>
    </row>
    <row r="195" spans="2:131" ht="18" customHeight="1">
      <c r="B195" s="707"/>
      <c r="C195" s="707"/>
      <c r="D195" s="707"/>
      <c r="E195" s="707"/>
      <c r="F195" s="707"/>
      <c r="G195" s="707"/>
      <c r="H195" s="707"/>
      <c r="I195" s="707"/>
      <c r="J195" s="707"/>
      <c r="K195" s="707"/>
      <c r="L195" s="19"/>
      <c r="M195" s="20"/>
      <c r="N195" s="20"/>
      <c r="O195" s="20"/>
      <c r="P195" s="20"/>
      <c r="Q195" s="20"/>
      <c r="R195" s="20"/>
      <c r="S195" s="20"/>
      <c r="T195" s="20"/>
      <c r="U195" s="20"/>
      <c r="V195" s="20"/>
      <c r="W195" s="20"/>
      <c r="X195" s="20"/>
      <c r="Y195" s="20"/>
      <c r="Z195" s="20"/>
      <c r="AA195" s="20"/>
      <c r="AB195" s="20"/>
      <c r="AC195" s="20"/>
      <c r="AD195" s="20"/>
      <c r="AE195" s="20"/>
      <c r="AF195" s="20"/>
      <c r="AG195" s="20"/>
      <c r="AH195" s="20"/>
      <c r="AI195" s="20"/>
      <c r="AJ195" s="20"/>
      <c r="AK195" s="20"/>
      <c r="AL195" s="20"/>
      <c r="AM195" s="20"/>
      <c r="AN195" s="20"/>
      <c r="AO195" s="20"/>
      <c r="AP195" s="20"/>
      <c r="AQ195" s="20"/>
      <c r="AR195" s="20"/>
      <c r="AS195" s="20"/>
      <c r="AT195" s="20"/>
      <c r="AU195" s="20"/>
      <c r="AV195" s="20"/>
      <c r="AW195" s="20"/>
      <c r="AX195" s="20"/>
      <c r="AY195" s="20"/>
      <c r="AZ195" s="20"/>
      <c r="BA195" s="20"/>
      <c r="BB195" s="20"/>
      <c r="BC195" s="20"/>
      <c r="BD195" s="20"/>
      <c r="BE195" s="20"/>
      <c r="BF195" s="20"/>
      <c r="BG195" s="20"/>
      <c r="BH195" s="20"/>
      <c r="BI195" s="20"/>
      <c r="BJ195" s="20"/>
      <c r="BK195" s="20"/>
      <c r="BL195" s="20"/>
      <c r="BM195" s="20"/>
      <c r="BN195" s="20"/>
      <c r="BO195" s="20"/>
      <c r="BP195" s="20"/>
      <c r="BQ195" s="20"/>
      <c r="BR195" s="20"/>
      <c r="BS195" s="20"/>
      <c r="BT195" s="20"/>
      <c r="BU195" s="20"/>
      <c r="BV195" s="20"/>
      <c r="BW195" s="20"/>
      <c r="BX195" s="20"/>
      <c r="BY195" s="20"/>
      <c r="BZ195" s="20"/>
      <c r="CA195" s="20"/>
      <c r="CB195" s="20"/>
      <c r="CC195" s="20"/>
      <c r="CD195" s="20"/>
      <c r="CE195" s="20"/>
      <c r="CF195" s="20"/>
      <c r="CG195" s="20"/>
      <c r="CH195" s="20"/>
      <c r="CI195" s="20"/>
      <c r="CJ195" s="20"/>
      <c r="CK195" s="20"/>
      <c r="CL195" s="20"/>
      <c r="CM195" s="20"/>
      <c r="CN195" s="20"/>
      <c r="CO195" s="20"/>
      <c r="CP195" s="20"/>
      <c r="CQ195" s="20"/>
      <c r="CR195" s="20"/>
      <c r="CS195" s="20"/>
      <c r="CT195" s="20"/>
      <c r="CU195" s="20"/>
      <c r="CV195" s="20"/>
      <c r="CW195" s="20"/>
      <c r="CX195" s="20"/>
      <c r="CY195" s="20"/>
      <c r="CZ195" s="20"/>
      <c r="DA195" s="20"/>
      <c r="DB195" s="20"/>
      <c r="DC195" s="20"/>
      <c r="DD195" s="20"/>
      <c r="DE195" s="20"/>
      <c r="DF195" s="20"/>
      <c r="DG195" s="20"/>
      <c r="DH195" s="20"/>
      <c r="DI195" s="20"/>
      <c r="DJ195" s="20"/>
      <c r="DK195" s="20"/>
      <c r="DL195" s="20"/>
      <c r="DM195" s="20"/>
      <c r="DN195" s="20"/>
      <c r="DO195" s="20"/>
      <c r="DP195" s="20"/>
      <c r="DQ195" s="20"/>
      <c r="DR195" s="20"/>
      <c r="DS195" s="20"/>
      <c r="DT195" s="20"/>
      <c r="DU195" s="20"/>
      <c r="DV195" s="20"/>
      <c r="DW195" s="20"/>
      <c r="DX195" s="20"/>
      <c r="DY195" s="20"/>
      <c r="DZ195" s="20"/>
      <c r="EA195" s="20"/>
    </row>
    <row r="196" spans="2:131" ht="18" customHeight="1">
      <c r="B196" s="708"/>
      <c r="C196" s="708"/>
      <c r="D196" s="707"/>
      <c r="E196" s="707"/>
      <c r="F196" s="707"/>
      <c r="G196" s="707"/>
      <c r="H196" s="707"/>
      <c r="I196" s="707"/>
      <c r="J196" s="707"/>
      <c r="K196" s="707"/>
      <c r="L196" s="19"/>
      <c r="M196" s="20"/>
      <c r="N196" s="20"/>
      <c r="O196" s="20"/>
      <c r="P196" s="20"/>
      <c r="Q196" s="20"/>
      <c r="R196" s="20"/>
      <c r="S196" s="20"/>
      <c r="T196" s="20"/>
      <c r="U196" s="20"/>
      <c r="V196" s="20"/>
      <c r="W196" s="20"/>
      <c r="X196" s="20"/>
      <c r="Y196" s="20"/>
      <c r="Z196" s="20"/>
      <c r="AA196" s="20"/>
      <c r="AB196" s="20"/>
      <c r="AC196" s="20"/>
      <c r="AD196" s="20"/>
      <c r="AE196" s="20"/>
      <c r="AF196" s="20"/>
      <c r="AG196" s="20"/>
      <c r="AH196" s="20"/>
      <c r="AI196" s="20"/>
      <c r="AJ196" s="20"/>
      <c r="AK196" s="20"/>
      <c r="AL196" s="20"/>
      <c r="AM196" s="20"/>
      <c r="AN196" s="20"/>
      <c r="AO196" s="20"/>
      <c r="AP196" s="20"/>
      <c r="AQ196" s="20"/>
      <c r="AR196" s="20"/>
      <c r="AS196" s="20"/>
      <c r="AT196" s="20"/>
      <c r="AU196" s="20"/>
      <c r="AV196" s="20"/>
      <c r="AW196" s="20"/>
      <c r="AX196" s="20"/>
      <c r="AY196" s="20"/>
      <c r="AZ196" s="20"/>
      <c r="BA196" s="20"/>
      <c r="BB196" s="20"/>
      <c r="BC196" s="20"/>
      <c r="BD196" s="20"/>
      <c r="BE196" s="20"/>
      <c r="BF196" s="20"/>
      <c r="BG196" s="20"/>
      <c r="BH196" s="20"/>
      <c r="BI196" s="20"/>
      <c r="BJ196" s="20"/>
      <c r="BK196" s="20"/>
      <c r="BL196" s="20"/>
      <c r="BM196" s="20"/>
      <c r="BN196" s="20"/>
      <c r="BO196" s="20"/>
      <c r="BP196" s="20"/>
      <c r="BQ196" s="20"/>
      <c r="BR196" s="20"/>
      <c r="BS196" s="20"/>
      <c r="BT196" s="20"/>
      <c r="BU196" s="20"/>
      <c r="BV196" s="20"/>
      <c r="BW196" s="20"/>
      <c r="BX196" s="20"/>
      <c r="BY196" s="20"/>
      <c r="BZ196" s="20"/>
      <c r="CA196" s="20"/>
      <c r="CB196" s="20"/>
      <c r="CC196" s="20"/>
      <c r="CD196" s="20"/>
      <c r="CE196" s="20"/>
      <c r="CF196" s="20"/>
      <c r="CG196" s="20"/>
      <c r="CH196" s="20"/>
      <c r="CI196" s="20"/>
      <c r="CJ196" s="20"/>
      <c r="CK196" s="20"/>
      <c r="CL196" s="20"/>
      <c r="CM196" s="20"/>
      <c r="CN196" s="20"/>
      <c r="CO196" s="20"/>
      <c r="CP196" s="20"/>
      <c r="CQ196" s="20"/>
      <c r="CR196" s="20"/>
      <c r="CS196" s="20"/>
      <c r="CT196" s="20"/>
      <c r="CU196" s="20"/>
      <c r="CV196" s="20"/>
      <c r="CW196" s="20"/>
      <c r="CX196" s="20"/>
      <c r="CY196" s="20"/>
      <c r="CZ196" s="20"/>
      <c r="DA196" s="20"/>
      <c r="DB196" s="20"/>
      <c r="DC196" s="20"/>
      <c r="DD196" s="20"/>
      <c r="DE196" s="20"/>
      <c r="DF196" s="20"/>
      <c r="DG196" s="20"/>
      <c r="DH196" s="20"/>
      <c r="DI196" s="20"/>
      <c r="DJ196" s="20"/>
      <c r="DK196" s="20"/>
      <c r="DL196" s="20"/>
      <c r="DM196" s="20"/>
      <c r="DN196" s="20"/>
      <c r="DO196" s="20"/>
      <c r="DP196" s="20"/>
      <c r="DQ196" s="20"/>
      <c r="DR196" s="20"/>
      <c r="DS196" s="20"/>
      <c r="DT196" s="20"/>
      <c r="DU196" s="20"/>
      <c r="DV196" s="20"/>
      <c r="DW196" s="20"/>
      <c r="DX196" s="20"/>
      <c r="DY196" s="20"/>
      <c r="DZ196" s="20"/>
      <c r="EA196" s="20"/>
    </row>
    <row r="197" spans="2:131" ht="18" customHeight="1">
      <c r="B197" s="707"/>
      <c r="C197" s="707"/>
      <c r="D197" s="707"/>
      <c r="E197" s="707"/>
      <c r="F197" s="707"/>
      <c r="G197" s="707"/>
      <c r="H197" s="707"/>
      <c r="I197" s="707"/>
      <c r="J197" s="707"/>
      <c r="K197" s="707"/>
      <c r="L197" s="19"/>
      <c r="M197" s="20"/>
      <c r="N197" s="20"/>
      <c r="O197" s="20"/>
      <c r="P197" s="20"/>
      <c r="Q197" s="20"/>
      <c r="R197" s="20"/>
      <c r="S197" s="20"/>
      <c r="T197" s="20"/>
      <c r="U197" s="20"/>
      <c r="V197" s="20"/>
      <c r="W197" s="20"/>
      <c r="X197" s="20"/>
      <c r="Y197" s="20"/>
      <c r="Z197" s="20"/>
      <c r="AA197" s="20"/>
      <c r="AB197" s="20"/>
      <c r="AC197" s="20"/>
      <c r="AD197" s="20"/>
      <c r="AE197" s="20"/>
      <c r="AF197" s="20"/>
      <c r="AG197" s="20"/>
      <c r="AH197" s="20"/>
      <c r="AI197" s="20"/>
      <c r="AJ197" s="20"/>
      <c r="AK197" s="20"/>
      <c r="AL197" s="20"/>
      <c r="AM197" s="20"/>
      <c r="AN197" s="20"/>
      <c r="AO197" s="20"/>
      <c r="AP197" s="20"/>
      <c r="AQ197" s="20"/>
      <c r="AR197" s="20"/>
      <c r="AS197" s="20"/>
      <c r="AT197" s="20"/>
      <c r="AU197" s="20"/>
      <c r="AV197" s="20"/>
      <c r="AW197" s="20"/>
      <c r="AX197" s="20"/>
      <c r="AY197" s="20"/>
      <c r="AZ197" s="20"/>
      <c r="BA197" s="20"/>
      <c r="BB197" s="20"/>
      <c r="BC197" s="20"/>
      <c r="BD197" s="20"/>
      <c r="BE197" s="20"/>
      <c r="BF197" s="20"/>
      <c r="BG197" s="20"/>
      <c r="BH197" s="20"/>
      <c r="BI197" s="20"/>
      <c r="BJ197" s="20"/>
      <c r="BK197" s="20"/>
      <c r="BL197" s="20"/>
      <c r="BM197" s="20"/>
      <c r="BN197" s="20"/>
      <c r="BO197" s="20"/>
      <c r="BP197" s="20"/>
      <c r="BQ197" s="20"/>
      <c r="BR197" s="20"/>
      <c r="BS197" s="20"/>
      <c r="BT197" s="20"/>
      <c r="BU197" s="20"/>
      <c r="BV197" s="20"/>
      <c r="BW197" s="20"/>
      <c r="BX197" s="20"/>
      <c r="BY197" s="20"/>
      <c r="BZ197" s="20"/>
      <c r="CA197" s="20"/>
      <c r="CB197" s="20"/>
      <c r="CC197" s="20"/>
      <c r="CD197" s="20"/>
      <c r="CE197" s="20"/>
      <c r="CF197" s="20"/>
      <c r="CG197" s="20"/>
      <c r="CH197" s="20"/>
      <c r="CI197" s="20"/>
      <c r="CJ197" s="20"/>
      <c r="CK197" s="20"/>
      <c r="CL197" s="20"/>
      <c r="CM197" s="20"/>
      <c r="CN197" s="20"/>
      <c r="CO197" s="20"/>
      <c r="CP197" s="20"/>
      <c r="CQ197" s="20"/>
      <c r="CR197" s="20"/>
      <c r="CS197" s="20"/>
      <c r="CT197" s="20"/>
      <c r="CU197" s="20"/>
      <c r="CV197" s="20"/>
      <c r="CW197" s="20"/>
      <c r="CX197" s="20"/>
      <c r="CY197" s="20"/>
      <c r="CZ197" s="20"/>
      <c r="DA197" s="20"/>
      <c r="DB197" s="20"/>
      <c r="DC197" s="20"/>
      <c r="DD197" s="20"/>
      <c r="DE197" s="20"/>
      <c r="DF197" s="20"/>
      <c r="DG197" s="20"/>
      <c r="DH197" s="20"/>
      <c r="DI197" s="20"/>
      <c r="DJ197" s="20"/>
      <c r="DK197" s="20"/>
      <c r="DL197" s="20"/>
      <c r="DM197" s="20"/>
      <c r="DN197" s="20"/>
      <c r="DO197" s="20"/>
      <c r="DP197" s="20"/>
      <c r="DQ197" s="20"/>
      <c r="DR197" s="20"/>
      <c r="DS197" s="20"/>
      <c r="DT197" s="20"/>
      <c r="DU197" s="20"/>
      <c r="DV197" s="20"/>
      <c r="DW197" s="20"/>
      <c r="DX197" s="20"/>
      <c r="DY197" s="20"/>
      <c r="DZ197" s="20"/>
      <c r="EA197" s="20"/>
    </row>
    <row r="198" spans="2:131" ht="18" customHeight="1">
      <c r="B198" s="707"/>
      <c r="C198" s="707"/>
      <c r="D198" s="707"/>
      <c r="E198" s="707"/>
      <c r="F198" s="707"/>
      <c r="G198" s="707"/>
      <c r="H198" s="707"/>
      <c r="I198" s="707"/>
      <c r="J198" s="707"/>
      <c r="K198" s="707"/>
      <c r="L198" s="19"/>
      <c r="M198" s="20"/>
      <c r="N198" s="20"/>
      <c r="O198" s="20"/>
      <c r="P198" s="20"/>
      <c r="Q198" s="20"/>
      <c r="R198" s="20"/>
      <c r="S198" s="20"/>
      <c r="T198" s="20"/>
      <c r="U198" s="20"/>
      <c r="V198" s="20"/>
      <c r="W198" s="20"/>
      <c r="X198" s="20"/>
      <c r="Y198" s="20"/>
      <c r="Z198" s="20"/>
      <c r="AA198" s="20"/>
      <c r="AB198" s="20"/>
      <c r="AC198" s="20"/>
      <c r="AD198" s="20"/>
      <c r="AE198" s="20"/>
      <c r="AF198" s="20"/>
      <c r="AG198" s="20"/>
      <c r="AH198" s="20"/>
      <c r="AI198" s="20"/>
      <c r="AJ198" s="20"/>
      <c r="AK198" s="20"/>
      <c r="AL198" s="20"/>
      <c r="AM198" s="20"/>
      <c r="AN198" s="20"/>
      <c r="AO198" s="20"/>
      <c r="AP198" s="20"/>
      <c r="AQ198" s="20"/>
      <c r="AR198" s="20"/>
      <c r="AS198" s="20"/>
      <c r="AT198" s="20"/>
      <c r="AU198" s="20"/>
      <c r="AV198" s="20"/>
      <c r="AW198" s="20"/>
      <c r="AX198" s="20"/>
      <c r="AY198" s="20"/>
      <c r="AZ198" s="20"/>
      <c r="BA198" s="20"/>
      <c r="BB198" s="20"/>
      <c r="BC198" s="20"/>
      <c r="BD198" s="20"/>
      <c r="BE198" s="20"/>
      <c r="BF198" s="20"/>
      <c r="BG198" s="20"/>
      <c r="BH198" s="20"/>
      <c r="BI198" s="20"/>
      <c r="BJ198" s="20"/>
      <c r="BK198" s="20"/>
      <c r="BL198" s="20"/>
      <c r="BM198" s="20"/>
      <c r="BN198" s="20"/>
      <c r="BO198" s="20"/>
      <c r="BP198" s="20"/>
      <c r="BQ198" s="20"/>
      <c r="BR198" s="20"/>
      <c r="BS198" s="20"/>
      <c r="BT198" s="20"/>
      <c r="BU198" s="20"/>
      <c r="BV198" s="20"/>
      <c r="BW198" s="20"/>
      <c r="BX198" s="20"/>
      <c r="BY198" s="20"/>
      <c r="BZ198" s="20"/>
      <c r="CA198" s="20"/>
      <c r="CB198" s="20"/>
      <c r="CC198" s="20"/>
      <c r="CD198" s="20"/>
      <c r="CE198" s="20"/>
      <c r="CF198" s="20"/>
      <c r="CG198" s="20"/>
      <c r="CH198" s="20"/>
      <c r="CI198" s="20"/>
      <c r="CJ198" s="20"/>
      <c r="CK198" s="20"/>
      <c r="CL198" s="20"/>
      <c r="CM198" s="20"/>
      <c r="CN198" s="20"/>
      <c r="CO198" s="20"/>
      <c r="CP198" s="20"/>
      <c r="CQ198" s="20"/>
      <c r="CR198" s="20"/>
      <c r="CS198" s="20"/>
      <c r="CT198" s="20"/>
      <c r="CU198" s="20"/>
      <c r="CV198" s="20"/>
      <c r="CW198" s="20"/>
      <c r="CX198" s="20"/>
      <c r="CY198" s="20"/>
      <c r="CZ198" s="20"/>
      <c r="DA198" s="20"/>
      <c r="DB198" s="20"/>
      <c r="DC198" s="20"/>
      <c r="DD198" s="20"/>
      <c r="DE198" s="20"/>
      <c r="DF198" s="20"/>
      <c r="DG198" s="20"/>
      <c r="DH198" s="20"/>
      <c r="DI198" s="20"/>
      <c r="DJ198" s="20"/>
      <c r="DK198" s="20"/>
      <c r="DL198" s="20"/>
      <c r="DM198" s="20"/>
      <c r="DN198" s="20"/>
      <c r="DO198" s="20"/>
      <c r="DP198" s="20"/>
      <c r="DQ198" s="20"/>
      <c r="DR198" s="20"/>
      <c r="DS198" s="20"/>
      <c r="DT198" s="20"/>
      <c r="DU198" s="20"/>
      <c r="DV198" s="20"/>
      <c r="DW198" s="20"/>
      <c r="DX198" s="20"/>
      <c r="DY198" s="20"/>
      <c r="DZ198" s="20"/>
      <c r="EA198" s="20"/>
    </row>
    <row r="199" spans="2:131" ht="18" customHeight="1">
      <c r="B199" s="707"/>
      <c r="C199" s="707"/>
      <c r="D199" s="707"/>
      <c r="E199" s="707"/>
      <c r="F199" s="707"/>
      <c r="G199" s="707"/>
      <c r="H199" s="707"/>
      <c r="I199" s="707"/>
      <c r="J199" s="707"/>
      <c r="K199" s="707"/>
      <c r="L199" s="19"/>
      <c r="M199" s="20"/>
      <c r="N199" s="20"/>
      <c r="O199" s="20"/>
      <c r="P199" s="20"/>
      <c r="Q199" s="20"/>
      <c r="R199" s="20"/>
      <c r="S199" s="20"/>
      <c r="T199" s="20"/>
      <c r="U199" s="20"/>
      <c r="V199" s="20"/>
      <c r="W199" s="20"/>
      <c r="X199" s="20"/>
      <c r="Y199" s="20"/>
      <c r="Z199" s="20"/>
      <c r="AA199" s="20"/>
      <c r="AB199" s="20"/>
      <c r="AC199" s="20"/>
      <c r="AD199" s="20"/>
      <c r="AE199" s="20"/>
      <c r="AF199" s="20"/>
      <c r="AG199" s="20"/>
      <c r="AH199" s="20"/>
      <c r="AI199" s="20"/>
      <c r="AJ199" s="20"/>
      <c r="AK199" s="20"/>
      <c r="AL199" s="20"/>
      <c r="AM199" s="20"/>
      <c r="AN199" s="20"/>
      <c r="AO199" s="20"/>
      <c r="AP199" s="20"/>
      <c r="AQ199" s="20"/>
      <c r="AR199" s="20"/>
      <c r="AS199" s="20"/>
      <c r="AT199" s="20"/>
      <c r="AU199" s="20"/>
      <c r="AV199" s="20"/>
      <c r="AW199" s="20"/>
      <c r="AX199" s="20"/>
      <c r="AY199" s="20"/>
      <c r="AZ199" s="20"/>
      <c r="BA199" s="20"/>
      <c r="BB199" s="20"/>
      <c r="BC199" s="20"/>
      <c r="BD199" s="20"/>
      <c r="BE199" s="20"/>
      <c r="BF199" s="20"/>
      <c r="BG199" s="20"/>
      <c r="BH199" s="20"/>
      <c r="BI199" s="20"/>
      <c r="BJ199" s="20"/>
      <c r="BK199" s="20"/>
      <c r="BL199" s="20"/>
      <c r="BM199" s="20"/>
      <c r="BN199" s="20"/>
      <c r="BO199" s="20"/>
      <c r="BP199" s="20"/>
      <c r="BQ199" s="20"/>
      <c r="BR199" s="20"/>
      <c r="BS199" s="20"/>
      <c r="BT199" s="20"/>
      <c r="BU199" s="20"/>
      <c r="BV199" s="20"/>
      <c r="BW199" s="20"/>
      <c r="BX199" s="20"/>
      <c r="BY199" s="20"/>
      <c r="BZ199" s="20"/>
      <c r="CA199" s="20"/>
      <c r="CB199" s="20"/>
      <c r="CC199" s="20"/>
      <c r="CD199" s="20"/>
      <c r="CE199" s="20"/>
      <c r="CF199" s="20"/>
      <c r="CG199" s="20"/>
      <c r="CH199" s="20"/>
      <c r="CI199" s="20"/>
      <c r="CJ199" s="20"/>
      <c r="CK199" s="20"/>
      <c r="CL199" s="20"/>
      <c r="CM199" s="20"/>
      <c r="CN199" s="20"/>
      <c r="CO199" s="20"/>
      <c r="CP199" s="20"/>
      <c r="CQ199" s="20"/>
      <c r="CR199" s="20"/>
      <c r="CS199" s="20"/>
      <c r="CT199" s="20"/>
      <c r="CU199" s="20"/>
      <c r="CV199" s="20"/>
      <c r="CW199" s="20"/>
      <c r="CX199" s="20"/>
      <c r="CY199" s="20"/>
      <c r="CZ199" s="20"/>
      <c r="DA199" s="20"/>
      <c r="DB199" s="20"/>
      <c r="DC199" s="20"/>
      <c r="DD199" s="20"/>
      <c r="DE199" s="20"/>
      <c r="DF199" s="20"/>
      <c r="DG199" s="20"/>
      <c r="DH199" s="20"/>
      <c r="DI199" s="20"/>
      <c r="DJ199" s="20"/>
      <c r="DK199" s="20"/>
      <c r="DL199" s="20"/>
      <c r="DM199" s="20"/>
      <c r="DN199" s="20"/>
      <c r="DO199" s="20"/>
      <c r="DP199" s="20"/>
      <c r="DQ199" s="20"/>
      <c r="DR199" s="20"/>
      <c r="DS199" s="20"/>
      <c r="DT199" s="20"/>
      <c r="DU199" s="20"/>
      <c r="DV199" s="20"/>
      <c r="DW199" s="20"/>
      <c r="DX199" s="20"/>
      <c r="DY199" s="20"/>
      <c r="DZ199" s="20"/>
      <c r="EA199" s="20"/>
    </row>
    <row r="200" spans="2:131" ht="18" customHeight="1">
      <c r="B200" s="707"/>
      <c r="C200" s="707"/>
      <c r="D200" s="707"/>
      <c r="E200" s="707"/>
      <c r="F200" s="707"/>
      <c r="G200" s="707"/>
      <c r="H200" s="707"/>
      <c r="I200" s="707"/>
      <c r="J200" s="707"/>
      <c r="K200" s="707"/>
      <c r="L200" s="19"/>
      <c r="M200" s="20"/>
      <c r="N200" s="20"/>
      <c r="O200" s="20"/>
      <c r="P200" s="20"/>
      <c r="Q200" s="20"/>
      <c r="R200" s="20"/>
      <c r="S200" s="20"/>
      <c r="T200" s="20"/>
      <c r="U200" s="20"/>
      <c r="V200" s="20"/>
      <c r="W200" s="20"/>
      <c r="X200" s="20"/>
      <c r="Y200" s="20"/>
      <c r="Z200" s="20"/>
      <c r="AA200" s="20"/>
      <c r="AB200" s="20"/>
      <c r="AC200" s="20"/>
      <c r="AD200" s="20"/>
      <c r="AE200" s="20"/>
      <c r="AF200" s="20"/>
      <c r="AG200" s="20"/>
      <c r="AH200" s="20"/>
      <c r="AI200" s="20"/>
      <c r="AJ200" s="20"/>
      <c r="AK200" s="20"/>
      <c r="AL200" s="20"/>
      <c r="AM200" s="20"/>
      <c r="AN200" s="20"/>
      <c r="AO200" s="20"/>
      <c r="AP200" s="20"/>
      <c r="AQ200" s="20"/>
      <c r="AR200" s="20"/>
      <c r="AS200" s="20"/>
      <c r="AT200" s="20"/>
      <c r="AU200" s="20"/>
      <c r="AV200" s="20"/>
      <c r="AW200" s="20"/>
      <c r="AX200" s="20"/>
      <c r="AY200" s="20"/>
      <c r="AZ200" s="20"/>
      <c r="BA200" s="20"/>
      <c r="BB200" s="20"/>
      <c r="BC200" s="20"/>
      <c r="BD200" s="20"/>
      <c r="BE200" s="20"/>
      <c r="BF200" s="20"/>
      <c r="BG200" s="20"/>
      <c r="BH200" s="20"/>
      <c r="BI200" s="20"/>
      <c r="BJ200" s="20"/>
      <c r="BK200" s="20"/>
      <c r="BL200" s="20"/>
      <c r="BM200" s="20"/>
      <c r="BN200" s="20"/>
      <c r="BO200" s="20"/>
      <c r="BP200" s="20"/>
      <c r="BQ200" s="20"/>
      <c r="BR200" s="20"/>
      <c r="BS200" s="20"/>
      <c r="BT200" s="20"/>
      <c r="BU200" s="20"/>
      <c r="BV200" s="20"/>
      <c r="BW200" s="20"/>
      <c r="BX200" s="20"/>
      <c r="BY200" s="20"/>
      <c r="BZ200" s="20"/>
      <c r="CA200" s="20"/>
      <c r="CB200" s="20"/>
      <c r="CC200" s="20"/>
      <c r="CD200" s="20"/>
      <c r="CE200" s="20"/>
      <c r="CF200" s="20"/>
      <c r="CG200" s="20"/>
      <c r="CH200" s="20"/>
      <c r="CI200" s="20"/>
      <c r="CJ200" s="20"/>
      <c r="CK200" s="20"/>
      <c r="CL200" s="20"/>
      <c r="CM200" s="20"/>
      <c r="CN200" s="20"/>
      <c r="CO200" s="20"/>
      <c r="CP200" s="20"/>
      <c r="CQ200" s="20"/>
      <c r="CR200" s="20"/>
      <c r="CS200" s="20"/>
      <c r="CT200" s="20"/>
      <c r="CU200" s="20"/>
      <c r="CV200" s="20"/>
      <c r="CW200" s="20"/>
      <c r="CX200" s="20"/>
      <c r="CY200" s="20"/>
      <c r="CZ200" s="20"/>
      <c r="DA200" s="20"/>
      <c r="DB200" s="20"/>
      <c r="DC200" s="20"/>
      <c r="DD200" s="20"/>
      <c r="DE200" s="20"/>
      <c r="DF200" s="20"/>
      <c r="DG200" s="20"/>
      <c r="DH200" s="20"/>
      <c r="DI200" s="20"/>
      <c r="DJ200" s="20"/>
      <c r="DK200" s="20"/>
      <c r="DL200" s="20"/>
      <c r="DM200" s="20"/>
      <c r="DN200" s="20"/>
      <c r="DO200" s="20"/>
      <c r="DP200" s="20"/>
      <c r="DQ200" s="20"/>
      <c r="DR200" s="20"/>
      <c r="DS200" s="20"/>
      <c r="DT200" s="20"/>
      <c r="DU200" s="20"/>
      <c r="DV200" s="20"/>
      <c r="DW200" s="20"/>
      <c r="DX200" s="20"/>
      <c r="DY200" s="20"/>
      <c r="DZ200" s="20"/>
      <c r="EA200" s="20"/>
    </row>
    <row r="201" spans="2:131" ht="18" customHeight="1">
      <c r="B201" s="707"/>
      <c r="C201" s="707"/>
      <c r="D201" s="707"/>
      <c r="E201" s="707"/>
      <c r="F201" s="707"/>
      <c r="G201" s="707"/>
      <c r="H201" s="707"/>
      <c r="I201" s="707"/>
      <c r="J201" s="707"/>
      <c r="K201" s="707"/>
      <c r="L201" s="19"/>
      <c r="M201" s="20"/>
      <c r="N201" s="20"/>
      <c r="O201" s="20"/>
      <c r="P201" s="20"/>
      <c r="Q201" s="20"/>
      <c r="R201" s="20"/>
      <c r="S201" s="20"/>
      <c r="T201" s="20"/>
      <c r="U201" s="20"/>
      <c r="V201" s="20"/>
      <c r="W201" s="20"/>
      <c r="X201" s="20"/>
      <c r="Y201" s="20"/>
      <c r="Z201" s="20"/>
      <c r="AA201" s="20"/>
      <c r="AB201" s="20"/>
      <c r="AC201" s="20"/>
      <c r="AD201" s="20"/>
      <c r="AE201" s="20"/>
      <c r="AF201" s="20"/>
      <c r="AG201" s="20"/>
      <c r="AH201" s="20"/>
      <c r="AI201" s="20"/>
      <c r="AJ201" s="20"/>
      <c r="AK201" s="20"/>
      <c r="AL201" s="20"/>
      <c r="AM201" s="20"/>
      <c r="AN201" s="20"/>
      <c r="AO201" s="20"/>
      <c r="AP201" s="20"/>
      <c r="AQ201" s="20"/>
      <c r="AR201" s="20"/>
      <c r="AS201" s="20"/>
      <c r="AT201" s="20"/>
      <c r="AU201" s="20"/>
      <c r="AV201" s="20"/>
      <c r="AW201" s="20"/>
      <c r="AX201" s="20"/>
      <c r="AY201" s="20"/>
      <c r="AZ201" s="20"/>
      <c r="BA201" s="20"/>
      <c r="BB201" s="20"/>
      <c r="BC201" s="20"/>
      <c r="BD201" s="20"/>
      <c r="BE201" s="20"/>
      <c r="BF201" s="20"/>
      <c r="BG201" s="20"/>
      <c r="BH201" s="20"/>
      <c r="BI201" s="20"/>
      <c r="BJ201" s="20"/>
      <c r="BK201" s="20"/>
      <c r="BL201" s="20"/>
      <c r="BM201" s="20"/>
      <c r="BN201" s="20"/>
      <c r="BO201" s="20"/>
      <c r="BP201" s="20"/>
      <c r="BQ201" s="20"/>
      <c r="BR201" s="20"/>
      <c r="BS201" s="20"/>
      <c r="BT201" s="20"/>
      <c r="BU201" s="20"/>
      <c r="BV201" s="20"/>
      <c r="BW201" s="20"/>
      <c r="BX201" s="20"/>
      <c r="BY201" s="20"/>
      <c r="BZ201" s="20"/>
      <c r="CA201" s="20"/>
      <c r="CB201" s="20"/>
      <c r="CC201" s="20"/>
      <c r="CD201" s="20"/>
      <c r="CE201" s="20"/>
      <c r="CF201" s="20"/>
      <c r="CG201" s="20"/>
      <c r="CH201" s="20"/>
      <c r="CI201" s="20"/>
      <c r="CJ201" s="20"/>
      <c r="CK201" s="20"/>
      <c r="CL201" s="20"/>
      <c r="CM201" s="20"/>
      <c r="CN201" s="20"/>
      <c r="CO201" s="20"/>
      <c r="CP201" s="20"/>
      <c r="CQ201" s="20"/>
      <c r="CR201" s="20"/>
      <c r="CS201" s="20"/>
      <c r="CT201" s="20"/>
      <c r="CU201" s="20"/>
      <c r="CV201" s="20"/>
      <c r="CW201" s="20"/>
      <c r="CX201" s="20"/>
      <c r="CY201" s="20"/>
      <c r="CZ201" s="20"/>
      <c r="DA201" s="20"/>
      <c r="DB201" s="20"/>
      <c r="DC201" s="20"/>
      <c r="DD201" s="20"/>
      <c r="DE201" s="20"/>
      <c r="DF201" s="20"/>
      <c r="DG201" s="20"/>
      <c r="DH201" s="20"/>
      <c r="DI201" s="20"/>
      <c r="DJ201" s="20"/>
      <c r="DK201" s="20"/>
      <c r="DL201" s="20"/>
      <c r="DM201" s="20"/>
      <c r="DN201" s="20"/>
      <c r="DO201" s="20"/>
      <c r="DP201" s="20"/>
      <c r="DQ201" s="20"/>
      <c r="DR201" s="20"/>
      <c r="DS201" s="20"/>
      <c r="DT201" s="20"/>
      <c r="DU201" s="20"/>
      <c r="DV201" s="20"/>
      <c r="DW201" s="20"/>
      <c r="DX201" s="20"/>
      <c r="DY201" s="20"/>
      <c r="DZ201" s="20"/>
      <c r="EA201" s="20"/>
    </row>
    <row r="202" spans="2:131" ht="18" customHeight="1">
      <c r="B202" s="708"/>
      <c r="C202" s="708"/>
      <c r="D202" s="707"/>
      <c r="E202" s="707"/>
      <c r="F202" s="707"/>
      <c r="G202" s="707"/>
      <c r="H202" s="707"/>
      <c r="I202" s="707"/>
      <c r="J202" s="707"/>
      <c r="K202" s="707"/>
      <c r="L202" s="19"/>
      <c r="M202" s="20"/>
      <c r="N202" s="20"/>
      <c r="O202" s="20"/>
      <c r="P202" s="20"/>
      <c r="Q202" s="20"/>
      <c r="R202" s="20"/>
      <c r="S202" s="20"/>
      <c r="T202" s="20"/>
      <c r="U202" s="20"/>
      <c r="V202" s="20"/>
      <c r="W202" s="20"/>
      <c r="X202" s="20"/>
      <c r="Y202" s="20"/>
      <c r="Z202" s="20"/>
      <c r="AA202" s="20"/>
      <c r="AB202" s="20"/>
      <c r="AC202" s="20"/>
      <c r="AD202" s="20"/>
      <c r="AE202" s="20"/>
      <c r="AF202" s="20"/>
      <c r="AG202" s="20"/>
      <c r="AH202" s="20"/>
      <c r="AI202" s="20"/>
      <c r="AJ202" s="20"/>
      <c r="AK202" s="20"/>
      <c r="AL202" s="20"/>
      <c r="AM202" s="20"/>
      <c r="AN202" s="20"/>
      <c r="AO202" s="20"/>
      <c r="AP202" s="20"/>
      <c r="AQ202" s="20"/>
      <c r="AR202" s="20"/>
      <c r="AS202" s="20"/>
      <c r="AT202" s="20"/>
      <c r="AU202" s="20"/>
      <c r="AV202" s="20"/>
      <c r="AW202" s="20"/>
      <c r="AX202" s="20"/>
      <c r="AY202" s="20"/>
      <c r="AZ202" s="20"/>
      <c r="BA202" s="20"/>
      <c r="BB202" s="20"/>
      <c r="BC202" s="20"/>
      <c r="BD202" s="20"/>
      <c r="BE202" s="20"/>
      <c r="BF202" s="20"/>
      <c r="BG202" s="20"/>
      <c r="BH202" s="20"/>
      <c r="BI202" s="20"/>
      <c r="BJ202" s="20"/>
      <c r="BK202" s="20"/>
      <c r="BL202" s="20"/>
      <c r="BM202" s="20"/>
      <c r="BN202" s="20"/>
      <c r="BO202" s="20"/>
      <c r="BP202" s="20"/>
      <c r="BQ202" s="20"/>
      <c r="BR202" s="20"/>
      <c r="BS202" s="20"/>
      <c r="BT202" s="20"/>
      <c r="BU202" s="20"/>
      <c r="BV202" s="20"/>
      <c r="BW202" s="20"/>
      <c r="BX202" s="20"/>
      <c r="BY202" s="20"/>
      <c r="BZ202" s="20"/>
      <c r="CA202" s="20"/>
      <c r="CB202" s="20"/>
      <c r="CC202" s="20"/>
      <c r="CD202" s="20"/>
      <c r="CE202" s="20"/>
      <c r="CF202" s="20"/>
      <c r="CG202" s="20"/>
      <c r="CH202" s="20"/>
      <c r="CI202" s="20"/>
      <c r="CJ202" s="20"/>
      <c r="CK202" s="20"/>
      <c r="CL202" s="20"/>
      <c r="CM202" s="20"/>
      <c r="CN202" s="20"/>
      <c r="CO202" s="20"/>
      <c r="CP202" s="20"/>
      <c r="CQ202" s="20"/>
      <c r="CR202" s="20"/>
      <c r="CS202" s="20"/>
      <c r="CT202" s="20"/>
      <c r="CU202" s="20"/>
      <c r="CV202" s="20"/>
      <c r="CW202" s="20"/>
      <c r="CX202" s="20"/>
      <c r="CY202" s="20"/>
      <c r="CZ202" s="20"/>
      <c r="DA202" s="20"/>
      <c r="DB202" s="20"/>
      <c r="DC202" s="20"/>
      <c r="DD202" s="20"/>
      <c r="DE202" s="20"/>
      <c r="DF202" s="20"/>
      <c r="DG202" s="20"/>
      <c r="DH202" s="20"/>
      <c r="DI202" s="20"/>
      <c r="DJ202" s="20"/>
      <c r="DK202" s="20"/>
      <c r="DL202" s="20"/>
      <c r="DM202" s="20"/>
      <c r="DN202" s="20"/>
      <c r="DO202" s="20"/>
      <c r="DP202" s="20"/>
      <c r="DQ202" s="20"/>
      <c r="DR202" s="20"/>
      <c r="DS202" s="20"/>
      <c r="DT202" s="20"/>
      <c r="DU202" s="20"/>
      <c r="DV202" s="20"/>
      <c r="DW202" s="20"/>
      <c r="DX202" s="20"/>
      <c r="DY202" s="20"/>
      <c r="DZ202" s="20"/>
      <c r="EA202" s="20"/>
    </row>
    <row r="203" spans="2:131" ht="18" customHeight="1">
      <c r="B203" s="707"/>
      <c r="C203" s="707"/>
      <c r="D203" s="707"/>
      <c r="E203" s="707"/>
      <c r="F203" s="707"/>
      <c r="G203" s="707"/>
      <c r="H203" s="707"/>
      <c r="I203" s="707"/>
      <c r="J203" s="707"/>
      <c r="K203" s="707"/>
      <c r="L203" s="19"/>
      <c r="M203" s="20"/>
      <c r="N203" s="20"/>
      <c r="O203" s="20"/>
      <c r="P203" s="20"/>
      <c r="Q203" s="20"/>
      <c r="R203" s="20"/>
      <c r="S203" s="20"/>
      <c r="T203" s="20"/>
      <c r="U203" s="20"/>
      <c r="V203" s="20"/>
      <c r="W203" s="20"/>
      <c r="X203" s="20"/>
      <c r="Y203" s="20"/>
      <c r="Z203" s="20"/>
      <c r="AA203" s="20"/>
      <c r="AB203" s="20"/>
      <c r="AC203" s="20"/>
      <c r="AD203" s="20"/>
      <c r="AE203" s="20"/>
      <c r="AF203" s="20"/>
      <c r="AG203" s="20"/>
      <c r="AH203" s="20"/>
      <c r="AI203" s="20"/>
      <c r="AJ203" s="20"/>
      <c r="AK203" s="20"/>
      <c r="AL203" s="20"/>
      <c r="AM203" s="20"/>
      <c r="AN203" s="20"/>
      <c r="AO203" s="20"/>
      <c r="AP203" s="20"/>
      <c r="AQ203" s="20"/>
      <c r="AR203" s="20"/>
      <c r="AS203" s="20"/>
      <c r="AT203" s="20"/>
      <c r="AU203" s="20"/>
      <c r="AV203" s="20"/>
      <c r="AW203" s="20"/>
      <c r="AX203" s="20"/>
      <c r="AY203" s="20"/>
      <c r="AZ203" s="20"/>
      <c r="BA203" s="20"/>
      <c r="BB203" s="20"/>
      <c r="BC203" s="20"/>
      <c r="BD203" s="20"/>
      <c r="BE203" s="20"/>
      <c r="BF203" s="20"/>
      <c r="BG203" s="20"/>
      <c r="BH203" s="20"/>
      <c r="BI203" s="20"/>
      <c r="BJ203" s="20"/>
      <c r="BK203" s="20"/>
      <c r="BL203" s="20"/>
      <c r="BM203" s="20"/>
      <c r="BN203" s="20"/>
      <c r="BO203" s="20"/>
      <c r="BP203" s="20"/>
      <c r="BQ203" s="20"/>
      <c r="BR203" s="20"/>
      <c r="BS203" s="20"/>
      <c r="BT203" s="20"/>
      <c r="BU203" s="20"/>
      <c r="BV203" s="20"/>
      <c r="BW203" s="20"/>
      <c r="BX203" s="20"/>
      <c r="BY203" s="20"/>
      <c r="BZ203" s="20"/>
      <c r="CA203" s="20"/>
      <c r="CB203" s="20"/>
      <c r="CC203" s="20"/>
      <c r="CD203" s="20"/>
      <c r="CE203" s="20"/>
      <c r="CF203" s="20"/>
      <c r="CG203" s="20"/>
      <c r="CH203" s="20"/>
      <c r="CI203" s="20"/>
      <c r="CJ203" s="20"/>
      <c r="CK203" s="20"/>
      <c r="CL203" s="20"/>
      <c r="CM203" s="20"/>
      <c r="CN203" s="20"/>
      <c r="CO203" s="20"/>
      <c r="CP203" s="20"/>
      <c r="CQ203" s="20"/>
      <c r="CR203" s="20"/>
      <c r="CS203" s="20"/>
      <c r="CT203" s="20"/>
      <c r="CU203" s="20"/>
      <c r="CV203" s="20"/>
      <c r="CW203" s="20"/>
      <c r="CX203" s="20"/>
      <c r="CY203" s="20"/>
      <c r="CZ203" s="20"/>
      <c r="DA203" s="20"/>
      <c r="DB203" s="20"/>
      <c r="DC203" s="20"/>
      <c r="DD203" s="20"/>
      <c r="DE203" s="20"/>
      <c r="DF203" s="20"/>
      <c r="DG203" s="20"/>
      <c r="DH203" s="20"/>
      <c r="DI203" s="20"/>
      <c r="DJ203" s="20"/>
      <c r="DK203" s="20"/>
      <c r="DL203" s="20"/>
      <c r="DM203" s="20"/>
      <c r="DN203" s="20"/>
      <c r="DO203" s="20"/>
      <c r="DP203" s="20"/>
      <c r="DQ203" s="20"/>
      <c r="DR203" s="20"/>
      <c r="DS203" s="20"/>
      <c r="DT203" s="20"/>
      <c r="DU203" s="20"/>
      <c r="DV203" s="20"/>
      <c r="DW203" s="20"/>
      <c r="DX203" s="20"/>
      <c r="DY203" s="20"/>
      <c r="DZ203" s="20"/>
      <c r="EA203" s="20"/>
    </row>
    <row r="204" spans="2:131" ht="18" customHeight="1">
      <c r="B204" s="707"/>
      <c r="C204" s="707"/>
      <c r="D204" s="707"/>
      <c r="E204" s="707"/>
      <c r="F204" s="707"/>
      <c r="G204" s="707"/>
      <c r="H204" s="707"/>
      <c r="I204" s="707"/>
      <c r="J204" s="707"/>
      <c r="K204" s="707"/>
      <c r="L204" s="19"/>
      <c r="M204" s="20"/>
      <c r="N204" s="20"/>
      <c r="O204" s="20"/>
      <c r="P204" s="20"/>
      <c r="Q204" s="20"/>
      <c r="R204" s="20"/>
      <c r="S204" s="20"/>
      <c r="T204" s="20"/>
      <c r="U204" s="20"/>
      <c r="V204" s="20"/>
      <c r="W204" s="20"/>
      <c r="X204" s="20"/>
      <c r="Y204" s="20"/>
      <c r="Z204" s="20"/>
      <c r="AA204" s="20"/>
      <c r="AB204" s="20"/>
      <c r="AC204" s="20"/>
      <c r="AD204" s="20"/>
      <c r="AE204" s="20"/>
      <c r="AF204" s="20"/>
      <c r="AG204" s="20"/>
      <c r="AH204" s="20"/>
      <c r="AI204" s="20"/>
      <c r="AJ204" s="20"/>
      <c r="AK204" s="20"/>
      <c r="AL204" s="20"/>
      <c r="AM204" s="20"/>
      <c r="AN204" s="20"/>
      <c r="AO204" s="20"/>
      <c r="AP204" s="20"/>
      <c r="AQ204" s="20"/>
      <c r="AR204" s="20"/>
      <c r="AS204" s="20"/>
      <c r="AT204" s="20"/>
      <c r="AU204" s="20"/>
      <c r="AV204" s="20"/>
      <c r="AW204" s="20"/>
      <c r="AX204" s="20"/>
      <c r="AY204" s="20"/>
      <c r="AZ204" s="20"/>
      <c r="BA204" s="20"/>
      <c r="BB204" s="20"/>
      <c r="BC204" s="20"/>
      <c r="BD204" s="20"/>
      <c r="BE204" s="20"/>
      <c r="BF204" s="20"/>
      <c r="BG204" s="20"/>
      <c r="BH204" s="20"/>
      <c r="BI204" s="20"/>
      <c r="BJ204" s="20"/>
      <c r="BK204" s="20"/>
      <c r="BL204" s="20"/>
      <c r="BM204" s="20"/>
      <c r="BN204" s="20"/>
      <c r="BO204" s="20"/>
      <c r="BP204" s="20"/>
      <c r="BQ204" s="20"/>
      <c r="BR204" s="20"/>
      <c r="BS204" s="20"/>
      <c r="BT204" s="20"/>
      <c r="BU204" s="20"/>
      <c r="BV204" s="20"/>
      <c r="BW204" s="20"/>
      <c r="BX204" s="20"/>
      <c r="BY204" s="20"/>
      <c r="BZ204" s="20"/>
      <c r="CA204" s="20"/>
      <c r="CB204" s="20"/>
      <c r="CC204" s="20"/>
      <c r="CD204" s="20"/>
      <c r="CE204" s="20"/>
      <c r="CF204" s="20"/>
      <c r="CG204" s="20"/>
      <c r="CH204" s="20"/>
      <c r="CI204" s="20"/>
      <c r="CJ204" s="20"/>
      <c r="CK204" s="20"/>
      <c r="CL204" s="20"/>
      <c r="CM204" s="20"/>
      <c r="CN204" s="20"/>
      <c r="CO204" s="20"/>
      <c r="CP204" s="20"/>
      <c r="CQ204" s="20"/>
      <c r="CR204" s="20"/>
      <c r="CS204" s="20"/>
      <c r="CT204" s="20"/>
      <c r="CU204" s="20"/>
      <c r="CV204" s="20"/>
      <c r="CW204" s="20"/>
      <c r="CX204" s="20"/>
      <c r="CY204" s="20"/>
      <c r="CZ204" s="20"/>
      <c r="DA204" s="20"/>
      <c r="DB204" s="20"/>
      <c r="DC204" s="20"/>
      <c r="DD204" s="20"/>
      <c r="DE204" s="20"/>
      <c r="DF204" s="20"/>
      <c r="DG204" s="20"/>
      <c r="DH204" s="20"/>
      <c r="DI204" s="20"/>
      <c r="DJ204" s="20"/>
      <c r="DK204" s="20"/>
      <c r="DL204" s="20"/>
      <c r="DM204" s="20"/>
      <c r="DN204" s="20"/>
      <c r="DO204" s="20"/>
      <c r="DP204" s="20"/>
      <c r="DQ204" s="20"/>
      <c r="DR204" s="20"/>
      <c r="DS204" s="20"/>
      <c r="DT204" s="20"/>
      <c r="DU204" s="20"/>
      <c r="DV204" s="20"/>
      <c r="DW204" s="20"/>
      <c r="DX204" s="20"/>
      <c r="DY204" s="20"/>
      <c r="DZ204" s="20"/>
      <c r="EA204" s="20"/>
    </row>
    <row r="205" spans="2:131" ht="18" customHeight="1">
      <c r="B205" s="707"/>
      <c r="C205" s="707"/>
      <c r="D205" s="707"/>
      <c r="E205" s="707"/>
      <c r="F205" s="707"/>
      <c r="G205" s="707"/>
      <c r="H205" s="707"/>
      <c r="I205" s="707"/>
      <c r="J205" s="707"/>
      <c r="K205" s="707"/>
      <c r="L205" s="19"/>
      <c r="M205" s="20"/>
      <c r="N205" s="20"/>
      <c r="O205" s="20"/>
      <c r="P205" s="20"/>
      <c r="Q205" s="20"/>
      <c r="R205" s="20"/>
      <c r="S205" s="20"/>
      <c r="T205" s="20"/>
      <c r="U205" s="20"/>
      <c r="V205" s="20"/>
      <c r="W205" s="20"/>
      <c r="X205" s="20"/>
      <c r="Y205" s="20"/>
      <c r="Z205" s="20"/>
      <c r="AA205" s="20"/>
      <c r="AB205" s="20"/>
      <c r="AC205" s="20"/>
      <c r="AD205" s="20"/>
      <c r="AE205" s="20"/>
      <c r="AF205" s="20"/>
      <c r="AG205" s="20"/>
      <c r="AH205" s="20"/>
      <c r="AI205" s="20"/>
      <c r="AJ205" s="20"/>
      <c r="AK205" s="20"/>
      <c r="AL205" s="20"/>
      <c r="AM205" s="20"/>
      <c r="AN205" s="20"/>
      <c r="AO205" s="20"/>
      <c r="AP205" s="20"/>
      <c r="AQ205" s="20"/>
      <c r="AR205" s="20"/>
      <c r="AS205" s="20"/>
      <c r="AT205" s="20"/>
      <c r="AU205" s="20"/>
      <c r="AV205" s="20"/>
      <c r="AW205" s="20"/>
      <c r="AX205" s="20"/>
      <c r="AY205" s="20"/>
      <c r="AZ205" s="20"/>
      <c r="BA205" s="20"/>
      <c r="BB205" s="20"/>
      <c r="BC205" s="20"/>
      <c r="BD205" s="20"/>
      <c r="BE205" s="20"/>
      <c r="BF205" s="20"/>
      <c r="BG205" s="20"/>
      <c r="BH205" s="20"/>
      <c r="BI205" s="20"/>
      <c r="BJ205" s="20"/>
      <c r="BK205" s="20"/>
      <c r="BL205" s="20"/>
      <c r="BM205" s="20"/>
      <c r="BN205" s="20"/>
      <c r="BO205" s="20"/>
      <c r="BP205" s="20"/>
      <c r="BQ205" s="20"/>
      <c r="BR205" s="20"/>
      <c r="BS205" s="20"/>
      <c r="BT205" s="20"/>
      <c r="BU205" s="20"/>
      <c r="BV205" s="20"/>
      <c r="BW205" s="20"/>
      <c r="BX205" s="20"/>
      <c r="BY205" s="20"/>
      <c r="BZ205" s="20"/>
      <c r="CA205" s="20"/>
      <c r="CB205" s="20"/>
      <c r="CC205" s="20"/>
      <c r="CD205" s="20"/>
      <c r="CE205" s="20"/>
      <c r="CF205" s="20"/>
      <c r="CG205" s="20"/>
      <c r="CH205" s="20"/>
      <c r="CI205" s="20"/>
      <c r="CJ205" s="20"/>
      <c r="CK205" s="20"/>
      <c r="CL205" s="20"/>
      <c r="CM205" s="20"/>
      <c r="CN205" s="20"/>
      <c r="CO205" s="20"/>
      <c r="CP205" s="20"/>
      <c r="CQ205" s="20"/>
      <c r="CR205" s="20"/>
      <c r="CS205" s="20"/>
      <c r="CT205" s="20"/>
      <c r="CU205" s="20"/>
      <c r="CV205" s="20"/>
      <c r="CW205" s="20"/>
      <c r="CX205" s="20"/>
      <c r="CY205" s="20"/>
      <c r="CZ205" s="20"/>
      <c r="DA205" s="20"/>
      <c r="DB205" s="20"/>
      <c r="DC205" s="20"/>
      <c r="DD205" s="20"/>
      <c r="DE205" s="20"/>
      <c r="DF205" s="20"/>
      <c r="DG205" s="20"/>
      <c r="DH205" s="20"/>
      <c r="DI205" s="20"/>
      <c r="DJ205" s="20"/>
      <c r="DK205" s="20"/>
      <c r="DL205" s="20"/>
      <c r="DM205" s="20"/>
      <c r="DN205" s="20"/>
      <c r="DO205" s="20"/>
      <c r="DP205" s="20"/>
      <c r="DQ205" s="20"/>
      <c r="DR205" s="20"/>
      <c r="DS205" s="20"/>
      <c r="DT205" s="20"/>
      <c r="DU205" s="20"/>
      <c r="DV205" s="20"/>
      <c r="DW205" s="20"/>
      <c r="DX205" s="20"/>
      <c r="DY205" s="20"/>
      <c r="DZ205" s="20"/>
      <c r="EA205" s="20"/>
    </row>
    <row r="206" spans="2:131" ht="18" customHeight="1">
      <c r="B206" s="707"/>
      <c r="C206" s="707"/>
      <c r="D206" s="707"/>
      <c r="E206" s="707"/>
      <c r="F206" s="707"/>
      <c r="G206" s="707"/>
      <c r="H206" s="707"/>
      <c r="I206" s="707"/>
      <c r="J206" s="707"/>
      <c r="K206" s="707"/>
      <c r="L206" s="19"/>
      <c r="M206" s="20"/>
      <c r="N206" s="20"/>
      <c r="O206" s="20"/>
      <c r="P206" s="20"/>
      <c r="Q206" s="20"/>
      <c r="R206" s="20"/>
      <c r="S206" s="20"/>
      <c r="T206" s="20"/>
      <c r="U206" s="20"/>
      <c r="V206" s="20"/>
      <c r="W206" s="20"/>
      <c r="X206" s="20"/>
      <c r="Y206" s="20"/>
      <c r="Z206" s="20"/>
      <c r="AA206" s="20"/>
      <c r="AB206" s="20"/>
      <c r="AC206" s="20"/>
      <c r="AD206" s="20"/>
      <c r="AE206" s="20"/>
      <c r="AF206" s="20"/>
      <c r="AG206" s="20"/>
      <c r="AH206" s="20"/>
      <c r="AI206" s="20"/>
      <c r="AJ206" s="20"/>
      <c r="AK206" s="20"/>
      <c r="AL206" s="20"/>
      <c r="AM206" s="20"/>
      <c r="AN206" s="20"/>
      <c r="AO206" s="20"/>
      <c r="AP206" s="20"/>
      <c r="AQ206" s="20"/>
      <c r="AR206" s="20"/>
      <c r="AS206" s="20"/>
      <c r="AT206" s="20"/>
      <c r="AU206" s="20"/>
      <c r="AV206" s="20"/>
      <c r="AW206" s="20"/>
      <c r="AX206" s="20"/>
      <c r="AY206" s="20"/>
      <c r="AZ206" s="20"/>
      <c r="BA206" s="20"/>
      <c r="BB206" s="20"/>
      <c r="BC206" s="20"/>
      <c r="BD206" s="20"/>
      <c r="BE206" s="20"/>
      <c r="BF206" s="20"/>
      <c r="BG206" s="20"/>
      <c r="BH206" s="20"/>
      <c r="BI206" s="20"/>
      <c r="BJ206" s="20"/>
      <c r="BK206" s="20"/>
      <c r="BL206" s="20"/>
      <c r="BM206" s="20"/>
      <c r="BN206" s="20"/>
      <c r="BO206" s="20"/>
      <c r="BP206" s="20"/>
      <c r="BQ206" s="20"/>
      <c r="BR206" s="20"/>
      <c r="BS206" s="20"/>
      <c r="BT206" s="20"/>
      <c r="BU206" s="20"/>
      <c r="BV206" s="20"/>
      <c r="BW206" s="20"/>
      <c r="BX206" s="20"/>
      <c r="BY206" s="20"/>
      <c r="BZ206" s="20"/>
      <c r="CA206" s="20"/>
      <c r="CB206" s="20"/>
      <c r="CC206" s="20"/>
      <c r="CD206" s="20"/>
      <c r="CE206" s="20"/>
      <c r="CF206" s="20"/>
      <c r="CG206" s="20"/>
      <c r="CH206" s="20"/>
      <c r="CI206" s="20"/>
      <c r="CJ206" s="20"/>
      <c r="CK206" s="20"/>
      <c r="CL206" s="20"/>
      <c r="CM206" s="20"/>
      <c r="CN206" s="20"/>
      <c r="CO206" s="20"/>
      <c r="CP206" s="20"/>
      <c r="CQ206" s="20"/>
      <c r="CR206" s="20"/>
      <c r="CS206" s="20"/>
      <c r="CT206" s="20"/>
      <c r="CU206" s="20"/>
      <c r="CV206" s="20"/>
      <c r="CW206" s="20"/>
      <c r="CX206" s="20"/>
      <c r="CY206" s="20"/>
      <c r="CZ206" s="20"/>
      <c r="DA206" s="20"/>
      <c r="DB206" s="20"/>
      <c r="DC206" s="20"/>
      <c r="DD206" s="20"/>
      <c r="DE206" s="20"/>
      <c r="DF206" s="20"/>
      <c r="DG206" s="20"/>
      <c r="DH206" s="20"/>
      <c r="DI206" s="20"/>
      <c r="DJ206" s="20"/>
      <c r="DK206" s="20"/>
      <c r="DL206" s="20"/>
      <c r="DM206" s="20"/>
      <c r="DN206" s="20"/>
      <c r="DO206" s="20"/>
      <c r="DP206" s="20"/>
      <c r="DQ206" s="20"/>
      <c r="DR206" s="20"/>
      <c r="DS206" s="20"/>
      <c r="DT206" s="20"/>
      <c r="DU206" s="20"/>
      <c r="DV206" s="20"/>
      <c r="DW206" s="20"/>
      <c r="DX206" s="20"/>
      <c r="DY206" s="20"/>
      <c r="DZ206" s="20"/>
      <c r="EA206" s="20"/>
    </row>
    <row r="208" spans="2:131" ht="18" customHeight="1">
      <c r="B208" s="708"/>
      <c r="C208" s="708"/>
      <c r="D208" s="707"/>
      <c r="E208" s="707"/>
      <c r="F208" s="707"/>
      <c r="G208" s="707"/>
      <c r="H208" s="707"/>
      <c r="I208" s="707"/>
      <c r="J208" s="707"/>
      <c r="K208" s="707"/>
      <c r="L208" s="19"/>
      <c r="M208" s="20"/>
      <c r="N208" s="20"/>
      <c r="O208" s="20"/>
      <c r="P208" s="20"/>
      <c r="Q208" s="20"/>
      <c r="R208" s="20"/>
      <c r="S208" s="20"/>
      <c r="T208" s="20"/>
      <c r="U208" s="20"/>
      <c r="V208" s="20"/>
      <c r="W208" s="20"/>
      <c r="X208" s="20"/>
      <c r="Y208" s="20"/>
      <c r="Z208" s="20"/>
      <c r="AA208" s="20"/>
      <c r="AB208" s="20"/>
      <c r="AC208" s="20"/>
      <c r="AD208" s="20"/>
      <c r="AE208" s="20"/>
      <c r="AF208" s="20"/>
      <c r="AG208" s="20"/>
      <c r="AH208" s="20"/>
      <c r="AI208" s="20"/>
      <c r="AJ208" s="20"/>
      <c r="AK208" s="20"/>
      <c r="AL208" s="20"/>
      <c r="AM208" s="20"/>
      <c r="AN208" s="20"/>
      <c r="AO208" s="20"/>
      <c r="AP208" s="20"/>
      <c r="AQ208" s="20"/>
      <c r="AR208" s="20"/>
      <c r="AS208" s="20"/>
      <c r="AT208" s="20"/>
      <c r="AU208" s="20"/>
      <c r="AV208" s="20"/>
      <c r="AW208" s="20"/>
      <c r="AX208" s="20"/>
      <c r="AY208" s="20"/>
      <c r="AZ208" s="20"/>
      <c r="BA208" s="20"/>
      <c r="BB208" s="20"/>
      <c r="BC208" s="20"/>
      <c r="BD208" s="20"/>
      <c r="BE208" s="20"/>
      <c r="BF208" s="20"/>
      <c r="BG208" s="20"/>
      <c r="BH208" s="20"/>
      <c r="BI208" s="20"/>
      <c r="BJ208" s="20"/>
      <c r="BK208" s="20"/>
      <c r="BL208" s="20"/>
      <c r="BM208" s="20"/>
      <c r="BN208" s="20"/>
      <c r="BO208" s="20"/>
      <c r="BP208" s="20"/>
      <c r="BQ208" s="20"/>
      <c r="BR208" s="20"/>
      <c r="BS208" s="20"/>
      <c r="BT208" s="20"/>
      <c r="BU208" s="20"/>
      <c r="BV208" s="20"/>
      <c r="BW208" s="20"/>
      <c r="BX208" s="20"/>
      <c r="BY208" s="20"/>
      <c r="BZ208" s="20"/>
      <c r="CA208" s="20"/>
      <c r="CB208" s="20"/>
      <c r="CC208" s="20"/>
      <c r="CD208" s="20"/>
      <c r="CE208" s="20"/>
      <c r="CF208" s="20"/>
      <c r="CG208" s="20"/>
      <c r="CH208" s="20"/>
      <c r="CI208" s="20"/>
      <c r="CJ208" s="20"/>
      <c r="CK208" s="20"/>
      <c r="CL208" s="20"/>
      <c r="CM208" s="20"/>
      <c r="CN208" s="20"/>
      <c r="CO208" s="20"/>
      <c r="CP208" s="20"/>
      <c r="CQ208" s="20"/>
      <c r="CR208" s="20"/>
      <c r="CS208" s="20"/>
      <c r="CT208" s="20"/>
      <c r="CU208" s="20"/>
      <c r="CV208" s="20"/>
      <c r="CW208" s="20"/>
      <c r="CX208" s="20"/>
      <c r="CY208" s="20"/>
      <c r="CZ208" s="20"/>
      <c r="DA208" s="20"/>
      <c r="DB208" s="20"/>
      <c r="DC208" s="20"/>
      <c r="DD208" s="20"/>
      <c r="DE208" s="20"/>
      <c r="DF208" s="20"/>
      <c r="DG208" s="20"/>
      <c r="DH208" s="20"/>
      <c r="DI208" s="20"/>
      <c r="DJ208" s="20"/>
      <c r="DK208" s="20"/>
      <c r="DL208" s="20"/>
      <c r="DM208" s="20"/>
      <c r="DN208" s="20"/>
      <c r="DO208" s="20"/>
      <c r="DP208" s="20"/>
      <c r="DQ208" s="20"/>
      <c r="DR208" s="20"/>
      <c r="DS208" s="20"/>
      <c r="DT208" s="20"/>
      <c r="DU208" s="20"/>
      <c r="DV208" s="20"/>
      <c r="DW208" s="20"/>
      <c r="DX208" s="20"/>
      <c r="DY208" s="20"/>
      <c r="DZ208" s="20"/>
      <c r="EA208" s="20"/>
    </row>
    <row r="209" spans="2:131" ht="18" customHeight="1">
      <c r="B209" s="707"/>
      <c r="C209" s="707"/>
      <c r="D209" s="707"/>
      <c r="E209" s="707"/>
      <c r="F209" s="707"/>
      <c r="G209" s="707"/>
      <c r="H209" s="707"/>
      <c r="I209" s="707"/>
      <c r="J209" s="707"/>
      <c r="K209" s="707"/>
      <c r="L209" s="19"/>
      <c r="M209" s="20"/>
      <c r="N209" s="20"/>
      <c r="O209" s="20"/>
      <c r="P209" s="20"/>
      <c r="Q209" s="20"/>
      <c r="R209" s="20"/>
      <c r="S209" s="20"/>
      <c r="T209" s="20"/>
      <c r="U209" s="20"/>
      <c r="V209" s="20"/>
      <c r="W209" s="20"/>
      <c r="X209" s="20"/>
      <c r="Y209" s="20"/>
      <c r="Z209" s="20"/>
      <c r="AA209" s="20"/>
      <c r="AB209" s="20"/>
      <c r="AC209" s="20"/>
      <c r="AD209" s="20"/>
      <c r="AE209" s="20"/>
      <c r="AF209" s="20"/>
      <c r="AG209" s="20"/>
      <c r="AH209" s="20"/>
      <c r="AI209" s="20"/>
      <c r="AJ209" s="20"/>
      <c r="AK209" s="20"/>
      <c r="AL209" s="20"/>
      <c r="AM209" s="20"/>
      <c r="AN209" s="20"/>
      <c r="AO209" s="20"/>
      <c r="AP209" s="20"/>
      <c r="AQ209" s="20"/>
      <c r="AR209" s="20"/>
      <c r="AS209" s="20"/>
      <c r="AT209" s="20"/>
      <c r="AU209" s="20"/>
      <c r="AV209" s="20"/>
      <c r="AW209" s="20"/>
      <c r="AX209" s="20"/>
      <c r="AY209" s="20"/>
      <c r="AZ209" s="20"/>
      <c r="BA209" s="20"/>
      <c r="BB209" s="20"/>
      <c r="BC209" s="20"/>
      <c r="BD209" s="20"/>
      <c r="BE209" s="20"/>
      <c r="BF209" s="20"/>
      <c r="BG209" s="20"/>
      <c r="BH209" s="20"/>
      <c r="BI209" s="20"/>
      <c r="BJ209" s="20"/>
      <c r="BK209" s="20"/>
      <c r="BL209" s="20"/>
      <c r="BM209" s="20"/>
      <c r="BN209" s="20"/>
      <c r="BO209" s="20"/>
      <c r="BP209" s="20"/>
      <c r="BQ209" s="20"/>
      <c r="BR209" s="20"/>
      <c r="BS209" s="20"/>
      <c r="BT209" s="20"/>
      <c r="BU209" s="20"/>
      <c r="BV209" s="20"/>
      <c r="BW209" s="20"/>
      <c r="BX209" s="20"/>
      <c r="BY209" s="20"/>
      <c r="BZ209" s="20"/>
      <c r="CA209" s="20"/>
      <c r="CB209" s="20"/>
      <c r="CC209" s="20"/>
      <c r="CD209" s="20"/>
      <c r="CE209" s="20"/>
      <c r="CF209" s="20"/>
      <c r="CG209" s="20"/>
      <c r="CH209" s="20"/>
      <c r="CI209" s="20"/>
      <c r="CJ209" s="20"/>
      <c r="CK209" s="20"/>
      <c r="CL209" s="20"/>
      <c r="CM209" s="20"/>
      <c r="CN209" s="20"/>
      <c r="CO209" s="20"/>
      <c r="CP209" s="20"/>
      <c r="CQ209" s="20"/>
      <c r="CR209" s="20"/>
      <c r="CS209" s="20"/>
      <c r="CT209" s="20"/>
      <c r="CU209" s="20"/>
      <c r="CV209" s="20"/>
      <c r="CW209" s="20"/>
      <c r="CX209" s="20"/>
      <c r="CY209" s="20"/>
      <c r="CZ209" s="20"/>
      <c r="DA209" s="20"/>
      <c r="DB209" s="20"/>
      <c r="DC209" s="20"/>
      <c r="DD209" s="20"/>
      <c r="DE209" s="20"/>
      <c r="DF209" s="20"/>
      <c r="DG209" s="20"/>
      <c r="DH209" s="20"/>
      <c r="DI209" s="20"/>
      <c r="DJ209" s="20"/>
      <c r="DK209" s="20"/>
      <c r="DL209" s="20"/>
      <c r="DM209" s="20"/>
      <c r="DN209" s="20"/>
      <c r="DO209" s="20"/>
      <c r="DP209" s="20"/>
      <c r="DQ209" s="20"/>
      <c r="DR209" s="20"/>
      <c r="DS209" s="20"/>
      <c r="DT209" s="20"/>
      <c r="DU209" s="20"/>
      <c r="DV209" s="20"/>
      <c r="DW209" s="20"/>
      <c r="DX209" s="20"/>
      <c r="DY209" s="20"/>
      <c r="DZ209" s="20"/>
      <c r="EA209" s="20"/>
    </row>
    <row r="210" spans="2:131" ht="18" customHeight="1">
      <c r="B210" s="707"/>
      <c r="C210" s="707"/>
      <c r="D210" s="707"/>
      <c r="E210" s="707"/>
      <c r="F210" s="707"/>
      <c r="G210" s="707"/>
      <c r="H210" s="707"/>
      <c r="I210" s="707"/>
      <c r="J210" s="707"/>
      <c r="K210" s="707"/>
      <c r="L210" s="19"/>
      <c r="M210" s="20"/>
      <c r="N210" s="20"/>
      <c r="O210" s="20"/>
      <c r="P210" s="20"/>
      <c r="Q210" s="20"/>
      <c r="R210" s="20"/>
      <c r="S210" s="20"/>
      <c r="T210" s="20"/>
      <c r="U210" s="20"/>
      <c r="V210" s="20"/>
      <c r="W210" s="20"/>
      <c r="X210" s="20"/>
      <c r="Y210" s="20"/>
      <c r="Z210" s="20"/>
      <c r="AA210" s="20"/>
      <c r="AB210" s="20"/>
      <c r="AC210" s="20"/>
      <c r="AD210" s="20"/>
      <c r="AE210" s="20"/>
      <c r="AF210" s="20"/>
      <c r="AG210" s="20"/>
      <c r="AH210" s="20"/>
      <c r="AI210" s="20"/>
      <c r="AJ210" s="20"/>
      <c r="AK210" s="20"/>
      <c r="AL210" s="20"/>
      <c r="AM210" s="20"/>
      <c r="AN210" s="20"/>
      <c r="AO210" s="20"/>
      <c r="AP210" s="20"/>
      <c r="AQ210" s="20"/>
      <c r="AR210" s="20"/>
      <c r="AS210" s="20"/>
      <c r="AT210" s="20"/>
      <c r="AU210" s="20"/>
      <c r="AV210" s="20"/>
      <c r="AW210" s="20"/>
      <c r="AX210" s="20"/>
      <c r="AY210" s="20"/>
      <c r="AZ210" s="20"/>
      <c r="BA210" s="20"/>
      <c r="BB210" s="20"/>
      <c r="BC210" s="20"/>
      <c r="BD210" s="20"/>
      <c r="BE210" s="20"/>
      <c r="BF210" s="20"/>
      <c r="BG210" s="20"/>
      <c r="BH210" s="20"/>
      <c r="BI210" s="20"/>
      <c r="BJ210" s="20"/>
      <c r="BK210" s="20"/>
      <c r="BL210" s="20"/>
      <c r="BM210" s="20"/>
      <c r="BN210" s="20"/>
      <c r="BO210" s="20"/>
      <c r="BP210" s="20"/>
      <c r="BQ210" s="20"/>
      <c r="BR210" s="20"/>
      <c r="BS210" s="20"/>
      <c r="BT210" s="20"/>
      <c r="BU210" s="20"/>
      <c r="BV210" s="20"/>
      <c r="BW210" s="20"/>
      <c r="BX210" s="20"/>
      <c r="BY210" s="20"/>
      <c r="BZ210" s="20"/>
      <c r="CA210" s="20"/>
      <c r="CB210" s="20"/>
      <c r="CC210" s="20"/>
      <c r="CD210" s="20"/>
      <c r="CE210" s="20"/>
      <c r="CF210" s="20"/>
      <c r="CG210" s="20"/>
      <c r="CH210" s="20"/>
      <c r="CI210" s="20"/>
      <c r="CJ210" s="20"/>
      <c r="CK210" s="20"/>
      <c r="CL210" s="20"/>
      <c r="CM210" s="20"/>
      <c r="CN210" s="20"/>
      <c r="CO210" s="20"/>
      <c r="CP210" s="20"/>
      <c r="CQ210" s="20"/>
      <c r="CR210" s="20"/>
      <c r="CS210" s="20"/>
      <c r="CT210" s="20"/>
      <c r="CU210" s="20"/>
      <c r="CV210" s="20"/>
      <c r="CW210" s="20"/>
      <c r="CX210" s="20"/>
      <c r="CY210" s="20"/>
      <c r="CZ210" s="20"/>
      <c r="DA210" s="20"/>
      <c r="DB210" s="20"/>
      <c r="DC210" s="20"/>
      <c r="DD210" s="20"/>
      <c r="DE210" s="20"/>
      <c r="DF210" s="20"/>
      <c r="DG210" s="20"/>
      <c r="DH210" s="20"/>
      <c r="DI210" s="20"/>
      <c r="DJ210" s="20"/>
      <c r="DK210" s="20"/>
      <c r="DL210" s="20"/>
      <c r="DM210" s="20"/>
      <c r="DN210" s="20"/>
      <c r="DO210" s="20"/>
      <c r="DP210" s="20"/>
      <c r="DQ210" s="20"/>
      <c r="DR210" s="20"/>
      <c r="DS210" s="20"/>
      <c r="DT210" s="20"/>
      <c r="DU210" s="20"/>
      <c r="DV210" s="20"/>
      <c r="DW210" s="20"/>
      <c r="DX210" s="20"/>
      <c r="DY210" s="20"/>
      <c r="DZ210" s="20"/>
      <c r="EA210" s="20"/>
    </row>
    <row r="211" spans="2:131" ht="18" customHeight="1">
      <c r="B211" s="707"/>
      <c r="C211" s="707"/>
      <c r="D211" s="707"/>
      <c r="E211" s="707"/>
      <c r="F211" s="707"/>
      <c r="G211" s="707"/>
      <c r="H211" s="707"/>
      <c r="I211" s="707"/>
      <c r="J211" s="707"/>
      <c r="K211" s="707"/>
      <c r="L211" s="19"/>
      <c r="M211" s="20"/>
      <c r="N211" s="20"/>
      <c r="O211" s="20"/>
      <c r="P211" s="20"/>
      <c r="Q211" s="20"/>
      <c r="R211" s="20"/>
      <c r="S211" s="20"/>
      <c r="T211" s="20"/>
      <c r="U211" s="20"/>
      <c r="V211" s="20"/>
      <c r="W211" s="20"/>
      <c r="X211" s="20"/>
      <c r="Y211" s="20"/>
      <c r="Z211" s="20"/>
      <c r="AA211" s="20"/>
      <c r="AB211" s="20"/>
      <c r="AC211" s="20"/>
      <c r="AD211" s="20"/>
      <c r="AE211" s="20"/>
      <c r="AF211" s="20"/>
      <c r="AG211" s="20"/>
      <c r="AH211" s="20"/>
      <c r="AI211" s="20"/>
      <c r="AJ211" s="20"/>
      <c r="AK211" s="20"/>
      <c r="AL211" s="20"/>
      <c r="AM211" s="20"/>
      <c r="AN211" s="20"/>
      <c r="AO211" s="20"/>
      <c r="AP211" s="20"/>
      <c r="AQ211" s="20"/>
      <c r="AR211" s="20"/>
      <c r="AS211" s="20"/>
      <c r="AT211" s="20"/>
      <c r="AU211" s="20"/>
      <c r="AV211" s="20"/>
      <c r="AW211" s="20"/>
      <c r="AX211" s="20"/>
      <c r="AY211" s="20"/>
      <c r="AZ211" s="20"/>
      <c r="BA211" s="20"/>
      <c r="BB211" s="20"/>
      <c r="BC211" s="20"/>
      <c r="BD211" s="20"/>
      <c r="BE211" s="20"/>
      <c r="BF211" s="20"/>
      <c r="BG211" s="20"/>
      <c r="BH211" s="20"/>
      <c r="BI211" s="20"/>
      <c r="BJ211" s="20"/>
      <c r="BK211" s="20"/>
      <c r="BL211" s="20"/>
      <c r="BM211" s="20"/>
      <c r="BN211" s="20"/>
      <c r="BO211" s="20"/>
      <c r="BP211" s="20"/>
      <c r="BQ211" s="20"/>
      <c r="BR211" s="20"/>
      <c r="BS211" s="20"/>
      <c r="BT211" s="20"/>
      <c r="BU211" s="20"/>
      <c r="BV211" s="20"/>
      <c r="BW211" s="20"/>
      <c r="BX211" s="20"/>
      <c r="BY211" s="20"/>
      <c r="BZ211" s="20"/>
      <c r="CA211" s="20"/>
      <c r="CB211" s="20"/>
      <c r="CC211" s="20"/>
      <c r="CD211" s="20"/>
      <c r="CE211" s="20"/>
      <c r="CF211" s="20"/>
      <c r="CG211" s="20"/>
      <c r="CH211" s="20"/>
      <c r="CI211" s="20"/>
      <c r="CJ211" s="20"/>
      <c r="CK211" s="20"/>
      <c r="CL211" s="20"/>
      <c r="CM211" s="20"/>
      <c r="CN211" s="20"/>
      <c r="CO211" s="20"/>
      <c r="CP211" s="20"/>
      <c r="CQ211" s="20"/>
      <c r="CR211" s="20"/>
      <c r="CS211" s="20"/>
      <c r="CT211" s="20"/>
      <c r="CU211" s="20"/>
      <c r="CV211" s="20"/>
      <c r="CW211" s="20"/>
      <c r="CX211" s="20"/>
      <c r="CY211" s="20"/>
      <c r="CZ211" s="20"/>
      <c r="DA211" s="20"/>
      <c r="DB211" s="20"/>
      <c r="DC211" s="20"/>
      <c r="DD211" s="20"/>
      <c r="DE211" s="20"/>
      <c r="DF211" s="20"/>
      <c r="DG211" s="20"/>
      <c r="DH211" s="20"/>
      <c r="DI211" s="20"/>
      <c r="DJ211" s="20"/>
      <c r="DK211" s="20"/>
      <c r="DL211" s="20"/>
      <c r="DM211" s="20"/>
      <c r="DN211" s="20"/>
      <c r="DO211" s="20"/>
      <c r="DP211" s="20"/>
      <c r="DQ211" s="20"/>
      <c r="DR211" s="20"/>
      <c r="DS211" s="20"/>
      <c r="DT211" s="20"/>
      <c r="DU211" s="20"/>
      <c r="DV211" s="20"/>
      <c r="DW211" s="20"/>
      <c r="DX211" s="20"/>
      <c r="DY211" s="20"/>
      <c r="DZ211" s="20"/>
      <c r="EA211" s="20"/>
    </row>
    <row r="212" spans="2:131" ht="18" customHeight="1">
      <c r="B212" s="707"/>
      <c r="C212" s="707"/>
      <c r="D212" s="707"/>
      <c r="E212" s="707"/>
      <c r="F212" s="707"/>
      <c r="G212" s="707"/>
      <c r="H212" s="707"/>
      <c r="I212" s="707"/>
      <c r="J212" s="707"/>
      <c r="K212" s="707"/>
      <c r="L212" s="19"/>
      <c r="M212" s="20"/>
      <c r="N212" s="20"/>
      <c r="O212" s="20"/>
      <c r="P212" s="20"/>
      <c r="Q212" s="20"/>
      <c r="R212" s="20"/>
      <c r="S212" s="20"/>
      <c r="T212" s="20"/>
      <c r="U212" s="20"/>
      <c r="V212" s="20"/>
      <c r="W212" s="20"/>
      <c r="X212" s="20"/>
      <c r="Y212" s="20"/>
      <c r="Z212" s="20"/>
      <c r="AA212" s="20"/>
      <c r="AB212" s="20"/>
      <c r="AC212" s="20"/>
      <c r="AD212" s="20"/>
      <c r="AE212" s="20"/>
      <c r="AF212" s="20"/>
      <c r="AG212" s="20"/>
      <c r="AH212" s="20"/>
      <c r="AI212" s="20"/>
      <c r="AJ212" s="20"/>
      <c r="AK212" s="20"/>
      <c r="AL212" s="20"/>
      <c r="AM212" s="20"/>
      <c r="AN212" s="20"/>
      <c r="AO212" s="20"/>
      <c r="AP212" s="20"/>
      <c r="AQ212" s="20"/>
      <c r="AR212" s="20"/>
      <c r="AS212" s="20"/>
      <c r="AT212" s="20"/>
      <c r="AU212" s="20"/>
      <c r="AV212" s="20"/>
      <c r="AW212" s="20"/>
      <c r="AX212" s="20"/>
      <c r="AY212" s="20"/>
      <c r="AZ212" s="20"/>
      <c r="BA212" s="20"/>
      <c r="BB212" s="20"/>
      <c r="BC212" s="20"/>
      <c r="BD212" s="20"/>
      <c r="BE212" s="20"/>
      <c r="BF212" s="20"/>
      <c r="BG212" s="20"/>
      <c r="BH212" s="20"/>
      <c r="BI212" s="20"/>
      <c r="BJ212" s="20"/>
      <c r="BK212" s="20"/>
      <c r="BL212" s="20"/>
      <c r="BM212" s="20"/>
      <c r="BN212" s="20"/>
      <c r="BO212" s="20"/>
      <c r="BP212" s="20"/>
      <c r="BQ212" s="20"/>
      <c r="BR212" s="20"/>
      <c r="BS212" s="20"/>
      <c r="BT212" s="20"/>
      <c r="BU212" s="20"/>
      <c r="BV212" s="20"/>
      <c r="BW212" s="20"/>
      <c r="BX212" s="20"/>
      <c r="BY212" s="20"/>
      <c r="BZ212" s="20"/>
      <c r="CA212" s="20"/>
      <c r="CB212" s="20"/>
      <c r="CC212" s="20"/>
      <c r="CD212" s="20"/>
      <c r="CE212" s="20"/>
      <c r="CF212" s="20"/>
      <c r="CG212" s="20"/>
      <c r="CH212" s="20"/>
      <c r="CI212" s="20"/>
      <c r="CJ212" s="20"/>
      <c r="CK212" s="20"/>
      <c r="CL212" s="20"/>
      <c r="CM212" s="20"/>
      <c r="CN212" s="20"/>
      <c r="CO212" s="20"/>
      <c r="CP212" s="20"/>
      <c r="CQ212" s="20"/>
      <c r="CR212" s="20"/>
      <c r="CS212" s="20"/>
      <c r="CT212" s="20"/>
      <c r="CU212" s="20"/>
      <c r="CV212" s="20"/>
      <c r="CW212" s="20"/>
      <c r="CX212" s="20"/>
      <c r="CY212" s="20"/>
      <c r="CZ212" s="20"/>
      <c r="DA212" s="20"/>
      <c r="DB212" s="20"/>
      <c r="DC212" s="20"/>
      <c r="DD212" s="20"/>
      <c r="DE212" s="20"/>
      <c r="DF212" s="20"/>
      <c r="DG212" s="20"/>
      <c r="DH212" s="20"/>
      <c r="DI212" s="20"/>
      <c r="DJ212" s="20"/>
      <c r="DK212" s="20"/>
      <c r="DL212" s="20"/>
      <c r="DM212" s="20"/>
      <c r="DN212" s="20"/>
      <c r="DO212" s="20"/>
      <c r="DP212" s="20"/>
      <c r="DQ212" s="20"/>
      <c r="DR212" s="20"/>
      <c r="DS212" s="20"/>
      <c r="DT212" s="20"/>
      <c r="DU212" s="20"/>
      <c r="DV212" s="20"/>
      <c r="DW212" s="20"/>
      <c r="DX212" s="20"/>
      <c r="DY212" s="20"/>
      <c r="DZ212" s="20"/>
      <c r="EA212" s="20"/>
    </row>
    <row r="213" spans="2:131" ht="18" customHeight="1">
      <c r="B213" s="707"/>
      <c r="C213" s="707"/>
      <c r="D213" s="707"/>
      <c r="E213" s="707"/>
      <c r="F213" s="707"/>
      <c r="G213" s="707"/>
      <c r="H213" s="707"/>
      <c r="I213" s="707"/>
      <c r="J213" s="707"/>
      <c r="K213" s="707"/>
      <c r="L213" s="19"/>
      <c r="M213" s="20"/>
      <c r="N213" s="20"/>
      <c r="O213" s="20"/>
      <c r="P213" s="20"/>
      <c r="Q213" s="20"/>
      <c r="R213" s="20"/>
      <c r="S213" s="20"/>
      <c r="T213" s="20"/>
      <c r="U213" s="20"/>
      <c r="V213" s="20"/>
      <c r="W213" s="20"/>
      <c r="X213" s="20"/>
      <c r="Y213" s="20"/>
      <c r="Z213" s="20"/>
      <c r="AA213" s="20"/>
      <c r="AB213" s="20"/>
      <c r="AC213" s="20"/>
      <c r="AD213" s="20"/>
      <c r="AE213" s="20"/>
      <c r="AF213" s="20"/>
      <c r="AG213" s="20"/>
      <c r="AH213" s="20"/>
      <c r="AI213" s="20"/>
      <c r="AJ213" s="20"/>
      <c r="AK213" s="20"/>
      <c r="AL213" s="20"/>
      <c r="AM213" s="20"/>
      <c r="AN213" s="20"/>
      <c r="AO213" s="20"/>
      <c r="AP213" s="20"/>
      <c r="AQ213" s="20"/>
      <c r="AR213" s="20"/>
      <c r="AS213" s="20"/>
      <c r="AT213" s="20"/>
      <c r="AU213" s="20"/>
      <c r="AV213" s="20"/>
      <c r="AW213" s="20"/>
      <c r="AX213" s="20"/>
      <c r="AY213" s="20"/>
      <c r="AZ213" s="20"/>
      <c r="BA213" s="20"/>
      <c r="BB213" s="20"/>
      <c r="BC213" s="20"/>
      <c r="BD213" s="20"/>
      <c r="BE213" s="20"/>
      <c r="BF213" s="20"/>
      <c r="BG213" s="20"/>
      <c r="BH213" s="20"/>
      <c r="BI213" s="20"/>
      <c r="BJ213" s="20"/>
      <c r="BK213" s="20"/>
      <c r="BL213" s="20"/>
      <c r="BM213" s="20"/>
      <c r="BN213" s="20"/>
      <c r="BO213" s="20"/>
      <c r="BP213" s="20"/>
      <c r="BQ213" s="20"/>
      <c r="BR213" s="20"/>
      <c r="BS213" s="20"/>
      <c r="BT213" s="20"/>
      <c r="BU213" s="20"/>
      <c r="BV213" s="20"/>
      <c r="BW213" s="20"/>
      <c r="BX213" s="20"/>
      <c r="BY213" s="20"/>
      <c r="BZ213" s="20"/>
      <c r="CA213" s="20"/>
      <c r="CB213" s="20"/>
      <c r="CC213" s="20"/>
      <c r="CD213" s="20"/>
      <c r="CE213" s="20"/>
      <c r="CF213" s="20"/>
      <c r="CG213" s="20"/>
      <c r="CH213" s="20"/>
      <c r="CI213" s="20"/>
      <c r="CJ213" s="20"/>
      <c r="CK213" s="20"/>
      <c r="CL213" s="20"/>
      <c r="CM213" s="20"/>
      <c r="CN213" s="20"/>
      <c r="CO213" s="20"/>
      <c r="CP213" s="20"/>
      <c r="CQ213" s="20"/>
      <c r="CR213" s="20"/>
      <c r="CS213" s="20"/>
      <c r="CT213" s="20"/>
      <c r="CU213" s="20"/>
      <c r="CV213" s="20"/>
      <c r="CW213" s="20"/>
      <c r="CX213" s="20"/>
      <c r="CY213" s="20"/>
      <c r="CZ213" s="20"/>
      <c r="DA213" s="20"/>
      <c r="DB213" s="20"/>
      <c r="DC213" s="20"/>
      <c r="DD213" s="20"/>
      <c r="DE213" s="20"/>
      <c r="DF213" s="20"/>
      <c r="DG213" s="20"/>
      <c r="DH213" s="20"/>
      <c r="DI213" s="20"/>
      <c r="DJ213" s="20"/>
      <c r="DK213" s="20"/>
      <c r="DL213" s="20"/>
      <c r="DM213" s="20"/>
      <c r="DN213" s="20"/>
      <c r="DO213" s="20"/>
      <c r="DP213" s="20"/>
      <c r="DQ213" s="20"/>
      <c r="DR213" s="20"/>
      <c r="DS213" s="20"/>
      <c r="DT213" s="20"/>
      <c r="DU213" s="20"/>
      <c r="DV213" s="20"/>
      <c r="DW213" s="20"/>
      <c r="DX213" s="20"/>
      <c r="DY213" s="20"/>
      <c r="DZ213" s="20"/>
      <c r="EA213" s="20"/>
    </row>
    <row r="214" spans="2:131" ht="18" customHeight="1">
      <c r="B214" s="708"/>
      <c r="C214" s="708"/>
      <c r="D214" s="707"/>
      <c r="E214" s="707"/>
      <c r="F214" s="707"/>
      <c r="G214" s="707"/>
      <c r="H214" s="707"/>
      <c r="I214" s="707"/>
      <c r="J214" s="707"/>
      <c r="K214" s="707"/>
      <c r="L214" s="19"/>
      <c r="M214" s="20"/>
      <c r="N214" s="20"/>
      <c r="O214" s="20"/>
      <c r="P214" s="20"/>
      <c r="Q214" s="20"/>
      <c r="R214" s="20"/>
      <c r="S214" s="20"/>
      <c r="T214" s="20"/>
      <c r="U214" s="20"/>
      <c r="V214" s="20"/>
      <c r="W214" s="20"/>
      <c r="X214" s="20"/>
      <c r="Y214" s="20"/>
      <c r="Z214" s="20"/>
      <c r="AA214" s="20"/>
      <c r="AB214" s="20"/>
      <c r="AC214" s="20"/>
      <c r="AD214" s="20"/>
      <c r="AE214" s="20"/>
      <c r="AF214" s="20"/>
      <c r="AG214" s="20"/>
      <c r="AH214" s="20"/>
      <c r="AI214" s="20"/>
      <c r="AJ214" s="20"/>
      <c r="AK214" s="20"/>
      <c r="AL214" s="20"/>
      <c r="AM214" s="20"/>
      <c r="AN214" s="20"/>
      <c r="AO214" s="20"/>
      <c r="AP214" s="20"/>
      <c r="AQ214" s="20"/>
      <c r="AR214" s="20"/>
      <c r="AS214" s="20"/>
      <c r="AT214" s="20"/>
      <c r="AU214" s="20"/>
      <c r="AV214" s="20"/>
      <c r="AW214" s="20"/>
      <c r="AX214" s="20"/>
      <c r="AY214" s="20"/>
      <c r="AZ214" s="20"/>
      <c r="BA214" s="20"/>
      <c r="BB214" s="20"/>
      <c r="BC214" s="20"/>
      <c r="BD214" s="20"/>
      <c r="BE214" s="20"/>
      <c r="BF214" s="20"/>
      <c r="BG214" s="20"/>
      <c r="BH214" s="20"/>
      <c r="BI214" s="20"/>
      <c r="BJ214" s="20"/>
      <c r="BK214" s="20"/>
      <c r="BL214" s="20"/>
      <c r="BM214" s="20"/>
      <c r="BN214" s="20"/>
      <c r="BO214" s="20"/>
      <c r="BP214" s="20"/>
      <c r="BQ214" s="20"/>
      <c r="BR214" s="20"/>
      <c r="BS214" s="20"/>
      <c r="BT214" s="20"/>
      <c r="BU214" s="20"/>
      <c r="BV214" s="20"/>
      <c r="BW214" s="20"/>
      <c r="BX214" s="20"/>
      <c r="BY214" s="20"/>
      <c r="BZ214" s="20"/>
      <c r="CA214" s="20"/>
      <c r="CB214" s="20"/>
      <c r="CC214" s="20"/>
      <c r="CD214" s="20"/>
      <c r="CE214" s="20"/>
      <c r="CF214" s="20"/>
      <c r="CG214" s="20"/>
      <c r="CH214" s="20"/>
      <c r="CI214" s="20"/>
      <c r="CJ214" s="20"/>
      <c r="CK214" s="20"/>
      <c r="CL214" s="20"/>
      <c r="CM214" s="20"/>
      <c r="CN214" s="20"/>
      <c r="CO214" s="20"/>
      <c r="CP214" s="20"/>
      <c r="CQ214" s="20"/>
      <c r="CR214" s="20"/>
      <c r="CS214" s="20"/>
      <c r="CT214" s="20"/>
      <c r="CU214" s="20"/>
      <c r="CV214" s="20"/>
      <c r="CW214" s="20"/>
      <c r="CX214" s="20"/>
      <c r="CY214" s="20"/>
      <c r="CZ214" s="20"/>
      <c r="DA214" s="20"/>
      <c r="DB214" s="20"/>
      <c r="DC214" s="20"/>
      <c r="DD214" s="20"/>
      <c r="DE214" s="20"/>
      <c r="DF214" s="20"/>
      <c r="DG214" s="20"/>
      <c r="DH214" s="20"/>
      <c r="DI214" s="20"/>
      <c r="DJ214" s="20"/>
      <c r="DK214" s="20"/>
      <c r="DL214" s="20"/>
      <c r="DM214" s="20"/>
      <c r="DN214" s="20"/>
      <c r="DO214" s="20"/>
      <c r="DP214" s="20"/>
      <c r="DQ214" s="20"/>
      <c r="DR214" s="20"/>
      <c r="DS214" s="20"/>
      <c r="DT214" s="20"/>
      <c r="DU214" s="20"/>
      <c r="DV214" s="20"/>
      <c r="DW214" s="20"/>
      <c r="DX214" s="20"/>
      <c r="DY214" s="20"/>
      <c r="DZ214" s="20"/>
      <c r="EA214" s="20"/>
    </row>
    <row r="215" spans="2:131" ht="18" customHeight="1">
      <c r="B215" s="707"/>
      <c r="C215" s="707"/>
      <c r="D215" s="707"/>
      <c r="E215" s="707"/>
      <c r="F215" s="707"/>
      <c r="G215" s="707"/>
      <c r="H215" s="707"/>
      <c r="I215" s="707"/>
      <c r="J215" s="707"/>
      <c r="K215" s="707"/>
      <c r="L215" s="19"/>
      <c r="M215" s="20"/>
      <c r="N215" s="20"/>
      <c r="O215" s="20"/>
      <c r="P215" s="20"/>
      <c r="Q215" s="20"/>
      <c r="R215" s="20"/>
      <c r="S215" s="20"/>
      <c r="T215" s="20"/>
      <c r="U215" s="20"/>
      <c r="V215" s="20"/>
      <c r="W215" s="20"/>
      <c r="X215" s="20"/>
      <c r="Y215" s="20"/>
      <c r="Z215" s="20"/>
      <c r="AA215" s="20"/>
      <c r="AB215" s="20"/>
      <c r="AC215" s="20"/>
      <c r="AD215" s="20"/>
      <c r="AE215" s="20"/>
      <c r="AF215" s="20"/>
      <c r="AG215" s="20"/>
      <c r="AH215" s="20"/>
      <c r="AI215" s="20"/>
      <c r="AJ215" s="20"/>
      <c r="AK215" s="20"/>
      <c r="AL215" s="20"/>
      <c r="AM215" s="20"/>
      <c r="AN215" s="20"/>
      <c r="AO215" s="20"/>
      <c r="AP215" s="20"/>
      <c r="AQ215" s="20"/>
      <c r="AR215" s="20"/>
      <c r="AS215" s="20"/>
      <c r="AT215" s="20"/>
      <c r="AU215" s="20"/>
      <c r="AV215" s="20"/>
      <c r="AW215" s="20"/>
      <c r="AX215" s="20"/>
      <c r="AY215" s="20"/>
      <c r="AZ215" s="20"/>
      <c r="BA215" s="20"/>
      <c r="BB215" s="20"/>
      <c r="BC215" s="20"/>
      <c r="BD215" s="20"/>
      <c r="BE215" s="20"/>
      <c r="BF215" s="20"/>
      <c r="BG215" s="20"/>
      <c r="BH215" s="20"/>
      <c r="BI215" s="20"/>
      <c r="BJ215" s="20"/>
      <c r="BK215" s="20"/>
      <c r="BL215" s="20"/>
      <c r="BM215" s="20"/>
      <c r="BN215" s="20"/>
      <c r="BO215" s="20"/>
      <c r="BP215" s="20"/>
      <c r="BQ215" s="20"/>
      <c r="BR215" s="20"/>
      <c r="BS215" s="20"/>
      <c r="BT215" s="20"/>
      <c r="BU215" s="20"/>
      <c r="BV215" s="20"/>
      <c r="BW215" s="20"/>
      <c r="BX215" s="20"/>
      <c r="BY215" s="20"/>
      <c r="BZ215" s="20"/>
      <c r="CA215" s="20"/>
      <c r="CB215" s="20"/>
      <c r="CC215" s="20"/>
      <c r="CD215" s="20"/>
      <c r="CE215" s="20"/>
      <c r="CF215" s="20"/>
      <c r="CG215" s="20"/>
      <c r="CH215" s="20"/>
      <c r="CI215" s="20"/>
      <c r="CJ215" s="20"/>
      <c r="CK215" s="20"/>
      <c r="CL215" s="20"/>
      <c r="CM215" s="20"/>
      <c r="CN215" s="20"/>
      <c r="CO215" s="20"/>
      <c r="CP215" s="20"/>
      <c r="CQ215" s="20"/>
      <c r="CR215" s="20"/>
      <c r="CS215" s="20"/>
      <c r="CT215" s="20"/>
      <c r="CU215" s="20"/>
      <c r="CV215" s="20"/>
      <c r="CW215" s="20"/>
      <c r="CX215" s="20"/>
      <c r="CY215" s="20"/>
      <c r="CZ215" s="20"/>
      <c r="DA215" s="20"/>
      <c r="DB215" s="20"/>
      <c r="DC215" s="20"/>
      <c r="DD215" s="20"/>
      <c r="DE215" s="20"/>
      <c r="DF215" s="20"/>
      <c r="DG215" s="20"/>
      <c r="DH215" s="20"/>
      <c r="DI215" s="20"/>
      <c r="DJ215" s="20"/>
      <c r="DK215" s="20"/>
      <c r="DL215" s="20"/>
      <c r="DM215" s="20"/>
      <c r="DN215" s="20"/>
      <c r="DO215" s="20"/>
      <c r="DP215" s="20"/>
      <c r="DQ215" s="20"/>
      <c r="DR215" s="20"/>
      <c r="DS215" s="20"/>
      <c r="DT215" s="20"/>
      <c r="DU215" s="20"/>
      <c r="DV215" s="20"/>
      <c r="DW215" s="20"/>
      <c r="DX215" s="20"/>
      <c r="DY215" s="20"/>
      <c r="DZ215" s="20"/>
      <c r="EA215" s="20"/>
    </row>
    <row r="216" spans="2:131" ht="18" customHeight="1">
      <c r="B216" s="707"/>
      <c r="C216" s="707"/>
      <c r="D216" s="707"/>
      <c r="E216" s="707"/>
      <c r="F216" s="707"/>
      <c r="G216" s="707"/>
      <c r="H216" s="707"/>
      <c r="I216" s="707"/>
      <c r="J216" s="707"/>
      <c r="K216" s="707"/>
      <c r="L216" s="19"/>
      <c r="M216" s="20"/>
      <c r="N216" s="20"/>
      <c r="O216" s="20"/>
      <c r="P216" s="20"/>
      <c r="Q216" s="20"/>
      <c r="R216" s="20"/>
      <c r="S216" s="20"/>
      <c r="T216" s="20"/>
      <c r="U216" s="20"/>
      <c r="V216" s="20"/>
      <c r="W216" s="20"/>
      <c r="X216" s="20"/>
      <c r="Y216" s="20"/>
      <c r="Z216" s="20"/>
      <c r="AA216" s="20"/>
      <c r="AB216" s="20"/>
      <c r="AC216" s="20"/>
      <c r="AD216" s="20"/>
      <c r="AE216" s="20"/>
      <c r="AF216" s="20"/>
      <c r="AG216" s="20"/>
      <c r="AH216" s="20"/>
      <c r="AI216" s="20"/>
      <c r="AJ216" s="20"/>
      <c r="AK216" s="20"/>
      <c r="AL216" s="20"/>
      <c r="AM216" s="20"/>
      <c r="AN216" s="20"/>
      <c r="AO216" s="20"/>
      <c r="AP216" s="20"/>
      <c r="AQ216" s="20"/>
      <c r="AR216" s="20"/>
      <c r="AS216" s="20"/>
      <c r="AT216" s="20"/>
      <c r="AU216" s="20"/>
      <c r="AV216" s="20"/>
      <c r="AW216" s="20"/>
      <c r="AX216" s="20"/>
      <c r="AY216" s="20"/>
      <c r="AZ216" s="20"/>
      <c r="BA216" s="20"/>
      <c r="BB216" s="20"/>
      <c r="BC216" s="20"/>
      <c r="BD216" s="20"/>
      <c r="BE216" s="20"/>
      <c r="BF216" s="20"/>
      <c r="BG216" s="20"/>
      <c r="BH216" s="20"/>
      <c r="BI216" s="20"/>
      <c r="BJ216" s="20"/>
      <c r="BK216" s="20"/>
      <c r="BL216" s="20"/>
      <c r="BM216" s="20"/>
      <c r="BN216" s="20"/>
      <c r="BO216" s="20"/>
      <c r="BP216" s="20"/>
      <c r="BQ216" s="20"/>
      <c r="BR216" s="20"/>
      <c r="BS216" s="20"/>
      <c r="BT216" s="20"/>
      <c r="BU216" s="20"/>
      <c r="BV216" s="20"/>
      <c r="BW216" s="20"/>
      <c r="BX216" s="20"/>
      <c r="BY216" s="20"/>
      <c r="BZ216" s="20"/>
      <c r="CA216" s="20"/>
      <c r="CB216" s="20"/>
      <c r="CC216" s="20"/>
      <c r="CD216" s="20"/>
      <c r="CE216" s="20"/>
      <c r="CF216" s="20"/>
      <c r="CG216" s="20"/>
      <c r="CH216" s="20"/>
      <c r="CI216" s="20"/>
      <c r="CJ216" s="20"/>
      <c r="CK216" s="20"/>
      <c r="CL216" s="20"/>
      <c r="CM216" s="20"/>
      <c r="CN216" s="20"/>
      <c r="CO216" s="20"/>
      <c r="CP216" s="20"/>
      <c r="CQ216" s="20"/>
      <c r="CR216" s="20"/>
      <c r="CS216" s="20"/>
      <c r="CT216" s="20"/>
      <c r="CU216" s="20"/>
      <c r="CV216" s="20"/>
      <c r="CW216" s="20"/>
      <c r="CX216" s="20"/>
      <c r="CY216" s="20"/>
      <c r="CZ216" s="20"/>
      <c r="DA216" s="20"/>
      <c r="DB216" s="20"/>
      <c r="DC216" s="20"/>
      <c r="DD216" s="20"/>
      <c r="DE216" s="20"/>
      <c r="DF216" s="20"/>
      <c r="DG216" s="20"/>
      <c r="DH216" s="20"/>
      <c r="DI216" s="20"/>
      <c r="DJ216" s="20"/>
      <c r="DK216" s="20"/>
      <c r="DL216" s="20"/>
      <c r="DM216" s="20"/>
      <c r="DN216" s="20"/>
      <c r="DO216" s="20"/>
      <c r="DP216" s="20"/>
      <c r="DQ216" s="20"/>
      <c r="DR216" s="20"/>
      <c r="DS216" s="20"/>
      <c r="DT216" s="20"/>
      <c r="DU216" s="20"/>
      <c r="DV216" s="20"/>
      <c r="DW216" s="20"/>
      <c r="DX216" s="20"/>
      <c r="DY216" s="20"/>
      <c r="DZ216" s="20"/>
      <c r="EA216" s="20"/>
    </row>
    <row r="217" spans="2:131" ht="18" customHeight="1">
      <c r="B217" s="707"/>
      <c r="C217" s="707"/>
      <c r="D217" s="707"/>
      <c r="E217" s="707"/>
      <c r="F217" s="707"/>
      <c r="G217" s="707"/>
      <c r="H217" s="707"/>
      <c r="I217" s="707"/>
      <c r="J217" s="707"/>
      <c r="K217" s="707"/>
      <c r="L217" s="19"/>
      <c r="M217" s="20"/>
      <c r="N217" s="20"/>
      <c r="O217" s="20"/>
      <c r="P217" s="20"/>
      <c r="Q217" s="20"/>
      <c r="R217" s="20"/>
      <c r="S217" s="20"/>
      <c r="T217" s="20"/>
      <c r="U217" s="20"/>
      <c r="V217" s="20"/>
      <c r="W217" s="20"/>
      <c r="X217" s="20"/>
      <c r="Y217" s="20"/>
      <c r="Z217" s="20"/>
      <c r="AA217" s="20"/>
      <c r="AB217" s="20"/>
      <c r="AC217" s="20"/>
      <c r="AD217" s="20"/>
      <c r="AE217" s="20"/>
      <c r="AF217" s="20"/>
      <c r="AG217" s="20"/>
      <c r="AH217" s="20"/>
      <c r="AI217" s="20"/>
      <c r="AJ217" s="20"/>
      <c r="AK217" s="20"/>
      <c r="AL217" s="20"/>
      <c r="AM217" s="20"/>
      <c r="AN217" s="20"/>
      <c r="AO217" s="20"/>
      <c r="AP217" s="20"/>
      <c r="AQ217" s="20"/>
      <c r="AR217" s="20"/>
      <c r="AS217" s="20"/>
      <c r="AT217" s="20"/>
      <c r="AU217" s="20"/>
      <c r="AV217" s="20"/>
      <c r="AW217" s="20"/>
      <c r="AX217" s="20"/>
      <c r="AY217" s="20"/>
      <c r="AZ217" s="20"/>
      <c r="BA217" s="20"/>
      <c r="BB217" s="20"/>
      <c r="BC217" s="20"/>
      <c r="BD217" s="20"/>
      <c r="BE217" s="20"/>
      <c r="BF217" s="20"/>
      <c r="BG217" s="20"/>
      <c r="BH217" s="20"/>
      <c r="BI217" s="20"/>
      <c r="BJ217" s="20"/>
      <c r="BK217" s="20"/>
      <c r="BL217" s="20"/>
      <c r="BM217" s="20"/>
      <c r="BN217" s="20"/>
      <c r="BO217" s="20"/>
      <c r="BP217" s="20"/>
      <c r="BQ217" s="20"/>
      <c r="BR217" s="20"/>
      <c r="BS217" s="20"/>
      <c r="BT217" s="20"/>
      <c r="BU217" s="20"/>
      <c r="BV217" s="20"/>
      <c r="BW217" s="20"/>
      <c r="BX217" s="20"/>
      <c r="BY217" s="20"/>
      <c r="BZ217" s="20"/>
      <c r="CA217" s="20"/>
      <c r="CB217" s="20"/>
      <c r="CC217" s="20"/>
      <c r="CD217" s="20"/>
      <c r="CE217" s="20"/>
      <c r="CF217" s="20"/>
      <c r="CG217" s="20"/>
      <c r="CH217" s="20"/>
      <c r="CI217" s="20"/>
      <c r="CJ217" s="20"/>
      <c r="CK217" s="20"/>
      <c r="CL217" s="20"/>
      <c r="CM217" s="20"/>
      <c r="CN217" s="20"/>
      <c r="CO217" s="20"/>
      <c r="CP217" s="20"/>
      <c r="CQ217" s="20"/>
      <c r="CR217" s="20"/>
      <c r="CS217" s="20"/>
      <c r="CT217" s="20"/>
      <c r="CU217" s="20"/>
      <c r="CV217" s="20"/>
      <c r="CW217" s="20"/>
      <c r="CX217" s="20"/>
      <c r="CY217" s="20"/>
      <c r="CZ217" s="20"/>
      <c r="DA217" s="20"/>
      <c r="DB217" s="20"/>
      <c r="DC217" s="20"/>
      <c r="DD217" s="20"/>
      <c r="DE217" s="20"/>
      <c r="DF217" s="20"/>
      <c r="DG217" s="20"/>
      <c r="DH217" s="20"/>
      <c r="DI217" s="20"/>
      <c r="DJ217" s="20"/>
      <c r="DK217" s="20"/>
      <c r="DL217" s="20"/>
      <c r="DM217" s="20"/>
      <c r="DN217" s="20"/>
      <c r="DO217" s="20"/>
      <c r="DP217" s="20"/>
      <c r="DQ217" s="20"/>
      <c r="DR217" s="20"/>
      <c r="DS217" s="20"/>
      <c r="DT217" s="20"/>
      <c r="DU217" s="20"/>
      <c r="DV217" s="20"/>
      <c r="DW217" s="20"/>
      <c r="DX217" s="20"/>
      <c r="DY217" s="20"/>
      <c r="DZ217" s="20"/>
      <c r="EA217" s="20"/>
    </row>
    <row r="218" spans="2:131" ht="18" customHeight="1">
      <c r="B218" s="708"/>
      <c r="C218" s="708"/>
      <c r="D218" s="707"/>
      <c r="E218" s="707"/>
      <c r="F218" s="707"/>
      <c r="G218" s="707"/>
      <c r="H218" s="707"/>
      <c r="I218" s="707"/>
      <c r="J218" s="707"/>
      <c r="K218" s="707"/>
      <c r="L218" s="19"/>
      <c r="M218" s="20"/>
      <c r="N218" s="20"/>
      <c r="O218" s="20"/>
      <c r="P218" s="20"/>
      <c r="Q218" s="20"/>
      <c r="R218" s="20"/>
      <c r="S218" s="20"/>
      <c r="T218" s="20"/>
      <c r="U218" s="20"/>
      <c r="V218" s="20"/>
      <c r="W218" s="20"/>
      <c r="X218" s="20"/>
      <c r="Y218" s="20"/>
      <c r="Z218" s="20"/>
      <c r="AA218" s="20"/>
      <c r="AB218" s="20"/>
      <c r="AC218" s="20"/>
      <c r="AD218" s="20"/>
      <c r="AE218" s="20"/>
      <c r="AF218" s="20"/>
      <c r="AG218" s="20"/>
      <c r="AH218" s="20"/>
      <c r="AI218" s="20"/>
      <c r="AJ218" s="20"/>
      <c r="AK218" s="20"/>
      <c r="AL218" s="20"/>
      <c r="AM218" s="20"/>
      <c r="AN218" s="20"/>
      <c r="AO218" s="20"/>
      <c r="AP218" s="20"/>
      <c r="AQ218" s="20"/>
      <c r="AR218" s="20"/>
      <c r="AS218" s="20"/>
      <c r="AT218" s="20"/>
      <c r="AU218" s="20"/>
      <c r="AV218" s="20"/>
      <c r="AW218" s="20"/>
      <c r="AX218" s="20"/>
      <c r="AY218" s="20"/>
      <c r="AZ218" s="20"/>
      <c r="BA218" s="20"/>
      <c r="BB218" s="20"/>
      <c r="BC218" s="20"/>
      <c r="BD218" s="20"/>
      <c r="BE218" s="20"/>
      <c r="BF218" s="20"/>
      <c r="BG218" s="20"/>
      <c r="BH218" s="20"/>
      <c r="BI218" s="20"/>
      <c r="BJ218" s="20"/>
      <c r="BK218" s="20"/>
      <c r="BL218" s="20"/>
      <c r="BM218" s="20"/>
      <c r="BN218" s="20"/>
      <c r="BO218" s="20"/>
      <c r="BP218" s="20"/>
      <c r="BQ218" s="20"/>
      <c r="BR218" s="20"/>
      <c r="BS218" s="20"/>
      <c r="BT218" s="20"/>
      <c r="BU218" s="20"/>
      <c r="BV218" s="20"/>
      <c r="BW218" s="20"/>
      <c r="BX218" s="20"/>
      <c r="BY218" s="20"/>
      <c r="BZ218" s="20"/>
      <c r="CA218" s="20"/>
      <c r="CB218" s="20"/>
      <c r="CC218" s="20"/>
      <c r="CD218" s="20"/>
      <c r="CE218" s="20"/>
      <c r="CF218" s="20"/>
      <c r="CG218" s="20"/>
      <c r="CH218" s="20"/>
      <c r="CI218" s="20"/>
      <c r="CJ218" s="20"/>
      <c r="CK218" s="20"/>
      <c r="CL218" s="20"/>
      <c r="CM218" s="20"/>
      <c r="CN218" s="20"/>
      <c r="CO218" s="20"/>
      <c r="CP218" s="20"/>
      <c r="CQ218" s="20"/>
      <c r="CR218" s="20"/>
      <c r="CS218" s="20"/>
      <c r="CT218" s="20"/>
      <c r="CU218" s="20"/>
      <c r="CV218" s="20"/>
      <c r="CW218" s="20"/>
      <c r="CX218" s="20"/>
      <c r="CY218" s="20"/>
      <c r="CZ218" s="20"/>
      <c r="DA218" s="20"/>
      <c r="DB218" s="20"/>
      <c r="DC218" s="20"/>
      <c r="DD218" s="20"/>
      <c r="DE218" s="20"/>
      <c r="DF218" s="20"/>
      <c r="DG218" s="20"/>
      <c r="DH218" s="20"/>
      <c r="DI218" s="20"/>
      <c r="DJ218" s="20"/>
      <c r="DK218" s="20"/>
      <c r="DL218" s="20"/>
      <c r="DM218" s="20"/>
      <c r="DN218" s="20"/>
      <c r="DO218" s="20"/>
      <c r="DP218" s="20"/>
      <c r="DQ218" s="20"/>
      <c r="DR218" s="20"/>
      <c r="DS218" s="20"/>
      <c r="DT218" s="20"/>
      <c r="DU218" s="20"/>
      <c r="DV218" s="20"/>
      <c r="DW218" s="20"/>
      <c r="DX218" s="20"/>
      <c r="DY218" s="20"/>
      <c r="DZ218" s="20"/>
      <c r="EA218" s="20"/>
    </row>
    <row r="219" spans="2:131" ht="18" customHeight="1">
      <c r="B219" s="707"/>
      <c r="C219" s="707"/>
      <c r="D219" s="707"/>
      <c r="E219" s="707"/>
      <c r="F219" s="707"/>
      <c r="G219" s="707"/>
      <c r="H219" s="707"/>
      <c r="I219" s="707"/>
      <c r="J219" s="707"/>
      <c r="K219" s="707"/>
      <c r="L219" s="19"/>
      <c r="M219" s="20"/>
      <c r="N219" s="20"/>
      <c r="O219" s="20"/>
      <c r="P219" s="20"/>
      <c r="Q219" s="20"/>
      <c r="R219" s="20"/>
      <c r="S219" s="20"/>
      <c r="T219" s="20"/>
      <c r="U219" s="20"/>
      <c r="V219" s="20"/>
      <c r="W219" s="20"/>
      <c r="X219" s="20"/>
      <c r="Y219" s="20"/>
      <c r="Z219" s="20"/>
      <c r="AA219" s="20"/>
      <c r="AB219" s="20"/>
      <c r="AC219" s="20"/>
      <c r="AD219" s="20"/>
      <c r="AE219" s="20"/>
      <c r="AF219" s="20"/>
      <c r="AG219" s="20"/>
      <c r="AH219" s="20"/>
      <c r="AI219" s="20"/>
      <c r="AJ219" s="20"/>
      <c r="AK219" s="20"/>
      <c r="AL219" s="20"/>
      <c r="AM219" s="20"/>
      <c r="AN219" s="20"/>
      <c r="AO219" s="20"/>
      <c r="AP219" s="20"/>
      <c r="AQ219" s="20"/>
      <c r="AR219" s="20"/>
      <c r="AS219" s="20"/>
      <c r="AT219" s="20"/>
      <c r="AU219" s="20"/>
      <c r="AV219" s="20"/>
      <c r="AW219" s="20"/>
      <c r="AX219" s="20"/>
      <c r="AY219" s="20"/>
      <c r="AZ219" s="20"/>
      <c r="BA219" s="20"/>
      <c r="BB219" s="20"/>
      <c r="BC219" s="20"/>
      <c r="BD219" s="20"/>
      <c r="BE219" s="20"/>
      <c r="BF219" s="20"/>
      <c r="BG219" s="20"/>
      <c r="BH219" s="20"/>
      <c r="BI219" s="20"/>
      <c r="BJ219" s="20"/>
      <c r="BK219" s="20"/>
      <c r="BL219" s="20"/>
      <c r="BM219" s="20"/>
      <c r="BN219" s="20"/>
      <c r="BO219" s="20"/>
      <c r="BP219" s="20"/>
      <c r="BQ219" s="20"/>
      <c r="BR219" s="20"/>
      <c r="BS219" s="20"/>
      <c r="BT219" s="20"/>
      <c r="BU219" s="20"/>
      <c r="BV219" s="20"/>
      <c r="BW219" s="20"/>
      <c r="BX219" s="20"/>
      <c r="BY219" s="20"/>
      <c r="BZ219" s="20"/>
      <c r="CA219" s="20"/>
      <c r="CB219" s="20"/>
      <c r="CC219" s="20"/>
      <c r="CD219" s="20"/>
      <c r="CE219" s="20"/>
      <c r="CF219" s="20"/>
      <c r="CG219" s="20"/>
      <c r="CH219" s="20"/>
      <c r="CI219" s="20"/>
      <c r="CJ219" s="20"/>
      <c r="CK219" s="20"/>
      <c r="CL219" s="20"/>
      <c r="CM219" s="20"/>
      <c r="CN219" s="20"/>
      <c r="CO219" s="20"/>
      <c r="CP219" s="20"/>
      <c r="CQ219" s="20"/>
      <c r="CR219" s="20"/>
      <c r="CS219" s="20"/>
      <c r="CT219" s="20"/>
      <c r="CU219" s="20"/>
      <c r="CV219" s="20"/>
      <c r="CW219" s="20"/>
      <c r="CX219" s="20"/>
      <c r="CY219" s="20"/>
      <c r="CZ219" s="20"/>
      <c r="DA219" s="20"/>
      <c r="DB219" s="20"/>
      <c r="DC219" s="20"/>
      <c r="DD219" s="20"/>
      <c r="DE219" s="20"/>
      <c r="DF219" s="20"/>
      <c r="DG219" s="20"/>
      <c r="DH219" s="20"/>
      <c r="DI219" s="20"/>
      <c r="DJ219" s="20"/>
      <c r="DK219" s="20"/>
      <c r="DL219" s="20"/>
      <c r="DM219" s="20"/>
      <c r="DN219" s="20"/>
      <c r="DO219" s="20"/>
      <c r="DP219" s="20"/>
      <c r="DQ219" s="20"/>
      <c r="DR219" s="20"/>
      <c r="DS219" s="20"/>
      <c r="DT219" s="20"/>
      <c r="DU219" s="20"/>
      <c r="DV219" s="20"/>
      <c r="DW219" s="20"/>
      <c r="DX219" s="20"/>
      <c r="DY219" s="20"/>
      <c r="DZ219" s="20"/>
      <c r="EA219" s="20"/>
    </row>
    <row r="220" spans="2:131" ht="18" customHeight="1">
      <c r="B220" s="708"/>
      <c r="C220" s="708"/>
      <c r="D220" s="707"/>
      <c r="E220" s="707"/>
      <c r="F220" s="707"/>
      <c r="G220" s="707"/>
      <c r="H220" s="707"/>
      <c r="I220" s="707"/>
      <c r="J220" s="707"/>
      <c r="K220" s="707"/>
      <c r="L220" s="19"/>
      <c r="M220" s="20"/>
      <c r="N220" s="20"/>
      <c r="O220" s="20"/>
      <c r="P220" s="20"/>
      <c r="Q220" s="20"/>
      <c r="R220" s="20"/>
      <c r="S220" s="20"/>
      <c r="T220" s="20"/>
      <c r="U220" s="20"/>
      <c r="V220" s="20"/>
      <c r="W220" s="20"/>
      <c r="X220" s="20"/>
      <c r="Y220" s="20"/>
      <c r="Z220" s="20"/>
      <c r="AA220" s="20"/>
      <c r="AB220" s="20"/>
      <c r="AC220" s="20"/>
      <c r="AD220" s="20"/>
      <c r="AE220" s="20"/>
      <c r="AF220" s="20"/>
      <c r="AG220" s="20"/>
      <c r="AH220" s="20"/>
      <c r="AI220" s="20"/>
      <c r="AJ220" s="20"/>
      <c r="AK220" s="20"/>
      <c r="AL220" s="20"/>
      <c r="AM220" s="20"/>
      <c r="AN220" s="20"/>
      <c r="AO220" s="20"/>
      <c r="AP220" s="20"/>
      <c r="AQ220" s="20"/>
      <c r="AR220" s="20"/>
      <c r="AS220" s="20"/>
      <c r="AT220" s="20"/>
      <c r="AU220" s="20"/>
      <c r="AV220" s="20"/>
      <c r="AW220" s="20"/>
      <c r="AX220" s="20"/>
      <c r="AY220" s="20"/>
      <c r="AZ220" s="20"/>
      <c r="BA220" s="20"/>
      <c r="BB220" s="20"/>
      <c r="BC220" s="20"/>
      <c r="BD220" s="20"/>
      <c r="BE220" s="20"/>
      <c r="BF220" s="20"/>
      <c r="BG220" s="20"/>
      <c r="BH220" s="20"/>
      <c r="BI220" s="20"/>
      <c r="BJ220" s="20"/>
      <c r="BK220" s="20"/>
      <c r="BL220" s="20"/>
      <c r="BM220" s="20"/>
      <c r="BN220" s="20"/>
      <c r="BO220" s="20"/>
      <c r="BP220" s="20"/>
      <c r="BQ220" s="20"/>
      <c r="BR220" s="20"/>
      <c r="BS220" s="20"/>
      <c r="BT220" s="20"/>
      <c r="BU220" s="20"/>
      <c r="BV220" s="20"/>
      <c r="BW220" s="20"/>
      <c r="BX220" s="20"/>
      <c r="BY220" s="20"/>
      <c r="BZ220" s="20"/>
      <c r="CA220" s="20"/>
      <c r="CB220" s="20"/>
      <c r="CC220" s="20"/>
      <c r="CD220" s="20"/>
      <c r="CE220" s="20"/>
      <c r="CF220" s="20"/>
      <c r="CG220" s="20"/>
      <c r="CH220" s="20"/>
      <c r="CI220" s="20"/>
      <c r="CJ220" s="20"/>
      <c r="CK220" s="20"/>
      <c r="CL220" s="20"/>
      <c r="CM220" s="20"/>
      <c r="CN220" s="20"/>
      <c r="CO220" s="20"/>
      <c r="CP220" s="20"/>
      <c r="CQ220" s="20"/>
      <c r="CR220" s="20"/>
      <c r="CS220" s="20"/>
      <c r="CT220" s="20"/>
      <c r="CU220" s="20"/>
      <c r="CV220" s="20"/>
      <c r="CW220" s="20"/>
      <c r="CX220" s="20"/>
      <c r="CY220" s="20"/>
      <c r="CZ220" s="20"/>
      <c r="DA220" s="20"/>
      <c r="DB220" s="20"/>
      <c r="DC220" s="20"/>
      <c r="DD220" s="20"/>
      <c r="DE220" s="20"/>
      <c r="DF220" s="20"/>
      <c r="DG220" s="20"/>
      <c r="DH220" s="20"/>
      <c r="DI220" s="20"/>
      <c r="DJ220" s="20"/>
      <c r="DK220" s="20"/>
      <c r="DL220" s="20"/>
      <c r="DM220" s="20"/>
      <c r="DN220" s="20"/>
      <c r="DO220" s="20"/>
      <c r="DP220" s="20"/>
      <c r="DQ220" s="20"/>
      <c r="DR220" s="20"/>
      <c r="DS220" s="20"/>
      <c r="DT220" s="20"/>
      <c r="DU220" s="20"/>
      <c r="DV220" s="20"/>
      <c r="DW220" s="20"/>
      <c r="DX220" s="20"/>
      <c r="DY220" s="20"/>
      <c r="DZ220" s="20"/>
      <c r="EA220" s="20"/>
    </row>
    <row r="221" spans="2:131" ht="18" customHeight="1">
      <c r="B221" s="707"/>
      <c r="C221" s="707"/>
      <c r="D221" s="707"/>
      <c r="E221" s="707"/>
      <c r="F221" s="707"/>
      <c r="G221" s="707"/>
      <c r="H221" s="707"/>
      <c r="I221" s="707"/>
      <c r="J221" s="707"/>
      <c r="K221" s="707"/>
      <c r="L221" s="19"/>
      <c r="M221" s="20"/>
      <c r="N221" s="20"/>
      <c r="O221" s="20"/>
      <c r="P221" s="20"/>
      <c r="Q221" s="20"/>
      <c r="R221" s="20"/>
      <c r="S221" s="20"/>
      <c r="T221" s="20"/>
      <c r="U221" s="20"/>
      <c r="V221" s="20"/>
      <c r="W221" s="20"/>
      <c r="X221" s="20"/>
      <c r="Y221" s="20"/>
      <c r="Z221" s="20"/>
      <c r="AA221" s="20"/>
      <c r="AB221" s="20"/>
      <c r="AC221" s="20"/>
      <c r="AD221" s="20"/>
      <c r="AE221" s="20"/>
      <c r="AF221" s="20"/>
      <c r="AG221" s="20"/>
      <c r="AH221" s="20"/>
      <c r="AI221" s="20"/>
      <c r="AJ221" s="20"/>
      <c r="AK221" s="20"/>
      <c r="AL221" s="20"/>
      <c r="AM221" s="20"/>
      <c r="AN221" s="20"/>
      <c r="AO221" s="20"/>
      <c r="AP221" s="20"/>
      <c r="AQ221" s="20"/>
      <c r="AR221" s="20"/>
      <c r="AS221" s="20"/>
      <c r="AT221" s="20"/>
      <c r="AU221" s="20"/>
      <c r="AV221" s="20"/>
      <c r="AW221" s="20"/>
      <c r="AX221" s="20"/>
      <c r="AY221" s="20"/>
      <c r="AZ221" s="20"/>
      <c r="BA221" s="20"/>
      <c r="BB221" s="20"/>
      <c r="BC221" s="20"/>
      <c r="BD221" s="20"/>
      <c r="BE221" s="20"/>
      <c r="BF221" s="20"/>
      <c r="BG221" s="20"/>
      <c r="BH221" s="20"/>
      <c r="BI221" s="20"/>
      <c r="BJ221" s="20"/>
      <c r="BK221" s="20"/>
      <c r="BL221" s="20"/>
      <c r="BM221" s="20"/>
      <c r="BN221" s="20"/>
      <c r="BO221" s="20"/>
      <c r="BP221" s="20"/>
      <c r="BQ221" s="20"/>
      <c r="BR221" s="20"/>
      <c r="BS221" s="20"/>
      <c r="BT221" s="20"/>
      <c r="BU221" s="20"/>
      <c r="BV221" s="20"/>
      <c r="BW221" s="20"/>
      <c r="BX221" s="20"/>
      <c r="BY221" s="20"/>
      <c r="BZ221" s="20"/>
      <c r="CA221" s="20"/>
      <c r="CB221" s="20"/>
      <c r="CC221" s="20"/>
      <c r="CD221" s="20"/>
      <c r="CE221" s="20"/>
      <c r="CF221" s="20"/>
      <c r="CG221" s="20"/>
      <c r="CH221" s="20"/>
      <c r="CI221" s="20"/>
      <c r="CJ221" s="20"/>
      <c r="CK221" s="20"/>
      <c r="CL221" s="20"/>
      <c r="CM221" s="20"/>
      <c r="CN221" s="20"/>
      <c r="CO221" s="20"/>
      <c r="CP221" s="20"/>
      <c r="CQ221" s="20"/>
      <c r="CR221" s="20"/>
      <c r="CS221" s="20"/>
      <c r="CT221" s="20"/>
      <c r="CU221" s="20"/>
      <c r="CV221" s="20"/>
      <c r="CW221" s="20"/>
      <c r="CX221" s="20"/>
      <c r="CY221" s="20"/>
      <c r="CZ221" s="20"/>
      <c r="DA221" s="20"/>
      <c r="DB221" s="20"/>
      <c r="DC221" s="20"/>
      <c r="DD221" s="20"/>
      <c r="DE221" s="20"/>
      <c r="DF221" s="20"/>
      <c r="DG221" s="20"/>
      <c r="DH221" s="20"/>
      <c r="DI221" s="20"/>
      <c r="DJ221" s="20"/>
      <c r="DK221" s="20"/>
      <c r="DL221" s="20"/>
      <c r="DM221" s="20"/>
      <c r="DN221" s="20"/>
      <c r="DO221" s="20"/>
      <c r="DP221" s="20"/>
      <c r="DQ221" s="20"/>
      <c r="DR221" s="20"/>
      <c r="DS221" s="20"/>
      <c r="DT221" s="20"/>
      <c r="DU221" s="20"/>
      <c r="DV221" s="20"/>
      <c r="DW221" s="20"/>
      <c r="DX221" s="20"/>
      <c r="DY221" s="20"/>
      <c r="DZ221" s="20"/>
      <c r="EA221" s="20"/>
    </row>
    <row r="222" spans="2:131" ht="18" customHeight="1">
      <c r="B222" s="707"/>
      <c r="C222" s="707"/>
      <c r="D222" s="707"/>
      <c r="E222" s="707"/>
      <c r="F222" s="707"/>
      <c r="G222" s="707"/>
      <c r="H222" s="707"/>
      <c r="I222" s="707"/>
      <c r="J222" s="707"/>
      <c r="K222" s="707"/>
      <c r="L222" s="19"/>
      <c r="M222" s="20"/>
      <c r="N222" s="20"/>
      <c r="O222" s="20"/>
      <c r="P222" s="20"/>
      <c r="Q222" s="20"/>
      <c r="R222" s="20"/>
      <c r="S222" s="20"/>
      <c r="T222" s="20"/>
      <c r="U222" s="20"/>
      <c r="V222" s="20"/>
      <c r="W222" s="20"/>
      <c r="X222" s="20"/>
      <c r="Y222" s="20"/>
      <c r="Z222" s="20"/>
      <c r="AA222" s="20"/>
      <c r="AB222" s="20"/>
      <c r="AC222" s="20"/>
      <c r="AD222" s="20"/>
      <c r="AE222" s="20"/>
      <c r="AF222" s="20"/>
      <c r="AG222" s="20"/>
      <c r="AH222" s="20"/>
      <c r="AI222" s="20"/>
      <c r="AJ222" s="20"/>
      <c r="AK222" s="20"/>
      <c r="AL222" s="20"/>
      <c r="AM222" s="20"/>
      <c r="AN222" s="20"/>
      <c r="AO222" s="20"/>
      <c r="AP222" s="20"/>
      <c r="AQ222" s="20"/>
      <c r="AR222" s="20"/>
      <c r="AS222" s="20"/>
      <c r="AT222" s="20"/>
      <c r="AU222" s="20"/>
      <c r="AV222" s="20"/>
      <c r="AW222" s="20"/>
      <c r="AX222" s="20"/>
      <c r="AY222" s="20"/>
      <c r="AZ222" s="20"/>
      <c r="BA222" s="20"/>
      <c r="BB222" s="20"/>
      <c r="BC222" s="20"/>
      <c r="BD222" s="20"/>
      <c r="BE222" s="20"/>
      <c r="BF222" s="20"/>
      <c r="BG222" s="20"/>
      <c r="BH222" s="20"/>
      <c r="BI222" s="20"/>
      <c r="BJ222" s="20"/>
      <c r="BK222" s="20"/>
      <c r="BL222" s="20"/>
      <c r="BM222" s="20"/>
      <c r="BN222" s="20"/>
      <c r="BO222" s="20"/>
      <c r="BP222" s="20"/>
      <c r="BQ222" s="20"/>
      <c r="BR222" s="20"/>
      <c r="BS222" s="20"/>
      <c r="BT222" s="20"/>
      <c r="BU222" s="20"/>
      <c r="BV222" s="20"/>
      <c r="BW222" s="20"/>
      <c r="BX222" s="20"/>
      <c r="BY222" s="20"/>
      <c r="BZ222" s="20"/>
      <c r="CA222" s="20"/>
      <c r="CB222" s="20"/>
      <c r="CC222" s="20"/>
      <c r="CD222" s="20"/>
      <c r="CE222" s="20"/>
      <c r="CF222" s="20"/>
      <c r="CG222" s="20"/>
      <c r="CH222" s="20"/>
      <c r="CI222" s="20"/>
      <c r="CJ222" s="20"/>
      <c r="CK222" s="20"/>
      <c r="CL222" s="20"/>
      <c r="CM222" s="20"/>
      <c r="CN222" s="20"/>
      <c r="CO222" s="20"/>
      <c r="CP222" s="20"/>
      <c r="CQ222" s="20"/>
      <c r="CR222" s="20"/>
      <c r="CS222" s="20"/>
      <c r="CT222" s="20"/>
      <c r="CU222" s="20"/>
      <c r="CV222" s="20"/>
      <c r="CW222" s="20"/>
      <c r="CX222" s="20"/>
      <c r="CY222" s="20"/>
      <c r="CZ222" s="20"/>
      <c r="DA222" s="20"/>
      <c r="DB222" s="20"/>
      <c r="DC222" s="20"/>
      <c r="DD222" s="20"/>
      <c r="DE222" s="20"/>
      <c r="DF222" s="20"/>
      <c r="DG222" s="20"/>
      <c r="DH222" s="20"/>
      <c r="DI222" s="20"/>
      <c r="DJ222" s="20"/>
      <c r="DK222" s="20"/>
      <c r="DL222" s="20"/>
      <c r="DM222" s="20"/>
      <c r="DN222" s="20"/>
      <c r="DO222" s="20"/>
      <c r="DP222" s="20"/>
      <c r="DQ222" s="20"/>
      <c r="DR222" s="20"/>
      <c r="DS222" s="20"/>
      <c r="DT222" s="20"/>
      <c r="DU222" s="20"/>
      <c r="DV222" s="20"/>
      <c r="DW222" s="20"/>
      <c r="DX222" s="20"/>
      <c r="DY222" s="20"/>
      <c r="DZ222" s="20"/>
      <c r="EA222" s="20"/>
    </row>
    <row r="223" spans="2:131" ht="18" customHeight="1">
      <c r="B223" s="707"/>
      <c r="C223" s="707"/>
      <c r="D223" s="707"/>
      <c r="E223" s="707"/>
      <c r="F223" s="707"/>
      <c r="G223" s="707"/>
      <c r="H223" s="707"/>
      <c r="I223" s="707"/>
      <c r="J223" s="707"/>
      <c r="K223" s="707"/>
      <c r="L223" s="19"/>
      <c r="M223" s="20"/>
      <c r="N223" s="20"/>
      <c r="O223" s="20"/>
      <c r="P223" s="20"/>
      <c r="Q223" s="20"/>
      <c r="R223" s="20"/>
      <c r="S223" s="20"/>
      <c r="T223" s="20"/>
      <c r="U223" s="20"/>
      <c r="V223" s="20"/>
      <c r="W223" s="20"/>
      <c r="X223" s="20"/>
      <c r="Y223" s="20"/>
      <c r="Z223" s="20"/>
      <c r="AA223" s="20"/>
      <c r="AB223" s="20"/>
      <c r="AC223" s="20"/>
      <c r="AD223" s="20"/>
      <c r="AE223" s="20"/>
      <c r="AF223" s="20"/>
      <c r="AG223" s="20"/>
      <c r="AH223" s="20"/>
      <c r="AI223" s="20"/>
      <c r="AJ223" s="20"/>
      <c r="AK223" s="20"/>
      <c r="AL223" s="20"/>
      <c r="AM223" s="20"/>
      <c r="AN223" s="20"/>
      <c r="AO223" s="20"/>
      <c r="AP223" s="20"/>
      <c r="AQ223" s="20"/>
      <c r="AR223" s="20"/>
      <c r="AS223" s="20"/>
      <c r="AT223" s="20"/>
      <c r="AU223" s="20"/>
      <c r="AV223" s="20"/>
      <c r="AW223" s="20"/>
      <c r="AX223" s="20"/>
      <c r="AY223" s="20"/>
      <c r="AZ223" s="20"/>
      <c r="BA223" s="20"/>
      <c r="BB223" s="20"/>
      <c r="BC223" s="20"/>
      <c r="BD223" s="20"/>
      <c r="BE223" s="20"/>
      <c r="BF223" s="20"/>
      <c r="BG223" s="20"/>
      <c r="BH223" s="20"/>
      <c r="BI223" s="20"/>
      <c r="BJ223" s="20"/>
      <c r="BK223" s="20"/>
      <c r="BL223" s="20"/>
      <c r="BM223" s="20"/>
      <c r="BN223" s="20"/>
      <c r="BO223" s="20"/>
      <c r="BP223" s="20"/>
      <c r="BQ223" s="20"/>
      <c r="BR223" s="20"/>
      <c r="BS223" s="20"/>
      <c r="BT223" s="20"/>
      <c r="BU223" s="20"/>
      <c r="BV223" s="20"/>
      <c r="BW223" s="20"/>
      <c r="BX223" s="20"/>
      <c r="BY223" s="20"/>
      <c r="BZ223" s="20"/>
      <c r="CA223" s="20"/>
      <c r="CB223" s="20"/>
      <c r="CC223" s="20"/>
      <c r="CD223" s="20"/>
      <c r="CE223" s="20"/>
      <c r="CF223" s="20"/>
      <c r="CG223" s="20"/>
      <c r="CH223" s="20"/>
      <c r="CI223" s="20"/>
      <c r="CJ223" s="20"/>
      <c r="CK223" s="20"/>
      <c r="CL223" s="20"/>
      <c r="CM223" s="20"/>
      <c r="CN223" s="20"/>
      <c r="CO223" s="20"/>
      <c r="CP223" s="20"/>
      <c r="CQ223" s="20"/>
      <c r="CR223" s="20"/>
      <c r="CS223" s="20"/>
      <c r="CT223" s="20"/>
      <c r="CU223" s="20"/>
      <c r="CV223" s="20"/>
      <c r="CW223" s="20"/>
      <c r="CX223" s="20"/>
      <c r="CY223" s="20"/>
      <c r="CZ223" s="20"/>
      <c r="DA223" s="20"/>
      <c r="DB223" s="20"/>
      <c r="DC223" s="20"/>
      <c r="DD223" s="20"/>
      <c r="DE223" s="20"/>
      <c r="DF223" s="20"/>
      <c r="DG223" s="20"/>
      <c r="DH223" s="20"/>
      <c r="DI223" s="20"/>
      <c r="DJ223" s="20"/>
      <c r="DK223" s="20"/>
      <c r="DL223" s="20"/>
      <c r="DM223" s="20"/>
      <c r="DN223" s="20"/>
      <c r="DO223" s="20"/>
      <c r="DP223" s="20"/>
      <c r="DQ223" s="20"/>
      <c r="DR223" s="20"/>
      <c r="DS223" s="20"/>
      <c r="DT223" s="20"/>
      <c r="DU223" s="20"/>
      <c r="DV223" s="20"/>
      <c r="DW223" s="20"/>
      <c r="DX223" s="20"/>
      <c r="DY223" s="20"/>
      <c r="DZ223" s="20"/>
      <c r="EA223" s="20"/>
    </row>
    <row r="224" spans="2:131" ht="18" customHeight="1">
      <c r="B224" s="707"/>
      <c r="C224" s="707"/>
      <c r="D224" s="707"/>
      <c r="E224" s="707"/>
      <c r="F224" s="707"/>
      <c r="G224" s="707"/>
      <c r="H224" s="707"/>
      <c r="I224" s="707"/>
      <c r="J224" s="707"/>
      <c r="K224" s="707"/>
      <c r="L224" s="19"/>
      <c r="M224" s="20"/>
      <c r="N224" s="20"/>
      <c r="O224" s="20"/>
      <c r="P224" s="20"/>
      <c r="Q224" s="20"/>
      <c r="R224" s="20"/>
      <c r="S224" s="20"/>
      <c r="T224" s="20"/>
      <c r="U224" s="20"/>
      <c r="V224" s="20"/>
      <c r="W224" s="20"/>
      <c r="X224" s="20"/>
      <c r="Y224" s="20"/>
      <c r="Z224" s="20"/>
      <c r="AA224" s="20"/>
      <c r="AB224" s="20"/>
      <c r="AC224" s="20"/>
      <c r="AD224" s="20"/>
      <c r="AE224" s="20"/>
      <c r="AF224" s="20"/>
      <c r="AG224" s="20"/>
      <c r="AH224" s="20"/>
      <c r="AI224" s="20"/>
      <c r="AJ224" s="20"/>
      <c r="AK224" s="20"/>
      <c r="AL224" s="20"/>
      <c r="AM224" s="20"/>
      <c r="AN224" s="20"/>
      <c r="AO224" s="20"/>
      <c r="AP224" s="20"/>
      <c r="AQ224" s="20"/>
      <c r="AR224" s="20"/>
      <c r="AS224" s="20"/>
      <c r="AT224" s="20"/>
      <c r="AU224" s="20"/>
      <c r="AV224" s="20"/>
      <c r="AW224" s="20"/>
      <c r="AX224" s="20"/>
      <c r="AY224" s="20"/>
      <c r="AZ224" s="20"/>
      <c r="BA224" s="20"/>
      <c r="BB224" s="20"/>
      <c r="BC224" s="20"/>
      <c r="BD224" s="20"/>
      <c r="BE224" s="20"/>
      <c r="BF224" s="20"/>
      <c r="BG224" s="20"/>
      <c r="BH224" s="20"/>
      <c r="BI224" s="20"/>
      <c r="BJ224" s="20"/>
      <c r="BK224" s="20"/>
      <c r="BL224" s="20"/>
      <c r="BM224" s="20"/>
      <c r="BN224" s="20"/>
      <c r="BO224" s="20"/>
      <c r="BP224" s="20"/>
      <c r="BQ224" s="20"/>
      <c r="BR224" s="20"/>
      <c r="BS224" s="20"/>
      <c r="BT224" s="20"/>
      <c r="BU224" s="20"/>
      <c r="BV224" s="20"/>
      <c r="BW224" s="20"/>
      <c r="BX224" s="20"/>
      <c r="BY224" s="20"/>
      <c r="BZ224" s="20"/>
      <c r="CA224" s="20"/>
      <c r="CB224" s="20"/>
      <c r="CC224" s="20"/>
      <c r="CD224" s="20"/>
      <c r="CE224" s="20"/>
      <c r="CF224" s="20"/>
      <c r="CG224" s="20"/>
      <c r="CH224" s="20"/>
      <c r="CI224" s="20"/>
      <c r="CJ224" s="20"/>
      <c r="CK224" s="20"/>
      <c r="CL224" s="20"/>
      <c r="CM224" s="20"/>
      <c r="CN224" s="20"/>
      <c r="CO224" s="20"/>
      <c r="CP224" s="20"/>
      <c r="CQ224" s="20"/>
      <c r="CR224" s="20"/>
      <c r="CS224" s="20"/>
      <c r="CT224" s="20"/>
      <c r="CU224" s="20"/>
      <c r="CV224" s="20"/>
      <c r="CW224" s="20"/>
      <c r="CX224" s="20"/>
      <c r="CY224" s="20"/>
      <c r="CZ224" s="20"/>
      <c r="DA224" s="20"/>
      <c r="DB224" s="20"/>
      <c r="DC224" s="20"/>
      <c r="DD224" s="20"/>
      <c r="DE224" s="20"/>
      <c r="DF224" s="20"/>
      <c r="DG224" s="20"/>
      <c r="DH224" s="20"/>
      <c r="DI224" s="20"/>
      <c r="DJ224" s="20"/>
      <c r="DK224" s="20"/>
      <c r="DL224" s="20"/>
      <c r="DM224" s="20"/>
      <c r="DN224" s="20"/>
      <c r="DO224" s="20"/>
      <c r="DP224" s="20"/>
      <c r="DQ224" s="20"/>
      <c r="DR224" s="20"/>
      <c r="DS224" s="20"/>
      <c r="DT224" s="20"/>
      <c r="DU224" s="20"/>
      <c r="DV224" s="20"/>
      <c r="DW224" s="20"/>
      <c r="DX224" s="20"/>
      <c r="DY224" s="20"/>
      <c r="DZ224" s="20"/>
      <c r="EA224" s="20"/>
    </row>
    <row r="225" spans="2:131" ht="18" customHeight="1">
      <c r="B225" s="707"/>
      <c r="C225" s="707"/>
      <c r="D225" s="707"/>
      <c r="E225" s="707"/>
      <c r="F225" s="707"/>
      <c r="G225" s="707"/>
      <c r="H225" s="707"/>
      <c r="I225" s="707"/>
      <c r="J225" s="707"/>
      <c r="K225" s="707"/>
      <c r="L225" s="19"/>
      <c r="M225" s="20"/>
      <c r="N225" s="20"/>
      <c r="O225" s="20"/>
      <c r="P225" s="20"/>
      <c r="Q225" s="20"/>
      <c r="R225" s="20"/>
      <c r="S225" s="20"/>
      <c r="T225" s="20"/>
      <c r="U225" s="20"/>
      <c r="V225" s="20"/>
      <c r="W225" s="20"/>
      <c r="X225" s="20"/>
      <c r="Y225" s="20"/>
      <c r="Z225" s="20"/>
      <c r="AA225" s="20"/>
      <c r="AB225" s="20"/>
      <c r="AC225" s="20"/>
      <c r="AD225" s="20"/>
      <c r="AE225" s="20"/>
      <c r="AF225" s="20"/>
      <c r="AG225" s="20"/>
      <c r="AH225" s="20"/>
      <c r="AI225" s="20"/>
      <c r="AJ225" s="20"/>
      <c r="AK225" s="20"/>
      <c r="AL225" s="20"/>
      <c r="AM225" s="20"/>
      <c r="AN225" s="20"/>
      <c r="AO225" s="20"/>
      <c r="AP225" s="20"/>
      <c r="AQ225" s="20"/>
      <c r="AR225" s="20"/>
      <c r="AS225" s="20"/>
      <c r="AT225" s="20"/>
      <c r="AU225" s="20"/>
      <c r="AV225" s="20"/>
      <c r="AW225" s="20"/>
      <c r="AX225" s="20"/>
      <c r="AY225" s="20"/>
      <c r="AZ225" s="20"/>
      <c r="BA225" s="20"/>
      <c r="BB225" s="20"/>
      <c r="BC225" s="20"/>
      <c r="BD225" s="20"/>
      <c r="BE225" s="20"/>
      <c r="BF225" s="20"/>
      <c r="BG225" s="20"/>
      <c r="BH225" s="20"/>
      <c r="BI225" s="20"/>
      <c r="BJ225" s="20"/>
      <c r="BK225" s="20"/>
      <c r="BL225" s="20"/>
      <c r="BM225" s="20"/>
      <c r="BN225" s="20"/>
      <c r="BO225" s="20"/>
      <c r="BP225" s="20"/>
      <c r="BQ225" s="20"/>
      <c r="BR225" s="20"/>
      <c r="BS225" s="20"/>
      <c r="BT225" s="20"/>
      <c r="BU225" s="20"/>
      <c r="BV225" s="20"/>
      <c r="BW225" s="20"/>
      <c r="BX225" s="20"/>
      <c r="BY225" s="20"/>
      <c r="BZ225" s="20"/>
      <c r="CA225" s="20"/>
      <c r="CB225" s="20"/>
      <c r="CC225" s="20"/>
      <c r="CD225" s="20"/>
      <c r="CE225" s="20"/>
      <c r="CF225" s="20"/>
      <c r="CG225" s="20"/>
      <c r="CH225" s="20"/>
      <c r="CI225" s="20"/>
      <c r="CJ225" s="20"/>
      <c r="CK225" s="20"/>
      <c r="CL225" s="20"/>
      <c r="CM225" s="20"/>
      <c r="CN225" s="20"/>
      <c r="CO225" s="20"/>
      <c r="CP225" s="20"/>
      <c r="CQ225" s="20"/>
      <c r="CR225" s="20"/>
      <c r="CS225" s="20"/>
      <c r="CT225" s="20"/>
      <c r="CU225" s="20"/>
      <c r="CV225" s="20"/>
      <c r="CW225" s="20"/>
      <c r="CX225" s="20"/>
      <c r="CY225" s="20"/>
      <c r="CZ225" s="20"/>
      <c r="DA225" s="20"/>
      <c r="DB225" s="20"/>
      <c r="DC225" s="20"/>
      <c r="DD225" s="20"/>
      <c r="DE225" s="20"/>
      <c r="DF225" s="20"/>
      <c r="DG225" s="20"/>
      <c r="DH225" s="20"/>
      <c r="DI225" s="20"/>
      <c r="DJ225" s="20"/>
      <c r="DK225" s="20"/>
      <c r="DL225" s="20"/>
      <c r="DM225" s="20"/>
      <c r="DN225" s="20"/>
      <c r="DO225" s="20"/>
      <c r="DP225" s="20"/>
      <c r="DQ225" s="20"/>
      <c r="DR225" s="20"/>
      <c r="DS225" s="20"/>
      <c r="DT225" s="20"/>
      <c r="DU225" s="20"/>
      <c r="DV225" s="20"/>
      <c r="DW225" s="20"/>
      <c r="DX225" s="20"/>
      <c r="DY225" s="20"/>
      <c r="DZ225" s="20"/>
      <c r="EA225" s="20"/>
    </row>
    <row r="226" spans="2:131" ht="18" customHeight="1">
      <c r="B226" s="708"/>
      <c r="C226" s="708"/>
      <c r="D226" s="707"/>
      <c r="E226" s="707"/>
      <c r="F226" s="707"/>
      <c r="G226" s="707"/>
      <c r="H226" s="707"/>
      <c r="I226" s="707"/>
      <c r="J226" s="707"/>
      <c r="K226" s="707"/>
      <c r="L226" s="19"/>
      <c r="M226" s="20"/>
      <c r="N226" s="20"/>
      <c r="O226" s="20"/>
      <c r="P226" s="20"/>
      <c r="Q226" s="20"/>
      <c r="R226" s="20"/>
      <c r="S226" s="20"/>
      <c r="T226" s="20"/>
      <c r="U226" s="20"/>
      <c r="V226" s="20"/>
      <c r="W226" s="20"/>
      <c r="X226" s="20"/>
      <c r="Y226" s="20"/>
      <c r="Z226" s="20"/>
      <c r="AA226" s="20"/>
      <c r="AB226" s="20"/>
      <c r="AC226" s="20"/>
      <c r="AD226" s="20"/>
      <c r="AE226" s="20"/>
      <c r="AF226" s="20"/>
      <c r="AG226" s="20"/>
      <c r="AH226" s="20"/>
      <c r="AI226" s="20"/>
      <c r="AJ226" s="20"/>
      <c r="AK226" s="20"/>
      <c r="AL226" s="20"/>
      <c r="AM226" s="20"/>
      <c r="AN226" s="20"/>
      <c r="AO226" s="20"/>
      <c r="AP226" s="20"/>
      <c r="AQ226" s="20"/>
      <c r="AR226" s="20"/>
      <c r="AS226" s="20"/>
      <c r="AT226" s="20"/>
      <c r="AU226" s="20"/>
      <c r="AV226" s="20"/>
      <c r="AW226" s="20"/>
      <c r="AX226" s="20"/>
      <c r="AY226" s="20"/>
      <c r="AZ226" s="20"/>
      <c r="BA226" s="20"/>
      <c r="BB226" s="20"/>
      <c r="BC226" s="20"/>
      <c r="BD226" s="20"/>
      <c r="BE226" s="20"/>
      <c r="BF226" s="20"/>
      <c r="BG226" s="20"/>
      <c r="BH226" s="20"/>
      <c r="BI226" s="20"/>
      <c r="BJ226" s="20"/>
      <c r="BK226" s="20"/>
      <c r="BL226" s="20"/>
      <c r="BM226" s="20"/>
      <c r="BN226" s="20"/>
      <c r="BO226" s="20"/>
      <c r="BP226" s="20"/>
      <c r="BQ226" s="20"/>
      <c r="BR226" s="20"/>
      <c r="BS226" s="20"/>
      <c r="BT226" s="20"/>
      <c r="BU226" s="20"/>
      <c r="BV226" s="20"/>
      <c r="BW226" s="20"/>
      <c r="BX226" s="20"/>
      <c r="BY226" s="20"/>
      <c r="BZ226" s="20"/>
      <c r="CA226" s="20"/>
      <c r="CB226" s="20"/>
      <c r="CC226" s="20"/>
      <c r="CD226" s="20"/>
      <c r="CE226" s="20"/>
      <c r="CF226" s="20"/>
      <c r="CG226" s="20"/>
      <c r="CH226" s="20"/>
      <c r="CI226" s="20"/>
      <c r="CJ226" s="20"/>
      <c r="CK226" s="20"/>
      <c r="CL226" s="20"/>
      <c r="CM226" s="20"/>
      <c r="CN226" s="20"/>
      <c r="CO226" s="20"/>
      <c r="CP226" s="20"/>
      <c r="CQ226" s="20"/>
      <c r="CR226" s="20"/>
      <c r="CS226" s="20"/>
      <c r="CT226" s="20"/>
      <c r="CU226" s="20"/>
      <c r="CV226" s="20"/>
      <c r="CW226" s="20"/>
      <c r="CX226" s="20"/>
      <c r="CY226" s="20"/>
      <c r="CZ226" s="20"/>
      <c r="DA226" s="20"/>
      <c r="DB226" s="20"/>
      <c r="DC226" s="20"/>
      <c r="DD226" s="20"/>
      <c r="DE226" s="20"/>
      <c r="DF226" s="20"/>
      <c r="DG226" s="20"/>
      <c r="DH226" s="20"/>
      <c r="DI226" s="20"/>
      <c r="DJ226" s="20"/>
      <c r="DK226" s="20"/>
      <c r="DL226" s="20"/>
      <c r="DM226" s="20"/>
      <c r="DN226" s="20"/>
      <c r="DO226" s="20"/>
      <c r="DP226" s="20"/>
      <c r="DQ226" s="20"/>
      <c r="DR226" s="20"/>
      <c r="DS226" s="20"/>
      <c r="DT226" s="20"/>
      <c r="DU226" s="20"/>
      <c r="DV226" s="20"/>
      <c r="DW226" s="20"/>
      <c r="DX226" s="20"/>
      <c r="DY226" s="20"/>
      <c r="DZ226" s="20"/>
      <c r="EA226" s="20"/>
    </row>
    <row r="227" spans="2:131" ht="18" customHeight="1">
      <c r="B227" s="707"/>
      <c r="C227" s="707"/>
      <c r="D227" s="707"/>
      <c r="E227" s="707"/>
      <c r="F227" s="707"/>
      <c r="G227" s="707"/>
      <c r="H227" s="707"/>
      <c r="I227" s="707"/>
      <c r="J227" s="707"/>
      <c r="K227" s="707"/>
      <c r="L227" s="19"/>
      <c r="M227" s="20"/>
      <c r="N227" s="20"/>
      <c r="O227" s="20"/>
      <c r="P227" s="20"/>
      <c r="Q227" s="20"/>
      <c r="R227" s="20"/>
      <c r="S227" s="20"/>
      <c r="T227" s="20"/>
      <c r="U227" s="20"/>
      <c r="V227" s="20"/>
      <c r="W227" s="20"/>
      <c r="X227" s="20"/>
      <c r="Y227" s="20"/>
      <c r="Z227" s="20"/>
      <c r="AA227" s="20"/>
      <c r="AB227" s="20"/>
      <c r="AC227" s="20"/>
      <c r="AD227" s="20"/>
      <c r="AE227" s="20"/>
      <c r="AF227" s="20"/>
      <c r="AG227" s="20"/>
      <c r="AH227" s="20"/>
      <c r="AI227" s="20"/>
      <c r="AJ227" s="20"/>
      <c r="AK227" s="20"/>
      <c r="AL227" s="20"/>
      <c r="AM227" s="20"/>
      <c r="AN227" s="20"/>
      <c r="AO227" s="20"/>
      <c r="AP227" s="20"/>
      <c r="AQ227" s="20"/>
      <c r="AR227" s="20"/>
      <c r="AS227" s="20"/>
      <c r="AT227" s="20"/>
      <c r="AU227" s="20"/>
      <c r="AV227" s="20"/>
      <c r="AW227" s="20"/>
      <c r="AX227" s="20"/>
      <c r="AY227" s="20"/>
      <c r="AZ227" s="20"/>
      <c r="BA227" s="20"/>
      <c r="BB227" s="20"/>
      <c r="BC227" s="20"/>
      <c r="BD227" s="20"/>
      <c r="BE227" s="20"/>
      <c r="BF227" s="20"/>
      <c r="BG227" s="20"/>
      <c r="BH227" s="20"/>
      <c r="BI227" s="20"/>
      <c r="BJ227" s="20"/>
      <c r="BK227" s="20"/>
      <c r="BL227" s="20"/>
      <c r="BM227" s="20"/>
      <c r="BN227" s="20"/>
      <c r="BO227" s="20"/>
      <c r="BP227" s="20"/>
      <c r="BQ227" s="20"/>
      <c r="BR227" s="20"/>
      <c r="BS227" s="20"/>
      <c r="BT227" s="20"/>
      <c r="BU227" s="20"/>
      <c r="BV227" s="20"/>
      <c r="BW227" s="20"/>
      <c r="BX227" s="20"/>
      <c r="BY227" s="20"/>
      <c r="BZ227" s="20"/>
      <c r="CA227" s="20"/>
      <c r="CB227" s="20"/>
      <c r="CC227" s="20"/>
      <c r="CD227" s="20"/>
      <c r="CE227" s="20"/>
      <c r="CF227" s="20"/>
      <c r="CG227" s="20"/>
      <c r="CH227" s="20"/>
      <c r="CI227" s="20"/>
      <c r="CJ227" s="20"/>
      <c r="CK227" s="20"/>
      <c r="CL227" s="20"/>
      <c r="CM227" s="20"/>
      <c r="CN227" s="20"/>
      <c r="CO227" s="20"/>
      <c r="CP227" s="20"/>
      <c r="CQ227" s="20"/>
      <c r="CR227" s="20"/>
      <c r="CS227" s="20"/>
      <c r="CT227" s="20"/>
      <c r="CU227" s="20"/>
      <c r="CV227" s="20"/>
      <c r="CW227" s="20"/>
      <c r="CX227" s="20"/>
      <c r="CY227" s="20"/>
      <c r="CZ227" s="20"/>
      <c r="DA227" s="20"/>
      <c r="DB227" s="20"/>
      <c r="DC227" s="20"/>
      <c r="DD227" s="20"/>
      <c r="DE227" s="20"/>
      <c r="DF227" s="20"/>
      <c r="DG227" s="20"/>
      <c r="DH227" s="20"/>
      <c r="DI227" s="20"/>
      <c r="DJ227" s="20"/>
      <c r="DK227" s="20"/>
      <c r="DL227" s="20"/>
      <c r="DM227" s="20"/>
      <c r="DN227" s="20"/>
      <c r="DO227" s="20"/>
      <c r="DP227" s="20"/>
      <c r="DQ227" s="20"/>
      <c r="DR227" s="20"/>
      <c r="DS227" s="20"/>
      <c r="DT227" s="20"/>
      <c r="DU227" s="20"/>
      <c r="DV227" s="20"/>
      <c r="DW227" s="20"/>
      <c r="DX227" s="20"/>
      <c r="DY227" s="20"/>
      <c r="DZ227" s="20"/>
      <c r="EA227" s="20"/>
    </row>
    <row r="228" spans="2:131" ht="18" customHeight="1">
      <c r="B228" s="707"/>
      <c r="C228" s="707"/>
      <c r="D228" s="707"/>
      <c r="E228" s="707"/>
      <c r="F228" s="707"/>
      <c r="G228" s="707"/>
      <c r="H228" s="707"/>
      <c r="I228" s="707"/>
      <c r="J228" s="707"/>
      <c r="K228" s="707"/>
      <c r="L228" s="19"/>
      <c r="M228" s="20"/>
      <c r="N228" s="20"/>
      <c r="O228" s="20"/>
      <c r="P228" s="20"/>
      <c r="Q228" s="20"/>
      <c r="R228" s="20"/>
      <c r="S228" s="20"/>
      <c r="T228" s="20"/>
      <c r="U228" s="20"/>
      <c r="V228" s="20"/>
      <c r="W228" s="20"/>
      <c r="X228" s="20"/>
      <c r="Y228" s="20"/>
      <c r="Z228" s="20"/>
      <c r="AA228" s="20"/>
      <c r="AB228" s="20"/>
      <c r="AC228" s="20"/>
      <c r="AD228" s="20"/>
      <c r="AE228" s="20"/>
      <c r="AF228" s="20"/>
      <c r="AG228" s="20"/>
      <c r="AH228" s="20"/>
      <c r="AI228" s="20"/>
      <c r="AJ228" s="20"/>
      <c r="AK228" s="20"/>
      <c r="AL228" s="20"/>
      <c r="AM228" s="20"/>
      <c r="AN228" s="20"/>
      <c r="AO228" s="20"/>
      <c r="AP228" s="20"/>
      <c r="AQ228" s="20"/>
      <c r="AR228" s="20"/>
      <c r="AS228" s="20"/>
      <c r="AT228" s="20"/>
      <c r="AU228" s="20"/>
      <c r="AV228" s="20"/>
      <c r="AW228" s="20"/>
      <c r="AX228" s="20"/>
      <c r="AY228" s="20"/>
      <c r="AZ228" s="20"/>
      <c r="BA228" s="20"/>
      <c r="BB228" s="20"/>
      <c r="BC228" s="20"/>
      <c r="BD228" s="20"/>
      <c r="BE228" s="20"/>
      <c r="BF228" s="20"/>
      <c r="BG228" s="20"/>
      <c r="BH228" s="20"/>
      <c r="BI228" s="20"/>
      <c r="BJ228" s="20"/>
      <c r="BK228" s="20"/>
      <c r="BL228" s="20"/>
      <c r="BM228" s="20"/>
      <c r="BN228" s="20"/>
      <c r="BO228" s="20"/>
      <c r="BP228" s="20"/>
      <c r="BQ228" s="20"/>
      <c r="BR228" s="20"/>
      <c r="BS228" s="20"/>
      <c r="BT228" s="20"/>
      <c r="BU228" s="20"/>
      <c r="BV228" s="20"/>
      <c r="BW228" s="20"/>
      <c r="BX228" s="20"/>
      <c r="BY228" s="20"/>
      <c r="BZ228" s="20"/>
      <c r="CA228" s="20"/>
      <c r="CB228" s="20"/>
      <c r="CC228" s="20"/>
      <c r="CD228" s="20"/>
      <c r="CE228" s="20"/>
      <c r="CF228" s="20"/>
      <c r="CG228" s="20"/>
      <c r="CH228" s="20"/>
      <c r="CI228" s="20"/>
      <c r="CJ228" s="20"/>
      <c r="CK228" s="20"/>
      <c r="CL228" s="20"/>
      <c r="CM228" s="20"/>
      <c r="CN228" s="20"/>
      <c r="CO228" s="20"/>
      <c r="CP228" s="20"/>
      <c r="CQ228" s="20"/>
      <c r="CR228" s="20"/>
      <c r="CS228" s="20"/>
      <c r="CT228" s="20"/>
      <c r="CU228" s="20"/>
      <c r="CV228" s="20"/>
      <c r="CW228" s="20"/>
      <c r="CX228" s="20"/>
      <c r="CY228" s="20"/>
      <c r="CZ228" s="20"/>
      <c r="DA228" s="20"/>
      <c r="DB228" s="20"/>
      <c r="DC228" s="20"/>
      <c r="DD228" s="20"/>
      <c r="DE228" s="20"/>
      <c r="DF228" s="20"/>
      <c r="DG228" s="20"/>
      <c r="DH228" s="20"/>
      <c r="DI228" s="20"/>
      <c r="DJ228" s="20"/>
      <c r="DK228" s="20"/>
      <c r="DL228" s="20"/>
      <c r="DM228" s="20"/>
      <c r="DN228" s="20"/>
      <c r="DO228" s="20"/>
      <c r="DP228" s="20"/>
      <c r="DQ228" s="20"/>
      <c r="DR228" s="20"/>
      <c r="DS228" s="20"/>
      <c r="DT228" s="20"/>
      <c r="DU228" s="20"/>
      <c r="DV228" s="20"/>
      <c r="DW228" s="20"/>
      <c r="DX228" s="20"/>
      <c r="DY228" s="20"/>
      <c r="DZ228" s="20"/>
      <c r="EA228" s="20"/>
    </row>
    <row r="229" spans="2:131" ht="18" customHeight="1">
      <c r="B229" s="707"/>
      <c r="C229" s="707"/>
      <c r="D229" s="707"/>
      <c r="E229" s="707"/>
      <c r="F229" s="707"/>
      <c r="G229" s="707"/>
      <c r="H229" s="707"/>
      <c r="I229" s="707"/>
      <c r="J229" s="707"/>
      <c r="K229" s="707"/>
      <c r="L229" s="19"/>
      <c r="M229" s="20"/>
      <c r="N229" s="20"/>
      <c r="O229" s="20"/>
      <c r="P229" s="20"/>
      <c r="Q229" s="20"/>
      <c r="R229" s="20"/>
      <c r="S229" s="20"/>
      <c r="T229" s="20"/>
      <c r="U229" s="20"/>
      <c r="V229" s="20"/>
      <c r="W229" s="20"/>
      <c r="X229" s="20"/>
      <c r="Y229" s="20"/>
      <c r="Z229" s="20"/>
      <c r="AA229" s="20"/>
      <c r="AB229" s="20"/>
      <c r="AC229" s="20"/>
      <c r="AD229" s="20"/>
      <c r="AE229" s="20"/>
      <c r="AF229" s="20"/>
      <c r="AG229" s="20"/>
      <c r="AH229" s="20"/>
      <c r="AI229" s="20"/>
      <c r="AJ229" s="20"/>
      <c r="AK229" s="20"/>
      <c r="AL229" s="20"/>
      <c r="AM229" s="20"/>
      <c r="AN229" s="20"/>
      <c r="AO229" s="20"/>
      <c r="AP229" s="20"/>
      <c r="AQ229" s="20"/>
      <c r="AR229" s="20"/>
      <c r="AS229" s="20"/>
      <c r="AT229" s="20"/>
      <c r="AU229" s="20"/>
      <c r="AV229" s="20"/>
      <c r="AW229" s="20"/>
      <c r="AX229" s="20"/>
      <c r="AY229" s="20"/>
      <c r="AZ229" s="20"/>
      <c r="BA229" s="20"/>
      <c r="BB229" s="20"/>
      <c r="BC229" s="20"/>
      <c r="BD229" s="20"/>
      <c r="BE229" s="20"/>
      <c r="BF229" s="20"/>
      <c r="BG229" s="20"/>
      <c r="BH229" s="20"/>
      <c r="BI229" s="20"/>
      <c r="BJ229" s="20"/>
      <c r="BK229" s="20"/>
      <c r="BL229" s="20"/>
      <c r="BM229" s="20"/>
      <c r="BN229" s="20"/>
      <c r="BO229" s="20"/>
      <c r="BP229" s="20"/>
      <c r="BQ229" s="20"/>
      <c r="BR229" s="20"/>
      <c r="BS229" s="20"/>
      <c r="BT229" s="20"/>
      <c r="BU229" s="20"/>
      <c r="BV229" s="20"/>
      <c r="BW229" s="20"/>
      <c r="BX229" s="20"/>
      <c r="BY229" s="20"/>
      <c r="BZ229" s="20"/>
      <c r="CA229" s="20"/>
      <c r="CB229" s="20"/>
      <c r="CC229" s="20"/>
      <c r="CD229" s="20"/>
      <c r="CE229" s="20"/>
      <c r="CF229" s="20"/>
      <c r="CG229" s="20"/>
      <c r="CH229" s="20"/>
      <c r="CI229" s="20"/>
      <c r="CJ229" s="20"/>
      <c r="CK229" s="20"/>
      <c r="CL229" s="20"/>
      <c r="CM229" s="20"/>
      <c r="CN229" s="20"/>
      <c r="CO229" s="20"/>
      <c r="CP229" s="20"/>
      <c r="CQ229" s="20"/>
      <c r="CR229" s="20"/>
      <c r="CS229" s="20"/>
      <c r="CT229" s="20"/>
      <c r="CU229" s="20"/>
      <c r="CV229" s="20"/>
      <c r="CW229" s="20"/>
      <c r="CX229" s="20"/>
      <c r="CY229" s="20"/>
      <c r="CZ229" s="20"/>
      <c r="DA229" s="20"/>
      <c r="DB229" s="20"/>
      <c r="DC229" s="20"/>
      <c r="DD229" s="20"/>
      <c r="DE229" s="20"/>
      <c r="DF229" s="20"/>
      <c r="DG229" s="20"/>
      <c r="DH229" s="20"/>
      <c r="DI229" s="20"/>
      <c r="DJ229" s="20"/>
      <c r="DK229" s="20"/>
      <c r="DL229" s="20"/>
      <c r="DM229" s="20"/>
      <c r="DN229" s="20"/>
      <c r="DO229" s="20"/>
      <c r="DP229" s="20"/>
      <c r="DQ229" s="20"/>
      <c r="DR229" s="20"/>
      <c r="DS229" s="20"/>
      <c r="DT229" s="20"/>
      <c r="DU229" s="20"/>
      <c r="DV229" s="20"/>
      <c r="DW229" s="20"/>
      <c r="DX229" s="20"/>
      <c r="DY229" s="20"/>
      <c r="DZ229" s="20"/>
      <c r="EA229" s="20"/>
    </row>
    <row r="230" spans="2:131" ht="18" customHeight="1">
      <c r="B230" s="707"/>
      <c r="C230" s="707"/>
      <c r="D230" s="707"/>
      <c r="E230" s="707"/>
      <c r="F230" s="707"/>
      <c r="G230" s="707"/>
      <c r="H230" s="707"/>
      <c r="I230" s="707"/>
      <c r="J230" s="707"/>
      <c r="K230" s="707"/>
      <c r="L230" s="19"/>
      <c r="M230" s="20"/>
      <c r="N230" s="20"/>
      <c r="O230" s="20"/>
      <c r="P230" s="20"/>
      <c r="Q230" s="20"/>
      <c r="R230" s="20"/>
      <c r="S230" s="20"/>
      <c r="T230" s="20"/>
      <c r="U230" s="20"/>
      <c r="V230" s="20"/>
      <c r="W230" s="20"/>
      <c r="X230" s="20"/>
      <c r="Y230" s="20"/>
      <c r="Z230" s="20"/>
      <c r="AA230" s="20"/>
      <c r="AB230" s="20"/>
      <c r="AC230" s="20"/>
      <c r="AD230" s="20"/>
      <c r="AE230" s="20"/>
      <c r="AF230" s="20"/>
      <c r="AG230" s="20"/>
      <c r="AH230" s="20"/>
      <c r="AI230" s="20"/>
      <c r="AJ230" s="20"/>
      <c r="AK230" s="20"/>
      <c r="AL230" s="20"/>
      <c r="AM230" s="20"/>
      <c r="AN230" s="20"/>
      <c r="AO230" s="20"/>
      <c r="AP230" s="20"/>
      <c r="AQ230" s="20"/>
      <c r="AR230" s="20"/>
      <c r="AS230" s="20"/>
      <c r="AT230" s="20"/>
      <c r="AU230" s="20"/>
      <c r="AV230" s="20"/>
      <c r="AW230" s="20"/>
      <c r="AX230" s="20"/>
      <c r="AY230" s="20"/>
      <c r="AZ230" s="20"/>
      <c r="BA230" s="20"/>
      <c r="BB230" s="20"/>
      <c r="BC230" s="20"/>
      <c r="BD230" s="20"/>
      <c r="BE230" s="20"/>
      <c r="BF230" s="20"/>
      <c r="BG230" s="20"/>
      <c r="BH230" s="20"/>
      <c r="BI230" s="20"/>
      <c r="BJ230" s="20"/>
      <c r="BK230" s="20"/>
      <c r="BL230" s="20"/>
      <c r="BM230" s="20"/>
      <c r="BN230" s="20"/>
      <c r="BO230" s="20"/>
      <c r="BP230" s="20"/>
      <c r="BQ230" s="20"/>
      <c r="BR230" s="20"/>
      <c r="BS230" s="20"/>
      <c r="BT230" s="20"/>
      <c r="BU230" s="20"/>
      <c r="BV230" s="20"/>
      <c r="BW230" s="20"/>
      <c r="BX230" s="20"/>
      <c r="BY230" s="20"/>
      <c r="BZ230" s="20"/>
      <c r="CA230" s="20"/>
      <c r="CB230" s="20"/>
      <c r="CC230" s="20"/>
      <c r="CD230" s="20"/>
      <c r="CE230" s="20"/>
      <c r="CF230" s="20"/>
      <c r="CG230" s="20"/>
      <c r="CH230" s="20"/>
      <c r="CI230" s="20"/>
      <c r="CJ230" s="20"/>
      <c r="CK230" s="20"/>
      <c r="CL230" s="20"/>
      <c r="CM230" s="20"/>
      <c r="CN230" s="20"/>
      <c r="CO230" s="20"/>
      <c r="CP230" s="20"/>
      <c r="CQ230" s="20"/>
      <c r="CR230" s="20"/>
      <c r="CS230" s="20"/>
      <c r="CT230" s="20"/>
      <c r="CU230" s="20"/>
      <c r="CV230" s="20"/>
      <c r="CW230" s="20"/>
      <c r="CX230" s="20"/>
      <c r="CY230" s="20"/>
      <c r="CZ230" s="20"/>
      <c r="DA230" s="20"/>
      <c r="DB230" s="20"/>
      <c r="DC230" s="20"/>
      <c r="DD230" s="20"/>
      <c r="DE230" s="20"/>
      <c r="DF230" s="20"/>
      <c r="DG230" s="20"/>
      <c r="DH230" s="20"/>
      <c r="DI230" s="20"/>
      <c r="DJ230" s="20"/>
      <c r="DK230" s="20"/>
      <c r="DL230" s="20"/>
      <c r="DM230" s="20"/>
      <c r="DN230" s="20"/>
      <c r="DO230" s="20"/>
      <c r="DP230" s="20"/>
      <c r="DQ230" s="20"/>
      <c r="DR230" s="20"/>
      <c r="DS230" s="20"/>
      <c r="DT230" s="20"/>
      <c r="DU230" s="20"/>
      <c r="DV230" s="20"/>
      <c r="DW230" s="20"/>
      <c r="DX230" s="20"/>
      <c r="DY230" s="20"/>
      <c r="DZ230" s="20"/>
      <c r="EA230" s="20"/>
    </row>
    <row r="231" spans="2:131" ht="18" customHeight="1">
      <c r="B231" s="707"/>
      <c r="C231" s="707"/>
      <c r="D231" s="707"/>
      <c r="E231" s="707"/>
      <c r="F231" s="707"/>
      <c r="G231" s="707"/>
      <c r="H231" s="707"/>
      <c r="I231" s="707"/>
      <c r="J231" s="707"/>
      <c r="K231" s="707"/>
      <c r="L231" s="19"/>
      <c r="M231" s="20"/>
      <c r="N231" s="20"/>
      <c r="O231" s="20"/>
      <c r="P231" s="20"/>
      <c r="Q231" s="20"/>
      <c r="R231" s="20"/>
      <c r="S231" s="20"/>
      <c r="T231" s="20"/>
      <c r="U231" s="20"/>
      <c r="V231" s="20"/>
      <c r="W231" s="20"/>
      <c r="X231" s="20"/>
      <c r="Y231" s="20"/>
      <c r="Z231" s="20"/>
      <c r="AA231" s="20"/>
      <c r="AB231" s="20"/>
      <c r="AC231" s="20"/>
      <c r="AD231" s="20"/>
      <c r="AE231" s="20"/>
      <c r="AF231" s="20"/>
      <c r="AG231" s="20"/>
      <c r="AH231" s="20"/>
      <c r="AI231" s="20"/>
      <c r="AJ231" s="20"/>
      <c r="AK231" s="20"/>
      <c r="AL231" s="20"/>
      <c r="AM231" s="20"/>
      <c r="AN231" s="20"/>
      <c r="AO231" s="20"/>
      <c r="AP231" s="20"/>
      <c r="AQ231" s="20"/>
      <c r="AR231" s="20"/>
      <c r="AS231" s="20"/>
      <c r="AT231" s="20"/>
      <c r="AU231" s="20"/>
      <c r="AV231" s="20"/>
      <c r="AW231" s="20"/>
      <c r="AX231" s="20"/>
      <c r="AY231" s="20"/>
      <c r="AZ231" s="20"/>
      <c r="BA231" s="20"/>
      <c r="BB231" s="20"/>
      <c r="BC231" s="20"/>
      <c r="BD231" s="20"/>
      <c r="BE231" s="20"/>
      <c r="BF231" s="20"/>
      <c r="BG231" s="20"/>
      <c r="BH231" s="20"/>
      <c r="BI231" s="20"/>
      <c r="BJ231" s="20"/>
      <c r="BK231" s="20"/>
      <c r="BL231" s="20"/>
      <c r="BM231" s="20"/>
      <c r="BN231" s="20"/>
      <c r="BO231" s="20"/>
      <c r="BP231" s="20"/>
      <c r="BQ231" s="20"/>
      <c r="BR231" s="20"/>
      <c r="BS231" s="20"/>
      <c r="BT231" s="20"/>
      <c r="BU231" s="20"/>
      <c r="BV231" s="20"/>
      <c r="BW231" s="20"/>
      <c r="BX231" s="20"/>
      <c r="BY231" s="20"/>
      <c r="BZ231" s="20"/>
      <c r="CA231" s="20"/>
      <c r="CB231" s="20"/>
      <c r="CC231" s="20"/>
      <c r="CD231" s="20"/>
      <c r="CE231" s="20"/>
      <c r="CF231" s="20"/>
      <c r="CG231" s="20"/>
      <c r="CH231" s="20"/>
      <c r="CI231" s="20"/>
      <c r="CJ231" s="20"/>
      <c r="CK231" s="20"/>
      <c r="CL231" s="20"/>
      <c r="CM231" s="20"/>
      <c r="CN231" s="20"/>
      <c r="CO231" s="20"/>
      <c r="CP231" s="20"/>
      <c r="CQ231" s="20"/>
      <c r="CR231" s="20"/>
      <c r="CS231" s="20"/>
      <c r="CT231" s="20"/>
      <c r="CU231" s="20"/>
      <c r="CV231" s="20"/>
      <c r="CW231" s="20"/>
      <c r="CX231" s="20"/>
      <c r="CY231" s="20"/>
      <c r="CZ231" s="20"/>
      <c r="DA231" s="20"/>
      <c r="DB231" s="20"/>
      <c r="DC231" s="20"/>
      <c r="DD231" s="20"/>
      <c r="DE231" s="20"/>
      <c r="DF231" s="20"/>
      <c r="DG231" s="20"/>
      <c r="DH231" s="20"/>
      <c r="DI231" s="20"/>
      <c r="DJ231" s="20"/>
      <c r="DK231" s="20"/>
      <c r="DL231" s="20"/>
      <c r="DM231" s="20"/>
      <c r="DN231" s="20"/>
      <c r="DO231" s="20"/>
      <c r="DP231" s="20"/>
      <c r="DQ231" s="20"/>
      <c r="DR231" s="20"/>
      <c r="DS231" s="20"/>
      <c r="DT231" s="20"/>
      <c r="DU231" s="20"/>
      <c r="DV231" s="20"/>
      <c r="DW231" s="20"/>
      <c r="DX231" s="20"/>
      <c r="DY231" s="20"/>
      <c r="DZ231" s="20"/>
      <c r="EA231" s="20"/>
    </row>
    <row r="232" spans="2:131" ht="18" customHeight="1">
      <c r="B232" s="708"/>
      <c r="C232" s="708"/>
      <c r="D232" s="707"/>
      <c r="E232" s="707"/>
      <c r="F232" s="707"/>
      <c r="G232" s="707"/>
      <c r="H232" s="707"/>
      <c r="I232" s="707"/>
      <c r="J232" s="707"/>
      <c r="K232" s="707"/>
      <c r="L232" s="19"/>
      <c r="M232" s="20"/>
      <c r="N232" s="20"/>
      <c r="O232" s="20"/>
      <c r="P232" s="20"/>
      <c r="Q232" s="20"/>
      <c r="R232" s="20"/>
      <c r="S232" s="20"/>
      <c r="T232" s="20"/>
      <c r="U232" s="20"/>
      <c r="V232" s="20"/>
      <c r="W232" s="20"/>
      <c r="X232" s="20"/>
      <c r="Y232" s="20"/>
      <c r="Z232" s="20"/>
      <c r="AA232" s="20"/>
      <c r="AB232" s="20"/>
      <c r="AC232" s="20"/>
      <c r="AD232" s="20"/>
      <c r="AE232" s="20"/>
      <c r="AF232" s="20"/>
      <c r="AG232" s="20"/>
      <c r="AH232" s="20"/>
      <c r="AI232" s="20"/>
      <c r="AJ232" s="20"/>
      <c r="AK232" s="20"/>
      <c r="AL232" s="20"/>
      <c r="AM232" s="20"/>
      <c r="AN232" s="20"/>
      <c r="AO232" s="20"/>
      <c r="AP232" s="20"/>
      <c r="AQ232" s="20"/>
      <c r="AR232" s="20"/>
      <c r="AS232" s="20"/>
      <c r="AT232" s="20"/>
      <c r="AU232" s="20"/>
      <c r="AV232" s="20"/>
      <c r="AW232" s="20"/>
      <c r="AX232" s="20"/>
      <c r="AY232" s="20"/>
      <c r="AZ232" s="20"/>
      <c r="BA232" s="20"/>
      <c r="BB232" s="20"/>
      <c r="BC232" s="20"/>
      <c r="BD232" s="20"/>
      <c r="BE232" s="20"/>
      <c r="BF232" s="20"/>
      <c r="BG232" s="20"/>
      <c r="BH232" s="20"/>
      <c r="BI232" s="20"/>
      <c r="BJ232" s="20"/>
      <c r="BK232" s="20"/>
      <c r="BL232" s="20"/>
      <c r="BM232" s="20"/>
      <c r="BN232" s="20"/>
      <c r="BO232" s="20"/>
      <c r="BP232" s="20"/>
      <c r="BQ232" s="20"/>
      <c r="BR232" s="20"/>
      <c r="BS232" s="20"/>
      <c r="BT232" s="20"/>
      <c r="BU232" s="20"/>
      <c r="BV232" s="20"/>
      <c r="BW232" s="20"/>
      <c r="BX232" s="20"/>
      <c r="BY232" s="20"/>
      <c r="BZ232" s="20"/>
      <c r="CA232" s="20"/>
      <c r="CB232" s="20"/>
      <c r="CC232" s="20"/>
      <c r="CD232" s="20"/>
      <c r="CE232" s="20"/>
      <c r="CF232" s="20"/>
      <c r="CG232" s="20"/>
      <c r="CH232" s="20"/>
      <c r="CI232" s="20"/>
      <c r="CJ232" s="20"/>
      <c r="CK232" s="20"/>
      <c r="CL232" s="20"/>
      <c r="CM232" s="20"/>
      <c r="CN232" s="20"/>
      <c r="CO232" s="20"/>
      <c r="CP232" s="20"/>
      <c r="CQ232" s="20"/>
      <c r="CR232" s="20"/>
      <c r="CS232" s="20"/>
      <c r="CT232" s="20"/>
      <c r="CU232" s="20"/>
      <c r="CV232" s="20"/>
      <c r="CW232" s="20"/>
      <c r="CX232" s="20"/>
      <c r="CY232" s="20"/>
      <c r="CZ232" s="20"/>
      <c r="DA232" s="20"/>
      <c r="DB232" s="20"/>
      <c r="DC232" s="20"/>
      <c r="DD232" s="20"/>
      <c r="DE232" s="20"/>
      <c r="DF232" s="20"/>
      <c r="DG232" s="20"/>
      <c r="DH232" s="20"/>
      <c r="DI232" s="20"/>
      <c r="DJ232" s="20"/>
      <c r="DK232" s="20"/>
      <c r="DL232" s="20"/>
      <c r="DM232" s="20"/>
      <c r="DN232" s="20"/>
      <c r="DO232" s="20"/>
      <c r="DP232" s="20"/>
      <c r="DQ232" s="20"/>
      <c r="DR232" s="20"/>
      <c r="DS232" s="20"/>
      <c r="DT232" s="20"/>
      <c r="DU232" s="20"/>
      <c r="DV232" s="20"/>
      <c r="DW232" s="20"/>
      <c r="DX232" s="20"/>
      <c r="DY232" s="20"/>
      <c r="DZ232" s="20"/>
      <c r="EA232" s="20"/>
    </row>
    <row r="233" spans="2:131" ht="18" customHeight="1">
      <c r="B233" s="707"/>
      <c r="C233" s="707"/>
      <c r="D233" s="707"/>
      <c r="E233" s="707"/>
      <c r="F233" s="707"/>
      <c r="G233" s="707"/>
      <c r="H233" s="707"/>
      <c r="I233" s="707"/>
      <c r="J233" s="707"/>
      <c r="K233" s="707"/>
      <c r="L233" s="19"/>
      <c r="M233" s="20"/>
      <c r="N233" s="20"/>
      <c r="O233" s="20"/>
      <c r="P233" s="20"/>
      <c r="Q233" s="20"/>
      <c r="R233" s="20"/>
      <c r="S233" s="20"/>
      <c r="T233" s="20"/>
      <c r="U233" s="20"/>
      <c r="V233" s="20"/>
      <c r="W233" s="20"/>
      <c r="X233" s="20"/>
      <c r="Y233" s="20"/>
      <c r="Z233" s="20"/>
      <c r="AA233" s="20"/>
      <c r="AB233" s="20"/>
      <c r="AC233" s="20"/>
      <c r="AD233" s="20"/>
      <c r="AE233" s="20"/>
      <c r="AF233" s="20"/>
      <c r="AG233" s="20"/>
      <c r="AH233" s="20"/>
      <c r="AI233" s="20"/>
      <c r="AJ233" s="20"/>
      <c r="AK233" s="20"/>
      <c r="AL233" s="20"/>
      <c r="AM233" s="20"/>
      <c r="AN233" s="20"/>
      <c r="AO233" s="20"/>
      <c r="AP233" s="20"/>
      <c r="AQ233" s="20"/>
      <c r="AR233" s="20"/>
      <c r="AS233" s="20"/>
      <c r="AT233" s="20"/>
      <c r="AU233" s="20"/>
      <c r="AV233" s="20"/>
      <c r="AW233" s="20"/>
      <c r="AX233" s="20"/>
      <c r="AY233" s="20"/>
      <c r="AZ233" s="20"/>
      <c r="BA233" s="20"/>
      <c r="BB233" s="20"/>
      <c r="BC233" s="20"/>
      <c r="BD233" s="20"/>
      <c r="BE233" s="20"/>
      <c r="BF233" s="20"/>
      <c r="BG233" s="20"/>
      <c r="BH233" s="20"/>
      <c r="BI233" s="20"/>
      <c r="BJ233" s="20"/>
      <c r="BK233" s="20"/>
      <c r="BL233" s="20"/>
      <c r="BM233" s="20"/>
      <c r="BN233" s="20"/>
      <c r="BO233" s="20"/>
      <c r="BP233" s="20"/>
      <c r="BQ233" s="20"/>
      <c r="BR233" s="20"/>
      <c r="BS233" s="20"/>
      <c r="BT233" s="20"/>
      <c r="BU233" s="20"/>
      <c r="BV233" s="20"/>
      <c r="BW233" s="20"/>
      <c r="BX233" s="20"/>
      <c r="BY233" s="20"/>
      <c r="BZ233" s="20"/>
      <c r="CA233" s="20"/>
      <c r="CB233" s="20"/>
      <c r="CC233" s="20"/>
      <c r="CD233" s="20"/>
      <c r="CE233" s="20"/>
      <c r="CF233" s="20"/>
      <c r="CG233" s="20"/>
      <c r="CH233" s="20"/>
      <c r="CI233" s="20"/>
      <c r="CJ233" s="20"/>
      <c r="CK233" s="20"/>
      <c r="CL233" s="20"/>
      <c r="CM233" s="20"/>
      <c r="CN233" s="20"/>
      <c r="CO233" s="20"/>
      <c r="CP233" s="20"/>
      <c r="CQ233" s="20"/>
      <c r="CR233" s="20"/>
      <c r="CS233" s="20"/>
      <c r="CT233" s="20"/>
      <c r="CU233" s="20"/>
      <c r="CV233" s="20"/>
      <c r="CW233" s="20"/>
      <c r="CX233" s="20"/>
      <c r="CY233" s="20"/>
      <c r="CZ233" s="20"/>
      <c r="DA233" s="20"/>
      <c r="DB233" s="20"/>
      <c r="DC233" s="20"/>
      <c r="DD233" s="20"/>
      <c r="DE233" s="20"/>
      <c r="DF233" s="20"/>
      <c r="DG233" s="20"/>
      <c r="DH233" s="20"/>
      <c r="DI233" s="20"/>
      <c r="DJ233" s="20"/>
      <c r="DK233" s="20"/>
      <c r="DL233" s="20"/>
      <c r="DM233" s="20"/>
      <c r="DN233" s="20"/>
      <c r="DO233" s="20"/>
      <c r="DP233" s="20"/>
      <c r="DQ233" s="20"/>
      <c r="DR233" s="20"/>
      <c r="DS233" s="20"/>
      <c r="DT233" s="20"/>
      <c r="DU233" s="20"/>
      <c r="DV233" s="20"/>
      <c r="DW233" s="20"/>
      <c r="DX233" s="20"/>
      <c r="DY233" s="20"/>
      <c r="DZ233" s="20"/>
      <c r="EA233" s="20"/>
    </row>
    <row r="234" spans="2:131" ht="18" customHeight="1">
      <c r="B234" s="707"/>
      <c r="C234" s="707"/>
      <c r="D234" s="707"/>
      <c r="E234" s="707"/>
      <c r="F234" s="707"/>
      <c r="G234" s="707"/>
      <c r="H234" s="707"/>
      <c r="I234" s="707"/>
      <c r="J234" s="707"/>
      <c r="K234" s="707"/>
      <c r="L234" s="19"/>
      <c r="M234" s="20"/>
      <c r="N234" s="20"/>
      <c r="O234" s="20"/>
      <c r="P234" s="20"/>
      <c r="Q234" s="20"/>
      <c r="R234" s="20"/>
      <c r="S234" s="20"/>
      <c r="T234" s="20"/>
      <c r="U234" s="20"/>
      <c r="V234" s="20"/>
      <c r="W234" s="20"/>
      <c r="X234" s="20"/>
      <c r="Y234" s="20"/>
      <c r="Z234" s="20"/>
      <c r="AA234" s="20"/>
      <c r="AB234" s="20"/>
      <c r="AC234" s="20"/>
      <c r="AD234" s="20"/>
      <c r="AE234" s="20"/>
      <c r="AF234" s="20"/>
      <c r="AG234" s="20"/>
      <c r="AH234" s="20"/>
      <c r="AI234" s="20"/>
      <c r="AJ234" s="20"/>
      <c r="AK234" s="20"/>
      <c r="AL234" s="20"/>
      <c r="AM234" s="20"/>
      <c r="AN234" s="20"/>
      <c r="AO234" s="20"/>
      <c r="AP234" s="20"/>
      <c r="AQ234" s="20"/>
      <c r="AR234" s="20"/>
      <c r="AS234" s="20"/>
      <c r="AT234" s="20"/>
      <c r="AU234" s="20"/>
      <c r="AV234" s="20"/>
      <c r="AW234" s="20"/>
      <c r="AX234" s="20"/>
      <c r="AY234" s="20"/>
      <c r="AZ234" s="20"/>
      <c r="BA234" s="20"/>
      <c r="BB234" s="20"/>
      <c r="BC234" s="20"/>
      <c r="BD234" s="20"/>
      <c r="BE234" s="20"/>
      <c r="BF234" s="20"/>
      <c r="BG234" s="20"/>
      <c r="BH234" s="20"/>
      <c r="BI234" s="20"/>
      <c r="BJ234" s="20"/>
      <c r="BK234" s="20"/>
      <c r="BL234" s="20"/>
      <c r="BM234" s="20"/>
      <c r="BN234" s="20"/>
      <c r="BO234" s="20"/>
      <c r="BP234" s="20"/>
      <c r="BQ234" s="20"/>
      <c r="BR234" s="20"/>
      <c r="BS234" s="20"/>
      <c r="BT234" s="20"/>
      <c r="BU234" s="20"/>
      <c r="BV234" s="20"/>
      <c r="BW234" s="20"/>
      <c r="BX234" s="20"/>
      <c r="BY234" s="20"/>
      <c r="BZ234" s="20"/>
      <c r="CA234" s="20"/>
      <c r="CB234" s="20"/>
      <c r="CC234" s="20"/>
      <c r="CD234" s="20"/>
      <c r="CE234" s="20"/>
      <c r="CF234" s="20"/>
      <c r="CG234" s="20"/>
      <c r="CH234" s="20"/>
      <c r="CI234" s="20"/>
      <c r="CJ234" s="20"/>
      <c r="CK234" s="20"/>
      <c r="CL234" s="20"/>
      <c r="CM234" s="20"/>
      <c r="CN234" s="20"/>
      <c r="CO234" s="20"/>
      <c r="CP234" s="20"/>
      <c r="CQ234" s="20"/>
      <c r="CR234" s="20"/>
      <c r="CS234" s="20"/>
      <c r="CT234" s="20"/>
      <c r="CU234" s="20"/>
      <c r="CV234" s="20"/>
      <c r="CW234" s="20"/>
      <c r="CX234" s="20"/>
      <c r="CY234" s="20"/>
      <c r="CZ234" s="20"/>
      <c r="DA234" s="20"/>
      <c r="DB234" s="20"/>
      <c r="DC234" s="20"/>
      <c r="DD234" s="20"/>
      <c r="DE234" s="20"/>
      <c r="DF234" s="20"/>
      <c r="DG234" s="20"/>
      <c r="DH234" s="20"/>
      <c r="DI234" s="20"/>
      <c r="DJ234" s="20"/>
      <c r="DK234" s="20"/>
      <c r="DL234" s="20"/>
      <c r="DM234" s="20"/>
      <c r="DN234" s="20"/>
      <c r="DO234" s="20"/>
      <c r="DP234" s="20"/>
      <c r="DQ234" s="20"/>
      <c r="DR234" s="20"/>
      <c r="DS234" s="20"/>
      <c r="DT234" s="20"/>
      <c r="DU234" s="20"/>
      <c r="DV234" s="20"/>
      <c r="DW234" s="20"/>
      <c r="DX234" s="20"/>
      <c r="DY234" s="20"/>
      <c r="DZ234" s="20"/>
      <c r="EA234" s="20"/>
    </row>
    <row r="235" spans="2:131" ht="18" customHeight="1">
      <c r="B235" s="707"/>
      <c r="C235" s="707"/>
      <c r="D235" s="707"/>
      <c r="E235" s="707"/>
      <c r="F235" s="707"/>
      <c r="G235" s="707"/>
      <c r="H235" s="707"/>
      <c r="I235" s="707"/>
      <c r="J235" s="707"/>
      <c r="K235" s="707"/>
      <c r="L235" s="19"/>
      <c r="M235" s="20"/>
      <c r="N235" s="20"/>
      <c r="O235" s="20"/>
      <c r="P235" s="20"/>
      <c r="Q235" s="20"/>
      <c r="R235" s="20"/>
      <c r="S235" s="20"/>
      <c r="T235" s="20"/>
      <c r="U235" s="20"/>
      <c r="V235" s="20"/>
      <c r="W235" s="20"/>
      <c r="X235" s="20"/>
      <c r="Y235" s="20"/>
      <c r="Z235" s="20"/>
      <c r="AA235" s="20"/>
      <c r="AB235" s="20"/>
      <c r="AC235" s="20"/>
      <c r="AD235" s="20"/>
      <c r="AE235" s="20"/>
      <c r="AF235" s="20"/>
      <c r="AG235" s="20"/>
      <c r="AH235" s="20"/>
      <c r="AI235" s="20"/>
      <c r="AJ235" s="20"/>
      <c r="AK235" s="20"/>
      <c r="AL235" s="20"/>
      <c r="AM235" s="20"/>
      <c r="AN235" s="20"/>
      <c r="AO235" s="20"/>
      <c r="AP235" s="20"/>
      <c r="AQ235" s="20"/>
      <c r="AR235" s="20"/>
      <c r="AS235" s="20"/>
      <c r="AT235" s="20"/>
      <c r="AU235" s="20"/>
      <c r="AV235" s="20"/>
      <c r="AW235" s="20"/>
      <c r="AX235" s="20"/>
      <c r="AY235" s="20"/>
      <c r="AZ235" s="20"/>
      <c r="BA235" s="20"/>
      <c r="BB235" s="20"/>
      <c r="BC235" s="20"/>
      <c r="BD235" s="20"/>
      <c r="BE235" s="20"/>
      <c r="BF235" s="20"/>
      <c r="BG235" s="20"/>
      <c r="BH235" s="20"/>
      <c r="BI235" s="20"/>
      <c r="BJ235" s="20"/>
      <c r="BK235" s="20"/>
      <c r="BL235" s="20"/>
      <c r="BM235" s="20"/>
      <c r="BN235" s="20"/>
      <c r="BO235" s="20"/>
      <c r="BP235" s="20"/>
      <c r="BQ235" s="20"/>
      <c r="BR235" s="20"/>
      <c r="BS235" s="20"/>
      <c r="BT235" s="20"/>
      <c r="BU235" s="20"/>
      <c r="BV235" s="20"/>
      <c r="BW235" s="20"/>
      <c r="BX235" s="20"/>
      <c r="BY235" s="20"/>
      <c r="BZ235" s="20"/>
      <c r="CA235" s="20"/>
      <c r="CB235" s="20"/>
      <c r="CC235" s="20"/>
      <c r="CD235" s="20"/>
      <c r="CE235" s="20"/>
      <c r="CF235" s="20"/>
      <c r="CG235" s="20"/>
      <c r="CH235" s="20"/>
      <c r="CI235" s="20"/>
      <c r="CJ235" s="20"/>
      <c r="CK235" s="20"/>
      <c r="CL235" s="20"/>
      <c r="CM235" s="20"/>
      <c r="CN235" s="20"/>
      <c r="CO235" s="20"/>
      <c r="CP235" s="20"/>
      <c r="CQ235" s="20"/>
      <c r="CR235" s="20"/>
      <c r="CS235" s="20"/>
      <c r="CT235" s="20"/>
      <c r="CU235" s="20"/>
      <c r="CV235" s="20"/>
      <c r="CW235" s="20"/>
      <c r="CX235" s="20"/>
      <c r="CY235" s="20"/>
      <c r="CZ235" s="20"/>
      <c r="DA235" s="20"/>
      <c r="DB235" s="20"/>
      <c r="DC235" s="20"/>
      <c r="DD235" s="20"/>
      <c r="DE235" s="20"/>
      <c r="DF235" s="20"/>
      <c r="DG235" s="20"/>
      <c r="DH235" s="20"/>
      <c r="DI235" s="20"/>
      <c r="DJ235" s="20"/>
      <c r="DK235" s="20"/>
      <c r="DL235" s="20"/>
      <c r="DM235" s="20"/>
      <c r="DN235" s="20"/>
      <c r="DO235" s="20"/>
      <c r="DP235" s="20"/>
      <c r="DQ235" s="20"/>
      <c r="DR235" s="20"/>
      <c r="DS235" s="20"/>
      <c r="DT235" s="20"/>
      <c r="DU235" s="20"/>
      <c r="DV235" s="20"/>
      <c r="DW235" s="20"/>
      <c r="DX235" s="20"/>
      <c r="DY235" s="20"/>
      <c r="DZ235" s="20"/>
      <c r="EA235" s="20"/>
    </row>
    <row r="236" spans="2:131" ht="18" customHeight="1">
      <c r="B236" s="707"/>
      <c r="C236" s="707"/>
      <c r="D236" s="707"/>
      <c r="E236" s="707"/>
      <c r="F236" s="707"/>
      <c r="G236" s="707"/>
      <c r="H236" s="707"/>
      <c r="I236" s="707"/>
      <c r="J236" s="707"/>
      <c r="K236" s="707"/>
      <c r="L236" s="19"/>
      <c r="M236" s="20"/>
      <c r="N236" s="20"/>
      <c r="O236" s="20"/>
      <c r="P236" s="20"/>
      <c r="Q236" s="20"/>
      <c r="R236" s="20"/>
      <c r="S236" s="20"/>
      <c r="T236" s="20"/>
      <c r="U236" s="20"/>
      <c r="V236" s="20"/>
      <c r="W236" s="20"/>
      <c r="X236" s="20"/>
      <c r="Y236" s="20"/>
      <c r="Z236" s="20"/>
      <c r="AA236" s="20"/>
      <c r="AB236" s="20"/>
      <c r="AC236" s="20"/>
      <c r="AD236" s="20"/>
      <c r="AE236" s="20"/>
      <c r="AF236" s="20"/>
      <c r="AG236" s="20"/>
      <c r="AH236" s="20"/>
      <c r="AI236" s="20"/>
      <c r="AJ236" s="20"/>
      <c r="AK236" s="20"/>
      <c r="AL236" s="20"/>
      <c r="AM236" s="20"/>
      <c r="AN236" s="20"/>
      <c r="AO236" s="20"/>
      <c r="AP236" s="20"/>
      <c r="AQ236" s="20"/>
      <c r="AR236" s="20"/>
      <c r="AS236" s="20"/>
      <c r="AT236" s="20"/>
      <c r="AU236" s="20"/>
      <c r="AV236" s="20"/>
      <c r="AW236" s="20"/>
      <c r="AX236" s="20"/>
      <c r="AY236" s="20"/>
      <c r="AZ236" s="20"/>
      <c r="BA236" s="20"/>
      <c r="BB236" s="20"/>
      <c r="BC236" s="20"/>
      <c r="BD236" s="20"/>
      <c r="BE236" s="20"/>
      <c r="BF236" s="20"/>
      <c r="BG236" s="20"/>
      <c r="BH236" s="20"/>
      <c r="BI236" s="20"/>
      <c r="BJ236" s="20"/>
      <c r="BK236" s="20"/>
      <c r="BL236" s="20"/>
      <c r="BM236" s="20"/>
      <c r="BN236" s="20"/>
      <c r="BO236" s="20"/>
      <c r="BP236" s="20"/>
      <c r="BQ236" s="20"/>
      <c r="BR236" s="20"/>
      <c r="BS236" s="20"/>
      <c r="BT236" s="20"/>
      <c r="BU236" s="20"/>
      <c r="BV236" s="20"/>
      <c r="BW236" s="20"/>
      <c r="BX236" s="20"/>
      <c r="BY236" s="20"/>
      <c r="BZ236" s="20"/>
      <c r="CA236" s="20"/>
      <c r="CB236" s="20"/>
      <c r="CC236" s="20"/>
      <c r="CD236" s="20"/>
      <c r="CE236" s="20"/>
      <c r="CF236" s="20"/>
      <c r="CG236" s="20"/>
      <c r="CH236" s="20"/>
      <c r="CI236" s="20"/>
      <c r="CJ236" s="20"/>
      <c r="CK236" s="20"/>
      <c r="CL236" s="20"/>
      <c r="CM236" s="20"/>
      <c r="CN236" s="20"/>
      <c r="CO236" s="20"/>
      <c r="CP236" s="20"/>
      <c r="CQ236" s="20"/>
      <c r="CR236" s="20"/>
      <c r="CS236" s="20"/>
      <c r="CT236" s="20"/>
      <c r="CU236" s="20"/>
      <c r="CV236" s="20"/>
      <c r="CW236" s="20"/>
      <c r="CX236" s="20"/>
      <c r="CY236" s="20"/>
      <c r="CZ236" s="20"/>
      <c r="DA236" s="20"/>
      <c r="DB236" s="20"/>
      <c r="DC236" s="20"/>
      <c r="DD236" s="20"/>
      <c r="DE236" s="20"/>
      <c r="DF236" s="20"/>
      <c r="DG236" s="20"/>
      <c r="DH236" s="20"/>
      <c r="DI236" s="20"/>
      <c r="DJ236" s="20"/>
      <c r="DK236" s="20"/>
      <c r="DL236" s="20"/>
      <c r="DM236" s="20"/>
      <c r="DN236" s="20"/>
      <c r="DO236" s="20"/>
      <c r="DP236" s="20"/>
      <c r="DQ236" s="20"/>
      <c r="DR236" s="20"/>
      <c r="DS236" s="20"/>
      <c r="DT236" s="20"/>
      <c r="DU236" s="20"/>
      <c r="DV236" s="20"/>
      <c r="DW236" s="20"/>
      <c r="DX236" s="20"/>
      <c r="DY236" s="20"/>
      <c r="DZ236" s="20"/>
      <c r="EA236" s="20"/>
    </row>
    <row r="237" spans="2:131" ht="18" customHeight="1">
      <c r="B237" s="707"/>
      <c r="C237" s="707"/>
      <c r="D237" s="707"/>
      <c r="E237" s="707"/>
      <c r="F237" s="707"/>
      <c r="G237" s="707"/>
      <c r="H237" s="707"/>
      <c r="I237" s="707"/>
      <c r="J237" s="707"/>
      <c r="K237" s="707"/>
      <c r="L237" s="19"/>
      <c r="M237" s="20"/>
      <c r="N237" s="20"/>
      <c r="O237" s="20"/>
      <c r="P237" s="20"/>
      <c r="Q237" s="20"/>
      <c r="R237" s="20"/>
      <c r="S237" s="20"/>
      <c r="T237" s="20"/>
      <c r="U237" s="20"/>
      <c r="V237" s="20"/>
      <c r="W237" s="20"/>
      <c r="X237" s="20"/>
      <c r="Y237" s="20"/>
      <c r="Z237" s="20"/>
      <c r="AA237" s="20"/>
      <c r="AB237" s="20"/>
      <c r="AC237" s="20"/>
      <c r="AD237" s="20"/>
      <c r="AE237" s="20"/>
      <c r="AF237" s="20"/>
      <c r="AG237" s="20"/>
      <c r="AH237" s="20"/>
      <c r="AI237" s="20"/>
      <c r="AJ237" s="20"/>
      <c r="AK237" s="20"/>
      <c r="AL237" s="20"/>
      <c r="AM237" s="20"/>
      <c r="AN237" s="20"/>
      <c r="AO237" s="20"/>
      <c r="AP237" s="20"/>
      <c r="AQ237" s="20"/>
      <c r="AR237" s="20"/>
      <c r="AS237" s="20"/>
      <c r="AT237" s="20"/>
      <c r="AU237" s="20"/>
      <c r="AV237" s="20"/>
      <c r="AW237" s="20"/>
      <c r="AX237" s="20"/>
      <c r="AY237" s="20"/>
      <c r="AZ237" s="20"/>
      <c r="BA237" s="20"/>
      <c r="BB237" s="20"/>
      <c r="BC237" s="20"/>
      <c r="BD237" s="20"/>
      <c r="BE237" s="20"/>
      <c r="BF237" s="20"/>
      <c r="BG237" s="20"/>
      <c r="BH237" s="20"/>
      <c r="BI237" s="20"/>
      <c r="BJ237" s="20"/>
      <c r="BK237" s="20"/>
      <c r="BL237" s="20"/>
      <c r="BM237" s="20"/>
      <c r="BN237" s="20"/>
      <c r="BO237" s="20"/>
      <c r="BP237" s="20"/>
      <c r="BQ237" s="20"/>
      <c r="BR237" s="20"/>
      <c r="BS237" s="20"/>
      <c r="BT237" s="20"/>
      <c r="BU237" s="20"/>
      <c r="BV237" s="20"/>
      <c r="BW237" s="20"/>
      <c r="BX237" s="20"/>
      <c r="BY237" s="20"/>
      <c r="BZ237" s="20"/>
      <c r="CA237" s="20"/>
      <c r="CB237" s="20"/>
      <c r="CC237" s="20"/>
      <c r="CD237" s="20"/>
      <c r="CE237" s="20"/>
      <c r="CF237" s="20"/>
      <c r="CG237" s="20"/>
      <c r="CH237" s="20"/>
      <c r="CI237" s="20"/>
      <c r="CJ237" s="20"/>
      <c r="CK237" s="20"/>
      <c r="CL237" s="20"/>
      <c r="CM237" s="20"/>
      <c r="CN237" s="20"/>
      <c r="CO237" s="20"/>
      <c r="CP237" s="20"/>
      <c r="CQ237" s="20"/>
      <c r="CR237" s="20"/>
      <c r="CS237" s="20"/>
      <c r="CT237" s="20"/>
      <c r="CU237" s="20"/>
      <c r="CV237" s="20"/>
      <c r="CW237" s="20"/>
      <c r="CX237" s="20"/>
      <c r="CY237" s="20"/>
      <c r="CZ237" s="20"/>
      <c r="DA237" s="20"/>
      <c r="DB237" s="20"/>
      <c r="DC237" s="20"/>
      <c r="DD237" s="20"/>
      <c r="DE237" s="20"/>
      <c r="DF237" s="20"/>
      <c r="DG237" s="20"/>
      <c r="DH237" s="20"/>
      <c r="DI237" s="20"/>
      <c r="DJ237" s="20"/>
      <c r="DK237" s="20"/>
      <c r="DL237" s="20"/>
      <c r="DM237" s="20"/>
      <c r="DN237" s="20"/>
      <c r="DO237" s="20"/>
      <c r="DP237" s="20"/>
      <c r="DQ237" s="20"/>
      <c r="DR237" s="20"/>
      <c r="DS237" s="20"/>
      <c r="DT237" s="20"/>
      <c r="DU237" s="20"/>
      <c r="DV237" s="20"/>
      <c r="DW237" s="20"/>
      <c r="DX237" s="20"/>
      <c r="DY237" s="20"/>
      <c r="DZ237" s="20"/>
      <c r="EA237" s="20"/>
    </row>
    <row r="238" spans="2:131" ht="18" customHeight="1">
      <c r="B238" s="708"/>
      <c r="C238" s="708"/>
      <c r="D238" s="707"/>
      <c r="E238" s="707"/>
      <c r="F238" s="707"/>
      <c r="G238" s="707"/>
      <c r="H238" s="707"/>
      <c r="I238" s="707"/>
      <c r="J238" s="707"/>
      <c r="K238" s="707"/>
      <c r="L238" s="19"/>
      <c r="M238" s="20"/>
      <c r="N238" s="20"/>
      <c r="O238" s="20"/>
      <c r="P238" s="20"/>
      <c r="Q238" s="20"/>
      <c r="R238" s="20"/>
      <c r="S238" s="20"/>
      <c r="T238" s="20"/>
      <c r="U238" s="20"/>
      <c r="V238" s="20"/>
      <c r="W238" s="20"/>
      <c r="X238" s="20"/>
      <c r="Y238" s="20"/>
      <c r="Z238" s="20"/>
      <c r="AA238" s="20"/>
      <c r="AB238" s="20"/>
      <c r="AC238" s="20"/>
      <c r="AD238" s="20"/>
      <c r="AE238" s="20"/>
      <c r="AF238" s="20"/>
      <c r="AG238" s="20"/>
      <c r="AH238" s="20"/>
      <c r="AI238" s="20"/>
      <c r="AJ238" s="20"/>
      <c r="AK238" s="20"/>
      <c r="AL238" s="20"/>
      <c r="AM238" s="20"/>
      <c r="AN238" s="20"/>
      <c r="AO238" s="20"/>
      <c r="AP238" s="20"/>
      <c r="AQ238" s="20"/>
      <c r="AR238" s="20"/>
      <c r="AS238" s="20"/>
      <c r="AT238" s="20"/>
      <c r="AU238" s="20"/>
      <c r="AV238" s="20"/>
      <c r="AW238" s="20"/>
      <c r="AX238" s="20"/>
      <c r="AY238" s="20"/>
      <c r="AZ238" s="20"/>
      <c r="BA238" s="20"/>
      <c r="BB238" s="20"/>
      <c r="BC238" s="20"/>
      <c r="BD238" s="20"/>
      <c r="BE238" s="20"/>
      <c r="BF238" s="20"/>
      <c r="BG238" s="20"/>
      <c r="BH238" s="20"/>
      <c r="BI238" s="20"/>
      <c r="BJ238" s="20"/>
      <c r="BK238" s="20"/>
      <c r="BL238" s="20"/>
      <c r="BM238" s="20"/>
      <c r="BN238" s="20"/>
      <c r="BO238" s="20"/>
      <c r="BP238" s="20"/>
      <c r="BQ238" s="20"/>
      <c r="BR238" s="20"/>
      <c r="BS238" s="20"/>
      <c r="BT238" s="20"/>
      <c r="BU238" s="20"/>
      <c r="BV238" s="20"/>
      <c r="BW238" s="20"/>
      <c r="BX238" s="20"/>
      <c r="BY238" s="20"/>
      <c r="BZ238" s="20"/>
      <c r="CA238" s="20"/>
      <c r="CB238" s="20"/>
      <c r="CC238" s="20"/>
      <c r="CD238" s="20"/>
      <c r="CE238" s="20"/>
      <c r="CF238" s="20"/>
      <c r="CG238" s="20"/>
      <c r="CH238" s="20"/>
      <c r="CI238" s="20"/>
      <c r="CJ238" s="20"/>
      <c r="CK238" s="20"/>
      <c r="CL238" s="20"/>
      <c r="CM238" s="20"/>
      <c r="CN238" s="20"/>
      <c r="CO238" s="20"/>
      <c r="CP238" s="20"/>
      <c r="CQ238" s="20"/>
      <c r="CR238" s="20"/>
      <c r="CS238" s="20"/>
      <c r="CT238" s="20"/>
      <c r="CU238" s="20"/>
      <c r="CV238" s="20"/>
      <c r="CW238" s="20"/>
      <c r="CX238" s="20"/>
      <c r="CY238" s="20"/>
      <c r="CZ238" s="20"/>
      <c r="DA238" s="20"/>
      <c r="DB238" s="20"/>
      <c r="DC238" s="20"/>
      <c r="DD238" s="20"/>
      <c r="DE238" s="20"/>
      <c r="DF238" s="20"/>
      <c r="DG238" s="20"/>
      <c r="DH238" s="20"/>
      <c r="DI238" s="20"/>
      <c r="DJ238" s="20"/>
      <c r="DK238" s="20"/>
      <c r="DL238" s="20"/>
      <c r="DM238" s="20"/>
      <c r="DN238" s="20"/>
      <c r="DO238" s="20"/>
      <c r="DP238" s="20"/>
      <c r="DQ238" s="20"/>
      <c r="DR238" s="20"/>
      <c r="DS238" s="20"/>
      <c r="DT238" s="20"/>
      <c r="DU238" s="20"/>
      <c r="DV238" s="20"/>
      <c r="DW238" s="20"/>
      <c r="DX238" s="20"/>
      <c r="DY238" s="20"/>
      <c r="DZ238" s="20"/>
      <c r="EA238" s="20"/>
    </row>
    <row r="239" spans="2:131" ht="18" customHeight="1">
      <c r="B239" s="707"/>
      <c r="C239" s="707"/>
      <c r="D239" s="707"/>
      <c r="E239" s="707"/>
      <c r="F239" s="707"/>
      <c r="G239" s="707"/>
      <c r="H239" s="707"/>
      <c r="I239" s="707"/>
      <c r="J239" s="707"/>
      <c r="K239" s="707"/>
      <c r="L239" s="19"/>
      <c r="M239" s="20"/>
      <c r="N239" s="20"/>
      <c r="O239" s="20"/>
      <c r="P239" s="20"/>
      <c r="Q239" s="20"/>
      <c r="R239" s="20"/>
      <c r="S239" s="20"/>
      <c r="T239" s="20"/>
      <c r="U239" s="20"/>
      <c r="V239" s="20"/>
      <c r="W239" s="20"/>
      <c r="X239" s="20"/>
      <c r="Y239" s="20"/>
      <c r="Z239" s="20"/>
      <c r="AA239" s="20"/>
      <c r="AB239" s="20"/>
      <c r="AC239" s="20"/>
      <c r="AD239" s="20"/>
      <c r="AE239" s="20"/>
      <c r="AF239" s="20"/>
      <c r="AG239" s="20"/>
      <c r="AH239" s="20"/>
      <c r="AI239" s="20"/>
      <c r="AJ239" s="20"/>
      <c r="AK239" s="20"/>
      <c r="AL239" s="20"/>
      <c r="AM239" s="20"/>
      <c r="AN239" s="20"/>
      <c r="AO239" s="20"/>
      <c r="AP239" s="20"/>
      <c r="AQ239" s="20"/>
      <c r="AR239" s="20"/>
      <c r="AS239" s="20"/>
      <c r="AT239" s="20"/>
      <c r="AU239" s="20"/>
      <c r="AV239" s="20"/>
      <c r="AW239" s="20"/>
      <c r="AX239" s="20"/>
      <c r="AY239" s="20"/>
      <c r="AZ239" s="20"/>
      <c r="BA239" s="20"/>
      <c r="BB239" s="20"/>
      <c r="BC239" s="20"/>
      <c r="BD239" s="20"/>
      <c r="BE239" s="20"/>
      <c r="BF239" s="20"/>
      <c r="BG239" s="20"/>
      <c r="BH239" s="20"/>
      <c r="BI239" s="20"/>
      <c r="BJ239" s="20"/>
      <c r="BK239" s="20"/>
      <c r="BL239" s="20"/>
      <c r="BM239" s="20"/>
      <c r="BN239" s="20"/>
      <c r="BO239" s="20"/>
      <c r="BP239" s="20"/>
      <c r="BQ239" s="20"/>
      <c r="BR239" s="20"/>
      <c r="BS239" s="20"/>
      <c r="BT239" s="20"/>
      <c r="BU239" s="20"/>
      <c r="BV239" s="20"/>
      <c r="BW239" s="20"/>
      <c r="BX239" s="20"/>
      <c r="BY239" s="20"/>
      <c r="BZ239" s="20"/>
      <c r="CA239" s="20"/>
      <c r="CB239" s="20"/>
      <c r="CC239" s="20"/>
      <c r="CD239" s="20"/>
      <c r="CE239" s="20"/>
      <c r="CF239" s="20"/>
      <c r="CG239" s="20"/>
      <c r="CH239" s="20"/>
      <c r="CI239" s="20"/>
      <c r="CJ239" s="20"/>
      <c r="CK239" s="20"/>
      <c r="CL239" s="20"/>
      <c r="CM239" s="20"/>
      <c r="CN239" s="20"/>
      <c r="CO239" s="20"/>
      <c r="CP239" s="20"/>
      <c r="CQ239" s="20"/>
      <c r="CR239" s="20"/>
      <c r="CS239" s="20"/>
      <c r="CT239" s="20"/>
      <c r="CU239" s="20"/>
      <c r="CV239" s="20"/>
      <c r="CW239" s="20"/>
      <c r="CX239" s="20"/>
      <c r="CY239" s="20"/>
      <c r="CZ239" s="20"/>
      <c r="DA239" s="20"/>
      <c r="DB239" s="20"/>
      <c r="DC239" s="20"/>
      <c r="DD239" s="20"/>
      <c r="DE239" s="20"/>
      <c r="DF239" s="20"/>
      <c r="DG239" s="20"/>
      <c r="DH239" s="20"/>
      <c r="DI239" s="20"/>
      <c r="DJ239" s="20"/>
      <c r="DK239" s="20"/>
      <c r="DL239" s="20"/>
      <c r="DM239" s="20"/>
      <c r="DN239" s="20"/>
      <c r="DO239" s="20"/>
      <c r="DP239" s="20"/>
      <c r="DQ239" s="20"/>
      <c r="DR239" s="20"/>
      <c r="DS239" s="20"/>
      <c r="DT239" s="20"/>
      <c r="DU239" s="20"/>
      <c r="DV239" s="20"/>
      <c r="DW239" s="20"/>
      <c r="DX239" s="20"/>
      <c r="DY239" s="20"/>
      <c r="DZ239" s="20"/>
      <c r="EA239" s="20"/>
    </row>
    <row r="240" spans="2:131" ht="18" customHeight="1">
      <c r="B240" s="707"/>
      <c r="C240" s="707"/>
      <c r="D240" s="707"/>
      <c r="E240" s="707"/>
      <c r="F240" s="707"/>
      <c r="G240" s="707"/>
      <c r="H240" s="707"/>
      <c r="I240" s="707"/>
      <c r="J240" s="707"/>
      <c r="K240" s="707"/>
      <c r="L240" s="19"/>
      <c r="M240" s="20"/>
      <c r="N240" s="20"/>
      <c r="O240" s="20"/>
      <c r="P240" s="20"/>
      <c r="Q240" s="20"/>
      <c r="R240" s="20"/>
      <c r="S240" s="20"/>
      <c r="T240" s="20"/>
      <c r="U240" s="20"/>
      <c r="V240" s="20"/>
      <c r="W240" s="20"/>
      <c r="X240" s="20"/>
      <c r="Y240" s="20"/>
      <c r="Z240" s="20"/>
      <c r="AA240" s="20"/>
      <c r="AB240" s="20"/>
      <c r="AC240" s="20"/>
      <c r="AD240" s="20"/>
      <c r="AE240" s="20"/>
      <c r="AF240" s="20"/>
      <c r="AG240" s="20"/>
      <c r="AH240" s="20"/>
      <c r="AI240" s="20"/>
      <c r="AJ240" s="20"/>
      <c r="AK240" s="20"/>
      <c r="AL240" s="20"/>
      <c r="AM240" s="20"/>
      <c r="AN240" s="20"/>
      <c r="AO240" s="20"/>
      <c r="AP240" s="20"/>
      <c r="AQ240" s="20"/>
      <c r="AR240" s="20"/>
      <c r="AS240" s="20"/>
      <c r="AT240" s="20"/>
      <c r="AU240" s="20"/>
      <c r="AV240" s="20"/>
      <c r="AW240" s="20"/>
      <c r="AX240" s="20"/>
      <c r="AY240" s="20"/>
      <c r="AZ240" s="20"/>
      <c r="BA240" s="20"/>
      <c r="BB240" s="20"/>
      <c r="BC240" s="20"/>
      <c r="BD240" s="20"/>
      <c r="BE240" s="20"/>
      <c r="BF240" s="20"/>
      <c r="BG240" s="20"/>
      <c r="BH240" s="20"/>
      <c r="BI240" s="20"/>
      <c r="BJ240" s="20"/>
      <c r="BK240" s="20"/>
      <c r="BL240" s="20"/>
      <c r="BM240" s="20"/>
      <c r="BN240" s="20"/>
      <c r="BO240" s="20"/>
      <c r="BP240" s="20"/>
      <c r="BQ240" s="20"/>
      <c r="BR240" s="20"/>
      <c r="BS240" s="20"/>
      <c r="BT240" s="20"/>
      <c r="BU240" s="20"/>
      <c r="BV240" s="20"/>
      <c r="BW240" s="20"/>
      <c r="BX240" s="20"/>
      <c r="BY240" s="20"/>
      <c r="BZ240" s="20"/>
      <c r="CA240" s="20"/>
      <c r="CB240" s="20"/>
      <c r="CC240" s="20"/>
      <c r="CD240" s="20"/>
      <c r="CE240" s="20"/>
      <c r="CF240" s="20"/>
      <c r="CG240" s="20"/>
      <c r="CH240" s="20"/>
      <c r="CI240" s="20"/>
      <c r="CJ240" s="20"/>
      <c r="CK240" s="20"/>
      <c r="CL240" s="20"/>
      <c r="CM240" s="20"/>
      <c r="CN240" s="20"/>
      <c r="CO240" s="20"/>
      <c r="CP240" s="20"/>
      <c r="CQ240" s="20"/>
      <c r="CR240" s="20"/>
      <c r="CS240" s="20"/>
      <c r="CT240" s="20"/>
      <c r="CU240" s="20"/>
      <c r="CV240" s="20"/>
      <c r="CW240" s="20"/>
      <c r="CX240" s="20"/>
      <c r="CY240" s="20"/>
      <c r="CZ240" s="20"/>
      <c r="DA240" s="20"/>
      <c r="DB240" s="20"/>
      <c r="DC240" s="20"/>
      <c r="DD240" s="20"/>
      <c r="DE240" s="20"/>
      <c r="DF240" s="20"/>
      <c r="DG240" s="20"/>
      <c r="DH240" s="20"/>
      <c r="DI240" s="20"/>
      <c r="DJ240" s="20"/>
      <c r="DK240" s="20"/>
      <c r="DL240" s="20"/>
      <c r="DM240" s="20"/>
      <c r="DN240" s="20"/>
      <c r="DO240" s="20"/>
      <c r="DP240" s="20"/>
      <c r="DQ240" s="20"/>
      <c r="DR240" s="20"/>
      <c r="DS240" s="20"/>
      <c r="DT240" s="20"/>
      <c r="DU240" s="20"/>
      <c r="DV240" s="20"/>
      <c r="DW240" s="20"/>
      <c r="DX240" s="20"/>
      <c r="DY240" s="20"/>
      <c r="DZ240" s="20"/>
      <c r="EA240" s="20"/>
    </row>
    <row r="241" spans="2:131" ht="18" customHeight="1">
      <c r="B241" s="707"/>
      <c r="C241" s="707"/>
      <c r="D241" s="707"/>
      <c r="E241" s="707"/>
      <c r="F241" s="707"/>
      <c r="G241" s="707"/>
      <c r="H241" s="707"/>
      <c r="I241" s="707"/>
      <c r="J241" s="707"/>
      <c r="K241" s="707"/>
      <c r="L241" s="19"/>
      <c r="M241" s="20"/>
      <c r="N241" s="20"/>
      <c r="O241" s="20"/>
      <c r="P241" s="20"/>
      <c r="Q241" s="20"/>
      <c r="R241" s="20"/>
      <c r="S241" s="20"/>
      <c r="T241" s="20"/>
      <c r="U241" s="20"/>
      <c r="V241" s="20"/>
      <c r="W241" s="20"/>
      <c r="X241" s="20"/>
      <c r="Y241" s="20"/>
      <c r="Z241" s="20"/>
      <c r="AA241" s="20"/>
      <c r="AB241" s="20"/>
      <c r="AC241" s="20"/>
      <c r="AD241" s="20"/>
      <c r="AE241" s="20"/>
      <c r="AF241" s="20"/>
      <c r="AG241" s="20"/>
      <c r="AH241" s="20"/>
      <c r="AI241" s="20"/>
      <c r="AJ241" s="20"/>
      <c r="AK241" s="20"/>
      <c r="AL241" s="20"/>
      <c r="AM241" s="20"/>
      <c r="AN241" s="20"/>
      <c r="AO241" s="20"/>
      <c r="AP241" s="20"/>
      <c r="AQ241" s="20"/>
      <c r="AR241" s="20"/>
      <c r="AS241" s="20"/>
      <c r="AT241" s="20"/>
      <c r="AU241" s="20"/>
      <c r="AV241" s="20"/>
      <c r="AW241" s="20"/>
      <c r="AX241" s="20"/>
      <c r="AY241" s="20"/>
      <c r="AZ241" s="20"/>
      <c r="BA241" s="20"/>
      <c r="BB241" s="20"/>
      <c r="BC241" s="20"/>
      <c r="BD241" s="20"/>
      <c r="BE241" s="20"/>
      <c r="BF241" s="20"/>
      <c r="BG241" s="20"/>
      <c r="BH241" s="20"/>
      <c r="BI241" s="20"/>
      <c r="BJ241" s="20"/>
      <c r="BK241" s="20"/>
      <c r="BL241" s="20"/>
      <c r="BM241" s="20"/>
      <c r="BN241" s="20"/>
      <c r="BO241" s="20"/>
      <c r="BP241" s="20"/>
      <c r="BQ241" s="20"/>
      <c r="BR241" s="20"/>
      <c r="BS241" s="20"/>
      <c r="BT241" s="20"/>
      <c r="BU241" s="20"/>
      <c r="BV241" s="20"/>
      <c r="BW241" s="20"/>
      <c r="BX241" s="20"/>
      <c r="BY241" s="20"/>
      <c r="BZ241" s="20"/>
      <c r="CA241" s="20"/>
      <c r="CB241" s="20"/>
      <c r="CC241" s="20"/>
      <c r="CD241" s="20"/>
      <c r="CE241" s="20"/>
      <c r="CF241" s="20"/>
      <c r="CG241" s="20"/>
      <c r="CH241" s="20"/>
      <c r="CI241" s="20"/>
      <c r="CJ241" s="20"/>
      <c r="CK241" s="20"/>
      <c r="CL241" s="20"/>
      <c r="CM241" s="20"/>
      <c r="CN241" s="20"/>
      <c r="CO241" s="20"/>
      <c r="CP241" s="20"/>
      <c r="CQ241" s="20"/>
      <c r="CR241" s="20"/>
      <c r="CS241" s="20"/>
      <c r="CT241" s="20"/>
      <c r="CU241" s="20"/>
      <c r="CV241" s="20"/>
      <c r="CW241" s="20"/>
      <c r="CX241" s="20"/>
      <c r="CY241" s="20"/>
      <c r="CZ241" s="20"/>
      <c r="DA241" s="20"/>
      <c r="DB241" s="20"/>
      <c r="DC241" s="20"/>
      <c r="DD241" s="20"/>
      <c r="DE241" s="20"/>
      <c r="DF241" s="20"/>
      <c r="DG241" s="20"/>
      <c r="DH241" s="20"/>
      <c r="DI241" s="20"/>
      <c r="DJ241" s="20"/>
      <c r="DK241" s="20"/>
      <c r="DL241" s="20"/>
      <c r="DM241" s="20"/>
      <c r="DN241" s="20"/>
      <c r="DO241" s="20"/>
      <c r="DP241" s="20"/>
      <c r="DQ241" s="20"/>
      <c r="DR241" s="20"/>
      <c r="DS241" s="20"/>
      <c r="DT241" s="20"/>
      <c r="DU241" s="20"/>
      <c r="DV241" s="20"/>
      <c r="DW241" s="20"/>
      <c r="DX241" s="20"/>
      <c r="DY241" s="20"/>
      <c r="DZ241" s="20"/>
      <c r="EA241" s="20"/>
    </row>
    <row r="242" spans="2:131" ht="18" customHeight="1">
      <c r="B242" s="707"/>
      <c r="C242" s="707"/>
      <c r="D242" s="707"/>
      <c r="E242" s="707"/>
      <c r="F242" s="707"/>
      <c r="G242" s="707"/>
      <c r="H242" s="707"/>
      <c r="I242" s="707"/>
      <c r="J242" s="707"/>
      <c r="K242" s="707"/>
      <c r="L242" s="19"/>
      <c r="M242" s="20"/>
      <c r="N242" s="20"/>
      <c r="O242" s="20"/>
      <c r="P242" s="20"/>
      <c r="Q242" s="20"/>
      <c r="R242" s="20"/>
      <c r="S242" s="20"/>
      <c r="T242" s="20"/>
      <c r="U242" s="20"/>
      <c r="V242" s="20"/>
      <c r="W242" s="20"/>
      <c r="X242" s="20"/>
      <c r="Y242" s="20"/>
      <c r="Z242" s="20"/>
      <c r="AA242" s="20"/>
      <c r="AB242" s="20"/>
      <c r="AC242" s="20"/>
      <c r="AD242" s="20"/>
      <c r="AE242" s="20"/>
      <c r="AF242" s="20"/>
      <c r="AG242" s="20"/>
      <c r="AH242" s="20"/>
      <c r="AI242" s="20"/>
      <c r="AJ242" s="20"/>
      <c r="AK242" s="20"/>
      <c r="AL242" s="20"/>
      <c r="AM242" s="20"/>
      <c r="AN242" s="20"/>
      <c r="AO242" s="20"/>
      <c r="AP242" s="20"/>
      <c r="AQ242" s="20"/>
      <c r="AR242" s="20"/>
      <c r="AS242" s="20"/>
      <c r="AT242" s="20"/>
      <c r="AU242" s="20"/>
      <c r="AV242" s="20"/>
      <c r="AW242" s="20"/>
      <c r="AX242" s="20"/>
      <c r="AY242" s="20"/>
      <c r="AZ242" s="20"/>
      <c r="BA242" s="20"/>
      <c r="BB242" s="20"/>
      <c r="BC242" s="20"/>
      <c r="BD242" s="20"/>
      <c r="BE242" s="20"/>
      <c r="BF242" s="20"/>
      <c r="BG242" s="20"/>
      <c r="BH242" s="20"/>
      <c r="BI242" s="20"/>
      <c r="BJ242" s="20"/>
      <c r="BK242" s="20"/>
      <c r="BL242" s="20"/>
      <c r="BM242" s="20"/>
      <c r="BN242" s="20"/>
      <c r="BO242" s="20"/>
      <c r="BP242" s="20"/>
      <c r="BQ242" s="20"/>
      <c r="BR242" s="20"/>
      <c r="BS242" s="20"/>
      <c r="BT242" s="20"/>
      <c r="BU242" s="20"/>
      <c r="BV242" s="20"/>
      <c r="BW242" s="20"/>
      <c r="BX242" s="20"/>
      <c r="BY242" s="20"/>
      <c r="BZ242" s="20"/>
      <c r="CA242" s="20"/>
      <c r="CB242" s="20"/>
      <c r="CC242" s="20"/>
      <c r="CD242" s="20"/>
      <c r="CE242" s="20"/>
      <c r="CF242" s="20"/>
      <c r="CG242" s="20"/>
      <c r="CH242" s="20"/>
      <c r="CI242" s="20"/>
      <c r="CJ242" s="20"/>
      <c r="CK242" s="20"/>
      <c r="CL242" s="20"/>
      <c r="CM242" s="20"/>
      <c r="CN242" s="20"/>
      <c r="CO242" s="20"/>
      <c r="CP242" s="20"/>
      <c r="CQ242" s="20"/>
      <c r="CR242" s="20"/>
      <c r="CS242" s="20"/>
      <c r="CT242" s="20"/>
      <c r="CU242" s="20"/>
      <c r="CV242" s="20"/>
      <c r="CW242" s="20"/>
      <c r="CX242" s="20"/>
      <c r="CY242" s="20"/>
      <c r="CZ242" s="20"/>
      <c r="DA242" s="20"/>
      <c r="DB242" s="20"/>
      <c r="DC242" s="20"/>
      <c r="DD242" s="20"/>
      <c r="DE242" s="20"/>
      <c r="DF242" s="20"/>
      <c r="DG242" s="20"/>
      <c r="DH242" s="20"/>
      <c r="DI242" s="20"/>
      <c r="DJ242" s="20"/>
      <c r="DK242" s="20"/>
      <c r="DL242" s="20"/>
      <c r="DM242" s="20"/>
      <c r="DN242" s="20"/>
      <c r="DO242" s="20"/>
      <c r="DP242" s="20"/>
      <c r="DQ242" s="20"/>
      <c r="DR242" s="20"/>
      <c r="DS242" s="20"/>
      <c r="DT242" s="20"/>
      <c r="DU242" s="20"/>
      <c r="DV242" s="20"/>
      <c r="DW242" s="20"/>
      <c r="DX242" s="20"/>
      <c r="DY242" s="20"/>
      <c r="DZ242" s="20"/>
      <c r="EA242" s="20"/>
    </row>
    <row r="243" spans="2:131" ht="18" customHeight="1">
      <c r="B243" s="707"/>
      <c r="C243" s="707"/>
      <c r="D243" s="707"/>
      <c r="E243" s="707"/>
      <c r="F243" s="707"/>
      <c r="G243" s="707"/>
      <c r="H243" s="707"/>
      <c r="I243" s="707"/>
      <c r="J243" s="707"/>
      <c r="K243" s="707"/>
      <c r="L243" s="19"/>
      <c r="M243" s="20"/>
      <c r="N243" s="20"/>
      <c r="O243" s="20"/>
      <c r="P243" s="20"/>
      <c r="Q243" s="20"/>
      <c r="R243" s="20"/>
      <c r="S243" s="20"/>
      <c r="T243" s="20"/>
      <c r="U243" s="20"/>
      <c r="V243" s="20"/>
      <c r="W243" s="20"/>
      <c r="X243" s="20"/>
      <c r="Y243" s="20"/>
      <c r="Z243" s="20"/>
      <c r="AA243" s="20"/>
      <c r="AB243" s="20"/>
      <c r="AC243" s="20"/>
      <c r="AD243" s="20"/>
      <c r="AE243" s="20"/>
      <c r="AF243" s="20"/>
      <c r="AG243" s="20"/>
      <c r="AH243" s="20"/>
      <c r="AI243" s="20"/>
      <c r="AJ243" s="20"/>
      <c r="AK243" s="20"/>
      <c r="AL243" s="20"/>
      <c r="AM243" s="20"/>
      <c r="AN243" s="20"/>
      <c r="AO243" s="20"/>
      <c r="AP243" s="20"/>
      <c r="AQ243" s="20"/>
      <c r="AR243" s="20"/>
      <c r="AS243" s="20"/>
      <c r="AT243" s="20"/>
      <c r="AU243" s="20"/>
      <c r="AV243" s="20"/>
      <c r="AW243" s="20"/>
      <c r="AX243" s="20"/>
      <c r="AY243" s="20"/>
      <c r="AZ243" s="20"/>
      <c r="BA243" s="20"/>
      <c r="BB243" s="20"/>
      <c r="BC243" s="20"/>
      <c r="BD243" s="20"/>
      <c r="BE243" s="20"/>
      <c r="BF243" s="20"/>
      <c r="BG243" s="20"/>
      <c r="BH243" s="20"/>
      <c r="BI243" s="20"/>
      <c r="BJ243" s="20"/>
      <c r="BK243" s="20"/>
      <c r="BL243" s="20"/>
      <c r="BM243" s="20"/>
      <c r="BN243" s="20"/>
      <c r="BO243" s="20"/>
      <c r="BP243" s="20"/>
      <c r="BQ243" s="20"/>
      <c r="BR243" s="20"/>
      <c r="BS243" s="20"/>
      <c r="BT243" s="20"/>
      <c r="BU243" s="20"/>
      <c r="BV243" s="20"/>
      <c r="BW243" s="20"/>
      <c r="BX243" s="20"/>
      <c r="BY243" s="20"/>
      <c r="BZ243" s="20"/>
      <c r="CA243" s="20"/>
      <c r="CB243" s="20"/>
      <c r="CC243" s="20"/>
      <c r="CD243" s="20"/>
      <c r="CE243" s="20"/>
      <c r="CF243" s="20"/>
      <c r="CG243" s="20"/>
      <c r="CH243" s="20"/>
      <c r="CI243" s="20"/>
      <c r="CJ243" s="20"/>
      <c r="CK243" s="20"/>
      <c r="CL243" s="20"/>
      <c r="CM243" s="20"/>
      <c r="CN243" s="20"/>
      <c r="CO243" s="20"/>
      <c r="CP243" s="20"/>
      <c r="CQ243" s="20"/>
      <c r="CR243" s="20"/>
      <c r="CS243" s="20"/>
      <c r="CT243" s="20"/>
      <c r="CU243" s="20"/>
      <c r="CV243" s="20"/>
      <c r="CW243" s="20"/>
      <c r="CX243" s="20"/>
      <c r="CY243" s="20"/>
      <c r="CZ243" s="20"/>
      <c r="DA243" s="20"/>
      <c r="DB243" s="20"/>
      <c r="DC243" s="20"/>
      <c r="DD243" s="20"/>
      <c r="DE243" s="20"/>
      <c r="DF243" s="20"/>
      <c r="DG243" s="20"/>
      <c r="DH243" s="20"/>
      <c r="DI243" s="20"/>
      <c r="DJ243" s="20"/>
      <c r="DK243" s="20"/>
      <c r="DL243" s="20"/>
      <c r="DM243" s="20"/>
      <c r="DN243" s="20"/>
      <c r="DO243" s="20"/>
      <c r="DP243" s="20"/>
      <c r="DQ243" s="20"/>
      <c r="DR243" s="20"/>
      <c r="DS243" s="20"/>
      <c r="DT243" s="20"/>
      <c r="DU243" s="20"/>
      <c r="DV243" s="20"/>
      <c r="DW243" s="20"/>
      <c r="DX243" s="20"/>
      <c r="DY243" s="20"/>
      <c r="DZ243" s="20"/>
      <c r="EA243" s="20"/>
    </row>
    <row r="244" spans="2:131" ht="18" customHeight="1">
      <c r="B244" s="708"/>
      <c r="C244" s="708"/>
      <c r="D244" s="707"/>
      <c r="E244" s="707"/>
      <c r="F244" s="707"/>
      <c r="G244" s="707"/>
      <c r="H244" s="707"/>
      <c r="I244" s="707"/>
      <c r="J244" s="707"/>
      <c r="K244" s="707"/>
      <c r="L244" s="19"/>
      <c r="M244" s="20"/>
      <c r="N244" s="20"/>
      <c r="O244" s="20"/>
      <c r="P244" s="20"/>
      <c r="Q244" s="20"/>
      <c r="R244" s="20"/>
      <c r="S244" s="20"/>
      <c r="T244" s="20"/>
      <c r="U244" s="20"/>
      <c r="V244" s="20"/>
      <c r="W244" s="20"/>
      <c r="X244" s="20"/>
      <c r="Y244" s="20"/>
      <c r="Z244" s="20"/>
      <c r="AA244" s="20"/>
      <c r="AB244" s="20"/>
      <c r="AC244" s="20"/>
      <c r="AD244" s="20"/>
      <c r="AE244" s="20"/>
      <c r="AF244" s="20"/>
      <c r="AG244" s="20"/>
      <c r="AH244" s="20"/>
      <c r="AI244" s="20"/>
      <c r="AJ244" s="20"/>
      <c r="AK244" s="20"/>
      <c r="AL244" s="20"/>
      <c r="AM244" s="20"/>
      <c r="AN244" s="20"/>
      <c r="AO244" s="20"/>
      <c r="AP244" s="20"/>
      <c r="AQ244" s="20"/>
      <c r="AR244" s="20"/>
      <c r="AS244" s="20"/>
      <c r="AT244" s="20"/>
      <c r="AU244" s="20"/>
      <c r="AV244" s="20"/>
      <c r="AW244" s="20"/>
      <c r="AX244" s="20"/>
      <c r="AY244" s="20"/>
      <c r="AZ244" s="20"/>
      <c r="BA244" s="20"/>
      <c r="BB244" s="20"/>
      <c r="BC244" s="20"/>
      <c r="BD244" s="20"/>
      <c r="BE244" s="20"/>
      <c r="BF244" s="20"/>
      <c r="BG244" s="20"/>
      <c r="BH244" s="20"/>
      <c r="BI244" s="20"/>
      <c r="BJ244" s="20"/>
      <c r="BK244" s="20"/>
      <c r="BL244" s="20"/>
      <c r="BM244" s="20"/>
      <c r="BN244" s="20"/>
      <c r="BO244" s="20"/>
      <c r="BP244" s="20"/>
      <c r="BQ244" s="20"/>
      <c r="BR244" s="20"/>
      <c r="BS244" s="20"/>
      <c r="BT244" s="20"/>
      <c r="BU244" s="20"/>
      <c r="BV244" s="20"/>
      <c r="BW244" s="20"/>
      <c r="BX244" s="20"/>
      <c r="BY244" s="20"/>
      <c r="BZ244" s="20"/>
      <c r="CA244" s="20"/>
      <c r="CB244" s="20"/>
      <c r="CC244" s="20"/>
      <c r="CD244" s="20"/>
      <c r="CE244" s="20"/>
      <c r="CF244" s="20"/>
      <c r="CG244" s="20"/>
      <c r="CH244" s="20"/>
      <c r="CI244" s="20"/>
      <c r="CJ244" s="20"/>
      <c r="CK244" s="20"/>
      <c r="CL244" s="20"/>
      <c r="CM244" s="20"/>
      <c r="CN244" s="20"/>
      <c r="CO244" s="20"/>
      <c r="CP244" s="20"/>
      <c r="CQ244" s="20"/>
      <c r="CR244" s="20"/>
      <c r="CS244" s="20"/>
      <c r="CT244" s="20"/>
      <c r="CU244" s="20"/>
      <c r="CV244" s="20"/>
      <c r="CW244" s="20"/>
      <c r="CX244" s="20"/>
      <c r="CY244" s="20"/>
      <c r="CZ244" s="20"/>
      <c r="DA244" s="20"/>
      <c r="DB244" s="20"/>
      <c r="DC244" s="20"/>
      <c r="DD244" s="20"/>
      <c r="DE244" s="20"/>
      <c r="DF244" s="20"/>
      <c r="DG244" s="20"/>
      <c r="DH244" s="20"/>
      <c r="DI244" s="20"/>
      <c r="DJ244" s="20"/>
      <c r="DK244" s="20"/>
      <c r="DL244" s="20"/>
      <c r="DM244" s="20"/>
      <c r="DN244" s="20"/>
      <c r="DO244" s="20"/>
      <c r="DP244" s="20"/>
      <c r="DQ244" s="20"/>
      <c r="DR244" s="20"/>
      <c r="DS244" s="20"/>
      <c r="DT244" s="20"/>
      <c r="DU244" s="20"/>
      <c r="DV244" s="20"/>
      <c r="DW244" s="20"/>
      <c r="DX244" s="20"/>
      <c r="DY244" s="20"/>
      <c r="DZ244" s="20"/>
      <c r="EA244" s="20"/>
    </row>
    <row r="245" spans="2:131" ht="18" customHeight="1">
      <c r="B245" s="707"/>
      <c r="C245" s="707"/>
      <c r="D245" s="707"/>
      <c r="E245" s="707"/>
      <c r="F245" s="707"/>
      <c r="G245" s="707"/>
      <c r="H245" s="707"/>
      <c r="I245" s="707"/>
      <c r="J245" s="707"/>
      <c r="K245" s="707"/>
      <c r="L245" s="19"/>
      <c r="M245" s="20"/>
      <c r="N245" s="20"/>
      <c r="O245" s="20"/>
      <c r="P245" s="20"/>
      <c r="Q245" s="20"/>
      <c r="R245" s="20"/>
      <c r="S245" s="20"/>
      <c r="T245" s="20"/>
      <c r="U245" s="20"/>
      <c r="V245" s="20"/>
      <c r="W245" s="20"/>
      <c r="X245" s="20"/>
      <c r="Y245" s="20"/>
      <c r="Z245" s="20"/>
      <c r="AA245" s="20"/>
      <c r="AB245" s="20"/>
      <c r="AC245" s="20"/>
      <c r="AD245" s="20"/>
      <c r="AE245" s="20"/>
      <c r="AF245" s="20"/>
      <c r="AG245" s="20"/>
      <c r="AH245" s="20"/>
      <c r="AI245" s="20"/>
      <c r="AJ245" s="20"/>
      <c r="AK245" s="20"/>
      <c r="AL245" s="20"/>
      <c r="AM245" s="20"/>
      <c r="AN245" s="20"/>
      <c r="AO245" s="20"/>
      <c r="AP245" s="20"/>
      <c r="AQ245" s="20"/>
      <c r="AR245" s="20"/>
      <c r="AS245" s="20"/>
      <c r="AT245" s="20"/>
      <c r="AU245" s="20"/>
      <c r="AV245" s="20"/>
      <c r="AW245" s="20"/>
      <c r="AX245" s="20"/>
      <c r="AY245" s="20"/>
      <c r="AZ245" s="20"/>
      <c r="BA245" s="20"/>
      <c r="BB245" s="20"/>
      <c r="BC245" s="20"/>
      <c r="BD245" s="20"/>
      <c r="BE245" s="20"/>
      <c r="BF245" s="20"/>
      <c r="BG245" s="20"/>
      <c r="BH245" s="20"/>
      <c r="BI245" s="20"/>
      <c r="BJ245" s="20"/>
      <c r="BK245" s="20"/>
      <c r="BL245" s="20"/>
      <c r="BM245" s="20"/>
      <c r="BN245" s="20"/>
      <c r="BO245" s="20"/>
      <c r="BP245" s="20"/>
      <c r="BQ245" s="20"/>
      <c r="BR245" s="20"/>
      <c r="BS245" s="20"/>
      <c r="BT245" s="20"/>
      <c r="BU245" s="20"/>
      <c r="BV245" s="20"/>
      <c r="BW245" s="20"/>
      <c r="BX245" s="20"/>
      <c r="BY245" s="20"/>
      <c r="BZ245" s="20"/>
      <c r="CA245" s="20"/>
      <c r="CB245" s="20"/>
      <c r="CC245" s="20"/>
      <c r="CD245" s="20"/>
      <c r="CE245" s="20"/>
      <c r="CF245" s="20"/>
      <c r="CG245" s="20"/>
      <c r="CH245" s="20"/>
      <c r="CI245" s="20"/>
      <c r="CJ245" s="20"/>
      <c r="CK245" s="20"/>
      <c r="CL245" s="20"/>
      <c r="CM245" s="20"/>
      <c r="CN245" s="20"/>
      <c r="CO245" s="20"/>
      <c r="CP245" s="20"/>
      <c r="CQ245" s="20"/>
      <c r="CR245" s="20"/>
      <c r="CS245" s="20"/>
      <c r="CT245" s="20"/>
      <c r="CU245" s="20"/>
      <c r="CV245" s="20"/>
      <c r="CW245" s="20"/>
      <c r="CX245" s="20"/>
      <c r="CY245" s="20"/>
      <c r="CZ245" s="20"/>
      <c r="DA245" s="20"/>
      <c r="DB245" s="20"/>
      <c r="DC245" s="20"/>
      <c r="DD245" s="20"/>
      <c r="DE245" s="20"/>
      <c r="DF245" s="20"/>
      <c r="DG245" s="20"/>
      <c r="DH245" s="20"/>
      <c r="DI245" s="20"/>
      <c r="DJ245" s="20"/>
      <c r="DK245" s="20"/>
      <c r="DL245" s="20"/>
      <c r="DM245" s="20"/>
      <c r="DN245" s="20"/>
      <c r="DO245" s="20"/>
      <c r="DP245" s="20"/>
      <c r="DQ245" s="20"/>
      <c r="DR245" s="20"/>
      <c r="DS245" s="20"/>
      <c r="DT245" s="20"/>
      <c r="DU245" s="20"/>
      <c r="DV245" s="20"/>
      <c r="DW245" s="20"/>
      <c r="DX245" s="20"/>
      <c r="DY245" s="20"/>
      <c r="DZ245" s="20"/>
      <c r="EA245" s="20"/>
    </row>
    <row r="246" spans="2:131" ht="18" customHeight="1">
      <c r="B246" s="707"/>
      <c r="C246" s="707"/>
      <c r="D246" s="707"/>
      <c r="E246" s="707"/>
      <c r="F246" s="707"/>
      <c r="G246" s="707"/>
      <c r="H246" s="707"/>
      <c r="I246" s="707"/>
      <c r="J246" s="707"/>
      <c r="K246" s="707"/>
      <c r="L246" s="19"/>
      <c r="M246" s="20"/>
      <c r="N246" s="20"/>
      <c r="O246" s="20"/>
      <c r="P246" s="20"/>
      <c r="Q246" s="20"/>
      <c r="R246" s="20"/>
      <c r="S246" s="20"/>
      <c r="T246" s="20"/>
      <c r="U246" s="20"/>
      <c r="V246" s="20"/>
      <c r="W246" s="20"/>
      <c r="X246" s="20"/>
      <c r="Y246" s="20"/>
      <c r="Z246" s="20"/>
      <c r="AA246" s="20"/>
      <c r="AB246" s="20"/>
      <c r="AC246" s="20"/>
      <c r="AD246" s="20"/>
      <c r="AE246" s="20"/>
      <c r="AF246" s="20"/>
      <c r="AG246" s="20"/>
      <c r="AH246" s="20"/>
      <c r="AI246" s="20"/>
      <c r="AJ246" s="20"/>
      <c r="AK246" s="20"/>
      <c r="AL246" s="20"/>
      <c r="AM246" s="20"/>
      <c r="AN246" s="20"/>
      <c r="AO246" s="20"/>
      <c r="AP246" s="20"/>
      <c r="AQ246" s="20"/>
      <c r="AR246" s="20"/>
      <c r="AS246" s="20"/>
      <c r="AT246" s="20"/>
      <c r="AU246" s="20"/>
      <c r="AV246" s="20"/>
      <c r="AW246" s="20"/>
      <c r="AX246" s="20"/>
      <c r="AY246" s="20"/>
      <c r="AZ246" s="20"/>
      <c r="BA246" s="20"/>
      <c r="BB246" s="20"/>
      <c r="BC246" s="20"/>
      <c r="BD246" s="20"/>
      <c r="BE246" s="20"/>
      <c r="BF246" s="20"/>
      <c r="BG246" s="20"/>
      <c r="BH246" s="20"/>
      <c r="BI246" s="20"/>
      <c r="BJ246" s="20"/>
      <c r="BK246" s="20"/>
      <c r="BL246" s="20"/>
      <c r="BM246" s="20"/>
      <c r="BN246" s="20"/>
      <c r="BO246" s="20"/>
      <c r="BP246" s="20"/>
      <c r="BQ246" s="20"/>
      <c r="BR246" s="20"/>
      <c r="BS246" s="20"/>
      <c r="BT246" s="20"/>
      <c r="BU246" s="20"/>
      <c r="BV246" s="20"/>
      <c r="BW246" s="20"/>
      <c r="BX246" s="20"/>
      <c r="BY246" s="20"/>
      <c r="BZ246" s="20"/>
      <c r="CA246" s="20"/>
      <c r="CB246" s="20"/>
      <c r="CC246" s="20"/>
      <c r="CD246" s="20"/>
      <c r="CE246" s="20"/>
      <c r="CF246" s="20"/>
      <c r="CG246" s="20"/>
      <c r="CH246" s="20"/>
      <c r="CI246" s="20"/>
      <c r="CJ246" s="20"/>
      <c r="CK246" s="20"/>
      <c r="CL246" s="20"/>
      <c r="CM246" s="20"/>
      <c r="CN246" s="20"/>
      <c r="CO246" s="20"/>
      <c r="CP246" s="20"/>
      <c r="CQ246" s="20"/>
      <c r="CR246" s="20"/>
      <c r="CS246" s="20"/>
      <c r="CT246" s="20"/>
      <c r="CU246" s="20"/>
      <c r="CV246" s="20"/>
      <c r="CW246" s="20"/>
      <c r="CX246" s="20"/>
      <c r="CY246" s="20"/>
      <c r="CZ246" s="20"/>
      <c r="DA246" s="20"/>
      <c r="DB246" s="20"/>
      <c r="DC246" s="20"/>
      <c r="DD246" s="20"/>
      <c r="DE246" s="20"/>
      <c r="DF246" s="20"/>
      <c r="DG246" s="20"/>
      <c r="DH246" s="20"/>
      <c r="DI246" s="20"/>
      <c r="DJ246" s="20"/>
      <c r="DK246" s="20"/>
      <c r="DL246" s="20"/>
      <c r="DM246" s="20"/>
      <c r="DN246" s="20"/>
      <c r="DO246" s="20"/>
      <c r="DP246" s="20"/>
      <c r="DQ246" s="20"/>
      <c r="DR246" s="20"/>
      <c r="DS246" s="20"/>
      <c r="DT246" s="20"/>
      <c r="DU246" s="20"/>
      <c r="DV246" s="20"/>
      <c r="DW246" s="20"/>
      <c r="DX246" s="20"/>
      <c r="DY246" s="20"/>
      <c r="DZ246" s="20"/>
      <c r="EA246" s="20"/>
    </row>
    <row r="247" spans="2:131" ht="18" customHeight="1">
      <c r="B247" s="707"/>
      <c r="C247" s="707"/>
      <c r="D247" s="707"/>
      <c r="E247" s="707"/>
      <c r="F247" s="707"/>
      <c r="G247" s="707"/>
      <c r="H247" s="707"/>
      <c r="I247" s="707"/>
      <c r="J247" s="707"/>
      <c r="K247" s="707"/>
      <c r="L247" s="19"/>
      <c r="M247" s="20"/>
      <c r="N247" s="20"/>
      <c r="O247" s="20"/>
      <c r="P247" s="20"/>
      <c r="Q247" s="20"/>
      <c r="R247" s="20"/>
      <c r="S247" s="20"/>
      <c r="T247" s="20"/>
      <c r="U247" s="20"/>
      <c r="V247" s="20"/>
      <c r="W247" s="20"/>
      <c r="X247" s="20"/>
      <c r="Y247" s="20"/>
      <c r="Z247" s="20"/>
      <c r="AA247" s="20"/>
      <c r="AB247" s="20"/>
      <c r="AC247" s="20"/>
      <c r="AD247" s="20"/>
      <c r="AE247" s="20"/>
      <c r="AF247" s="20"/>
      <c r="AG247" s="20"/>
      <c r="AH247" s="20"/>
      <c r="AI247" s="20"/>
      <c r="AJ247" s="20"/>
      <c r="AK247" s="20"/>
      <c r="AL247" s="20"/>
      <c r="AM247" s="20"/>
      <c r="AN247" s="20"/>
      <c r="AO247" s="20"/>
      <c r="AP247" s="20"/>
      <c r="AQ247" s="20"/>
      <c r="AR247" s="20"/>
      <c r="AS247" s="20"/>
      <c r="AT247" s="20"/>
      <c r="AU247" s="20"/>
      <c r="AV247" s="20"/>
      <c r="AW247" s="20"/>
      <c r="AX247" s="20"/>
      <c r="AY247" s="20"/>
      <c r="AZ247" s="20"/>
      <c r="BA247" s="20"/>
      <c r="BB247" s="20"/>
      <c r="BC247" s="20"/>
      <c r="BD247" s="20"/>
      <c r="BE247" s="20"/>
      <c r="BF247" s="20"/>
      <c r="BG247" s="20"/>
      <c r="BH247" s="20"/>
      <c r="BI247" s="20"/>
      <c r="BJ247" s="20"/>
      <c r="BK247" s="20"/>
      <c r="BL247" s="20"/>
      <c r="BM247" s="20"/>
      <c r="BN247" s="20"/>
      <c r="BO247" s="20"/>
      <c r="BP247" s="20"/>
      <c r="BQ247" s="20"/>
      <c r="BR247" s="20"/>
      <c r="BS247" s="20"/>
      <c r="BT247" s="20"/>
      <c r="BU247" s="20"/>
      <c r="BV247" s="20"/>
      <c r="BW247" s="20"/>
      <c r="BX247" s="20"/>
      <c r="BY247" s="20"/>
      <c r="BZ247" s="20"/>
      <c r="CA247" s="20"/>
      <c r="CB247" s="20"/>
      <c r="CC247" s="20"/>
      <c r="CD247" s="20"/>
      <c r="CE247" s="20"/>
      <c r="CF247" s="20"/>
      <c r="CG247" s="20"/>
      <c r="CH247" s="20"/>
      <c r="CI247" s="20"/>
      <c r="CJ247" s="20"/>
      <c r="CK247" s="20"/>
      <c r="CL247" s="20"/>
      <c r="CM247" s="20"/>
      <c r="CN247" s="20"/>
      <c r="CO247" s="20"/>
      <c r="CP247" s="20"/>
      <c r="CQ247" s="20"/>
      <c r="CR247" s="20"/>
      <c r="CS247" s="20"/>
      <c r="CT247" s="20"/>
      <c r="CU247" s="20"/>
      <c r="CV247" s="20"/>
      <c r="CW247" s="20"/>
      <c r="CX247" s="20"/>
      <c r="CY247" s="20"/>
      <c r="CZ247" s="20"/>
      <c r="DA247" s="20"/>
      <c r="DB247" s="20"/>
      <c r="DC247" s="20"/>
      <c r="DD247" s="20"/>
      <c r="DE247" s="20"/>
      <c r="DF247" s="20"/>
      <c r="DG247" s="20"/>
      <c r="DH247" s="20"/>
      <c r="DI247" s="20"/>
      <c r="DJ247" s="20"/>
      <c r="DK247" s="20"/>
      <c r="DL247" s="20"/>
      <c r="DM247" s="20"/>
      <c r="DN247" s="20"/>
      <c r="DO247" s="20"/>
      <c r="DP247" s="20"/>
      <c r="DQ247" s="20"/>
      <c r="DR247" s="20"/>
      <c r="DS247" s="20"/>
      <c r="DT247" s="20"/>
      <c r="DU247" s="20"/>
      <c r="DV247" s="20"/>
      <c r="DW247" s="20"/>
      <c r="DX247" s="20"/>
      <c r="DY247" s="20"/>
      <c r="DZ247" s="20"/>
      <c r="EA247" s="20"/>
    </row>
    <row r="248" spans="2:131" ht="18" customHeight="1">
      <c r="B248" s="707"/>
      <c r="C248" s="707"/>
      <c r="D248" s="707"/>
      <c r="E248" s="707"/>
      <c r="F248" s="707"/>
      <c r="G248" s="707"/>
      <c r="H248" s="707"/>
      <c r="I248" s="707"/>
      <c r="J248" s="707"/>
      <c r="K248" s="707"/>
      <c r="L248" s="19"/>
      <c r="M248" s="20"/>
      <c r="N248" s="20"/>
      <c r="O248" s="20"/>
      <c r="P248" s="20"/>
      <c r="Q248" s="20"/>
      <c r="R248" s="20"/>
      <c r="S248" s="20"/>
      <c r="T248" s="20"/>
      <c r="U248" s="20"/>
      <c r="V248" s="20"/>
      <c r="W248" s="20"/>
      <c r="X248" s="20"/>
      <c r="Y248" s="20"/>
      <c r="Z248" s="20"/>
      <c r="AA248" s="20"/>
      <c r="AB248" s="20"/>
      <c r="AC248" s="20"/>
      <c r="AD248" s="20"/>
      <c r="AE248" s="20"/>
      <c r="AF248" s="20"/>
      <c r="AG248" s="20"/>
      <c r="AH248" s="20"/>
      <c r="AI248" s="20"/>
      <c r="AJ248" s="20"/>
      <c r="AK248" s="20"/>
      <c r="AL248" s="20"/>
      <c r="AM248" s="20"/>
      <c r="AN248" s="20"/>
      <c r="AO248" s="20"/>
      <c r="AP248" s="20"/>
      <c r="AQ248" s="20"/>
      <c r="AR248" s="20"/>
      <c r="AS248" s="20"/>
      <c r="AT248" s="20"/>
      <c r="AU248" s="20"/>
      <c r="AV248" s="20"/>
      <c r="AW248" s="20"/>
      <c r="AX248" s="20"/>
      <c r="AY248" s="20"/>
      <c r="AZ248" s="20"/>
      <c r="BA248" s="20"/>
      <c r="BB248" s="20"/>
      <c r="BC248" s="20"/>
      <c r="BD248" s="20"/>
      <c r="BE248" s="20"/>
      <c r="BF248" s="20"/>
      <c r="BG248" s="20"/>
      <c r="BH248" s="20"/>
      <c r="BI248" s="20"/>
      <c r="BJ248" s="20"/>
      <c r="BK248" s="20"/>
      <c r="BL248" s="20"/>
      <c r="BM248" s="20"/>
      <c r="BN248" s="20"/>
      <c r="BO248" s="20"/>
      <c r="BP248" s="20"/>
      <c r="BQ248" s="20"/>
      <c r="BR248" s="20"/>
      <c r="BS248" s="20"/>
      <c r="BT248" s="20"/>
      <c r="BU248" s="20"/>
      <c r="BV248" s="20"/>
      <c r="BW248" s="20"/>
      <c r="BX248" s="20"/>
      <c r="BY248" s="20"/>
      <c r="BZ248" s="20"/>
      <c r="CA248" s="20"/>
      <c r="CB248" s="20"/>
      <c r="CC248" s="20"/>
      <c r="CD248" s="20"/>
      <c r="CE248" s="20"/>
      <c r="CF248" s="20"/>
      <c r="CG248" s="20"/>
      <c r="CH248" s="20"/>
      <c r="CI248" s="20"/>
      <c r="CJ248" s="20"/>
      <c r="CK248" s="20"/>
      <c r="CL248" s="20"/>
      <c r="CM248" s="20"/>
      <c r="CN248" s="20"/>
      <c r="CO248" s="20"/>
      <c r="CP248" s="20"/>
      <c r="CQ248" s="20"/>
      <c r="CR248" s="20"/>
      <c r="CS248" s="20"/>
      <c r="CT248" s="20"/>
      <c r="CU248" s="20"/>
      <c r="CV248" s="20"/>
      <c r="CW248" s="20"/>
      <c r="CX248" s="20"/>
      <c r="CY248" s="20"/>
      <c r="CZ248" s="20"/>
      <c r="DA248" s="20"/>
      <c r="DB248" s="20"/>
      <c r="DC248" s="20"/>
      <c r="DD248" s="20"/>
      <c r="DE248" s="20"/>
      <c r="DF248" s="20"/>
      <c r="DG248" s="20"/>
      <c r="DH248" s="20"/>
      <c r="DI248" s="20"/>
      <c r="DJ248" s="20"/>
      <c r="DK248" s="20"/>
      <c r="DL248" s="20"/>
      <c r="DM248" s="20"/>
      <c r="DN248" s="20"/>
      <c r="DO248" s="20"/>
      <c r="DP248" s="20"/>
      <c r="DQ248" s="20"/>
      <c r="DR248" s="20"/>
      <c r="DS248" s="20"/>
      <c r="DT248" s="20"/>
      <c r="DU248" s="20"/>
      <c r="DV248" s="20"/>
      <c r="DW248" s="20"/>
      <c r="DX248" s="20"/>
      <c r="DY248" s="20"/>
      <c r="DZ248" s="20"/>
      <c r="EA248" s="20"/>
    </row>
    <row r="249" spans="2:131" ht="18" customHeight="1">
      <c r="B249" s="707"/>
      <c r="C249" s="707"/>
      <c r="D249" s="707"/>
      <c r="E249" s="707"/>
      <c r="F249" s="707"/>
      <c r="G249" s="707"/>
      <c r="H249" s="707"/>
      <c r="I249" s="707"/>
      <c r="J249" s="707"/>
      <c r="K249" s="707"/>
      <c r="L249" s="19"/>
      <c r="M249" s="20"/>
      <c r="N249" s="20"/>
      <c r="O249" s="20"/>
      <c r="P249" s="20"/>
      <c r="Q249" s="20"/>
      <c r="R249" s="20"/>
      <c r="S249" s="20"/>
      <c r="T249" s="20"/>
      <c r="U249" s="20"/>
      <c r="V249" s="20"/>
      <c r="W249" s="20"/>
      <c r="X249" s="20"/>
      <c r="Y249" s="20"/>
      <c r="Z249" s="20"/>
      <c r="AA249" s="20"/>
      <c r="AB249" s="20"/>
      <c r="AC249" s="20"/>
      <c r="AD249" s="20"/>
      <c r="AE249" s="20"/>
      <c r="AF249" s="20"/>
      <c r="AG249" s="20"/>
      <c r="AH249" s="20"/>
      <c r="AI249" s="20"/>
      <c r="AJ249" s="20"/>
      <c r="AK249" s="20"/>
      <c r="AL249" s="20"/>
      <c r="AM249" s="20"/>
      <c r="AN249" s="20"/>
      <c r="AO249" s="20"/>
      <c r="AP249" s="20"/>
      <c r="AQ249" s="20"/>
      <c r="AR249" s="20"/>
      <c r="AS249" s="20"/>
      <c r="AT249" s="20"/>
      <c r="AU249" s="20"/>
      <c r="AV249" s="20"/>
      <c r="AW249" s="20"/>
      <c r="AX249" s="20"/>
      <c r="AY249" s="20"/>
      <c r="AZ249" s="20"/>
      <c r="BA249" s="20"/>
      <c r="BB249" s="20"/>
      <c r="BC249" s="20"/>
      <c r="BD249" s="20"/>
      <c r="BE249" s="20"/>
      <c r="BF249" s="20"/>
      <c r="BG249" s="20"/>
      <c r="BH249" s="20"/>
      <c r="BI249" s="20"/>
      <c r="BJ249" s="20"/>
      <c r="BK249" s="20"/>
      <c r="BL249" s="20"/>
      <c r="BM249" s="20"/>
      <c r="BN249" s="20"/>
      <c r="BO249" s="20"/>
      <c r="BP249" s="20"/>
      <c r="BQ249" s="20"/>
      <c r="BR249" s="20"/>
      <c r="BS249" s="20"/>
      <c r="BT249" s="20"/>
      <c r="BU249" s="20"/>
      <c r="BV249" s="20"/>
      <c r="BW249" s="20"/>
      <c r="BX249" s="20"/>
      <c r="BY249" s="20"/>
      <c r="BZ249" s="20"/>
      <c r="CA249" s="20"/>
      <c r="CB249" s="20"/>
      <c r="CC249" s="20"/>
      <c r="CD249" s="20"/>
      <c r="CE249" s="20"/>
      <c r="CF249" s="20"/>
      <c r="CG249" s="20"/>
      <c r="CH249" s="20"/>
      <c r="CI249" s="20"/>
      <c r="CJ249" s="20"/>
      <c r="CK249" s="20"/>
      <c r="CL249" s="20"/>
      <c r="CM249" s="20"/>
      <c r="CN249" s="20"/>
      <c r="CO249" s="20"/>
      <c r="CP249" s="20"/>
      <c r="CQ249" s="20"/>
      <c r="CR249" s="20"/>
      <c r="CS249" s="20"/>
      <c r="CT249" s="20"/>
      <c r="CU249" s="20"/>
      <c r="CV249" s="20"/>
      <c r="CW249" s="20"/>
      <c r="CX249" s="20"/>
      <c r="CY249" s="20"/>
      <c r="CZ249" s="20"/>
      <c r="DA249" s="20"/>
      <c r="DB249" s="20"/>
      <c r="DC249" s="20"/>
      <c r="DD249" s="20"/>
      <c r="DE249" s="20"/>
      <c r="DF249" s="20"/>
      <c r="DG249" s="20"/>
      <c r="DH249" s="20"/>
      <c r="DI249" s="20"/>
      <c r="DJ249" s="20"/>
      <c r="DK249" s="20"/>
      <c r="DL249" s="20"/>
      <c r="DM249" s="20"/>
      <c r="DN249" s="20"/>
      <c r="DO249" s="20"/>
      <c r="DP249" s="20"/>
      <c r="DQ249" s="20"/>
      <c r="DR249" s="20"/>
      <c r="DS249" s="20"/>
      <c r="DT249" s="20"/>
      <c r="DU249" s="20"/>
      <c r="DV249" s="20"/>
      <c r="DW249" s="20"/>
      <c r="DX249" s="20"/>
      <c r="DY249" s="20"/>
      <c r="DZ249" s="20"/>
      <c r="EA249" s="20"/>
    </row>
    <row r="250" spans="2:131" ht="18" customHeight="1">
      <c r="B250" s="708"/>
      <c r="C250" s="708"/>
      <c r="D250" s="707"/>
      <c r="E250" s="707"/>
      <c r="F250" s="707"/>
      <c r="G250" s="707"/>
      <c r="H250" s="707"/>
      <c r="I250" s="707"/>
      <c r="J250" s="707"/>
      <c r="K250" s="707"/>
      <c r="L250" s="19"/>
      <c r="M250" s="20"/>
      <c r="N250" s="20"/>
      <c r="O250" s="20"/>
      <c r="P250" s="20"/>
      <c r="Q250" s="20"/>
      <c r="R250" s="20"/>
      <c r="S250" s="20"/>
      <c r="T250" s="20"/>
      <c r="U250" s="20"/>
      <c r="V250" s="20"/>
      <c r="W250" s="20"/>
      <c r="X250" s="20"/>
      <c r="Y250" s="20"/>
      <c r="Z250" s="20"/>
      <c r="AA250" s="20"/>
      <c r="AB250" s="20"/>
      <c r="AC250" s="20"/>
      <c r="AD250" s="20"/>
      <c r="AE250" s="20"/>
      <c r="AF250" s="20"/>
      <c r="AG250" s="20"/>
      <c r="AH250" s="20"/>
      <c r="AI250" s="20"/>
      <c r="AJ250" s="20"/>
      <c r="AK250" s="20"/>
      <c r="AL250" s="20"/>
      <c r="AM250" s="20"/>
      <c r="AN250" s="20"/>
      <c r="AO250" s="20"/>
      <c r="AP250" s="20"/>
      <c r="AQ250" s="20"/>
      <c r="AR250" s="20"/>
      <c r="AS250" s="20"/>
      <c r="AT250" s="20"/>
      <c r="AU250" s="20"/>
      <c r="AV250" s="20"/>
      <c r="AW250" s="20"/>
      <c r="AX250" s="20"/>
      <c r="AY250" s="20"/>
      <c r="AZ250" s="20"/>
      <c r="BA250" s="20"/>
      <c r="BB250" s="20"/>
      <c r="BC250" s="20"/>
      <c r="BD250" s="20"/>
      <c r="BE250" s="20"/>
      <c r="BF250" s="20"/>
      <c r="BG250" s="20"/>
      <c r="BH250" s="20"/>
      <c r="BI250" s="20"/>
      <c r="BJ250" s="20"/>
      <c r="BK250" s="20"/>
      <c r="BL250" s="20"/>
      <c r="BM250" s="20"/>
      <c r="BN250" s="20"/>
      <c r="BO250" s="20"/>
      <c r="BP250" s="20"/>
      <c r="BQ250" s="20"/>
      <c r="BR250" s="20"/>
      <c r="BS250" s="20"/>
      <c r="BT250" s="20"/>
      <c r="BU250" s="20"/>
      <c r="BV250" s="20"/>
      <c r="BW250" s="20"/>
      <c r="BX250" s="20"/>
      <c r="BY250" s="20"/>
      <c r="BZ250" s="20"/>
      <c r="CA250" s="20"/>
      <c r="CB250" s="20"/>
      <c r="CC250" s="20"/>
      <c r="CD250" s="20"/>
      <c r="CE250" s="20"/>
      <c r="CF250" s="20"/>
      <c r="CG250" s="20"/>
      <c r="CH250" s="20"/>
      <c r="CI250" s="20"/>
      <c r="CJ250" s="20"/>
      <c r="CK250" s="20"/>
      <c r="CL250" s="20"/>
      <c r="CM250" s="20"/>
      <c r="CN250" s="20"/>
      <c r="CO250" s="20"/>
      <c r="CP250" s="20"/>
      <c r="CQ250" s="20"/>
      <c r="CR250" s="20"/>
      <c r="CS250" s="20"/>
      <c r="CT250" s="20"/>
      <c r="CU250" s="20"/>
      <c r="CV250" s="20"/>
      <c r="CW250" s="20"/>
      <c r="CX250" s="20"/>
      <c r="CY250" s="20"/>
      <c r="CZ250" s="20"/>
      <c r="DA250" s="20"/>
      <c r="DB250" s="20"/>
      <c r="DC250" s="20"/>
      <c r="DD250" s="20"/>
      <c r="DE250" s="20"/>
      <c r="DF250" s="20"/>
      <c r="DG250" s="20"/>
      <c r="DH250" s="20"/>
      <c r="DI250" s="20"/>
      <c r="DJ250" s="20"/>
      <c r="DK250" s="20"/>
      <c r="DL250" s="20"/>
      <c r="DM250" s="20"/>
      <c r="DN250" s="20"/>
      <c r="DO250" s="20"/>
      <c r="DP250" s="20"/>
      <c r="DQ250" s="20"/>
      <c r="DR250" s="20"/>
      <c r="DS250" s="20"/>
      <c r="DT250" s="20"/>
      <c r="DU250" s="20"/>
      <c r="DV250" s="20"/>
      <c r="DW250" s="20"/>
      <c r="DX250" s="20"/>
      <c r="DY250" s="20"/>
      <c r="DZ250" s="20"/>
      <c r="EA250" s="20"/>
    </row>
    <row r="251" spans="2:131" ht="18" customHeight="1">
      <c r="B251" s="707"/>
      <c r="C251" s="707"/>
      <c r="D251" s="707"/>
      <c r="E251" s="707"/>
      <c r="F251" s="707"/>
      <c r="G251" s="707"/>
      <c r="H251" s="707"/>
      <c r="I251" s="707"/>
      <c r="J251" s="707"/>
      <c r="K251" s="707"/>
      <c r="L251" s="19"/>
      <c r="M251" s="20"/>
      <c r="N251" s="20"/>
      <c r="O251" s="20"/>
      <c r="P251" s="20"/>
      <c r="Q251" s="20"/>
      <c r="R251" s="20"/>
      <c r="S251" s="20"/>
      <c r="T251" s="20"/>
      <c r="U251" s="20"/>
      <c r="V251" s="20"/>
      <c r="W251" s="20"/>
      <c r="X251" s="20"/>
      <c r="Y251" s="20"/>
      <c r="Z251" s="20"/>
      <c r="AA251" s="20"/>
      <c r="AB251" s="20"/>
      <c r="AC251" s="20"/>
      <c r="AD251" s="20"/>
      <c r="AE251" s="20"/>
      <c r="AF251" s="20"/>
      <c r="AG251" s="20"/>
      <c r="AH251" s="20"/>
      <c r="AI251" s="20"/>
      <c r="AJ251" s="20"/>
      <c r="AK251" s="20"/>
      <c r="AL251" s="20"/>
      <c r="AM251" s="20"/>
      <c r="AN251" s="20"/>
      <c r="AO251" s="20"/>
      <c r="AP251" s="20"/>
      <c r="AQ251" s="20"/>
      <c r="AR251" s="20"/>
      <c r="AS251" s="20"/>
      <c r="AT251" s="20"/>
      <c r="AU251" s="20"/>
      <c r="AV251" s="20"/>
      <c r="AW251" s="20"/>
      <c r="AX251" s="20"/>
      <c r="AY251" s="20"/>
      <c r="AZ251" s="20"/>
      <c r="BA251" s="20"/>
      <c r="BB251" s="20"/>
      <c r="BC251" s="20"/>
      <c r="BD251" s="20"/>
      <c r="BE251" s="20"/>
      <c r="BF251" s="20"/>
      <c r="BG251" s="20"/>
      <c r="BH251" s="20"/>
      <c r="BI251" s="20"/>
      <c r="BJ251" s="20"/>
      <c r="BK251" s="20"/>
      <c r="BL251" s="20"/>
      <c r="BM251" s="20"/>
      <c r="BN251" s="20"/>
      <c r="BO251" s="20"/>
      <c r="BP251" s="20"/>
      <c r="BQ251" s="20"/>
      <c r="BR251" s="20"/>
      <c r="BS251" s="20"/>
      <c r="BT251" s="20"/>
      <c r="BU251" s="20"/>
      <c r="BV251" s="20"/>
      <c r="BW251" s="20"/>
      <c r="BX251" s="20"/>
      <c r="BY251" s="20"/>
      <c r="BZ251" s="20"/>
      <c r="CA251" s="20"/>
      <c r="CB251" s="20"/>
      <c r="CC251" s="20"/>
      <c r="CD251" s="20"/>
      <c r="CE251" s="20"/>
      <c r="CF251" s="20"/>
      <c r="CG251" s="20"/>
      <c r="CH251" s="20"/>
      <c r="CI251" s="20"/>
      <c r="CJ251" s="20"/>
      <c r="CK251" s="20"/>
      <c r="CL251" s="20"/>
      <c r="CM251" s="20"/>
      <c r="CN251" s="20"/>
      <c r="CO251" s="20"/>
      <c r="CP251" s="20"/>
      <c r="CQ251" s="20"/>
      <c r="CR251" s="20"/>
      <c r="CS251" s="20"/>
      <c r="CT251" s="20"/>
      <c r="CU251" s="20"/>
      <c r="CV251" s="20"/>
      <c r="CW251" s="20"/>
      <c r="CX251" s="20"/>
      <c r="CY251" s="20"/>
      <c r="CZ251" s="20"/>
      <c r="DA251" s="20"/>
      <c r="DB251" s="20"/>
      <c r="DC251" s="20"/>
      <c r="DD251" s="20"/>
      <c r="DE251" s="20"/>
      <c r="DF251" s="20"/>
      <c r="DG251" s="20"/>
      <c r="DH251" s="20"/>
      <c r="DI251" s="20"/>
      <c r="DJ251" s="20"/>
      <c r="DK251" s="20"/>
      <c r="DL251" s="20"/>
      <c r="DM251" s="20"/>
      <c r="DN251" s="20"/>
      <c r="DO251" s="20"/>
      <c r="DP251" s="20"/>
      <c r="DQ251" s="20"/>
      <c r="DR251" s="20"/>
      <c r="DS251" s="20"/>
      <c r="DT251" s="20"/>
      <c r="DU251" s="20"/>
      <c r="DV251" s="20"/>
      <c r="DW251" s="20"/>
      <c r="DX251" s="20"/>
      <c r="DY251" s="20"/>
      <c r="DZ251" s="20"/>
      <c r="EA251" s="20"/>
    </row>
    <row r="252" spans="2:131" ht="18" customHeight="1">
      <c r="B252" s="707"/>
      <c r="C252" s="707"/>
      <c r="D252" s="707"/>
      <c r="E252" s="707"/>
      <c r="F252" s="707"/>
      <c r="G252" s="707"/>
      <c r="H252" s="707"/>
      <c r="I252" s="707"/>
      <c r="J252" s="707"/>
      <c r="K252" s="707"/>
      <c r="L252" s="19"/>
      <c r="M252" s="20"/>
      <c r="N252" s="20"/>
      <c r="O252" s="20"/>
      <c r="P252" s="20"/>
      <c r="Q252" s="20"/>
      <c r="R252" s="20"/>
      <c r="S252" s="20"/>
      <c r="T252" s="20"/>
      <c r="U252" s="20"/>
      <c r="V252" s="20"/>
      <c r="W252" s="20"/>
      <c r="X252" s="20"/>
      <c r="Y252" s="20"/>
      <c r="Z252" s="20"/>
      <c r="AA252" s="20"/>
      <c r="AB252" s="20"/>
      <c r="AC252" s="20"/>
      <c r="AD252" s="20"/>
      <c r="AE252" s="20"/>
      <c r="AF252" s="20"/>
      <c r="AG252" s="20"/>
      <c r="AH252" s="20"/>
      <c r="AI252" s="20"/>
      <c r="AJ252" s="20"/>
      <c r="AK252" s="20"/>
      <c r="AL252" s="20"/>
      <c r="AM252" s="20"/>
      <c r="AN252" s="20"/>
      <c r="AO252" s="20"/>
      <c r="AP252" s="20"/>
      <c r="AQ252" s="20"/>
      <c r="AR252" s="20"/>
      <c r="AS252" s="20"/>
      <c r="AT252" s="20"/>
      <c r="AU252" s="20"/>
      <c r="AV252" s="20"/>
      <c r="AW252" s="20"/>
      <c r="AX252" s="20"/>
      <c r="AY252" s="20"/>
      <c r="AZ252" s="20"/>
      <c r="BA252" s="20"/>
      <c r="BB252" s="20"/>
      <c r="BC252" s="20"/>
      <c r="BD252" s="20"/>
      <c r="BE252" s="20"/>
      <c r="BF252" s="20"/>
      <c r="BG252" s="20"/>
      <c r="BH252" s="20"/>
      <c r="BI252" s="20"/>
      <c r="BJ252" s="20"/>
      <c r="BK252" s="20"/>
      <c r="BL252" s="20"/>
      <c r="BM252" s="20"/>
      <c r="BN252" s="20"/>
      <c r="BO252" s="20"/>
      <c r="BP252" s="20"/>
      <c r="BQ252" s="20"/>
      <c r="BR252" s="20"/>
      <c r="BS252" s="20"/>
      <c r="BT252" s="20"/>
      <c r="BU252" s="20"/>
      <c r="BV252" s="20"/>
      <c r="BW252" s="20"/>
      <c r="BX252" s="20"/>
      <c r="BY252" s="20"/>
      <c r="BZ252" s="20"/>
      <c r="CA252" s="20"/>
      <c r="CB252" s="20"/>
      <c r="CC252" s="20"/>
      <c r="CD252" s="20"/>
      <c r="CE252" s="20"/>
      <c r="CF252" s="20"/>
      <c r="CG252" s="20"/>
      <c r="CH252" s="20"/>
      <c r="CI252" s="20"/>
      <c r="CJ252" s="20"/>
      <c r="CK252" s="20"/>
      <c r="CL252" s="20"/>
      <c r="CM252" s="20"/>
      <c r="CN252" s="20"/>
      <c r="CO252" s="20"/>
      <c r="CP252" s="20"/>
      <c r="CQ252" s="20"/>
      <c r="CR252" s="20"/>
      <c r="CS252" s="20"/>
      <c r="CT252" s="20"/>
      <c r="CU252" s="20"/>
      <c r="CV252" s="20"/>
      <c r="CW252" s="20"/>
      <c r="CX252" s="20"/>
      <c r="CY252" s="20"/>
      <c r="CZ252" s="20"/>
      <c r="DA252" s="20"/>
      <c r="DB252" s="20"/>
      <c r="DC252" s="20"/>
      <c r="DD252" s="20"/>
      <c r="DE252" s="20"/>
      <c r="DF252" s="20"/>
      <c r="DG252" s="20"/>
      <c r="DH252" s="20"/>
      <c r="DI252" s="20"/>
      <c r="DJ252" s="20"/>
      <c r="DK252" s="20"/>
      <c r="DL252" s="20"/>
      <c r="DM252" s="20"/>
      <c r="DN252" s="20"/>
      <c r="DO252" s="20"/>
      <c r="DP252" s="20"/>
      <c r="DQ252" s="20"/>
      <c r="DR252" s="20"/>
      <c r="DS252" s="20"/>
      <c r="DT252" s="20"/>
      <c r="DU252" s="20"/>
      <c r="DV252" s="20"/>
      <c r="DW252" s="20"/>
      <c r="DX252" s="20"/>
      <c r="DY252" s="20"/>
      <c r="DZ252" s="20"/>
      <c r="EA252" s="20"/>
    </row>
    <row r="253" spans="2:131" ht="18" customHeight="1">
      <c r="B253" s="707"/>
      <c r="C253" s="707"/>
      <c r="D253" s="707"/>
      <c r="E253" s="707"/>
      <c r="F253" s="707"/>
      <c r="G253" s="707"/>
      <c r="H253" s="707"/>
      <c r="I253" s="707"/>
      <c r="J253" s="707"/>
      <c r="K253" s="707"/>
      <c r="L253" s="19"/>
      <c r="M253" s="20"/>
      <c r="N253" s="20"/>
      <c r="O253" s="20"/>
      <c r="P253" s="20"/>
      <c r="Q253" s="20"/>
      <c r="R253" s="20"/>
      <c r="S253" s="20"/>
      <c r="T253" s="20"/>
      <c r="U253" s="20"/>
      <c r="V253" s="20"/>
      <c r="W253" s="20"/>
      <c r="X253" s="20"/>
      <c r="Y253" s="20"/>
      <c r="Z253" s="20"/>
      <c r="AA253" s="20"/>
      <c r="AB253" s="20"/>
      <c r="AC253" s="20"/>
      <c r="AD253" s="20"/>
      <c r="AE253" s="20"/>
      <c r="AF253" s="20"/>
      <c r="AG253" s="20"/>
      <c r="AH253" s="20"/>
      <c r="AI253" s="20"/>
      <c r="AJ253" s="20"/>
      <c r="AK253" s="20"/>
      <c r="AL253" s="20"/>
      <c r="AM253" s="20"/>
      <c r="AN253" s="20"/>
      <c r="AO253" s="20"/>
      <c r="AP253" s="20"/>
      <c r="AQ253" s="20"/>
      <c r="AR253" s="20"/>
      <c r="AS253" s="20"/>
      <c r="AT253" s="20"/>
      <c r="AU253" s="20"/>
      <c r="AV253" s="20"/>
      <c r="AW253" s="20"/>
      <c r="AX253" s="20"/>
      <c r="AY253" s="20"/>
      <c r="AZ253" s="20"/>
      <c r="BA253" s="20"/>
      <c r="BB253" s="20"/>
      <c r="BC253" s="20"/>
      <c r="BD253" s="20"/>
      <c r="BE253" s="20"/>
      <c r="BF253" s="20"/>
      <c r="BG253" s="20"/>
      <c r="BH253" s="20"/>
      <c r="BI253" s="20"/>
      <c r="BJ253" s="20"/>
      <c r="BK253" s="20"/>
      <c r="BL253" s="20"/>
      <c r="BM253" s="20"/>
      <c r="BN253" s="20"/>
      <c r="BO253" s="20"/>
      <c r="BP253" s="20"/>
      <c r="BQ253" s="20"/>
      <c r="BR253" s="20"/>
      <c r="BS253" s="20"/>
      <c r="BT253" s="20"/>
      <c r="BU253" s="20"/>
      <c r="BV253" s="20"/>
      <c r="BW253" s="20"/>
      <c r="BX253" s="20"/>
      <c r="BY253" s="20"/>
      <c r="BZ253" s="20"/>
      <c r="CA253" s="20"/>
      <c r="CB253" s="20"/>
      <c r="CC253" s="20"/>
      <c r="CD253" s="20"/>
      <c r="CE253" s="20"/>
      <c r="CF253" s="20"/>
      <c r="CG253" s="20"/>
      <c r="CH253" s="20"/>
      <c r="CI253" s="20"/>
      <c r="CJ253" s="20"/>
      <c r="CK253" s="20"/>
      <c r="CL253" s="20"/>
      <c r="CM253" s="20"/>
      <c r="CN253" s="20"/>
      <c r="CO253" s="20"/>
      <c r="CP253" s="20"/>
      <c r="CQ253" s="20"/>
      <c r="CR253" s="20"/>
      <c r="CS253" s="20"/>
      <c r="CT253" s="20"/>
      <c r="CU253" s="20"/>
      <c r="CV253" s="20"/>
      <c r="CW253" s="20"/>
      <c r="CX253" s="20"/>
      <c r="CY253" s="20"/>
      <c r="CZ253" s="20"/>
      <c r="DA253" s="20"/>
      <c r="DB253" s="20"/>
      <c r="DC253" s="20"/>
      <c r="DD253" s="20"/>
      <c r="DE253" s="20"/>
      <c r="DF253" s="20"/>
      <c r="DG253" s="20"/>
      <c r="DH253" s="20"/>
      <c r="DI253" s="20"/>
      <c r="DJ253" s="20"/>
      <c r="DK253" s="20"/>
      <c r="DL253" s="20"/>
      <c r="DM253" s="20"/>
      <c r="DN253" s="20"/>
      <c r="DO253" s="20"/>
      <c r="DP253" s="20"/>
      <c r="DQ253" s="20"/>
      <c r="DR253" s="20"/>
      <c r="DS253" s="20"/>
      <c r="DT253" s="20"/>
      <c r="DU253" s="20"/>
      <c r="DV253" s="20"/>
      <c r="DW253" s="20"/>
      <c r="DX253" s="20"/>
      <c r="DY253" s="20"/>
      <c r="DZ253" s="20"/>
      <c r="EA253" s="20"/>
    </row>
    <row r="254" spans="2:131" ht="18" customHeight="1">
      <c r="B254" s="707"/>
      <c r="C254" s="707"/>
      <c r="D254" s="707"/>
      <c r="E254" s="707"/>
      <c r="F254" s="707"/>
      <c r="G254" s="707"/>
      <c r="H254" s="707"/>
      <c r="I254" s="707"/>
      <c r="J254" s="707"/>
      <c r="K254" s="707"/>
      <c r="L254" s="19"/>
      <c r="M254" s="20"/>
      <c r="N254" s="20"/>
      <c r="O254" s="20"/>
      <c r="P254" s="20"/>
      <c r="Q254" s="20"/>
      <c r="R254" s="20"/>
      <c r="S254" s="20"/>
      <c r="T254" s="20"/>
      <c r="U254" s="20"/>
      <c r="V254" s="20"/>
      <c r="W254" s="20"/>
      <c r="X254" s="20"/>
      <c r="Y254" s="20"/>
      <c r="Z254" s="20"/>
      <c r="AA254" s="20"/>
      <c r="AB254" s="20"/>
      <c r="AC254" s="20"/>
      <c r="AD254" s="20"/>
      <c r="AE254" s="20"/>
      <c r="AF254" s="20"/>
      <c r="AG254" s="20"/>
      <c r="AH254" s="20"/>
      <c r="AI254" s="20"/>
      <c r="AJ254" s="20"/>
      <c r="AK254" s="20"/>
      <c r="AL254" s="20"/>
      <c r="AM254" s="20"/>
      <c r="AN254" s="20"/>
      <c r="AO254" s="20"/>
      <c r="AP254" s="20"/>
      <c r="AQ254" s="20"/>
      <c r="AR254" s="20"/>
      <c r="AS254" s="20"/>
      <c r="AT254" s="20"/>
      <c r="AU254" s="20"/>
      <c r="AV254" s="20"/>
      <c r="AW254" s="20"/>
      <c r="AX254" s="20"/>
      <c r="AY254" s="20"/>
      <c r="AZ254" s="20"/>
      <c r="BA254" s="20"/>
      <c r="BB254" s="20"/>
      <c r="BC254" s="20"/>
      <c r="BD254" s="20"/>
      <c r="BE254" s="20"/>
      <c r="BF254" s="20"/>
      <c r="BG254" s="20"/>
      <c r="BH254" s="20"/>
      <c r="BI254" s="20"/>
      <c r="BJ254" s="20"/>
      <c r="BK254" s="20"/>
      <c r="BL254" s="20"/>
      <c r="BM254" s="20"/>
      <c r="BN254" s="20"/>
      <c r="BO254" s="20"/>
      <c r="BP254" s="20"/>
      <c r="BQ254" s="20"/>
      <c r="BR254" s="20"/>
      <c r="BS254" s="20"/>
      <c r="BT254" s="20"/>
      <c r="BU254" s="20"/>
      <c r="BV254" s="20"/>
      <c r="BW254" s="20"/>
      <c r="BX254" s="20"/>
      <c r="BY254" s="20"/>
      <c r="BZ254" s="20"/>
      <c r="CA254" s="20"/>
      <c r="CB254" s="20"/>
      <c r="CC254" s="20"/>
      <c r="CD254" s="20"/>
      <c r="CE254" s="20"/>
      <c r="CF254" s="20"/>
      <c r="CG254" s="20"/>
      <c r="CH254" s="20"/>
      <c r="CI254" s="20"/>
      <c r="CJ254" s="20"/>
      <c r="CK254" s="20"/>
      <c r="CL254" s="20"/>
      <c r="CM254" s="20"/>
      <c r="CN254" s="20"/>
      <c r="CO254" s="20"/>
      <c r="CP254" s="20"/>
      <c r="CQ254" s="20"/>
      <c r="CR254" s="20"/>
      <c r="CS254" s="20"/>
      <c r="CT254" s="20"/>
      <c r="CU254" s="20"/>
      <c r="CV254" s="20"/>
      <c r="CW254" s="20"/>
      <c r="CX254" s="20"/>
      <c r="CY254" s="20"/>
      <c r="CZ254" s="20"/>
      <c r="DA254" s="20"/>
      <c r="DB254" s="20"/>
      <c r="DC254" s="20"/>
      <c r="DD254" s="20"/>
      <c r="DE254" s="20"/>
      <c r="DF254" s="20"/>
      <c r="DG254" s="20"/>
      <c r="DH254" s="20"/>
      <c r="DI254" s="20"/>
      <c r="DJ254" s="20"/>
      <c r="DK254" s="20"/>
      <c r="DL254" s="20"/>
      <c r="DM254" s="20"/>
      <c r="DN254" s="20"/>
      <c r="DO254" s="20"/>
      <c r="DP254" s="20"/>
      <c r="DQ254" s="20"/>
      <c r="DR254" s="20"/>
      <c r="DS254" s="20"/>
      <c r="DT254" s="20"/>
      <c r="DU254" s="20"/>
      <c r="DV254" s="20"/>
      <c r="DW254" s="20"/>
      <c r="DX254" s="20"/>
      <c r="DY254" s="20"/>
      <c r="DZ254" s="20"/>
      <c r="EA254" s="20"/>
    </row>
    <row r="255" spans="2:131" ht="18" customHeight="1">
      <c r="B255" s="707"/>
      <c r="C255" s="707"/>
      <c r="D255" s="707"/>
      <c r="E255" s="707"/>
      <c r="F255" s="707"/>
      <c r="G255" s="707"/>
      <c r="H255" s="707"/>
      <c r="I255" s="707"/>
      <c r="J255" s="707"/>
      <c r="K255" s="707"/>
      <c r="L255" s="19"/>
      <c r="M255" s="20"/>
      <c r="N255" s="20"/>
      <c r="O255" s="20"/>
      <c r="P255" s="20"/>
      <c r="Q255" s="20"/>
      <c r="R255" s="20"/>
      <c r="S255" s="20"/>
      <c r="T255" s="20"/>
      <c r="U255" s="20"/>
      <c r="V255" s="20"/>
      <c r="W255" s="20"/>
      <c r="X255" s="20"/>
      <c r="Y255" s="20"/>
      <c r="Z255" s="20"/>
      <c r="AA255" s="20"/>
      <c r="AB255" s="20"/>
      <c r="AC255" s="20"/>
      <c r="AD255" s="20"/>
      <c r="AE255" s="20"/>
      <c r="AF255" s="20"/>
      <c r="AG255" s="20"/>
      <c r="AH255" s="20"/>
      <c r="AI255" s="20"/>
      <c r="AJ255" s="20"/>
      <c r="AK255" s="20"/>
      <c r="AL255" s="20"/>
      <c r="AM255" s="20"/>
      <c r="AN255" s="20"/>
      <c r="AO255" s="20"/>
      <c r="AP255" s="20"/>
      <c r="AQ255" s="20"/>
      <c r="AR255" s="20"/>
      <c r="AS255" s="20"/>
      <c r="AT255" s="20"/>
      <c r="AU255" s="20"/>
      <c r="AV255" s="20"/>
      <c r="AW255" s="20"/>
      <c r="AX255" s="20"/>
      <c r="AY255" s="20"/>
      <c r="AZ255" s="20"/>
      <c r="BA255" s="20"/>
      <c r="BB255" s="20"/>
      <c r="BC255" s="20"/>
      <c r="BD255" s="20"/>
      <c r="BE255" s="20"/>
      <c r="BF255" s="20"/>
      <c r="BG255" s="20"/>
      <c r="BH255" s="20"/>
      <c r="BI255" s="20"/>
      <c r="BJ255" s="20"/>
      <c r="BK255" s="20"/>
      <c r="BL255" s="20"/>
      <c r="BM255" s="20"/>
      <c r="BN255" s="20"/>
      <c r="BO255" s="20"/>
      <c r="BP255" s="20"/>
      <c r="BQ255" s="20"/>
      <c r="BR255" s="20"/>
      <c r="BS255" s="20"/>
      <c r="BT255" s="20"/>
      <c r="BU255" s="20"/>
      <c r="BV255" s="20"/>
      <c r="BW255" s="20"/>
      <c r="BX255" s="20"/>
      <c r="BY255" s="20"/>
      <c r="BZ255" s="20"/>
      <c r="CA255" s="20"/>
      <c r="CB255" s="20"/>
      <c r="CC255" s="20"/>
      <c r="CD255" s="20"/>
      <c r="CE255" s="20"/>
      <c r="CF255" s="20"/>
      <c r="CG255" s="20"/>
      <c r="CH255" s="20"/>
      <c r="CI255" s="20"/>
      <c r="CJ255" s="20"/>
      <c r="CK255" s="20"/>
      <c r="CL255" s="20"/>
      <c r="CM255" s="20"/>
      <c r="CN255" s="20"/>
      <c r="CO255" s="20"/>
      <c r="CP255" s="20"/>
      <c r="CQ255" s="20"/>
      <c r="CR255" s="20"/>
      <c r="CS255" s="20"/>
      <c r="CT255" s="20"/>
      <c r="CU255" s="20"/>
      <c r="CV255" s="20"/>
      <c r="CW255" s="20"/>
      <c r="CX255" s="20"/>
      <c r="CY255" s="20"/>
      <c r="CZ255" s="20"/>
      <c r="DA255" s="20"/>
      <c r="DB255" s="20"/>
      <c r="DC255" s="20"/>
      <c r="DD255" s="20"/>
      <c r="DE255" s="20"/>
      <c r="DF255" s="20"/>
      <c r="DG255" s="20"/>
      <c r="DH255" s="20"/>
      <c r="DI255" s="20"/>
      <c r="DJ255" s="20"/>
      <c r="DK255" s="20"/>
      <c r="DL255" s="20"/>
      <c r="DM255" s="20"/>
      <c r="DN255" s="20"/>
      <c r="DO255" s="20"/>
      <c r="DP255" s="20"/>
      <c r="DQ255" s="20"/>
      <c r="DR255" s="20"/>
      <c r="DS255" s="20"/>
      <c r="DT255" s="20"/>
      <c r="DU255" s="20"/>
      <c r="DV255" s="20"/>
      <c r="DW255" s="20"/>
      <c r="DX255" s="20"/>
      <c r="DY255" s="20"/>
      <c r="DZ255" s="20"/>
      <c r="EA255" s="20"/>
    </row>
    <row r="256" spans="2:131" ht="18" customHeight="1">
      <c r="B256" s="708"/>
      <c r="C256" s="708"/>
      <c r="D256" s="707"/>
      <c r="E256" s="707"/>
      <c r="F256" s="707"/>
      <c r="G256" s="707"/>
      <c r="H256" s="707"/>
      <c r="I256" s="707"/>
      <c r="J256" s="707"/>
      <c r="K256" s="707"/>
      <c r="L256" s="19"/>
      <c r="M256" s="20"/>
      <c r="N256" s="20"/>
      <c r="O256" s="20"/>
      <c r="P256" s="20"/>
      <c r="Q256" s="20"/>
      <c r="R256" s="20"/>
      <c r="S256" s="20"/>
      <c r="T256" s="20"/>
      <c r="U256" s="20"/>
      <c r="V256" s="20"/>
      <c r="W256" s="20"/>
      <c r="X256" s="20"/>
      <c r="Y256" s="20"/>
      <c r="Z256" s="20"/>
      <c r="AA256" s="20"/>
      <c r="AB256" s="20"/>
      <c r="AC256" s="20"/>
      <c r="AD256" s="20"/>
      <c r="AE256" s="20"/>
      <c r="AF256" s="20"/>
      <c r="AG256" s="20"/>
      <c r="AH256" s="20"/>
      <c r="AI256" s="20"/>
      <c r="AJ256" s="20"/>
      <c r="AK256" s="20"/>
      <c r="AL256" s="20"/>
      <c r="AM256" s="20"/>
      <c r="AN256" s="20"/>
      <c r="AO256" s="20"/>
      <c r="AP256" s="20"/>
      <c r="AQ256" s="20"/>
      <c r="AR256" s="20"/>
      <c r="AS256" s="20"/>
      <c r="AT256" s="20"/>
      <c r="AU256" s="20"/>
      <c r="AV256" s="20"/>
      <c r="AW256" s="20"/>
      <c r="AX256" s="20"/>
      <c r="AY256" s="20"/>
      <c r="AZ256" s="20"/>
      <c r="BA256" s="20"/>
      <c r="BB256" s="20"/>
      <c r="BC256" s="20"/>
      <c r="BD256" s="20"/>
      <c r="BE256" s="20"/>
      <c r="BF256" s="20"/>
      <c r="BG256" s="20"/>
      <c r="BH256" s="20"/>
      <c r="BI256" s="20"/>
      <c r="BJ256" s="20"/>
      <c r="BK256" s="20"/>
      <c r="BL256" s="20"/>
      <c r="BM256" s="20"/>
      <c r="BN256" s="20"/>
      <c r="BO256" s="20"/>
      <c r="BP256" s="20"/>
      <c r="BQ256" s="20"/>
      <c r="BR256" s="20"/>
      <c r="BS256" s="20"/>
      <c r="BT256" s="20"/>
      <c r="BU256" s="20"/>
      <c r="BV256" s="20"/>
      <c r="BW256" s="20"/>
      <c r="BX256" s="20"/>
      <c r="BY256" s="20"/>
      <c r="BZ256" s="20"/>
      <c r="CA256" s="20"/>
      <c r="CB256" s="20"/>
      <c r="CC256" s="20"/>
      <c r="CD256" s="20"/>
      <c r="CE256" s="20"/>
      <c r="CF256" s="20"/>
      <c r="CG256" s="20"/>
      <c r="CH256" s="20"/>
      <c r="CI256" s="20"/>
      <c r="CJ256" s="20"/>
      <c r="CK256" s="20"/>
      <c r="CL256" s="20"/>
      <c r="CM256" s="20"/>
      <c r="CN256" s="20"/>
      <c r="CO256" s="20"/>
      <c r="CP256" s="20"/>
      <c r="CQ256" s="20"/>
      <c r="CR256" s="20"/>
      <c r="CS256" s="20"/>
      <c r="CT256" s="20"/>
      <c r="CU256" s="20"/>
      <c r="CV256" s="20"/>
      <c r="CW256" s="20"/>
      <c r="CX256" s="20"/>
      <c r="CY256" s="20"/>
      <c r="CZ256" s="20"/>
      <c r="DA256" s="20"/>
      <c r="DB256" s="20"/>
      <c r="DC256" s="20"/>
      <c r="DD256" s="20"/>
      <c r="DE256" s="20"/>
      <c r="DF256" s="20"/>
      <c r="DG256" s="20"/>
      <c r="DH256" s="20"/>
      <c r="DI256" s="20"/>
      <c r="DJ256" s="20"/>
      <c r="DK256" s="20"/>
      <c r="DL256" s="20"/>
      <c r="DM256" s="20"/>
      <c r="DN256" s="20"/>
      <c r="DO256" s="20"/>
      <c r="DP256" s="20"/>
      <c r="DQ256" s="20"/>
      <c r="DR256" s="20"/>
      <c r="DS256" s="20"/>
      <c r="DT256" s="20"/>
      <c r="DU256" s="20"/>
      <c r="DV256" s="20"/>
      <c r="DW256" s="20"/>
      <c r="DX256" s="20"/>
      <c r="DY256" s="20"/>
      <c r="DZ256" s="20"/>
      <c r="EA256" s="20"/>
    </row>
    <row r="257" spans="2:131" ht="18" customHeight="1">
      <c r="B257" s="707"/>
      <c r="C257" s="707"/>
      <c r="D257" s="707"/>
      <c r="E257" s="707"/>
      <c r="F257" s="707"/>
      <c r="G257" s="707"/>
      <c r="H257" s="707"/>
      <c r="I257" s="707"/>
      <c r="J257" s="707"/>
      <c r="K257" s="707"/>
      <c r="L257" s="19"/>
      <c r="M257" s="20"/>
      <c r="N257" s="20"/>
      <c r="O257" s="20"/>
      <c r="P257" s="20"/>
      <c r="Q257" s="20"/>
      <c r="R257" s="20"/>
      <c r="S257" s="20"/>
      <c r="T257" s="20"/>
      <c r="U257" s="20"/>
      <c r="V257" s="20"/>
      <c r="W257" s="20"/>
      <c r="X257" s="20"/>
      <c r="Y257" s="20"/>
      <c r="Z257" s="20"/>
      <c r="AA257" s="20"/>
      <c r="AB257" s="20"/>
      <c r="AC257" s="20"/>
      <c r="AD257" s="20"/>
      <c r="AE257" s="20"/>
      <c r="AF257" s="20"/>
      <c r="AG257" s="20"/>
      <c r="AH257" s="20"/>
      <c r="AI257" s="20"/>
      <c r="AJ257" s="20"/>
      <c r="AK257" s="20"/>
      <c r="AL257" s="20"/>
      <c r="AM257" s="20"/>
      <c r="AN257" s="20"/>
      <c r="AO257" s="20"/>
      <c r="AP257" s="20"/>
      <c r="AQ257" s="20"/>
      <c r="AR257" s="20"/>
      <c r="AS257" s="20"/>
      <c r="AT257" s="20"/>
      <c r="AU257" s="20"/>
      <c r="AV257" s="20"/>
      <c r="AW257" s="20"/>
      <c r="AX257" s="20"/>
      <c r="AY257" s="20"/>
      <c r="AZ257" s="20"/>
      <c r="BA257" s="20"/>
      <c r="BB257" s="20"/>
      <c r="BC257" s="20"/>
      <c r="BD257" s="20"/>
      <c r="BE257" s="20"/>
      <c r="BF257" s="20"/>
      <c r="BG257" s="20"/>
      <c r="BH257" s="20"/>
      <c r="BI257" s="20"/>
      <c r="BJ257" s="20"/>
      <c r="BK257" s="20"/>
      <c r="BL257" s="20"/>
      <c r="BM257" s="20"/>
      <c r="BN257" s="20"/>
      <c r="BO257" s="20"/>
      <c r="BP257" s="20"/>
      <c r="BQ257" s="20"/>
      <c r="BR257" s="20"/>
      <c r="BS257" s="20"/>
      <c r="BT257" s="20"/>
      <c r="BU257" s="20"/>
      <c r="BV257" s="20"/>
      <c r="BW257" s="20"/>
      <c r="BX257" s="20"/>
      <c r="BY257" s="20"/>
      <c r="BZ257" s="20"/>
      <c r="CA257" s="20"/>
      <c r="CB257" s="20"/>
      <c r="CC257" s="20"/>
      <c r="CD257" s="20"/>
      <c r="CE257" s="20"/>
      <c r="CF257" s="20"/>
      <c r="CG257" s="20"/>
      <c r="CH257" s="20"/>
      <c r="CI257" s="20"/>
      <c r="CJ257" s="20"/>
      <c r="CK257" s="20"/>
      <c r="CL257" s="20"/>
      <c r="CM257" s="20"/>
      <c r="CN257" s="20"/>
      <c r="CO257" s="20"/>
      <c r="CP257" s="20"/>
      <c r="CQ257" s="20"/>
      <c r="CR257" s="20"/>
      <c r="CS257" s="20"/>
      <c r="CT257" s="20"/>
      <c r="CU257" s="20"/>
      <c r="CV257" s="20"/>
      <c r="CW257" s="20"/>
      <c r="CX257" s="20"/>
      <c r="CY257" s="20"/>
      <c r="CZ257" s="20"/>
      <c r="DA257" s="20"/>
      <c r="DB257" s="20"/>
      <c r="DC257" s="20"/>
      <c r="DD257" s="20"/>
      <c r="DE257" s="20"/>
      <c r="DF257" s="20"/>
      <c r="DG257" s="20"/>
      <c r="DH257" s="20"/>
      <c r="DI257" s="20"/>
      <c r="DJ257" s="20"/>
      <c r="DK257" s="20"/>
      <c r="DL257" s="20"/>
      <c r="DM257" s="20"/>
      <c r="DN257" s="20"/>
      <c r="DO257" s="20"/>
      <c r="DP257" s="20"/>
      <c r="DQ257" s="20"/>
      <c r="DR257" s="20"/>
      <c r="DS257" s="20"/>
      <c r="DT257" s="20"/>
      <c r="DU257" s="20"/>
      <c r="DV257" s="20"/>
      <c r="DW257" s="20"/>
      <c r="DX257" s="20"/>
      <c r="DY257" s="20"/>
      <c r="DZ257" s="20"/>
      <c r="EA257" s="20"/>
    </row>
    <row r="258" spans="2:131" ht="18" customHeight="1">
      <c r="B258" s="707"/>
      <c r="C258" s="707"/>
      <c r="D258" s="707"/>
      <c r="E258" s="707"/>
      <c r="F258" s="707"/>
      <c r="G258" s="707"/>
      <c r="H258" s="707"/>
      <c r="I258" s="707"/>
      <c r="J258" s="707"/>
      <c r="K258" s="707"/>
      <c r="L258" s="19"/>
      <c r="M258" s="20"/>
      <c r="N258" s="20"/>
      <c r="O258" s="20"/>
      <c r="P258" s="20"/>
      <c r="Q258" s="20"/>
      <c r="R258" s="20"/>
      <c r="S258" s="20"/>
      <c r="T258" s="20"/>
      <c r="U258" s="20"/>
      <c r="V258" s="20"/>
      <c r="W258" s="20"/>
      <c r="X258" s="20"/>
      <c r="Y258" s="20"/>
      <c r="Z258" s="20"/>
      <c r="AA258" s="20"/>
      <c r="AB258" s="20"/>
      <c r="AC258" s="20"/>
      <c r="AD258" s="20"/>
      <c r="AE258" s="20"/>
      <c r="AF258" s="20"/>
      <c r="AG258" s="20"/>
      <c r="AH258" s="20"/>
      <c r="AI258" s="20"/>
      <c r="AJ258" s="20"/>
      <c r="AK258" s="20"/>
      <c r="AL258" s="20"/>
      <c r="AM258" s="20"/>
      <c r="AN258" s="20"/>
      <c r="AO258" s="20"/>
      <c r="AP258" s="20"/>
      <c r="AQ258" s="20"/>
      <c r="AR258" s="20"/>
      <c r="AS258" s="20"/>
      <c r="AT258" s="20"/>
      <c r="AU258" s="20"/>
      <c r="AV258" s="20"/>
      <c r="AW258" s="20"/>
      <c r="AX258" s="20"/>
      <c r="AY258" s="20"/>
      <c r="AZ258" s="20"/>
      <c r="BA258" s="20"/>
      <c r="BB258" s="20"/>
      <c r="BC258" s="20"/>
      <c r="BD258" s="20"/>
      <c r="BE258" s="20"/>
      <c r="BF258" s="20"/>
      <c r="BG258" s="20"/>
      <c r="BH258" s="20"/>
      <c r="BI258" s="20"/>
      <c r="BJ258" s="20"/>
      <c r="BK258" s="20"/>
      <c r="BL258" s="20"/>
      <c r="BM258" s="20"/>
      <c r="BN258" s="20"/>
      <c r="BO258" s="20"/>
      <c r="BP258" s="20"/>
      <c r="BQ258" s="20"/>
      <c r="BR258" s="20"/>
      <c r="BS258" s="20"/>
      <c r="BT258" s="20"/>
      <c r="BU258" s="20"/>
      <c r="BV258" s="20"/>
      <c r="BW258" s="20"/>
      <c r="BX258" s="20"/>
      <c r="BY258" s="20"/>
      <c r="BZ258" s="20"/>
      <c r="CA258" s="20"/>
      <c r="CB258" s="20"/>
      <c r="CC258" s="20"/>
      <c r="CD258" s="20"/>
      <c r="CE258" s="20"/>
      <c r="CF258" s="20"/>
      <c r="CG258" s="20"/>
      <c r="CH258" s="20"/>
      <c r="CI258" s="20"/>
      <c r="CJ258" s="20"/>
      <c r="CK258" s="20"/>
      <c r="CL258" s="20"/>
      <c r="CM258" s="20"/>
      <c r="CN258" s="20"/>
      <c r="CO258" s="20"/>
      <c r="CP258" s="20"/>
      <c r="CQ258" s="20"/>
      <c r="CR258" s="20"/>
      <c r="CS258" s="20"/>
      <c r="CT258" s="20"/>
      <c r="CU258" s="20"/>
      <c r="CV258" s="20"/>
      <c r="CW258" s="20"/>
      <c r="CX258" s="20"/>
      <c r="CY258" s="20"/>
      <c r="CZ258" s="20"/>
      <c r="DA258" s="20"/>
      <c r="DB258" s="20"/>
      <c r="DC258" s="20"/>
      <c r="DD258" s="20"/>
      <c r="DE258" s="20"/>
      <c r="DF258" s="20"/>
      <c r="DG258" s="20"/>
      <c r="DH258" s="20"/>
      <c r="DI258" s="20"/>
      <c r="DJ258" s="20"/>
      <c r="DK258" s="20"/>
      <c r="DL258" s="20"/>
      <c r="DM258" s="20"/>
      <c r="DN258" s="20"/>
      <c r="DO258" s="20"/>
      <c r="DP258" s="20"/>
      <c r="DQ258" s="20"/>
      <c r="DR258" s="20"/>
      <c r="DS258" s="20"/>
      <c r="DT258" s="20"/>
      <c r="DU258" s="20"/>
      <c r="DV258" s="20"/>
      <c r="DW258" s="20"/>
      <c r="DX258" s="20"/>
      <c r="DY258" s="20"/>
      <c r="DZ258" s="20"/>
      <c r="EA258" s="20"/>
    </row>
    <row r="259" spans="2:131" ht="18" customHeight="1">
      <c r="B259" s="707"/>
      <c r="C259" s="707"/>
      <c r="D259" s="707"/>
      <c r="E259" s="707"/>
      <c r="F259" s="707"/>
      <c r="G259" s="707"/>
      <c r="H259" s="707"/>
      <c r="I259" s="707"/>
      <c r="J259" s="707"/>
      <c r="K259" s="707"/>
      <c r="L259" s="19"/>
      <c r="M259" s="20"/>
      <c r="N259" s="20"/>
      <c r="O259" s="20"/>
      <c r="P259" s="20"/>
      <c r="Q259" s="20"/>
      <c r="R259" s="20"/>
      <c r="S259" s="20"/>
      <c r="T259" s="20"/>
      <c r="U259" s="20"/>
      <c r="V259" s="20"/>
      <c r="W259" s="20"/>
      <c r="X259" s="20"/>
      <c r="Y259" s="20"/>
      <c r="Z259" s="20"/>
      <c r="AA259" s="20"/>
      <c r="AB259" s="20"/>
      <c r="AC259" s="20"/>
      <c r="AD259" s="20"/>
      <c r="AE259" s="20"/>
      <c r="AF259" s="20"/>
      <c r="AG259" s="20"/>
      <c r="AH259" s="20"/>
      <c r="AI259" s="20"/>
      <c r="AJ259" s="20"/>
      <c r="AK259" s="20"/>
      <c r="AL259" s="20"/>
      <c r="AM259" s="20"/>
      <c r="AN259" s="20"/>
      <c r="AO259" s="20"/>
      <c r="AP259" s="20"/>
      <c r="AQ259" s="20"/>
      <c r="AR259" s="20"/>
      <c r="AS259" s="20"/>
      <c r="AT259" s="20"/>
      <c r="AU259" s="20"/>
      <c r="AV259" s="20"/>
      <c r="AW259" s="20"/>
      <c r="AX259" s="20"/>
      <c r="AY259" s="20"/>
      <c r="AZ259" s="20"/>
      <c r="BA259" s="20"/>
      <c r="BB259" s="20"/>
      <c r="BC259" s="20"/>
      <c r="BD259" s="20"/>
      <c r="BE259" s="20"/>
      <c r="BF259" s="20"/>
      <c r="BG259" s="20"/>
      <c r="BH259" s="20"/>
      <c r="BI259" s="20"/>
      <c r="BJ259" s="20"/>
      <c r="BK259" s="20"/>
      <c r="BL259" s="20"/>
      <c r="BM259" s="20"/>
      <c r="BN259" s="20"/>
      <c r="BO259" s="20"/>
      <c r="BP259" s="20"/>
      <c r="BQ259" s="20"/>
      <c r="BR259" s="20"/>
      <c r="BS259" s="20"/>
      <c r="BT259" s="20"/>
      <c r="BU259" s="20"/>
      <c r="BV259" s="20"/>
      <c r="BW259" s="20"/>
      <c r="BX259" s="20"/>
      <c r="BY259" s="20"/>
      <c r="BZ259" s="20"/>
      <c r="CA259" s="20"/>
      <c r="CB259" s="20"/>
      <c r="CC259" s="20"/>
      <c r="CD259" s="20"/>
      <c r="CE259" s="20"/>
      <c r="CF259" s="20"/>
      <c r="CG259" s="20"/>
      <c r="CH259" s="20"/>
      <c r="CI259" s="20"/>
      <c r="CJ259" s="20"/>
      <c r="CK259" s="20"/>
      <c r="CL259" s="20"/>
      <c r="CM259" s="20"/>
      <c r="CN259" s="20"/>
      <c r="CO259" s="20"/>
      <c r="CP259" s="20"/>
      <c r="CQ259" s="20"/>
      <c r="CR259" s="20"/>
      <c r="CS259" s="20"/>
      <c r="CT259" s="20"/>
      <c r="CU259" s="20"/>
      <c r="CV259" s="20"/>
      <c r="CW259" s="20"/>
      <c r="CX259" s="20"/>
      <c r="CY259" s="20"/>
      <c r="CZ259" s="20"/>
      <c r="DA259" s="20"/>
      <c r="DB259" s="20"/>
      <c r="DC259" s="20"/>
      <c r="DD259" s="20"/>
      <c r="DE259" s="20"/>
      <c r="DF259" s="20"/>
      <c r="DG259" s="20"/>
      <c r="DH259" s="20"/>
      <c r="DI259" s="20"/>
      <c r="DJ259" s="20"/>
      <c r="DK259" s="20"/>
      <c r="DL259" s="20"/>
      <c r="DM259" s="20"/>
      <c r="DN259" s="20"/>
      <c r="DO259" s="20"/>
      <c r="DP259" s="20"/>
      <c r="DQ259" s="20"/>
      <c r="DR259" s="20"/>
      <c r="DS259" s="20"/>
      <c r="DT259" s="20"/>
      <c r="DU259" s="20"/>
      <c r="DV259" s="20"/>
      <c r="DW259" s="20"/>
      <c r="DX259" s="20"/>
      <c r="DY259" s="20"/>
      <c r="DZ259" s="20"/>
      <c r="EA259" s="20"/>
    </row>
    <row r="260" spans="2:131" ht="18" customHeight="1">
      <c r="B260" s="707"/>
      <c r="C260" s="707"/>
      <c r="D260" s="707"/>
      <c r="E260" s="707"/>
      <c r="F260" s="707"/>
      <c r="G260" s="707"/>
      <c r="H260" s="707"/>
      <c r="I260" s="707"/>
      <c r="J260" s="707"/>
      <c r="K260" s="707"/>
      <c r="L260" s="19"/>
      <c r="M260" s="20"/>
      <c r="N260" s="20"/>
      <c r="O260" s="20"/>
      <c r="P260" s="20"/>
      <c r="Q260" s="20"/>
      <c r="R260" s="20"/>
      <c r="S260" s="20"/>
      <c r="T260" s="20"/>
      <c r="U260" s="20"/>
      <c r="V260" s="20"/>
      <c r="W260" s="20"/>
      <c r="X260" s="20"/>
      <c r="Y260" s="20"/>
      <c r="Z260" s="20"/>
      <c r="AA260" s="20"/>
      <c r="AB260" s="20"/>
      <c r="AC260" s="20"/>
      <c r="AD260" s="20"/>
      <c r="AE260" s="20"/>
      <c r="AF260" s="20"/>
      <c r="AG260" s="20"/>
      <c r="AH260" s="20"/>
      <c r="AI260" s="20"/>
      <c r="AJ260" s="20"/>
      <c r="AK260" s="20"/>
      <c r="AL260" s="20"/>
      <c r="AM260" s="20"/>
      <c r="AN260" s="20"/>
      <c r="AO260" s="20"/>
      <c r="AP260" s="20"/>
      <c r="AQ260" s="20"/>
      <c r="AR260" s="20"/>
      <c r="AS260" s="20"/>
      <c r="AT260" s="20"/>
      <c r="AU260" s="20"/>
      <c r="AV260" s="20"/>
      <c r="AW260" s="20"/>
      <c r="AX260" s="20"/>
      <c r="AY260" s="20"/>
      <c r="AZ260" s="20"/>
      <c r="BA260" s="20"/>
      <c r="BB260" s="20"/>
      <c r="BC260" s="20"/>
      <c r="BD260" s="20"/>
      <c r="BE260" s="20"/>
      <c r="BF260" s="20"/>
      <c r="BG260" s="20"/>
      <c r="BH260" s="20"/>
      <c r="BI260" s="20"/>
      <c r="BJ260" s="20"/>
      <c r="BK260" s="20"/>
      <c r="BL260" s="20"/>
      <c r="BM260" s="20"/>
      <c r="BN260" s="20"/>
      <c r="BO260" s="20"/>
      <c r="BP260" s="20"/>
      <c r="BQ260" s="20"/>
      <c r="BR260" s="20"/>
      <c r="BS260" s="20"/>
      <c r="BT260" s="20"/>
      <c r="BU260" s="20"/>
      <c r="BV260" s="20"/>
      <c r="BW260" s="20"/>
      <c r="BX260" s="20"/>
      <c r="BY260" s="20"/>
      <c r="BZ260" s="20"/>
      <c r="CA260" s="20"/>
      <c r="CB260" s="20"/>
      <c r="CC260" s="20"/>
      <c r="CD260" s="20"/>
      <c r="CE260" s="20"/>
      <c r="CF260" s="20"/>
      <c r="CG260" s="20"/>
      <c r="CH260" s="20"/>
      <c r="CI260" s="20"/>
      <c r="CJ260" s="20"/>
      <c r="CK260" s="20"/>
      <c r="CL260" s="20"/>
      <c r="CM260" s="20"/>
      <c r="CN260" s="20"/>
      <c r="CO260" s="20"/>
      <c r="CP260" s="20"/>
      <c r="CQ260" s="20"/>
      <c r="CR260" s="20"/>
      <c r="CS260" s="20"/>
      <c r="CT260" s="20"/>
      <c r="CU260" s="20"/>
      <c r="CV260" s="20"/>
      <c r="CW260" s="20"/>
      <c r="CX260" s="20"/>
      <c r="CY260" s="20"/>
      <c r="CZ260" s="20"/>
      <c r="DA260" s="20"/>
      <c r="DB260" s="20"/>
      <c r="DC260" s="20"/>
      <c r="DD260" s="20"/>
      <c r="DE260" s="20"/>
      <c r="DF260" s="20"/>
      <c r="DG260" s="20"/>
      <c r="DH260" s="20"/>
      <c r="DI260" s="20"/>
      <c r="DJ260" s="20"/>
      <c r="DK260" s="20"/>
      <c r="DL260" s="20"/>
      <c r="DM260" s="20"/>
      <c r="DN260" s="20"/>
      <c r="DO260" s="20"/>
      <c r="DP260" s="20"/>
      <c r="DQ260" s="20"/>
      <c r="DR260" s="20"/>
      <c r="DS260" s="20"/>
      <c r="DT260" s="20"/>
      <c r="DU260" s="20"/>
      <c r="DV260" s="20"/>
      <c r="DW260" s="20"/>
      <c r="DX260" s="20"/>
      <c r="DY260" s="20"/>
      <c r="DZ260" s="20"/>
      <c r="EA260" s="20"/>
    </row>
    <row r="261" spans="2:131" ht="18" customHeight="1">
      <c r="B261" s="707"/>
      <c r="C261" s="707"/>
      <c r="D261" s="707"/>
      <c r="E261" s="707"/>
      <c r="F261" s="707"/>
      <c r="G261" s="707"/>
      <c r="H261" s="707"/>
      <c r="I261" s="707"/>
      <c r="J261" s="707"/>
      <c r="K261" s="707"/>
      <c r="L261" s="19"/>
      <c r="M261" s="20"/>
      <c r="N261" s="20"/>
      <c r="O261" s="20"/>
      <c r="P261" s="20"/>
      <c r="Q261" s="20"/>
      <c r="R261" s="20"/>
      <c r="S261" s="20"/>
      <c r="T261" s="20"/>
      <c r="U261" s="20"/>
      <c r="V261" s="20"/>
      <c r="W261" s="20"/>
      <c r="X261" s="20"/>
      <c r="Y261" s="20"/>
      <c r="Z261" s="20"/>
      <c r="AA261" s="20"/>
      <c r="AB261" s="20"/>
      <c r="AC261" s="20"/>
      <c r="AD261" s="20"/>
      <c r="AE261" s="20"/>
      <c r="AF261" s="20"/>
      <c r="AG261" s="20"/>
      <c r="AH261" s="20"/>
      <c r="AI261" s="20"/>
      <c r="AJ261" s="20"/>
      <c r="AK261" s="20"/>
      <c r="AL261" s="20"/>
      <c r="AM261" s="20"/>
      <c r="AN261" s="20"/>
      <c r="AO261" s="20"/>
      <c r="AP261" s="20"/>
      <c r="AQ261" s="20"/>
      <c r="AR261" s="20"/>
      <c r="AS261" s="20"/>
      <c r="AT261" s="20"/>
      <c r="AU261" s="20"/>
      <c r="AV261" s="20"/>
      <c r="AW261" s="20"/>
      <c r="AX261" s="20"/>
      <c r="AY261" s="20"/>
      <c r="AZ261" s="20"/>
      <c r="BA261" s="20"/>
      <c r="BB261" s="20"/>
      <c r="BC261" s="20"/>
      <c r="BD261" s="20"/>
      <c r="BE261" s="20"/>
      <c r="BF261" s="20"/>
      <c r="BG261" s="20"/>
      <c r="BH261" s="20"/>
      <c r="BI261" s="20"/>
      <c r="BJ261" s="20"/>
      <c r="BK261" s="20"/>
      <c r="BL261" s="20"/>
      <c r="BM261" s="20"/>
      <c r="BN261" s="20"/>
      <c r="BO261" s="20"/>
      <c r="BP261" s="20"/>
      <c r="BQ261" s="20"/>
      <c r="BR261" s="20"/>
      <c r="BS261" s="20"/>
      <c r="BT261" s="20"/>
      <c r="BU261" s="20"/>
      <c r="BV261" s="20"/>
      <c r="BW261" s="20"/>
      <c r="BX261" s="20"/>
      <c r="BY261" s="20"/>
      <c r="BZ261" s="20"/>
      <c r="CA261" s="20"/>
      <c r="CB261" s="20"/>
      <c r="CC261" s="20"/>
      <c r="CD261" s="20"/>
      <c r="CE261" s="20"/>
      <c r="CF261" s="20"/>
      <c r="CG261" s="20"/>
      <c r="CH261" s="20"/>
      <c r="CI261" s="20"/>
      <c r="CJ261" s="20"/>
      <c r="CK261" s="20"/>
      <c r="CL261" s="20"/>
      <c r="CM261" s="20"/>
      <c r="CN261" s="20"/>
      <c r="CO261" s="20"/>
      <c r="CP261" s="20"/>
      <c r="CQ261" s="20"/>
      <c r="CR261" s="20"/>
      <c r="CS261" s="20"/>
      <c r="CT261" s="20"/>
      <c r="CU261" s="20"/>
      <c r="CV261" s="20"/>
      <c r="CW261" s="20"/>
      <c r="CX261" s="20"/>
      <c r="CY261" s="20"/>
      <c r="CZ261" s="20"/>
      <c r="DA261" s="20"/>
      <c r="DB261" s="20"/>
      <c r="DC261" s="20"/>
      <c r="DD261" s="20"/>
      <c r="DE261" s="20"/>
      <c r="DF261" s="20"/>
      <c r="DG261" s="20"/>
      <c r="DH261" s="20"/>
      <c r="DI261" s="20"/>
      <c r="DJ261" s="20"/>
      <c r="DK261" s="20"/>
      <c r="DL261" s="20"/>
      <c r="DM261" s="20"/>
      <c r="DN261" s="20"/>
      <c r="DO261" s="20"/>
      <c r="DP261" s="20"/>
      <c r="DQ261" s="20"/>
      <c r="DR261" s="20"/>
      <c r="DS261" s="20"/>
      <c r="DT261" s="20"/>
      <c r="DU261" s="20"/>
      <c r="DV261" s="20"/>
      <c r="DW261" s="20"/>
      <c r="DX261" s="20"/>
      <c r="DY261" s="20"/>
      <c r="DZ261" s="20"/>
      <c r="EA261" s="20"/>
    </row>
    <row r="262" spans="2:131" ht="18" customHeight="1">
      <c r="B262" s="708"/>
      <c r="C262" s="708"/>
      <c r="D262" s="707"/>
      <c r="E262" s="707"/>
      <c r="F262" s="707"/>
      <c r="G262" s="707"/>
      <c r="H262" s="707"/>
      <c r="I262" s="707"/>
      <c r="J262" s="707"/>
      <c r="K262" s="707"/>
      <c r="L262" s="19"/>
      <c r="M262" s="20"/>
      <c r="N262" s="20"/>
      <c r="O262" s="20"/>
      <c r="P262" s="20"/>
      <c r="Q262" s="20"/>
      <c r="R262" s="20"/>
      <c r="S262" s="20"/>
      <c r="T262" s="20"/>
      <c r="U262" s="20"/>
      <c r="V262" s="20"/>
      <c r="W262" s="20"/>
      <c r="X262" s="20"/>
      <c r="Y262" s="20"/>
      <c r="Z262" s="20"/>
      <c r="AA262" s="20"/>
      <c r="AB262" s="20"/>
      <c r="AC262" s="20"/>
      <c r="AD262" s="20"/>
      <c r="AE262" s="20"/>
      <c r="AF262" s="20"/>
      <c r="AG262" s="20"/>
      <c r="AH262" s="20"/>
      <c r="AI262" s="20"/>
      <c r="AJ262" s="20"/>
      <c r="AK262" s="20"/>
      <c r="AL262" s="20"/>
      <c r="AM262" s="20"/>
      <c r="AN262" s="20"/>
      <c r="AO262" s="20"/>
      <c r="AP262" s="20"/>
      <c r="AQ262" s="20"/>
      <c r="AR262" s="20"/>
      <c r="AS262" s="20"/>
      <c r="AT262" s="20"/>
      <c r="AU262" s="20"/>
      <c r="AV262" s="20"/>
      <c r="AW262" s="20"/>
      <c r="AX262" s="20"/>
      <c r="AY262" s="20"/>
      <c r="AZ262" s="20"/>
      <c r="BA262" s="20"/>
      <c r="BB262" s="20"/>
      <c r="BC262" s="20"/>
      <c r="BD262" s="20"/>
      <c r="BE262" s="20"/>
      <c r="BF262" s="20"/>
      <c r="BG262" s="20"/>
      <c r="BH262" s="20"/>
      <c r="BI262" s="20"/>
      <c r="BJ262" s="20"/>
      <c r="BK262" s="20"/>
      <c r="BL262" s="20"/>
      <c r="BM262" s="20"/>
      <c r="BN262" s="20"/>
      <c r="BO262" s="20"/>
      <c r="BP262" s="20"/>
      <c r="BQ262" s="20"/>
      <c r="BR262" s="20"/>
      <c r="BS262" s="20"/>
      <c r="BT262" s="20"/>
      <c r="BU262" s="20"/>
      <c r="BV262" s="20"/>
      <c r="BW262" s="20"/>
      <c r="BX262" s="20"/>
      <c r="BY262" s="20"/>
      <c r="BZ262" s="20"/>
      <c r="CA262" s="20"/>
      <c r="CB262" s="20"/>
      <c r="CC262" s="20"/>
      <c r="CD262" s="20"/>
      <c r="CE262" s="20"/>
      <c r="CF262" s="20"/>
      <c r="CG262" s="20"/>
      <c r="CH262" s="20"/>
      <c r="CI262" s="20"/>
      <c r="CJ262" s="20"/>
      <c r="CK262" s="20"/>
      <c r="CL262" s="20"/>
      <c r="CM262" s="20"/>
      <c r="CN262" s="20"/>
      <c r="CO262" s="20"/>
      <c r="CP262" s="20"/>
      <c r="CQ262" s="20"/>
      <c r="CR262" s="20"/>
      <c r="CS262" s="20"/>
      <c r="CT262" s="20"/>
      <c r="CU262" s="20"/>
      <c r="CV262" s="20"/>
      <c r="CW262" s="20"/>
      <c r="CX262" s="20"/>
      <c r="CY262" s="20"/>
      <c r="CZ262" s="20"/>
      <c r="DA262" s="20"/>
      <c r="DB262" s="20"/>
      <c r="DC262" s="20"/>
      <c r="DD262" s="20"/>
      <c r="DE262" s="20"/>
      <c r="DF262" s="20"/>
      <c r="DG262" s="20"/>
      <c r="DH262" s="20"/>
      <c r="DI262" s="20"/>
      <c r="DJ262" s="20"/>
      <c r="DK262" s="20"/>
      <c r="DL262" s="20"/>
      <c r="DM262" s="20"/>
      <c r="DN262" s="20"/>
      <c r="DO262" s="20"/>
      <c r="DP262" s="20"/>
      <c r="DQ262" s="20"/>
      <c r="DR262" s="20"/>
      <c r="DS262" s="20"/>
      <c r="DT262" s="20"/>
      <c r="DU262" s="20"/>
      <c r="DV262" s="20"/>
      <c r="DW262" s="20"/>
      <c r="DX262" s="20"/>
      <c r="DY262" s="20"/>
      <c r="DZ262" s="20"/>
      <c r="EA262" s="20"/>
    </row>
    <row r="263" spans="2:131" ht="18" customHeight="1">
      <c r="B263" s="707"/>
      <c r="C263" s="707"/>
      <c r="D263" s="707"/>
      <c r="E263" s="707"/>
      <c r="F263" s="707"/>
      <c r="G263" s="707"/>
      <c r="H263" s="707"/>
      <c r="I263" s="707"/>
      <c r="J263" s="707"/>
      <c r="K263" s="707"/>
      <c r="L263" s="19"/>
      <c r="M263" s="20"/>
      <c r="N263" s="20"/>
      <c r="O263" s="20"/>
      <c r="P263" s="20"/>
      <c r="Q263" s="20"/>
      <c r="R263" s="20"/>
      <c r="S263" s="20"/>
      <c r="T263" s="20"/>
      <c r="U263" s="20"/>
      <c r="V263" s="20"/>
      <c r="W263" s="20"/>
      <c r="X263" s="20"/>
      <c r="Y263" s="20"/>
      <c r="Z263" s="20"/>
      <c r="AA263" s="20"/>
      <c r="AB263" s="20"/>
      <c r="AC263" s="20"/>
      <c r="AD263" s="20"/>
      <c r="AE263" s="20"/>
      <c r="AF263" s="20"/>
      <c r="AG263" s="20"/>
      <c r="AH263" s="20"/>
      <c r="AI263" s="20"/>
      <c r="AJ263" s="20"/>
      <c r="AK263" s="20"/>
      <c r="AL263" s="20"/>
      <c r="AM263" s="20"/>
      <c r="AN263" s="20"/>
      <c r="AO263" s="20"/>
      <c r="AP263" s="20"/>
      <c r="AQ263" s="20"/>
      <c r="AR263" s="20"/>
      <c r="AS263" s="20"/>
      <c r="AT263" s="20"/>
      <c r="AU263" s="20"/>
      <c r="AV263" s="20"/>
      <c r="AW263" s="20"/>
      <c r="AX263" s="20"/>
      <c r="AY263" s="20"/>
      <c r="AZ263" s="20"/>
      <c r="BA263" s="20"/>
      <c r="BB263" s="20"/>
      <c r="BC263" s="20"/>
      <c r="BD263" s="20"/>
      <c r="BE263" s="20"/>
      <c r="BF263" s="20"/>
      <c r="BG263" s="20"/>
      <c r="BH263" s="20"/>
      <c r="BI263" s="20"/>
      <c r="BJ263" s="20"/>
      <c r="BK263" s="20"/>
      <c r="BL263" s="20"/>
      <c r="BM263" s="20"/>
      <c r="BN263" s="20"/>
      <c r="BO263" s="20"/>
      <c r="BP263" s="20"/>
      <c r="BQ263" s="20"/>
      <c r="BR263" s="20"/>
      <c r="BS263" s="20"/>
      <c r="BT263" s="20"/>
      <c r="BU263" s="20"/>
      <c r="BV263" s="20"/>
      <c r="BW263" s="20"/>
      <c r="BX263" s="20"/>
      <c r="BY263" s="20"/>
      <c r="BZ263" s="20"/>
      <c r="CA263" s="20"/>
      <c r="CB263" s="20"/>
      <c r="CC263" s="20"/>
      <c r="CD263" s="20"/>
      <c r="CE263" s="20"/>
      <c r="CF263" s="20"/>
      <c r="CG263" s="20"/>
      <c r="CH263" s="20"/>
      <c r="CI263" s="20"/>
      <c r="CJ263" s="20"/>
      <c r="CK263" s="20"/>
      <c r="CL263" s="20"/>
      <c r="CM263" s="20"/>
      <c r="CN263" s="20"/>
      <c r="CO263" s="20"/>
      <c r="CP263" s="20"/>
      <c r="CQ263" s="20"/>
      <c r="CR263" s="20"/>
      <c r="CS263" s="20"/>
      <c r="CT263" s="20"/>
      <c r="CU263" s="20"/>
      <c r="CV263" s="20"/>
      <c r="CW263" s="20"/>
      <c r="CX263" s="20"/>
      <c r="CY263" s="20"/>
      <c r="CZ263" s="20"/>
      <c r="DA263" s="20"/>
      <c r="DB263" s="20"/>
      <c r="DC263" s="20"/>
      <c r="DD263" s="20"/>
      <c r="DE263" s="20"/>
      <c r="DF263" s="20"/>
      <c r="DG263" s="20"/>
      <c r="DH263" s="20"/>
      <c r="DI263" s="20"/>
      <c r="DJ263" s="20"/>
      <c r="DK263" s="20"/>
      <c r="DL263" s="20"/>
      <c r="DM263" s="20"/>
      <c r="DN263" s="20"/>
      <c r="DO263" s="20"/>
      <c r="DP263" s="20"/>
      <c r="DQ263" s="20"/>
      <c r="DR263" s="20"/>
      <c r="DS263" s="20"/>
      <c r="DT263" s="20"/>
      <c r="DU263" s="20"/>
      <c r="DV263" s="20"/>
      <c r="DW263" s="20"/>
      <c r="DX263" s="20"/>
      <c r="DY263" s="20"/>
      <c r="DZ263" s="20"/>
      <c r="EA263" s="20"/>
    </row>
    <row r="264" spans="2:131" ht="18" customHeight="1">
      <c r="B264" s="707"/>
      <c r="C264" s="707"/>
      <c r="D264" s="707"/>
      <c r="E264" s="707"/>
      <c r="F264" s="707"/>
      <c r="G264" s="707"/>
      <c r="H264" s="707"/>
      <c r="I264" s="707"/>
      <c r="J264" s="707"/>
      <c r="K264" s="707"/>
      <c r="L264" s="19"/>
      <c r="M264" s="20"/>
      <c r="N264" s="20"/>
      <c r="O264" s="20"/>
      <c r="P264" s="20"/>
      <c r="Q264" s="20"/>
      <c r="R264" s="20"/>
      <c r="S264" s="20"/>
      <c r="T264" s="20"/>
      <c r="U264" s="20"/>
      <c r="V264" s="20"/>
      <c r="W264" s="20"/>
      <c r="X264" s="20"/>
      <c r="Y264" s="20"/>
      <c r="Z264" s="20"/>
      <c r="AA264" s="20"/>
      <c r="AB264" s="20"/>
      <c r="AC264" s="20"/>
      <c r="AD264" s="20"/>
      <c r="AE264" s="20"/>
      <c r="AF264" s="20"/>
      <c r="AG264" s="20"/>
      <c r="AH264" s="20"/>
      <c r="AI264" s="20"/>
      <c r="AJ264" s="20"/>
      <c r="AK264" s="20"/>
      <c r="AL264" s="20"/>
      <c r="AM264" s="20"/>
      <c r="AN264" s="20"/>
      <c r="AO264" s="20"/>
      <c r="AP264" s="20"/>
      <c r="AQ264" s="20"/>
      <c r="AR264" s="20"/>
      <c r="AS264" s="20"/>
      <c r="AT264" s="20"/>
      <c r="AU264" s="20"/>
      <c r="AV264" s="20"/>
      <c r="AW264" s="20"/>
      <c r="AX264" s="20"/>
      <c r="AY264" s="20"/>
      <c r="AZ264" s="20"/>
      <c r="BA264" s="20"/>
      <c r="BB264" s="20"/>
      <c r="BC264" s="20"/>
      <c r="BD264" s="20"/>
      <c r="BE264" s="20"/>
      <c r="BF264" s="20"/>
      <c r="BG264" s="20"/>
      <c r="BH264" s="20"/>
      <c r="BI264" s="20"/>
      <c r="BJ264" s="20"/>
      <c r="BK264" s="20"/>
      <c r="BL264" s="20"/>
      <c r="BM264" s="20"/>
      <c r="BN264" s="20"/>
      <c r="BO264" s="20"/>
      <c r="BP264" s="20"/>
      <c r="BQ264" s="20"/>
      <c r="BR264" s="20"/>
      <c r="BS264" s="20"/>
      <c r="BT264" s="20"/>
      <c r="BU264" s="20"/>
      <c r="BV264" s="20"/>
      <c r="BW264" s="20"/>
      <c r="BX264" s="20"/>
      <c r="BY264" s="20"/>
      <c r="BZ264" s="20"/>
      <c r="CA264" s="20"/>
      <c r="CB264" s="20"/>
      <c r="CC264" s="20"/>
      <c r="CD264" s="20"/>
      <c r="CE264" s="20"/>
      <c r="CF264" s="20"/>
      <c r="CG264" s="20"/>
      <c r="CH264" s="20"/>
      <c r="CI264" s="20"/>
      <c r="CJ264" s="20"/>
      <c r="CK264" s="20"/>
      <c r="CL264" s="20"/>
      <c r="CM264" s="20"/>
      <c r="CN264" s="20"/>
      <c r="CO264" s="20"/>
      <c r="CP264" s="20"/>
      <c r="CQ264" s="20"/>
      <c r="CR264" s="20"/>
      <c r="CS264" s="20"/>
      <c r="CT264" s="20"/>
      <c r="CU264" s="20"/>
      <c r="CV264" s="20"/>
      <c r="CW264" s="20"/>
      <c r="CX264" s="20"/>
      <c r="CY264" s="20"/>
      <c r="CZ264" s="20"/>
      <c r="DA264" s="20"/>
      <c r="DB264" s="20"/>
      <c r="DC264" s="20"/>
      <c r="DD264" s="20"/>
      <c r="DE264" s="20"/>
      <c r="DF264" s="20"/>
      <c r="DG264" s="20"/>
      <c r="DH264" s="20"/>
      <c r="DI264" s="20"/>
      <c r="DJ264" s="20"/>
      <c r="DK264" s="20"/>
      <c r="DL264" s="20"/>
      <c r="DM264" s="20"/>
      <c r="DN264" s="20"/>
      <c r="DO264" s="20"/>
      <c r="DP264" s="20"/>
      <c r="DQ264" s="20"/>
      <c r="DR264" s="20"/>
      <c r="DS264" s="20"/>
      <c r="DT264" s="20"/>
      <c r="DU264" s="20"/>
      <c r="DV264" s="20"/>
      <c r="DW264" s="20"/>
      <c r="DX264" s="20"/>
      <c r="DY264" s="20"/>
      <c r="DZ264" s="20"/>
      <c r="EA264" s="20"/>
    </row>
    <row r="265" spans="2:131" ht="18" customHeight="1">
      <c r="B265" s="707"/>
      <c r="C265" s="707"/>
      <c r="D265" s="707"/>
      <c r="E265" s="707"/>
      <c r="F265" s="707"/>
      <c r="G265" s="707"/>
      <c r="H265" s="707"/>
      <c r="I265" s="707"/>
      <c r="J265" s="707"/>
      <c r="K265" s="707"/>
      <c r="L265" s="19"/>
      <c r="M265" s="20"/>
      <c r="N265" s="20"/>
      <c r="O265" s="20"/>
      <c r="P265" s="20"/>
      <c r="Q265" s="20"/>
      <c r="R265" s="20"/>
      <c r="S265" s="20"/>
      <c r="T265" s="20"/>
      <c r="U265" s="20"/>
      <c r="V265" s="20"/>
      <c r="W265" s="20"/>
      <c r="X265" s="20"/>
      <c r="Y265" s="20"/>
      <c r="Z265" s="20"/>
      <c r="AA265" s="20"/>
      <c r="AB265" s="20"/>
      <c r="AC265" s="20"/>
      <c r="AD265" s="20"/>
      <c r="AE265" s="20"/>
      <c r="AF265" s="20"/>
      <c r="AG265" s="20"/>
      <c r="AH265" s="20"/>
      <c r="AI265" s="20"/>
      <c r="AJ265" s="20"/>
      <c r="AK265" s="20"/>
      <c r="AL265" s="20"/>
      <c r="AM265" s="20"/>
      <c r="AN265" s="20"/>
      <c r="AO265" s="20"/>
      <c r="AP265" s="20"/>
      <c r="AQ265" s="20"/>
      <c r="AR265" s="20"/>
      <c r="AS265" s="20"/>
      <c r="AT265" s="20"/>
      <c r="AU265" s="20"/>
      <c r="AV265" s="20"/>
      <c r="AW265" s="20"/>
      <c r="AX265" s="20"/>
      <c r="AY265" s="20"/>
      <c r="AZ265" s="20"/>
      <c r="BA265" s="20"/>
      <c r="BB265" s="20"/>
      <c r="BC265" s="20"/>
      <c r="BD265" s="20"/>
      <c r="BE265" s="20"/>
      <c r="BF265" s="20"/>
      <c r="BG265" s="20"/>
      <c r="BH265" s="20"/>
      <c r="BI265" s="20"/>
      <c r="BJ265" s="20"/>
      <c r="BK265" s="20"/>
      <c r="BL265" s="20"/>
      <c r="BM265" s="20"/>
      <c r="BN265" s="20"/>
      <c r="BO265" s="20"/>
      <c r="BP265" s="20"/>
      <c r="BQ265" s="20"/>
      <c r="BR265" s="20"/>
      <c r="BS265" s="20"/>
      <c r="BT265" s="20"/>
      <c r="BU265" s="20"/>
      <c r="BV265" s="20"/>
      <c r="BW265" s="20"/>
      <c r="BX265" s="20"/>
      <c r="BY265" s="20"/>
      <c r="BZ265" s="20"/>
      <c r="CA265" s="20"/>
      <c r="CB265" s="20"/>
      <c r="CC265" s="20"/>
      <c r="CD265" s="20"/>
      <c r="CE265" s="20"/>
      <c r="CF265" s="20"/>
      <c r="CG265" s="20"/>
      <c r="CH265" s="20"/>
      <c r="CI265" s="20"/>
      <c r="CJ265" s="20"/>
      <c r="CK265" s="20"/>
      <c r="CL265" s="20"/>
      <c r="CM265" s="20"/>
      <c r="CN265" s="20"/>
      <c r="CO265" s="20"/>
      <c r="CP265" s="20"/>
      <c r="CQ265" s="20"/>
      <c r="CR265" s="20"/>
      <c r="CS265" s="20"/>
      <c r="CT265" s="20"/>
      <c r="CU265" s="20"/>
      <c r="CV265" s="20"/>
      <c r="CW265" s="20"/>
      <c r="CX265" s="20"/>
      <c r="CY265" s="20"/>
      <c r="CZ265" s="20"/>
      <c r="DA265" s="20"/>
      <c r="DB265" s="20"/>
      <c r="DC265" s="20"/>
      <c r="DD265" s="20"/>
      <c r="DE265" s="20"/>
      <c r="DF265" s="20"/>
      <c r="DG265" s="20"/>
      <c r="DH265" s="20"/>
      <c r="DI265" s="20"/>
      <c r="DJ265" s="20"/>
      <c r="DK265" s="20"/>
      <c r="DL265" s="20"/>
      <c r="DM265" s="20"/>
      <c r="DN265" s="20"/>
      <c r="DO265" s="20"/>
      <c r="DP265" s="20"/>
      <c r="DQ265" s="20"/>
      <c r="DR265" s="20"/>
      <c r="DS265" s="20"/>
      <c r="DT265" s="20"/>
      <c r="DU265" s="20"/>
      <c r="DV265" s="20"/>
      <c r="DW265" s="20"/>
      <c r="DX265" s="20"/>
      <c r="DY265" s="20"/>
      <c r="DZ265" s="20"/>
      <c r="EA265" s="20"/>
    </row>
    <row r="266" spans="2:131" ht="18" customHeight="1">
      <c r="B266" s="707"/>
      <c r="C266" s="707"/>
      <c r="D266" s="707"/>
      <c r="E266" s="707"/>
      <c r="F266" s="707"/>
      <c r="G266" s="707"/>
      <c r="H266" s="707"/>
      <c r="I266" s="707"/>
      <c r="J266" s="707"/>
      <c r="K266" s="707"/>
      <c r="L266" s="19"/>
      <c r="M266" s="20"/>
      <c r="N266" s="20"/>
      <c r="O266" s="20"/>
      <c r="P266" s="20"/>
      <c r="Q266" s="20"/>
      <c r="R266" s="20"/>
      <c r="S266" s="20"/>
      <c r="T266" s="20"/>
      <c r="U266" s="20"/>
      <c r="V266" s="20"/>
      <c r="W266" s="20"/>
      <c r="X266" s="20"/>
      <c r="Y266" s="20"/>
      <c r="Z266" s="20"/>
      <c r="AA266" s="20"/>
      <c r="AB266" s="20"/>
      <c r="AC266" s="20"/>
      <c r="AD266" s="20"/>
      <c r="AE266" s="20"/>
      <c r="AF266" s="20"/>
      <c r="AG266" s="20"/>
      <c r="AH266" s="20"/>
      <c r="AI266" s="20"/>
      <c r="AJ266" s="20"/>
      <c r="AK266" s="20"/>
      <c r="AL266" s="20"/>
      <c r="AM266" s="20"/>
      <c r="AN266" s="20"/>
      <c r="AO266" s="20"/>
      <c r="AP266" s="20"/>
      <c r="AQ266" s="20"/>
      <c r="AR266" s="20"/>
      <c r="AS266" s="20"/>
      <c r="AT266" s="20"/>
      <c r="AU266" s="20"/>
      <c r="AV266" s="20"/>
      <c r="AW266" s="20"/>
      <c r="AX266" s="20"/>
      <c r="AY266" s="20"/>
      <c r="AZ266" s="20"/>
      <c r="BA266" s="20"/>
      <c r="BB266" s="20"/>
      <c r="BC266" s="20"/>
      <c r="BD266" s="20"/>
      <c r="BE266" s="20"/>
      <c r="BF266" s="20"/>
      <c r="BG266" s="20"/>
      <c r="BH266" s="20"/>
      <c r="BI266" s="20"/>
      <c r="BJ266" s="20"/>
      <c r="BK266" s="20"/>
      <c r="BL266" s="20"/>
      <c r="BM266" s="20"/>
      <c r="BN266" s="20"/>
      <c r="BO266" s="20"/>
      <c r="BP266" s="20"/>
      <c r="BQ266" s="20"/>
      <c r="BR266" s="20"/>
      <c r="BS266" s="20"/>
      <c r="BT266" s="20"/>
      <c r="BU266" s="20"/>
      <c r="BV266" s="20"/>
      <c r="BW266" s="20"/>
      <c r="BX266" s="20"/>
      <c r="BY266" s="20"/>
      <c r="BZ266" s="20"/>
      <c r="CA266" s="20"/>
      <c r="CB266" s="20"/>
      <c r="CC266" s="20"/>
      <c r="CD266" s="20"/>
      <c r="CE266" s="20"/>
      <c r="CF266" s="20"/>
      <c r="CG266" s="20"/>
      <c r="CH266" s="20"/>
      <c r="CI266" s="20"/>
      <c r="CJ266" s="20"/>
      <c r="CK266" s="20"/>
      <c r="CL266" s="20"/>
      <c r="CM266" s="20"/>
      <c r="CN266" s="20"/>
      <c r="CO266" s="20"/>
      <c r="CP266" s="20"/>
      <c r="CQ266" s="20"/>
      <c r="CR266" s="20"/>
      <c r="CS266" s="20"/>
      <c r="CT266" s="20"/>
      <c r="CU266" s="20"/>
      <c r="CV266" s="20"/>
      <c r="CW266" s="20"/>
      <c r="CX266" s="20"/>
      <c r="CY266" s="20"/>
      <c r="CZ266" s="20"/>
      <c r="DA266" s="20"/>
      <c r="DB266" s="20"/>
      <c r="DC266" s="20"/>
      <c r="DD266" s="20"/>
      <c r="DE266" s="20"/>
      <c r="DF266" s="20"/>
      <c r="DG266" s="20"/>
      <c r="DH266" s="20"/>
      <c r="DI266" s="20"/>
      <c r="DJ266" s="20"/>
      <c r="DK266" s="20"/>
      <c r="DL266" s="20"/>
      <c r="DM266" s="20"/>
      <c r="DN266" s="20"/>
      <c r="DO266" s="20"/>
      <c r="DP266" s="20"/>
      <c r="DQ266" s="20"/>
      <c r="DR266" s="20"/>
      <c r="DS266" s="20"/>
      <c r="DT266" s="20"/>
      <c r="DU266" s="20"/>
      <c r="DV266" s="20"/>
      <c r="DW266" s="20"/>
      <c r="DX266" s="20"/>
      <c r="DY266" s="20"/>
      <c r="DZ266" s="20"/>
      <c r="EA266" s="20"/>
    </row>
    <row r="267" spans="2:131" ht="18" customHeight="1">
      <c r="B267" s="707"/>
      <c r="C267" s="707"/>
      <c r="D267" s="707"/>
      <c r="E267" s="707"/>
      <c r="F267" s="707"/>
      <c r="G267" s="707"/>
      <c r="H267" s="707"/>
      <c r="I267" s="707"/>
      <c r="J267" s="707"/>
      <c r="K267" s="707"/>
      <c r="L267" s="19"/>
      <c r="M267" s="20"/>
      <c r="N267" s="20"/>
      <c r="O267" s="20"/>
      <c r="P267" s="20"/>
      <c r="Q267" s="20"/>
      <c r="R267" s="20"/>
      <c r="S267" s="20"/>
      <c r="T267" s="20"/>
      <c r="U267" s="20"/>
      <c r="V267" s="20"/>
      <c r="W267" s="20"/>
      <c r="X267" s="20"/>
      <c r="Y267" s="20"/>
      <c r="Z267" s="20"/>
      <c r="AA267" s="20"/>
      <c r="AB267" s="20"/>
      <c r="AC267" s="20"/>
      <c r="AD267" s="20"/>
      <c r="AE267" s="20"/>
      <c r="AF267" s="20"/>
      <c r="AG267" s="20"/>
      <c r="AH267" s="20"/>
      <c r="AI267" s="20"/>
      <c r="AJ267" s="20"/>
      <c r="AK267" s="20"/>
      <c r="AL267" s="20"/>
      <c r="AM267" s="20"/>
      <c r="AN267" s="20"/>
      <c r="AO267" s="20"/>
      <c r="AP267" s="20"/>
      <c r="AQ267" s="20"/>
      <c r="AR267" s="20"/>
      <c r="AS267" s="20"/>
      <c r="AT267" s="20"/>
      <c r="AU267" s="20"/>
      <c r="AV267" s="20"/>
      <c r="AW267" s="20"/>
      <c r="AX267" s="20"/>
      <c r="AY267" s="20"/>
      <c r="AZ267" s="20"/>
      <c r="BA267" s="20"/>
      <c r="BB267" s="20"/>
      <c r="BC267" s="20"/>
      <c r="BD267" s="20"/>
      <c r="BE267" s="20"/>
      <c r="BF267" s="20"/>
      <c r="BG267" s="20"/>
      <c r="BH267" s="20"/>
      <c r="BI267" s="20"/>
      <c r="BJ267" s="20"/>
      <c r="BK267" s="20"/>
      <c r="BL267" s="20"/>
      <c r="BM267" s="20"/>
      <c r="BN267" s="20"/>
      <c r="BO267" s="20"/>
      <c r="BP267" s="20"/>
      <c r="BQ267" s="20"/>
      <c r="BR267" s="20"/>
      <c r="BS267" s="20"/>
      <c r="BT267" s="20"/>
      <c r="BU267" s="20"/>
      <c r="BV267" s="20"/>
      <c r="BW267" s="20"/>
      <c r="BX267" s="20"/>
      <c r="BY267" s="20"/>
      <c r="BZ267" s="20"/>
      <c r="CA267" s="20"/>
      <c r="CB267" s="20"/>
      <c r="CC267" s="20"/>
      <c r="CD267" s="20"/>
      <c r="CE267" s="20"/>
      <c r="CF267" s="20"/>
      <c r="CG267" s="20"/>
      <c r="CH267" s="20"/>
      <c r="CI267" s="20"/>
      <c r="CJ267" s="20"/>
      <c r="CK267" s="20"/>
      <c r="CL267" s="20"/>
      <c r="CM267" s="20"/>
      <c r="CN267" s="20"/>
      <c r="CO267" s="20"/>
      <c r="CP267" s="20"/>
      <c r="CQ267" s="20"/>
      <c r="CR267" s="20"/>
      <c r="CS267" s="20"/>
      <c r="CT267" s="20"/>
      <c r="CU267" s="20"/>
      <c r="CV267" s="20"/>
      <c r="CW267" s="20"/>
      <c r="CX267" s="20"/>
      <c r="CY267" s="20"/>
      <c r="CZ267" s="20"/>
      <c r="DA267" s="20"/>
      <c r="DB267" s="20"/>
      <c r="DC267" s="20"/>
      <c r="DD267" s="20"/>
      <c r="DE267" s="20"/>
      <c r="DF267" s="20"/>
      <c r="DG267" s="20"/>
      <c r="DH267" s="20"/>
      <c r="DI267" s="20"/>
      <c r="DJ267" s="20"/>
      <c r="DK267" s="20"/>
      <c r="DL267" s="20"/>
      <c r="DM267" s="20"/>
      <c r="DN267" s="20"/>
      <c r="DO267" s="20"/>
      <c r="DP267" s="20"/>
      <c r="DQ267" s="20"/>
      <c r="DR267" s="20"/>
      <c r="DS267" s="20"/>
      <c r="DT267" s="20"/>
      <c r="DU267" s="20"/>
      <c r="DV267" s="20"/>
      <c r="DW267" s="20"/>
      <c r="DX267" s="20"/>
      <c r="DY267" s="20"/>
      <c r="DZ267" s="20"/>
      <c r="EA267" s="20"/>
    </row>
    <row r="268" spans="2:131" ht="18" customHeight="1">
      <c r="B268" s="708"/>
      <c r="C268" s="708"/>
      <c r="D268" s="707"/>
      <c r="E268" s="707"/>
      <c r="F268" s="707"/>
      <c r="G268" s="707"/>
      <c r="H268" s="707"/>
      <c r="I268" s="707"/>
      <c r="J268" s="707"/>
      <c r="K268" s="707"/>
      <c r="L268" s="19"/>
      <c r="M268" s="20"/>
      <c r="N268" s="20"/>
      <c r="O268" s="20"/>
      <c r="P268" s="20"/>
      <c r="Q268" s="20"/>
      <c r="R268" s="20"/>
      <c r="S268" s="20"/>
      <c r="T268" s="20"/>
      <c r="U268" s="20"/>
      <c r="V268" s="20"/>
      <c r="W268" s="20"/>
      <c r="X268" s="20"/>
      <c r="Y268" s="20"/>
      <c r="Z268" s="20"/>
      <c r="AA268" s="20"/>
      <c r="AB268" s="20"/>
      <c r="AC268" s="20"/>
      <c r="AD268" s="20"/>
      <c r="AE268" s="20"/>
      <c r="AF268" s="20"/>
      <c r="AG268" s="20"/>
      <c r="AH268" s="20"/>
      <c r="AI268" s="20"/>
      <c r="AJ268" s="20"/>
      <c r="AK268" s="20"/>
      <c r="AL268" s="20"/>
      <c r="AM268" s="20"/>
      <c r="AN268" s="20"/>
      <c r="AO268" s="20"/>
      <c r="AP268" s="20"/>
      <c r="AQ268" s="20"/>
      <c r="AR268" s="20"/>
      <c r="AS268" s="20"/>
      <c r="AT268" s="20"/>
      <c r="AU268" s="20"/>
      <c r="AV268" s="20"/>
      <c r="AW268" s="20"/>
      <c r="AX268" s="20"/>
      <c r="AY268" s="20"/>
      <c r="AZ268" s="20"/>
      <c r="BA268" s="20"/>
      <c r="BB268" s="20"/>
      <c r="BC268" s="20"/>
      <c r="BD268" s="20"/>
      <c r="BE268" s="20"/>
      <c r="BF268" s="20"/>
      <c r="BG268" s="20"/>
      <c r="BH268" s="20"/>
      <c r="BI268" s="20"/>
      <c r="BJ268" s="20"/>
      <c r="BK268" s="20"/>
      <c r="BL268" s="20"/>
      <c r="BM268" s="20"/>
      <c r="BN268" s="20"/>
      <c r="BO268" s="20"/>
      <c r="BP268" s="20"/>
      <c r="BQ268" s="20"/>
      <c r="BR268" s="20"/>
      <c r="BS268" s="20"/>
      <c r="BT268" s="20"/>
      <c r="BU268" s="20"/>
      <c r="BV268" s="20"/>
      <c r="BW268" s="20"/>
      <c r="BX268" s="20"/>
      <c r="BY268" s="20"/>
      <c r="BZ268" s="20"/>
      <c r="CA268" s="20"/>
      <c r="CB268" s="20"/>
      <c r="CC268" s="20"/>
      <c r="CD268" s="20"/>
      <c r="CE268" s="20"/>
      <c r="CF268" s="20"/>
      <c r="CG268" s="20"/>
      <c r="CH268" s="20"/>
      <c r="CI268" s="20"/>
      <c r="CJ268" s="20"/>
      <c r="CK268" s="20"/>
      <c r="CL268" s="20"/>
      <c r="CM268" s="20"/>
      <c r="CN268" s="20"/>
      <c r="CO268" s="20"/>
      <c r="CP268" s="20"/>
      <c r="CQ268" s="20"/>
      <c r="CR268" s="20"/>
      <c r="CS268" s="20"/>
      <c r="CT268" s="20"/>
      <c r="CU268" s="20"/>
      <c r="CV268" s="20"/>
      <c r="CW268" s="20"/>
      <c r="CX268" s="20"/>
      <c r="CY268" s="20"/>
      <c r="CZ268" s="20"/>
      <c r="DA268" s="20"/>
      <c r="DB268" s="20"/>
      <c r="DC268" s="20"/>
      <c r="DD268" s="20"/>
      <c r="DE268" s="20"/>
      <c r="DF268" s="20"/>
      <c r="DG268" s="20"/>
      <c r="DH268" s="20"/>
      <c r="DI268" s="20"/>
      <c r="DJ268" s="20"/>
      <c r="DK268" s="20"/>
      <c r="DL268" s="20"/>
      <c r="DM268" s="20"/>
      <c r="DN268" s="20"/>
      <c r="DO268" s="20"/>
      <c r="DP268" s="20"/>
      <c r="DQ268" s="20"/>
      <c r="DR268" s="20"/>
      <c r="DS268" s="20"/>
      <c r="DT268" s="20"/>
      <c r="DU268" s="20"/>
      <c r="DV268" s="20"/>
      <c r="DW268" s="20"/>
      <c r="DX268" s="20"/>
      <c r="DY268" s="20"/>
      <c r="DZ268" s="20"/>
      <c r="EA268" s="20"/>
    </row>
    <row r="269" spans="2:131" ht="18" customHeight="1">
      <c r="B269" s="707"/>
      <c r="C269" s="707"/>
      <c r="D269" s="707"/>
      <c r="E269" s="707"/>
      <c r="F269" s="707"/>
      <c r="G269" s="707"/>
      <c r="H269" s="707"/>
      <c r="I269" s="707"/>
      <c r="J269" s="707"/>
      <c r="K269" s="707"/>
      <c r="L269" s="19"/>
      <c r="M269" s="20"/>
      <c r="N269" s="20"/>
      <c r="O269" s="20"/>
      <c r="P269" s="20"/>
      <c r="Q269" s="20"/>
      <c r="R269" s="20"/>
      <c r="S269" s="20"/>
      <c r="T269" s="20"/>
      <c r="U269" s="20"/>
      <c r="V269" s="20"/>
      <c r="W269" s="20"/>
      <c r="X269" s="20"/>
      <c r="Y269" s="20"/>
      <c r="Z269" s="20"/>
      <c r="AA269" s="20"/>
      <c r="AB269" s="20"/>
      <c r="AC269" s="20"/>
      <c r="AD269" s="20"/>
      <c r="AE269" s="20"/>
      <c r="AF269" s="20"/>
      <c r="AG269" s="20"/>
      <c r="AH269" s="20"/>
      <c r="AI269" s="20"/>
      <c r="AJ269" s="20"/>
      <c r="AK269" s="20"/>
      <c r="AL269" s="20"/>
      <c r="AM269" s="20"/>
      <c r="AN269" s="20"/>
      <c r="AO269" s="20"/>
      <c r="AP269" s="20"/>
      <c r="AQ269" s="20"/>
      <c r="AR269" s="20"/>
      <c r="AS269" s="20"/>
      <c r="AT269" s="20"/>
      <c r="AU269" s="20"/>
      <c r="AV269" s="20"/>
      <c r="AW269" s="20"/>
      <c r="AX269" s="20"/>
      <c r="AY269" s="20"/>
      <c r="AZ269" s="20"/>
      <c r="BA269" s="20"/>
      <c r="BB269" s="20"/>
      <c r="BC269" s="20"/>
      <c r="BD269" s="20"/>
      <c r="BE269" s="20"/>
      <c r="BF269" s="20"/>
      <c r="BG269" s="20"/>
      <c r="BH269" s="20"/>
      <c r="BI269" s="20"/>
      <c r="BJ269" s="20"/>
      <c r="BK269" s="20"/>
      <c r="BL269" s="20"/>
      <c r="BM269" s="20"/>
      <c r="BN269" s="20"/>
      <c r="BO269" s="20"/>
      <c r="BP269" s="20"/>
      <c r="BQ269" s="20"/>
      <c r="BR269" s="20"/>
      <c r="BS269" s="20"/>
      <c r="BT269" s="20"/>
      <c r="BU269" s="20"/>
      <c r="BV269" s="20"/>
      <c r="BW269" s="20"/>
      <c r="BX269" s="20"/>
      <c r="BY269" s="20"/>
      <c r="BZ269" s="20"/>
      <c r="CA269" s="20"/>
      <c r="CB269" s="20"/>
      <c r="CC269" s="20"/>
      <c r="CD269" s="20"/>
      <c r="CE269" s="20"/>
      <c r="CF269" s="20"/>
      <c r="CG269" s="20"/>
      <c r="CH269" s="20"/>
      <c r="CI269" s="20"/>
      <c r="CJ269" s="20"/>
      <c r="CK269" s="20"/>
      <c r="CL269" s="20"/>
      <c r="CM269" s="20"/>
      <c r="CN269" s="20"/>
      <c r="CO269" s="20"/>
      <c r="CP269" s="20"/>
      <c r="CQ269" s="20"/>
      <c r="CR269" s="20"/>
      <c r="CS269" s="20"/>
      <c r="CT269" s="20"/>
      <c r="CU269" s="20"/>
      <c r="CV269" s="20"/>
      <c r="CW269" s="20"/>
      <c r="CX269" s="20"/>
      <c r="CY269" s="20"/>
      <c r="CZ269" s="20"/>
      <c r="DA269" s="20"/>
      <c r="DB269" s="20"/>
      <c r="DC269" s="20"/>
      <c r="DD269" s="20"/>
      <c r="DE269" s="20"/>
      <c r="DF269" s="20"/>
      <c r="DG269" s="20"/>
      <c r="DH269" s="20"/>
      <c r="DI269" s="20"/>
      <c r="DJ269" s="20"/>
      <c r="DK269" s="20"/>
      <c r="DL269" s="20"/>
      <c r="DM269" s="20"/>
      <c r="DN269" s="20"/>
      <c r="DO269" s="20"/>
      <c r="DP269" s="20"/>
      <c r="DQ269" s="20"/>
      <c r="DR269" s="20"/>
      <c r="DS269" s="20"/>
      <c r="DT269" s="20"/>
      <c r="DU269" s="20"/>
      <c r="DV269" s="20"/>
      <c r="DW269" s="20"/>
      <c r="DX269" s="20"/>
      <c r="DY269" s="20"/>
      <c r="DZ269" s="20"/>
      <c r="EA269" s="20"/>
    </row>
    <row r="270" spans="2:131" ht="18" customHeight="1">
      <c r="B270" s="707"/>
      <c r="C270" s="707"/>
      <c r="D270" s="707"/>
      <c r="E270" s="707"/>
      <c r="F270" s="707"/>
      <c r="G270" s="707"/>
      <c r="H270" s="707"/>
      <c r="I270" s="707"/>
      <c r="J270" s="707"/>
      <c r="K270" s="707"/>
      <c r="L270" s="19"/>
      <c r="M270" s="20"/>
      <c r="N270" s="20"/>
      <c r="O270" s="20"/>
      <c r="P270" s="20"/>
      <c r="Q270" s="20"/>
      <c r="R270" s="20"/>
      <c r="S270" s="20"/>
      <c r="T270" s="20"/>
      <c r="U270" s="20"/>
      <c r="V270" s="20"/>
      <c r="W270" s="20"/>
      <c r="X270" s="20"/>
      <c r="Y270" s="20"/>
      <c r="Z270" s="20"/>
      <c r="AA270" s="20"/>
      <c r="AB270" s="20"/>
      <c r="AC270" s="20"/>
      <c r="AD270" s="20"/>
      <c r="AE270" s="20"/>
      <c r="AF270" s="20"/>
      <c r="AG270" s="20"/>
      <c r="AH270" s="20"/>
      <c r="AI270" s="20"/>
      <c r="AJ270" s="20"/>
      <c r="AK270" s="20"/>
      <c r="AL270" s="20"/>
      <c r="AM270" s="20"/>
      <c r="AN270" s="20"/>
      <c r="AO270" s="20"/>
      <c r="AP270" s="20"/>
      <c r="AQ270" s="20"/>
      <c r="AR270" s="20"/>
      <c r="AS270" s="20"/>
      <c r="AT270" s="20"/>
      <c r="AU270" s="20"/>
      <c r="AV270" s="20"/>
      <c r="AW270" s="20"/>
      <c r="AX270" s="20"/>
      <c r="AY270" s="20"/>
      <c r="AZ270" s="20"/>
      <c r="BA270" s="20"/>
      <c r="BB270" s="20"/>
      <c r="BC270" s="20"/>
      <c r="BD270" s="20"/>
      <c r="BE270" s="20"/>
      <c r="BF270" s="20"/>
      <c r="BG270" s="20"/>
      <c r="BH270" s="20"/>
      <c r="BI270" s="20"/>
      <c r="BJ270" s="20"/>
      <c r="BK270" s="20"/>
      <c r="BL270" s="20"/>
      <c r="BM270" s="20"/>
      <c r="BN270" s="20"/>
      <c r="BO270" s="20"/>
      <c r="BP270" s="20"/>
      <c r="BQ270" s="20"/>
      <c r="BR270" s="20"/>
      <c r="BS270" s="20"/>
      <c r="BT270" s="20"/>
      <c r="BU270" s="20"/>
      <c r="BV270" s="20"/>
      <c r="BW270" s="20"/>
      <c r="BX270" s="20"/>
      <c r="BY270" s="20"/>
      <c r="BZ270" s="20"/>
      <c r="CA270" s="20"/>
      <c r="CB270" s="20"/>
      <c r="CC270" s="20"/>
      <c r="CD270" s="20"/>
      <c r="CE270" s="20"/>
      <c r="CF270" s="20"/>
      <c r="CG270" s="20"/>
      <c r="CH270" s="20"/>
      <c r="CI270" s="20"/>
      <c r="CJ270" s="20"/>
      <c r="CK270" s="20"/>
      <c r="CL270" s="20"/>
      <c r="CM270" s="20"/>
      <c r="CN270" s="20"/>
      <c r="CO270" s="20"/>
      <c r="CP270" s="20"/>
      <c r="CQ270" s="20"/>
      <c r="CR270" s="20"/>
      <c r="CS270" s="20"/>
      <c r="CT270" s="20"/>
      <c r="CU270" s="20"/>
      <c r="CV270" s="20"/>
      <c r="CW270" s="20"/>
      <c r="CX270" s="20"/>
      <c r="CY270" s="20"/>
      <c r="CZ270" s="20"/>
      <c r="DA270" s="20"/>
      <c r="DB270" s="20"/>
      <c r="DC270" s="20"/>
      <c r="DD270" s="20"/>
      <c r="DE270" s="20"/>
      <c r="DF270" s="20"/>
      <c r="DG270" s="20"/>
      <c r="DH270" s="20"/>
      <c r="DI270" s="20"/>
      <c r="DJ270" s="20"/>
      <c r="DK270" s="20"/>
      <c r="DL270" s="20"/>
      <c r="DM270" s="20"/>
      <c r="DN270" s="20"/>
      <c r="DO270" s="20"/>
      <c r="DP270" s="20"/>
      <c r="DQ270" s="20"/>
      <c r="DR270" s="20"/>
      <c r="DS270" s="20"/>
      <c r="DT270" s="20"/>
      <c r="DU270" s="20"/>
      <c r="DV270" s="20"/>
      <c r="DW270" s="20"/>
      <c r="DX270" s="20"/>
      <c r="DY270" s="20"/>
      <c r="DZ270" s="20"/>
      <c r="EA270" s="20"/>
    </row>
    <row r="271" spans="2:131" ht="18" customHeight="1">
      <c r="B271" s="707"/>
      <c r="C271" s="707"/>
      <c r="D271" s="707"/>
      <c r="E271" s="707"/>
      <c r="F271" s="707"/>
      <c r="G271" s="707"/>
      <c r="H271" s="707"/>
      <c r="I271" s="707"/>
      <c r="J271" s="707"/>
      <c r="K271" s="707"/>
      <c r="L271" s="19"/>
      <c r="M271" s="20"/>
      <c r="N271" s="20"/>
      <c r="O271" s="20"/>
      <c r="P271" s="20"/>
      <c r="Q271" s="20"/>
      <c r="R271" s="20"/>
      <c r="S271" s="20"/>
      <c r="T271" s="20"/>
      <c r="U271" s="20"/>
      <c r="V271" s="20"/>
      <c r="W271" s="20"/>
      <c r="X271" s="20"/>
      <c r="Y271" s="20"/>
      <c r="Z271" s="20"/>
      <c r="AA271" s="20"/>
      <c r="AB271" s="20"/>
      <c r="AC271" s="20"/>
      <c r="AD271" s="20"/>
      <c r="AE271" s="20"/>
      <c r="AF271" s="20"/>
      <c r="AG271" s="20"/>
      <c r="AH271" s="20"/>
      <c r="AI271" s="20"/>
      <c r="AJ271" s="20"/>
      <c r="AK271" s="20"/>
      <c r="AL271" s="20"/>
      <c r="AM271" s="20"/>
      <c r="AN271" s="20"/>
      <c r="AO271" s="20"/>
      <c r="AP271" s="20"/>
      <c r="AQ271" s="20"/>
      <c r="AR271" s="20"/>
      <c r="AS271" s="20"/>
      <c r="AT271" s="20"/>
      <c r="AU271" s="20"/>
      <c r="AV271" s="20"/>
      <c r="AW271" s="20"/>
      <c r="AX271" s="20"/>
      <c r="AY271" s="20"/>
      <c r="AZ271" s="20"/>
      <c r="BA271" s="20"/>
      <c r="BB271" s="20"/>
      <c r="BC271" s="20"/>
      <c r="BD271" s="20"/>
      <c r="BE271" s="20"/>
      <c r="BF271" s="20"/>
      <c r="BG271" s="20"/>
      <c r="BH271" s="20"/>
      <c r="BI271" s="20"/>
      <c r="BJ271" s="20"/>
      <c r="BK271" s="20"/>
      <c r="BL271" s="20"/>
      <c r="BM271" s="20"/>
      <c r="BN271" s="20"/>
      <c r="BO271" s="20"/>
      <c r="BP271" s="20"/>
      <c r="BQ271" s="20"/>
      <c r="BR271" s="20"/>
      <c r="BS271" s="20"/>
      <c r="BT271" s="20"/>
      <c r="BU271" s="20"/>
      <c r="BV271" s="20"/>
      <c r="BW271" s="20"/>
      <c r="BX271" s="20"/>
      <c r="BY271" s="20"/>
      <c r="BZ271" s="20"/>
      <c r="CA271" s="20"/>
      <c r="CB271" s="20"/>
      <c r="CC271" s="20"/>
      <c r="CD271" s="20"/>
      <c r="CE271" s="20"/>
      <c r="CF271" s="20"/>
      <c r="CG271" s="20"/>
      <c r="CH271" s="20"/>
      <c r="CI271" s="20"/>
      <c r="CJ271" s="20"/>
      <c r="CK271" s="20"/>
      <c r="CL271" s="20"/>
      <c r="CM271" s="20"/>
      <c r="CN271" s="20"/>
      <c r="CO271" s="20"/>
      <c r="CP271" s="20"/>
      <c r="CQ271" s="20"/>
      <c r="CR271" s="20"/>
      <c r="CS271" s="20"/>
      <c r="CT271" s="20"/>
      <c r="CU271" s="20"/>
      <c r="CV271" s="20"/>
      <c r="CW271" s="20"/>
      <c r="CX271" s="20"/>
      <c r="CY271" s="20"/>
      <c r="CZ271" s="20"/>
      <c r="DA271" s="20"/>
      <c r="DB271" s="20"/>
      <c r="DC271" s="20"/>
      <c r="DD271" s="20"/>
      <c r="DE271" s="20"/>
      <c r="DF271" s="20"/>
      <c r="DG271" s="20"/>
      <c r="DH271" s="20"/>
      <c r="DI271" s="20"/>
      <c r="DJ271" s="20"/>
      <c r="DK271" s="20"/>
      <c r="DL271" s="20"/>
      <c r="DM271" s="20"/>
      <c r="DN271" s="20"/>
      <c r="DO271" s="20"/>
      <c r="DP271" s="20"/>
      <c r="DQ271" s="20"/>
      <c r="DR271" s="20"/>
      <c r="DS271" s="20"/>
      <c r="DT271" s="20"/>
      <c r="DU271" s="20"/>
      <c r="DV271" s="20"/>
      <c r="DW271" s="20"/>
      <c r="DX271" s="20"/>
      <c r="DY271" s="20"/>
      <c r="DZ271" s="20"/>
      <c r="EA271" s="20"/>
    </row>
    <row r="272" spans="2:131" ht="18" customHeight="1">
      <c r="B272" s="707"/>
      <c r="C272" s="707"/>
      <c r="D272" s="707"/>
      <c r="E272" s="707"/>
      <c r="F272" s="707"/>
      <c r="G272" s="707"/>
      <c r="H272" s="707"/>
      <c r="I272" s="707"/>
      <c r="J272" s="707"/>
      <c r="K272" s="707"/>
      <c r="L272" s="19"/>
      <c r="M272" s="20"/>
      <c r="N272" s="20"/>
      <c r="O272" s="20"/>
      <c r="P272" s="20"/>
      <c r="Q272" s="20"/>
      <c r="R272" s="20"/>
      <c r="S272" s="20"/>
      <c r="T272" s="20"/>
      <c r="U272" s="20"/>
      <c r="V272" s="20"/>
      <c r="W272" s="20"/>
      <c r="X272" s="20"/>
      <c r="Y272" s="20"/>
      <c r="Z272" s="20"/>
      <c r="AA272" s="20"/>
      <c r="AB272" s="20"/>
      <c r="AC272" s="20"/>
      <c r="AD272" s="20"/>
      <c r="AE272" s="20"/>
      <c r="AF272" s="20"/>
      <c r="AG272" s="20"/>
      <c r="AH272" s="20"/>
      <c r="AI272" s="20"/>
      <c r="AJ272" s="20"/>
      <c r="AK272" s="20"/>
      <c r="AL272" s="20"/>
      <c r="AM272" s="20"/>
      <c r="AN272" s="20"/>
      <c r="AO272" s="20"/>
      <c r="AP272" s="20"/>
      <c r="AQ272" s="20"/>
      <c r="AR272" s="20"/>
      <c r="AS272" s="20"/>
      <c r="AT272" s="20"/>
      <c r="AU272" s="20"/>
      <c r="AV272" s="20"/>
      <c r="AW272" s="20"/>
      <c r="AX272" s="20"/>
      <c r="AY272" s="20"/>
      <c r="AZ272" s="20"/>
      <c r="BA272" s="20"/>
      <c r="BB272" s="20"/>
      <c r="BC272" s="20"/>
      <c r="BD272" s="20"/>
      <c r="BE272" s="20"/>
      <c r="BF272" s="20"/>
      <c r="BG272" s="20"/>
      <c r="BH272" s="20"/>
      <c r="BI272" s="20"/>
      <c r="BJ272" s="20"/>
      <c r="BK272" s="20"/>
      <c r="BL272" s="20"/>
      <c r="BM272" s="20"/>
      <c r="BN272" s="20"/>
      <c r="BO272" s="20"/>
      <c r="BP272" s="20"/>
      <c r="BQ272" s="20"/>
      <c r="BR272" s="20"/>
      <c r="BS272" s="20"/>
      <c r="BT272" s="20"/>
      <c r="BU272" s="20"/>
      <c r="BV272" s="20"/>
      <c r="BW272" s="20"/>
      <c r="BX272" s="20"/>
      <c r="BY272" s="20"/>
      <c r="BZ272" s="20"/>
      <c r="CA272" s="20"/>
      <c r="CB272" s="20"/>
      <c r="CC272" s="20"/>
      <c r="CD272" s="20"/>
      <c r="CE272" s="20"/>
      <c r="CF272" s="20"/>
      <c r="CG272" s="20"/>
      <c r="CH272" s="20"/>
      <c r="CI272" s="20"/>
      <c r="CJ272" s="20"/>
      <c r="CK272" s="20"/>
      <c r="CL272" s="20"/>
      <c r="CM272" s="20"/>
      <c r="CN272" s="20"/>
      <c r="CO272" s="20"/>
      <c r="CP272" s="20"/>
      <c r="CQ272" s="20"/>
      <c r="CR272" s="20"/>
      <c r="CS272" s="20"/>
      <c r="CT272" s="20"/>
      <c r="CU272" s="20"/>
      <c r="CV272" s="20"/>
      <c r="CW272" s="20"/>
      <c r="CX272" s="20"/>
      <c r="CY272" s="20"/>
      <c r="CZ272" s="20"/>
      <c r="DA272" s="20"/>
      <c r="DB272" s="20"/>
      <c r="DC272" s="20"/>
      <c r="DD272" s="20"/>
      <c r="DE272" s="20"/>
      <c r="DF272" s="20"/>
      <c r="DG272" s="20"/>
      <c r="DH272" s="20"/>
      <c r="DI272" s="20"/>
      <c r="DJ272" s="20"/>
      <c r="DK272" s="20"/>
      <c r="DL272" s="20"/>
      <c r="DM272" s="20"/>
      <c r="DN272" s="20"/>
      <c r="DO272" s="20"/>
      <c r="DP272" s="20"/>
      <c r="DQ272" s="20"/>
      <c r="DR272" s="20"/>
      <c r="DS272" s="20"/>
      <c r="DT272" s="20"/>
      <c r="DU272" s="20"/>
      <c r="DV272" s="20"/>
      <c r="DW272" s="20"/>
      <c r="DX272" s="20"/>
      <c r="DY272" s="20"/>
      <c r="DZ272" s="20"/>
      <c r="EA272" s="20"/>
    </row>
    <row r="273" spans="2:131" ht="18" customHeight="1">
      <c r="B273" s="707"/>
      <c r="C273" s="707"/>
      <c r="D273" s="707"/>
      <c r="E273" s="707"/>
      <c r="F273" s="707"/>
      <c r="G273" s="707"/>
      <c r="H273" s="707"/>
      <c r="I273" s="707"/>
      <c r="J273" s="707"/>
      <c r="K273" s="707"/>
      <c r="L273" s="19"/>
      <c r="M273" s="20"/>
      <c r="N273" s="20"/>
      <c r="O273" s="20"/>
      <c r="P273" s="20"/>
      <c r="Q273" s="20"/>
      <c r="R273" s="20"/>
      <c r="S273" s="20"/>
      <c r="T273" s="20"/>
      <c r="U273" s="20"/>
      <c r="V273" s="20"/>
      <c r="W273" s="20"/>
      <c r="X273" s="20"/>
      <c r="Y273" s="20"/>
      <c r="Z273" s="20"/>
      <c r="AA273" s="20"/>
      <c r="AB273" s="20"/>
      <c r="AC273" s="20"/>
      <c r="AD273" s="20"/>
      <c r="AE273" s="20"/>
      <c r="AF273" s="20"/>
      <c r="AG273" s="20"/>
      <c r="AH273" s="20"/>
      <c r="AI273" s="20"/>
      <c r="AJ273" s="20"/>
      <c r="AK273" s="20"/>
      <c r="AL273" s="20"/>
      <c r="AM273" s="20"/>
      <c r="AN273" s="20"/>
      <c r="AO273" s="20"/>
      <c r="AP273" s="20"/>
      <c r="AQ273" s="20"/>
      <c r="AR273" s="20"/>
      <c r="AS273" s="20"/>
      <c r="AT273" s="20"/>
      <c r="AU273" s="20"/>
      <c r="AV273" s="20"/>
      <c r="AW273" s="20"/>
      <c r="AX273" s="20"/>
      <c r="AY273" s="20"/>
      <c r="AZ273" s="20"/>
      <c r="BA273" s="20"/>
      <c r="BB273" s="20"/>
      <c r="BC273" s="20"/>
      <c r="BD273" s="20"/>
      <c r="BE273" s="20"/>
      <c r="BF273" s="20"/>
      <c r="BG273" s="20"/>
      <c r="BH273" s="20"/>
      <c r="BI273" s="20"/>
      <c r="BJ273" s="20"/>
      <c r="BK273" s="20"/>
      <c r="BL273" s="20"/>
      <c r="BM273" s="20"/>
      <c r="BN273" s="20"/>
      <c r="BO273" s="20"/>
      <c r="BP273" s="20"/>
      <c r="BQ273" s="20"/>
      <c r="BR273" s="20"/>
      <c r="BS273" s="20"/>
      <c r="BT273" s="20"/>
      <c r="BU273" s="20"/>
      <c r="BV273" s="20"/>
      <c r="BW273" s="20"/>
      <c r="BX273" s="20"/>
      <c r="BY273" s="20"/>
      <c r="BZ273" s="20"/>
      <c r="CA273" s="20"/>
      <c r="CB273" s="20"/>
      <c r="CC273" s="20"/>
      <c r="CD273" s="20"/>
      <c r="CE273" s="20"/>
      <c r="CF273" s="20"/>
      <c r="CG273" s="20"/>
      <c r="CH273" s="20"/>
      <c r="CI273" s="20"/>
      <c r="CJ273" s="20"/>
      <c r="CK273" s="20"/>
      <c r="CL273" s="20"/>
      <c r="CM273" s="20"/>
      <c r="CN273" s="20"/>
      <c r="CO273" s="20"/>
      <c r="CP273" s="20"/>
      <c r="CQ273" s="20"/>
      <c r="CR273" s="20"/>
      <c r="CS273" s="20"/>
      <c r="CT273" s="20"/>
      <c r="CU273" s="20"/>
      <c r="CV273" s="20"/>
      <c r="CW273" s="20"/>
      <c r="CX273" s="20"/>
      <c r="CY273" s="20"/>
      <c r="CZ273" s="20"/>
      <c r="DA273" s="20"/>
      <c r="DB273" s="20"/>
      <c r="DC273" s="20"/>
      <c r="DD273" s="20"/>
      <c r="DE273" s="20"/>
      <c r="DF273" s="20"/>
      <c r="DG273" s="20"/>
      <c r="DH273" s="20"/>
      <c r="DI273" s="20"/>
      <c r="DJ273" s="20"/>
      <c r="DK273" s="20"/>
      <c r="DL273" s="20"/>
      <c r="DM273" s="20"/>
      <c r="DN273" s="20"/>
      <c r="DO273" s="20"/>
      <c r="DP273" s="20"/>
      <c r="DQ273" s="20"/>
      <c r="DR273" s="20"/>
      <c r="DS273" s="20"/>
      <c r="DT273" s="20"/>
      <c r="DU273" s="20"/>
      <c r="DV273" s="20"/>
      <c r="DW273" s="20"/>
      <c r="DX273" s="20"/>
      <c r="DY273" s="20"/>
      <c r="DZ273" s="20"/>
      <c r="EA273" s="20"/>
    </row>
    <row r="274" spans="2:131" ht="18" customHeight="1">
      <c r="B274" s="708"/>
      <c r="C274" s="708"/>
      <c r="D274" s="707"/>
      <c r="E274" s="707"/>
      <c r="F274" s="707"/>
      <c r="G274" s="707"/>
      <c r="H274" s="707"/>
      <c r="I274" s="707"/>
      <c r="J274" s="707"/>
      <c r="K274" s="707"/>
      <c r="L274" s="19"/>
      <c r="M274" s="20"/>
      <c r="N274" s="20"/>
      <c r="O274" s="20"/>
      <c r="P274" s="20"/>
      <c r="Q274" s="20"/>
      <c r="R274" s="20"/>
      <c r="S274" s="20"/>
      <c r="T274" s="20"/>
      <c r="U274" s="20"/>
      <c r="V274" s="20"/>
      <c r="W274" s="20"/>
      <c r="X274" s="20"/>
      <c r="Y274" s="20"/>
      <c r="Z274" s="20"/>
      <c r="AA274" s="20"/>
      <c r="AB274" s="20"/>
      <c r="AC274" s="20"/>
      <c r="AD274" s="20"/>
      <c r="AE274" s="20"/>
      <c r="AF274" s="20"/>
      <c r="AG274" s="20"/>
      <c r="AH274" s="20"/>
      <c r="AI274" s="20"/>
      <c r="AJ274" s="20"/>
      <c r="AK274" s="20"/>
      <c r="AL274" s="20"/>
      <c r="AM274" s="20"/>
      <c r="AN274" s="20"/>
      <c r="AO274" s="20"/>
      <c r="AP274" s="20"/>
      <c r="AQ274" s="20"/>
      <c r="AR274" s="20"/>
      <c r="AS274" s="20"/>
      <c r="AT274" s="20"/>
      <c r="AU274" s="20"/>
      <c r="AV274" s="20"/>
      <c r="AW274" s="20"/>
      <c r="AX274" s="20"/>
      <c r="AY274" s="20"/>
      <c r="AZ274" s="20"/>
      <c r="BA274" s="20"/>
      <c r="BB274" s="20"/>
      <c r="BC274" s="20"/>
      <c r="BD274" s="20"/>
      <c r="BE274" s="20"/>
      <c r="BF274" s="20"/>
      <c r="BG274" s="20"/>
      <c r="BH274" s="20"/>
      <c r="BI274" s="20"/>
      <c r="BJ274" s="20"/>
      <c r="BK274" s="20"/>
      <c r="BL274" s="20"/>
      <c r="BM274" s="20"/>
      <c r="BN274" s="20"/>
      <c r="BO274" s="20"/>
      <c r="BP274" s="20"/>
      <c r="BQ274" s="20"/>
      <c r="BR274" s="20"/>
      <c r="BS274" s="20"/>
      <c r="BT274" s="20"/>
      <c r="BU274" s="20"/>
      <c r="BV274" s="20"/>
      <c r="BW274" s="20"/>
      <c r="BX274" s="20"/>
      <c r="BY274" s="20"/>
      <c r="BZ274" s="20"/>
      <c r="CA274" s="20"/>
      <c r="CB274" s="20"/>
      <c r="CC274" s="20"/>
      <c r="CD274" s="20"/>
      <c r="CE274" s="20"/>
      <c r="CF274" s="20"/>
      <c r="CG274" s="20"/>
      <c r="CH274" s="20"/>
      <c r="CI274" s="20"/>
      <c r="CJ274" s="20"/>
      <c r="CK274" s="20"/>
      <c r="CL274" s="20"/>
      <c r="CM274" s="20"/>
      <c r="CN274" s="20"/>
      <c r="CO274" s="20"/>
      <c r="CP274" s="20"/>
      <c r="CQ274" s="20"/>
      <c r="CR274" s="20"/>
      <c r="CS274" s="20"/>
      <c r="CT274" s="20"/>
      <c r="CU274" s="20"/>
      <c r="CV274" s="20"/>
      <c r="CW274" s="20"/>
      <c r="CX274" s="20"/>
      <c r="CY274" s="20"/>
      <c r="CZ274" s="20"/>
      <c r="DA274" s="20"/>
      <c r="DB274" s="20"/>
      <c r="DC274" s="20"/>
      <c r="DD274" s="20"/>
      <c r="DE274" s="20"/>
      <c r="DF274" s="20"/>
      <c r="DG274" s="20"/>
      <c r="DH274" s="20"/>
      <c r="DI274" s="20"/>
      <c r="DJ274" s="20"/>
      <c r="DK274" s="20"/>
      <c r="DL274" s="20"/>
      <c r="DM274" s="20"/>
      <c r="DN274" s="20"/>
      <c r="DO274" s="20"/>
      <c r="DP274" s="20"/>
      <c r="DQ274" s="20"/>
      <c r="DR274" s="20"/>
      <c r="DS274" s="20"/>
      <c r="DT274" s="20"/>
      <c r="DU274" s="20"/>
      <c r="DV274" s="20"/>
      <c r="DW274" s="20"/>
      <c r="DX274" s="20"/>
      <c r="DY274" s="20"/>
      <c r="DZ274" s="20"/>
      <c r="EA274" s="20"/>
    </row>
    <row r="275" spans="2:131" ht="18" customHeight="1">
      <c r="B275" s="707"/>
      <c r="C275" s="707"/>
      <c r="D275" s="707"/>
      <c r="E275" s="707"/>
      <c r="F275" s="707"/>
      <c r="G275" s="707"/>
      <c r="H275" s="707"/>
      <c r="I275" s="707"/>
      <c r="J275" s="707"/>
      <c r="K275" s="707"/>
      <c r="L275" s="19"/>
      <c r="M275" s="20"/>
      <c r="N275" s="20"/>
      <c r="O275" s="20"/>
      <c r="P275" s="20"/>
      <c r="Q275" s="20"/>
      <c r="R275" s="20"/>
      <c r="S275" s="20"/>
      <c r="T275" s="20"/>
      <c r="U275" s="20"/>
      <c r="V275" s="20"/>
      <c r="W275" s="20"/>
      <c r="X275" s="20"/>
      <c r="Y275" s="20"/>
      <c r="Z275" s="20"/>
      <c r="AA275" s="20"/>
      <c r="AB275" s="20"/>
      <c r="AC275" s="20"/>
      <c r="AD275" s="20"/>
      <c r="AE275" s="20"/>
      <c r="AF275" s="20"/>
      <c r="AG275" s="20"/>
      <c r="AH275" s="20"/>
      <c r="AI275" s="20"/>
      <c r="AJ275" s="20"/>
      <c r="AK275" s="20"/>
      <c r="AL275" s="20"/>
      <c r="AM275" s="20"/>
      <c r="AN275" s="20"/>
      <c r="AO275" s="20"/>
      <c r="AP275" s="20"/>
      <c r="AQ275" s="20"/>
      <c r="AR275" s="20"/>
      <c r="AS275" s="20"/>
      <c r="AT275" s="20"/>
      <c r="AU275" s="20"/>
      <c r="AV275" s="20"/>
      <c r="AW275" s="20"/>
      <c r="AX275" s="20"/>
      <c r="AY275" s="20"/>
      <c r="AZ275" s="20"/>
      <c r="BA275" s="20"/>
      <c r="BB275" s="20"/>
      <c r="BC275" s="20"/>
      <c r="BD275" s="20"/>
      <c r="BE275" s="20"/>
      <c r="BF275" s="20"/>
      <c r="BG275" s="20"/>
      <c r="BH275" s="20"/>
      <c r="BI275" s="20"/>
      <c r="BJ275" s="20"/>
      <c r="BK275" s="20"/>
      <c r="BL275" s="20"/>
      <c r="BM275" s="20"/>
      <c r="BN275" s="20"/>
      <c r="BO275" s="20"/>
      <c r="BP275" s="20"/>
      <c r="BQ275" s="20"/>
      <c r="BR275" s="20"/>
      <c r="BS275" s="20"/>
      <c r="BT275" s="20"/>
      <c r="BU275" s="20"/>
      <c r="BV275" s="20"/>
      <c r="BW275" s="20"/>
      <c r="BX275" s="20"/>
      <c r="BY275" s="20"/>
      <c r="BZ275" s="20"/>
      <c r="CA275" s="20"/>
      <c r="CB275" s="20"/>
      <c r="CC275" s="20"/>
      <c r="CD275" s="20"/>
      <c r="CE275" s="20"/>
      <c r="CF275" s="20"/>
      <c r="CG275" s="20"/>
      <c r="CH275" s="20"/>
      <c r="CI275" s="20"/>
      <c r="CJ275" s="20"/>
      <c r="CK275" s="20"/>
      <c r="CL275" s="20"/>
      <c r="CM275" s="20"/>
      <c r="CN275" s="20"/>
      <c r="CO275" s="20"/>
      <c r="CP275" s="20"/>
      <c r="CQ275" s="20"/>
      <c r="CR275" s="20"/>
      <c r="CS275" s="20"/>
      <c r="CT275" s="20"/>
      <c r="CU275" s="20"/>
      <c r="CV275" s="20"/>
      <c r="CW275" s="20"/>
      <c r="CX275" s="20"/>
      <c r="CY275" s="20"/>
      <c r="CZ275" s="20"/>
      <c r="DA275" s="20"/>
      <c r="DB275" s="20"/>
      <c r="DC275" s="20"/>
      <c r="DD275" s="20"/>
      <c r="DE275" s="20"/>
      <c r="DF275" s="20"/>
      <c r="DG275" s="20"/>
      <c r="DH275" s="20"/>
      <c r="DI275" s="20"/>
      <c r="DJ275" s="20"/>
      <c r="DK275" s="20"/>
      <c r="DL275" s="20"/>
      <c r="DM275" s="20"/>
      <c r="DN275" s="20"/>
      <c r="DO275" s="20"/>
      <c r="DP275" s="20"/>
      <c r="DQ275" s="20"/>
      <c r="DR275" s="20"/>
      <c r="DS275" s="20"/>
      <c r="DT275" s="20"/>
      <c r="DU275" s="20"/>
      <c r="DV275" s="20"/>
      <c r="DW275" s="20"/>
      <c r="DX275" s="20"/>
      <c r="DY275" s="20"/>
      <c r="DZ275" s="20"/>
      <c r="EA275" s="20"/>
    </row>
    <row r="276" spans="2:131" ht="18" customHeight="1">
      <c r="B276" s="707"/>
      <c r="C276" s="707"/>
      <c r="D276" s="707"/>
      <c r="E276" s="707"/>
      <c r="F276" s="707"/>
      <c r="G276" s="707"/>
      <c r="H276" s="707"/>
      <c r="I276" s="707"/>
      <c r="J276" s="707"/>
      <c r="K276" s="707"/>
      <c r="L276" s="19"/>
      <c r="M276" s="20"/>
      <c r="N276" s="20"/>
      <c r="O276" s="20"/>
      <c r="P276" s="20"/>
      <c r="Q276" s="20"/>
      <c r="R276" s="20"/>
      <c r="S276" s="20"/>
      <c r="T276" s="20"/>
      <c r="U276" s="20"/>
      <c r="V276" s="20"/>
      <c r="W276" s="20"/>
      <c r="X276" s="20"/>
      <c r="Y276" s="20"/>
      <c r="Z276" s="20"/>
      <c r="AA276" s="20"/>
      <c r="AB276" s="20"/>
      <c r="AC276" s="20"/>
      <c r="AD276" s="20"/>
      <c r="AE276" s="20"/>
      <c r="AF276" s="20"/>
      <c r="AG276" s="20"/>
      <c r="AH276" s="20"/>
      <c r="AI276" s="20"/>
      <c r="AJ276" s="20"/>
      <c r="AK276" s="20"/>
      <c r="AL276" s="20"/>
      <c r="AM276" s="20"/>
      <c r="AN276" s="20"/>
      <c r="AO276" s="20"/>
      <c r="AP276" s="20"/>
      <c r="AQ276" s="20"/>
      <c r="AR276" s="20"/>
      <c r="AS276" s="20"/>
      <c r="AT276" s="20"/>
      <c r="AU276" s="20"/>
      <c r="AV276" s="20"/>
      <c r="AW276" s="20"/>
      <c r="AX276" s="20"/>
      <c r="AY276" s="20"/>
      <c r="AZ276" s="20"/>
      <c r="BA276" s="20"/>
      <c r="BB276" s="20"/>
      <c r="BC276" s="20"/>
      <c r="BD276" s="20"/>
      <c r="BE276" s="20"/>
      <c r="BF276" s="20"/>
      <c r="BG276" s="20"/>
      <c r="BH276" s="20"/>
      <c r="BI276" s="20"/>
      <c r="BJ276" s="20"/>
      <c r="BK276" s="20"/>
      <c r="BL276" s="20"/>
      <c r="BM276" s="20"/>
      <c r="BN276" s="20"/>
      <c r="BO276" s="20"/>
      <c r="BP276" s="20"/>
      <c r="BQ276" s="20"/>
      <c r="BR276" s="20"/>
      <c r="BS276" s="20"/>
      <c r="BT276" s="20"/>
      <c r="BU276" s="20"/>
      <c r="BV276" s="20"/>
      <c r="BW276" s="20"/>
      <c r="BX276" s="20"/>
      <c r="BY276" s="20"/>
      <c r="BZ276" s="20"/>
      <c r="CA276" s="20"/>
      <c r="CB276" s="20"/>
      <c r="CC276" s="20"/>
      <c r="CD276" s="20"/>
      <c r="CE276" s="20"/>
      <c r="CF276" s="20"/>
      <c r="CG276" s="20"/>
      <c r="CH276" s="20"/>
      <c r="CI276" s="20"/>
      <c r="CJ276" s="20"/>
      <c r="CK276" s="20"/>
      <c r="CL276" s="20"/>
      <c r="CM276" s="20"/>
      <c r="CN276" s="20"/>
      <c r="CO276" s="20"/>
      <c r="CP276" s="20"/>
      <c r="CQ276" s="20"/>
      <c r="CR276" s="20"/>
      <c r="CS276" s="20"/>
      <c r="CT276" s="20"/>
      <c r="CU276" s="20"/>
      <c r="CV276" s="20"/>
      <c r="CW276" s="20"/>
      <c r="CX276" s="20"/>
      <c r="CY276" s="20"/>
      <c r="CZ276" s="20"/>
      <c r="DA276" s="20"/>
      <c r="DB276" s="20"/>
      <c r="DC276" s="20"/>
      <c r="DD276" s="20"/>
      <c r="DE276" s="20"/>
      <c r="DF276" s="20"/>
      <c r="DG276" s="20"/>
      <c r="DH276" s="20"/>
      <c r="DI276" s="20"/>
      <c r="DJ276" s="20"/>
      <c r="DK276" s="20"/>
      <c r="DL276" s="20"/>
      <c r="DM276" s="20"/>
      <c r="DN276" s="20"/>
      <c r="DO276" s="20"/>
      <c r="DP276" s="20"/>
      <c r="DQ276" s="20"/>
      <c r="DR276" s="20"/>
      <c r="DS276" s="20"/>
      <c r="DT276" s="20"/>
      <c r="DU276" s="20"/>
      <c r="DV276" s="20"/>
      <c r="DW276" s="20"/>
      <c r="DX276" s="20"/>
      <c r="DY276" s="20"/>
      <c r="DZ276" s="20"/>
      <c r="EA276" s="20"/>
    </row>
    <row r="277" spans="2:131" ht="18" customHeight="1">
      <c r="B277" s="707"/>
      <c r="C277" s="707"/>
      <c r="D277" s="707"/>
      <c r="E277" s="707"/>
      <c r="F277" s="707"/>
      <c r="G277" s="707"/>
      <c r="H277" s="707"/>
      <c r="I277" s="707"/>
      <c r="J277" s="707"/>
      <c r="K277" s="707"/>
      <c r="L277" s="19"/>
      <c r="M277" s="20"/>
      <c r="N277" s="20"/>
      <c r="O277" s="20"/>
      <c r="P277" s="20"/>
      <c r="Q277" s="20"/>
      <c r="R277" s="20"/>
      <c r="S277" s="20"/>
      <c r="T277" s="20"/>
      <c r="U277" s="20"/>
      <c r="V277" s="20"/>
      <c r="W277" s="20"/>
      <c r="X277" s="20"/>
      <c r="Y277" s="20"/>
      <c r="Z277" s="20"/>
      <c r="AA277" s="20"/>
      <c r="AB277" s="20"/>
      <c r="AC277" s="20"/>
      <c r="AD277" s="20"/>
      <c r="AE277" s="20"/>
      <c r="AF277" s="20"/>
      <c r="AG277" s="20"/>
      <c r="AH277" s="20"/>
      <c r="AI277" s="20"/>
      <c r="AJ277" s="20"/>
      <c r="AK277" s="20"/>
      <c r="AL277" s="20"/>
      <c r="AM277" s="20"/>
      <c r="AN277" s="20"/>
      <c r="AO277" s="20"/>
      <c r="AP277" s="20"/>
      <c r="AQ277" s="20"/>
      <c r="AR277" s="20"/>
      <c r="AS277" s="20"/>
      <c r="AT277" s="20"/>
      <c r="AU277" s="20"/>
      <c r="AV277" s="20"/>
      <c r="AW277" s="20"/>
      <c r="AX277" s="20"/>
      <c r="AY277" s="20"/>
      <c r="AZ277" s="20"/>
      <c r="BA277" s="20"/>
      <c r="BB277" s="20"/>
      <c r="BC277" s="20"/>
      <c r="BD277" s="20"/>
      <c r="BE277" s="20"/>
      <c r="BF277" s="20"/>
      <c r="BG277" s="20"/>
      <c r="BH277" s="20"/>
      <c r="BI277" s="20"/>
      <c r="BJ277" s="20"/>
      <c r="BK277" s="20"/>
      <c r="BL277" s="20"/>
      <c r="BM277" s="20"/>
      <c r="BN277" s="20"/>
      <c r="BO277" s="20"/>
      <c r="BP277" s="20"/>
      <c r="BQ277" s="20"/>
      <c r="BR277" s="20"/>
      <c r="BS277" s="20"/>
      <c r="BT277" s="20"/>
      <c r="BU277" s="20"/>
      <c r="BV277" s="20"/>
      <c r="BW277" s="20"/>
      <c r="BX277" s="20"/>
      <c r="BY277" s="20"/>
      <c r="BZ277" s="20"/>
      <c r="CA277" s="20"/>
      <c r="CB277" s="20"/>
      <c r="CC277" s="20"/>
      <c r="CD277" s="20"/>
      <c r="CE277" s="20"/>
      <c r="CF277" s="20"/>
      <c r="CG277" s="20"/>
      <c r="CH277" s="20"/>
      <c r="CI277" s="20"/>
      <c r="CJ277" s="20"/>
      <c r="CK277" s="20"/>
      <c r="CL277" s="20"/>
      <c r="CM277" s="20"/>
      <c r="CN277" s="20"/>
      <c r="CO277" s="20"/>
      <c r="CP277" s="20"/>
      <c r="CQ277" s="20"/>
      <c r="CR277" s="20"/>
      <c r="CS277" s="20"/>
      <c r="CT277" s="20"/>
      <c r="CU277" s="20"/>
      <c r="CV277" s="20"/>
      <c r="CW277" s="20"/>
      <c r="CX277" s="20"/>
      <c r="CY277" s="20"/>
      <c r="CZ277" s="20"/>
      <c r="DA277" s="20"/>
      <c r="DB277" s="20"/>
      <c r="DC277" s="20"/>
      <c r="DD277" s="20"/>
      <c r="DE277" s="20"/>
      <c r="DF277" s="20"/>
      <c r="DG277" s="20"/>
      <c r="DH277" s="20"/>
      <c r="DI277" s="20"/>
      <c r="DJ277" s="20"/>
      <c r="DK277" s="20"/>
      <c r="DL277" s="20"/>
      <c r="DM277" s="20"/>
      <c r="DN277" s="20"/>
      <c r="DO277" s="20"/>
      <c r="DP277" s="20"/>
      <c r="DQ277" s="20"/>
      <c r="DR277" s="20"/>
      <c r="DS277" s="20"/>
      <c r="DT277" s="20"/>
      <c r="DU277" s="20"/>
      <c r="DV277" s="20"/>
      <c r="DW277" s="20"/>
      <c r="DX277" s="20"/>
      <c r="DY277" s="20"/>
      <c r="DZ277" s="20"/>
      <c r="EA277" s="20"/>
    </row>
    <row r="278" spans="2:131" ht="18" customHeight="1">
      <c r="B278" s="707"/>
      <c r="C278" s="707"/>
      <c r="D278" s="707"/>
      <c r="E278" s="707"/>
      <c r="F278" s="707"/>
      <c r="G278" s="707"/>
      <c r="H278" s="707"/>
      <c r="I278" s="707"/>
      <c r="J278" s="707"/>
      <c r="K278" s="707"/>
      <c r="L278" s="19"/>
      <c r="M278" s="20"/>
      <c r="N278" s="20"/>
      <c r="O278" s="20"/>
      <c r="P278" s="20"/>
      <c r="Q278" s="20"/>
      <c r="R278" s="20"/>
      <c r="S278" s="20"/>
      <c r="T278" s="20"/>
      <c r="U278" s="20"/>
      <c r="V278" s="20"/>
      <c r="W278" s="20"/>
      <c r="X278" s="20"/>
      <c r="Y278" s="20"/>
      <c r="Z278" s="20"/>
      <c r="AA278" s="20"/>
      <c r="AB278" s="20"/>
      <c r="AC278" s="20"/>
      <c r="AD278" s="20"/>
      <c r="AE278" s="20"/>
      <c r="AF278" s="20"/>
      <c r="AG278" s="20"/>
      <c r="AH278" s="20"/>
      <c r="AI278" s="20"/>
      <c r="AJ278" s="20"/>
      <c r="AK278" s="20"/>
      <c r="AL278" s="20"/>
      <c r="AM278" s="20"/>
      <c r="AN278" s="20"/>
      <c r="AO278" s="20"/>
      <c r="AP278" s="20"/>
      <c r="AQ278" s="20"/>
      <c r="AR278" s="20"/>
      <c r="AS278" s="20"/>
      <c r="AT278" s="20"/>
      <c r="AU278" s="20"/>
      <c r="AV278" s="20"/>
      <c r="AW278" s="20"/>
      <c r="AX278" s="20"/>
      <c r="AY278" s="20"/>
      <c r="AZ278" s="20"/>
      <c r="BA278" s="20"/>
      <c r="BB278" s="20"/>
      <c r="BC278" s="20"/>
      <c r="BD278" s="20"/>
      <c r="BE278" s="20"/>
      <c r="BF278" s="20"/>
      <c r="BG278" s="20"/>
      <c r="BH278" s="20"/>
      <c r="BI278" s="20"/>
      <c r="BJ278" s="20"/>
      <c r="BK278" s="20"/>
      <c r="BL278" s="20"/>
      <c r="BM278" s="20"/>
      <c r="BN278" s="20"/>
      <c r="BO278" s="20"/>
      <c r="BP278" s="20"/>
      <c r="BQ278" s="20"/>
      <c r="BR278" s="20"/>
      <c r="BS278" s="20"/>
      <c r="BT278" s="20"/>
      <c r="BU278" s="20"/>
      <c r="BV278" s="20"/>
      <c r="BW278" s="20"/>
      <c r="BX278" s="20"/>
      <c r="BY278" s="20"/>
      <c r="BZ278" s="20"/>
      <c r="CA278" s="20"/>
      <c r="CB278" s="20"/>
      <c r="CC278" s="20"/>
      <c r="CD278" s="20"/>
      <c r="CE278" s="20"/>
      <c r="CF278" s="20"/>
      <c r="CG278" s="20"/>
      <c r="CH278" s="20"/>
      <c r="CI278" s="20"/>
      <c r="CJ278" s="20"/>
      <c r="CK278" s="20"/>
      <c r="CL278" s="20"/>
      <c r="CM278" s="20"/>
      <c r="CN278" s="20"/>
      <c r="CO278" s="20"/>
      <c r="CP278" s="20"/>
      <c r="CQ278" s="20"/>
      <c r="CR278" s="20"/>
      <c r="CS278" s="20"/>
      <c r="CT278" s="20"/>
      <c r="CU278" s="20"/>
      <c r="CV278" s="20"/>
      <c r="CW278" s="20"/>
      <c r="CX278" s="20"/>
      <c r="CY278" s="20"/>
      <c r="CZ278" s="20"/>
      <c r="DA278" s="20"/>
      <c r="DB278" s="20"/>
      <c r="DC278" s="20"/>
      <c r="DD278" s="20"/>
      <c r="DE278" s="20"/>
      <c r="DF278" s="20"/>
      <c r="DG278" s="20"/>
      <c r="DH278" s="20"/>
      <c r="DI278" s="20"/>
      <c r="DJ278" s="20"/>
      <c r="DK278" s="20"/>
      <c r="DL278" s="20"/>
      <c r="DM278" s="20"/>
      <c r="DN278" s="20"/>
      <c r="DO278" s="20"/>
      <c r="DP278" s="20"/>
      <c r="DQ278" s="20"/>
      <c r="DR278" s="20"/>
      <c r="DS278" s="20"/>
      <c r="DT278" s="20"/>
      <c r="DU278" s="20"/>
      <c r="DV278" s="20"/>
      <c r="DW278" s="20"/>
      <c r="DX278" s="20"/>
      <c r="DY278" s="20"/>
      <c r="DZ278" s="20"/>
      <c r="EA278" s="20"/>
    </row>
    <row r="279" spans="2:131" ht="18" customHeight="1">
      <c r="B279" s="707"/>
      <c r="C279" s="707"/>
      <c r="D279" s="707"/>
      <c r="E279" s="707"/>
      <c r="F279" s="707"/>
      <c r="G279" s="707"/>
      <c r="H279" s="707"/>
      <c r="I279" s="707"/>
      <c r="J279" s="707"/>
      <c r="K279" s="707"/>
      <c r="L279" s="19"/>
      <c r="M279" s="20"/>
      <c r="N279" s="20"/>
      <c r="O279" s="20"/>
      <c r="P279" s="20"/>
      <c r="Q279" s="20"/>
      <c r="R279" s="20"/>
      <c r="S279" s="20"/>
      <c r="T279" s="20"/>
      <c r="U279" s="20"/>
      <c r="V279" s="20"/>
      <c r="W279" s="20"/>
      <c r="X279" s="20"/>
      <c r="Y279" s="20"/>
      <c r="Z279" s="20"/>
      <c r="AA279" s="20"/>
      <c r="AB279" s="20"/>
      <c r="AC279" s="20"/>
      <c r="AD279" s="20"/>
      <c r="AE279" s="20"/>
      <c r="AF279" s="20"/>
      <c r="AG279" s="20"/>
      <c r="AH279" s="20"/>
      <c r="AI279" s="20"/>
      <c r="AJ279" s="20"/>
      <c r="AK279" s="20"/>
      <c r="AL279" s="20"/>
      <c r="AM279" s="20"/>
      <c r="AN279" s="20"/>
      <c r="AO279" s="20"/>
      <c r="AP279" s="20"/>
      <c r="AQ279" s="20"/>
      <c r="AR279" s="20"/>
      <c r="AS279" s="20"/>
      <c r="AT279" s="20"/>
      <c r="AU279" s="20"/>
      <c r="AV279" s="20"/>
      <c r="AW279" s="20"/>
      <c r="AX279" s="20"/>
      <c r="AY279" s="20"/>
      <c r="AZ279" s="20"/>
      <c r="BA279" s="20"/>
      <c r="BB279" s="20"/>
      <c r="BC279" s="20"/>
      <c r="BD279" s="20"/>
      <c r="BE279" s="20"/>
      <c r="BF279" s="20"/>
      <c r="BG279" s="20"/>
      <c r="BH279" s="20"/>
      <c r="BI279" s="20"/>
      <c r="BJ279" s="20"/>
      <c r="BK279" s="20"/>
      <c r="BL279" s="20"/>
      <c r="BM279" s="20"/>
      <c r="BN279" s="20"/>
      <c r="BO279" s="20"/>
      <c r="BP279" s="20"/>
      <c r="BQ279" s="20"/>
      <c r="BR279" s="20"/>
      <c r="BS279" s="20"/>
      <c r="BT279" s="20"/>
      <c r="BU279" s="20"/>
      <c r="BV279" s="20"/>
      <c r="BW279" s="20"/>
      <c r="BX279" s="20"/>
      <c r="BY279" s="20"/>
      <c r="BZ279" s="20"/>
      <c r="CA279" s="20"/>
      <c r="CB279" s="20"/>
      <c r="CC279" s="20"/>
      <c r="CD279" s="20"/>
      <c r="CE279" s="20"/>
      <c r="CF279" s="20"/>
      <c r="CG279" s="20"/>
      <c r="CH279" s="20"/>
      <c r="CI279" s="20"/>
      <c r="CJ279" s="20"/>
      <c r="CK279" s="20"/>
      <c r="CL279" s="20"/>
      <c r="CM279" s="20"/>
      <c r="CN279" s="20"/>
      <c r="CO279" s="20"/>
      <c r="CP279" s="20"/>
      <c r="CQ279" s="20"/>
      <c r="CR279" s="20"/>
      <c r="CS279" s="20"/>
      <c r="CT279" s="20"/>
      <c r="CU279" s="20"/>
      <c r="CV279" s="20"/>
      <c r="CW279" s="20"/>
      <c r="CX279" s="20"/>
      <c r="CY279" s="20"/>
      <c r="CZ279" s="20"/>
      <c r="DA279" s="20"/>
      <c r="DB279" s="20"/>
      <c r="DC279" s="20"/>
      <c r="DD279" s="20"/>
      <c r="DE279" s="20"/>
      <c r="DF279" s="20"/>
      <c r="DG279" s="20"/>
      <c r="DH279" s="20"/>
      <c r="DI279" s="20"/>
      <c r="DJ279" s="20"/>
      <c r="DK279" s="20"/>
      <c r="DL279" s="20"/>
      <c r="DM279" s="20"/>
      <c r="DN279" s="20"/>
      <c r="DO279" s="20"/>
      <c r="DP279" s="20"/>
      <c r="DQ279" s="20"/>
      <c r="DR279" s="20"/>
      <c r="DS279" s="20"/>
      <c r="DT279" s="20"/>
      <c r="DU279" s="20"/>
      <c r="DV279" s="20"/>
      <c r="DW279" s="20"/>
      <c r="DX279" s="20"/>
      <c r="DY279" s="20"/>
      <c r="DZ279" s="20"/>
      <c r="EA279" s="20"/>
    </row>
    <row r="280" spans="2:131" ht="18" customHeight="1">
      <c r="B280" s="708"/>
      <c r="C280" s="708"/>
      <c r="D280" s="707"/>
      <c r="E280" s="707"/>
      <c r="F280" s="707"/>
      <c r="G280" s="707"/>
      <c r="H280" s="707"/>
      <c r="I280" s="707"/>
      <c r="J280" s="707"/>
      <c r="K280" s="707"/>
      <c r="L280" s="19"/>
      <c r="M280" s="20"/>
      <c r="N280" s="20"/>
      <c r="O280" s="20"/>
      <c r="P280" s="20"/>
      <c r="Q280" s="20"/>
      <c r="R280" s="20"/>
      <c r="S280" s="20"/>
      <c r="T280" s="20"/>
      <c r="U280" s="20"/>
      <c r="V280" s="20"/>
      <c r="W280" s="20"/>
      <c r="X280" s="20"/>
      <c r="Y280" s="20"/>
      <c r="Z280" s="20"/>
      <c r="AA280" s="20"/>
      <c r="AB280" s="20"/>
      <c r="AC280" s="20"/>
      <c r="AD280" s="20"/>
      <c r="AE280" s="20"/>
      <c r="AF280" s="20"/>
      <c r="AG280" s="20"/>
      <c r="AH280" s="20"/>
      <c r="AI280" s="20"/>
      <c r="AJ280" s="20"/>
      <c r="AK280" s="20"/>
      <c r="AL280" s="20"/>
      <c r="AM280" s="20"/>
      <c r="AN280" s="20"/>
      <c r="AO280" s="20"/>
      <c r="AP280" s="20"/>
      <c r="AQ280" s="20"/>
      <c r="AR280" s="20"/>
      <c r="AS280" s="20"/>
      <c r="AT280" s="20"/>
      <c r="AU280" s="20"/>
      <c r="AV280" s="20"/>
      <c r="AW280" s="20"/>
      <c r="AX280" s="20"/>
      <c r="AY280" s="20"/>
      <c r="AZ280" s="20"/>
      <c r="BA280" s="20"/>
      <c r="BB280" s="20"/>
      <c r="BC280" s="20"/>
      <c r="BD280" s="20"/>
      <c r="BE280" s="20"/>
      <c r="BF280" s="20"/>
      <c r="BG280" s="20"/>
      <c r="BH280" s="20"/>
      <c r="BI280" s="20"/>
      <c r="BJ280" s="20"/>
      <c r="BK280" s="20"/>
      <c r="BL280" s="20"/>
      <c r="BM280" s="20"/>
      <c r="BN280" s="20"/>
      <c r="BO280" s="20"/>
      <c r="BP280" s="20"/>
      <c r="BQ280" s="20"/>
      <c r="BR280" s="20"/>
      <c r="BS280" s="20"/>
      <c r="BT280" s="20"/>
      <c r="BU280" s="20"/>
      <c r="BV280" s="20"/>
      <c r="BW280" s="20"/>
      <c r="BX280" s="20"/>
      <c r="BY280" s="20"/>
      <c r="BZ280" s="20"/>
      <c r="CA280" s="20"/>
      <c r="CB280" s="20"/>
      <c r="CC280" s="20"/>
      <c r="CD280" s="20"/>
      <c r="CE280" s="20"/>
      <c r="CF280" s="20"/>
      <c r="CG280" s="20"/>
      <c r="CH280" s="20"/>
      <c r="CI280" s="20"/>
      <c r="CJ280" s="20"/>
      <c r="CK280" s="20"/>
      <c r="CL280" s="20"/>
      <c r="CM280" s="20"/>
      <c r="CN280" s="20"/>
      <c r="CO280" s="20"/>
      <c r="CP280" s="20"/>
      <c r="CQ280" s="20"/>
      <c r="CR280" s="20"/>
      <c r="CS280" s="20"/>
      <c r="CT280" s="20"/>
      <c r="CU280" s="20"/>
      <c r="CV280" s="20"/>
      <c r="CW280" s="20"/>
      <c r="CX280" s="20"/>
      <c r="CY280" s="20"/>
      <c r="CZ280" s="20"/>
      <c r="DA280" s="20"/>
      <c r="DB280" s="20"/>
      <c r="DC280" s="20"/>
      <c r="DD280" s="20"/>
      <c r="DE280" s="20"/>
      <c r="DF280" s="20"/>
      <c r="DG280" s="20"/>
      <c r="DH280" s="20"/>
      <c r="DI280" s="20"/>
      <c r="DJ280" s="20"/>
      <c r="DK280" s="20"/>
      <c r="DL280" s="20"/>
      <c r="DM280" s="20"/>
      <c r="DN280" s="20"/>
      <c r="DO280" s="20"/>
      <c r="DP280" s="20"/>
      <c r="DQ280" s="20"/>
      <c r="DR280" s="20"/>
      <c r="DS280" s="20"/>
      <c r="DT280" s="20"/>
      <c r="DU280" s="20"/>
      <c r="DV280" s="20"/>
      <c r="DW280" s="20"/>
      <c r="DX280" s="20"/>
      <c r="DY280" s="20"/>
      <c r="DZ280" s="20"/>
      <c r="EA280" s="20"/>
    </row>
    <row r="281" spans="2:131" ht="18" customHeight="1">
      <c r="B281" s="707"/>
      <c r="C281" s="707"/>
      <c r="D281" s="707"/>
      <c r="E281" s="707"/>
      <c r="F281" s="707"/>
      <c r="G281" s="707"/>
      <c r="H281" s="707"/>
      <c r="I281" s="707"/>
      <c r="J281" s="707"/>
      <c r="K281" s="707"/>
      <c r="L281" s="19"/>
      <c r="M281" s="20"/>
      <c r="N281" s="20"/>
      <c r="O281" s="20"/>
      <c r="P281" s="20"/>
      <c r="Q281" s="20"/>
      <c r="R281" s="20"/>
      <c r="S281" s="20"/>
      <c r="T281" s="20"/>
      <c r="U281" s="20"/>
      <c r="V281" s="20"/>
      <c r="W281" s="20"/>
      <c r="X281" s="20"/>
      <c r="Y281" s="20"/>
      <c r="Z281" s="20"/>
      <c r="AA281" s="20"/>
      <c r="AB281" s="20"/>
      <c r="AC281" s="20"/>
      <c r="AD281" s="20"/>
      <c r="AE281" s="20"/>
      <c r="AF281" s="20"/>
      <c r="AG281" s="20"/>
      <c r="AH281" s="20"/>
      <c r="AI281" s="20"/>
      <c r="AJ281" s="20"/>
      <c r="AK281" s="20"/>
      <c r="AL281" s="20"/>
      <c r="AM281" s="20"/>
      <c r="AN281" s="20"/>
      <c r="AO281" s="20"/>
      <c r="AP281" s="20"/>
      <c r="AQ281" s="20"/>
      <c r="AR281" s="20"/>
      <c r="AS281" s="20"/>
      <c r="AT281" s="20"/>
      <c r="AU281" s="20"/>
      <c r="AV281" s="20"/>
      <c r="AW281" s="20"/>
      <c r="AX281" s="20"/>
      <c r="AY281" s="20"/>
      <c r="AZ281" s="20"/>
      <c r="BA281" s="20"/>
      <c r="BB281" s="20"/>
      <c r="BC281" s="20"/>
      <c r="BD281" s="20"/>
      <c r="BE281" s="20"/>
      <c r="BF281" s="20"/>
      <c r="BG281" s="20"/>
      <c r="BH281" s="20"/>
      <c r="BI281" s="20"/>
      <c r="BJ281" s="20"/>
      <c r="BK281" s="20"/>
      <c r="BL281" s="20"/>
      <c r="BM281" s="20"/>
      <c r="BN281" s="20"/>
      <c r="BO281" s="20"/>
      <c r="BP281" s="20"/>
      <c r="BQ281" s="20"/>
      <c r="BR281" s="20"/>
      <c r="BS281" s="20"/>
      <c r="BT281" s="20"/>
      <c r="BU281" s="20"/>
      <c r="BV281" s="20"/>
      <c r="BW281" s="20"/>
      <c r="BX281" s="20"/>
      <c r="BY281" s="20"/>
      <c r="BZ281" s="20"/>
      <c r="CA281" s="20"/>
      <c r="CB281" s="20"/>
      <c r="CC281" s="20"/>
      <c r="CD281" s="20"/>
      <c r="CE281" s="20"/>
      <c r="CF281" s="20"/>
      <c r="CG281" s="20"/>
      <c r="CH281" s="20"/>
      <c r="CI281" s="20"/>
      <c r="CJ281" s="20"/>
      <c r="CK281" s="20"/>
      <c r="CL281" s="20"/>
      <c r="CM281" s="20"/>
      <c r="CN281" s="20"/>
      <c r="CO281" s="20"/>
      <c r="CP281" s="20"/>
      <c r="CQ281" s="20"/>
      <c r="CR281" s="20"/>
      <c r="CS281" s="20"/>
      <c r="CT281" s="20"/>
      <c r="CU281" s="20"/>
      <c r="CV281" s="20"/>
      <c r="CW281" s="20"/>
      <c r="CX281" s="20"/>
      <c r="CY281" s="20"/>
      <c r="CZ281" s="20"/>
      <c r="DA281" s="20"/>
      <c r="DB281" s="20"/>
      <c r="DC281" s="20"/>
      <c r="DD281" s="20"/>
      <c r="DE281" s="20"/>
      <c r="DF281" s="20"/>
      <c r="DG281" s="20"/>
      <c r="DH281" s="20"/>
      <c r="DI281" s="20"/>
      <c r="DJ281" s="20"/>
      <c r="DK281" s="20"/>
      <c r="DL281" s="20"/>
      <c r="DM281" s="20"/>
      <c r="DN281" s="20"/>
      <c r="DO281" s="20"/>
      <c r="DP281" s="20"/>
      <c r="DQ281" s="20"/>
      <c r="DR281" s="20"/>
      <c r="DS281" s="20"/>
      <c r="DT281" s="20"/>
      <c r="DU281" s="20"/>
      <c r="DV281" s="20"/>
      <c r="DW281" s="20"/>
      <c r="DX281" s="20"/>
      <c r="DY281" s="20"/>
      <c r="DZ281" s="20"/>
      <c r="EA281" s="20"/>
    </row>
    <row r="282" spans="2:131" ht="18" customHeight="1">
      <c r="B282" s="707"/>
      <c r="C282" s="707"/>
      <c r="D282" s="707"/>
      <c r="E282" s="707"/>
      <c r="F282" s="707"/>
      <c r="G282" s="707"/>
      <c r="H282" s="707"/>
      <c r="I282" s="707"/>
      <c r="J282" s="707"/>
      <c r="K282" s="707"/>
      <c r="L282" s="19"/>
      <c r="M282" s="20"/>
      <c r="N282" s="20"/>
      <c r="O282" s="20"/>
      <c r="P282" s="20"/>
      <c r="Q282" s="20"/>
      <c r="R282" s="20"/>
      <c r="S282" s="20"/>
      <c r="T282" s="20"/>
      <c r="U282" s="20"/>
      <c r="V282" s="20"/>
      <c r="W282" s="20"/>
      <c r="X282" s="20"/>
      <c r="Y282" s="20"/>
      <c r="Z282" s="20"/>
      <c r="AA282" s="20"/>
      <c r="AB282" s="20"/>
      <c r="AC282" s="20"/>
      <c r="AD282" s="20"/>
      <c r="AE282" s="20"/>
      <c r="AF282" s="20"/>
      <c r="AG282" s="20"/>
      <c r="AH282" s="20"/>
      <c r="AI282" s="20"/>
      <c r="AJ282" s="20"/>
      <c r="AK282" s="20"/>
      <c r="AL282" s="20"/>
      <c r="AM282" s="20"/>
      <c r="AN282" s="20"/>
      <c r="AO282" s="20"/>
      <c r="AP282" s="20"/>
      <c r="AQ282" s="20"/>
      <c r="AR282" s="20"/>
      <c r="AS282" s="20"/>
      <c r="AT282" s="20"/>
      <c r="AU282" s="20"/>
      <c r="AV282" s="20"/>
      <c r="AW282" s="20"/>
      <c r="AX282" s="20"/>
      <c r="AY282" s="20"/>
      <c r="AZ282" s="20"/>
      <c r="BA282" s="20"/>
      <c r="BB282" s="20"/>
      <c r="BC282" s="20"/>
      <c r="BD282" s="20"/>
      <c r="BE282" s="20"/>
      <c r="BF282" s="20"/>
      <c r="BG282" s="20"/>
      <c r="BH282" s="20"/>
      <c r="BI282" s="20"/>
      <c r="BJ282" s="20"/>
      <c r="BK282" s="20"/>
      <c r="BL282" s="20"/>
      <c r="BM282" s="20"/>
      <c r="BN282" s="20"/>
      <c r="BO282" s="20"/>
      <c r="BP282" s="20"/>
      <c r="BQ282" s="20"/>
      <c r="BR282" s="20"/>
      <c r="BS282" s="20"/>
      <c r="BT282" s="20"/>
      <c r="BU282" s="20"/>
      <c r="BV282" s="20"/>
      <c r="BW282" s="20"/>
      <c r="BX282" s="20"/>
      <c r="BY282" s="20"/>
      <c r="BZ282" s="20"/>
      <c r="CA282" s="20"/>
      <c r="CB282" s="20"/>
      <c r="CC282" s="20"/>
      <c r="CD282" s="20"/>
      <c r="CE282" s="20"/>
      <c r="CF282" s="20"/>
      <c r="CG282" s="20"/>
      <c r="CH282" s="20"/>
      <c r="CI282" s="20"/>
      <c r="CJ282" s="20"/>
      <c r="CK282" s="20"/>
      <c r="CL282" s="20"/>
      <c r="CM282" s="20"/>
      <c r="CN282" s="20"/>
      <c r="CO282" s="20"/>
      <c r="CP282" s="20"/>
      <c r="CQ282" s="20"/>
      <c r="CR282" s="20"/>
      <c r="CS282" s="20"/>
      <c r="CT282" s="20"/>
      <c r="CU282" s="20"/>
      <c r="CV282" s="20"/>
      <c r="CW282" s="20"/>
      <c r="CX282" s="20"/>
      <c r="CY282" s="20"/>
      <c r="CZ282" s="20"/>
      <c r="DA282" s="20"/>
      <c r="DB282" s="20"/>
      <c r="DC282" s="20"/>
      <c r="DD282" s="20"/>
      <c r="DE282" s="20"/>
      <c r="DF282" s="20"/>
      <c r="DG282" s="20"/>
      <c r="DH282" s="20"/>
      <c r="DI282" s="20"/>
      <c r="DJ282" s="20"/>
      <c r="DK282" s="20"/>
      <c r="DL282" s="20"/>
      <c r="DM282" s="20"/>
      <c r="DN282" s="20"/>
      <c r="DO282" s="20"/>
      <c r="DP282" s="20"/>
      <c r="DQ282" s="20"/>
      <c r="DR282" s="20"/>
      <c r="DS282" s="20"/>
      <c r="DT282" s="20"/>
      <c r="DU282" s="20"/>
      <c r="DV282" s="20"/>
      <c r="DW282" s="20"/>
      <c r="DX282" s="20"/>
      <c r="DY282" s="20"/>
      <c r="DZ282" s="20"/>
      <c r="EA282" s="20"/>
    </row>
    <row r="283" spans="2:131" ht="18" customHeight="1">
      <c r="B283" s="707"/>
      <c r="C283" s="707"/>
      <c r="D283" s="707"/>
      <c r="E283" s="707"/>
      <c r="F283" s="707"/>
      <c r="G283" s="707"/>
      <c r="H283" s="707"/>
      <c r="I283" s="707"/>
      <c r="J283" s="707"/>
      <c r="K283" s="707"/>
      <c r="L283" s="19"/>
      <c r="M283" s="20"/>
      <c r="N283" s="20"/>
      <c r="O283" s="20"/>
      <c r="P283" s="20"/>
      <c r="Q283" s="20"/>
      <c r="R283" s="20"/>
      <c r="S283" s="20"/>
      <c r="T283" s="20"/>
      <c r="U283" s="20"/>
      <c r="V283" s="20"/>
      <c r="W283" s="20"/>
      <c r="X283" s="20"/>
      <c r="Y283" s="20"/>
      <c r="Z283" s="20"/>
      <c r="AA283" s="20"/>
      <c r="AB283" s="20"/>
      <c r="AC283" s="20"/>
      <c r="AD283" s="20"/>
      <c r="AE283" s="20"/>
      <c r="AF283" s="20"/>
      <c r="AG283" s="20"/>
      <c r="AH283" s="20"/>
      <c r="AI283" s="20"/>
      <c r="AJ283" s="20"/>
      <c r="AK283" s="20"/>
      <c r="AL283" s="20"/>
      <c r="AM283" s="20"/>
      <c r="AN283" s="20"/>
      <c r="AO283" s="20"/>
      <c r="AP283" s="20"/>
      <c r="AQ283" s="20"/>
      <c r="AR283" s="20"/>
      <c r="AS283" s="20"/>
      <c r="AT283" s="20"/>
      <c r="AU283" s="20"/>
      <c r="AV283" s="20"/>
      <c r="AW283" s="20"/>
      <c r="AX283" s="20"/>
      <c r="AY283" s="20"/>
      <c r="AZ283" s="20"/>
      <c r="BA283" s="20"/>
      <c r="BB283" s="20"/>
      <c r="BC283" s="20"/>
      <c r="BD283" s="20"/>
      <c r="BE283" s="20"/>
      <c r="BF283" s="20"/>
      <c r="BG283" s="20"/>
      <c r="BH283" s="20"/>
      <c r="BI283" s="20"/>
      <c r="BJ283" s="20"/>
      <c r="BK283" s="20"/>
      <c r="BL283" s="20"/>
      <c r="BM283" s="20"/>
      <c r="BN283" s="20"/>
      <c r="BO283" s="20"/>
      <c r="BP283" s="20"/>
      <c r="BQ283" s="20"/>
      <c r="BR283" s="20"/>
      <c r="BS283" s="20"/>
      <c r="BT283" s="20"/>
      <c r="BU283" s="20"/>
      <c r="BV283" s="20"/>
      <c r="BW283" s="20"/>
      <c r="BX283" s="20"/>
      <c r="BY283" s="20"/>
      <c r="BZ283" s="20"/>
      <c r="CA283" s="20"/>
      <c r="CB283" s="20"/>
      <c r="CC283" s="20"/>
      <c r="CD283" s="20"/>
      <c r="CE283" s="20"/>
      <c r="CF283" s="20"/>
      <c r="CG283" s="20"/>
      <c r="CH283" s="20"/>
      <c r="CI283" s="20"/>
      <c r="CJ283" s="20"/>
      <c r="CK283" s="20"/>
      <c r="CL283" s="20"/>
      <c r="CM283" s="20"/>
      <c r="CN283" s="20"/>
      <c r="CO283" s="20"/>
      <c r="CP283" s="20"/>
      <c r="CQ283" s="20"/>
      <c r="CR283" s="20"/>
      <c r="CS283" s="20"/>
      <c r="CT283" s="20"/>
      <c r="CU283" s="20"/>
      <c r="CV283" s="20"/>
      <c r="CW283" s="20"/>
      <c r="CX283" s="20"/>
      <c r="CY283" s="20"/>
      <c r="CZ283" s="20"/>
      <c r="DA283" s="20"/>
      <c r="DB283" s="20"/>
      <c r="DC283" s="20"/>
      <c r="DD283" s="20"/>
      <c r="DE283" s="20"/>
      <c r="DF283" s="20"/>
      <c r="DG283" s="20"/>
      <c r="DH283" s="20"/>
      <c r="DI283" s="20"/>
      <c r="DJ283" s="20"/>
      <c r="DK283" s="20"/>
      <c r="DL283" s="20"/>
      <c r="DM283" s="20"/>
      <c r="DN283" s="20"/>
      <c r="DO283" s="20"/>
      <c r="DP283" s="20"/>
      <c r="DQ283" s="20"/>
      <c r="DR283" s="20"/>
      <c r="DS283" s="20"/>
      <c r="DT283" s="20"/>
      <c r="DU283" s="20"/>
      <c r="DV283" s="20"/>
      <c r="DW283" s="20"/>
      <c r="DX283" s="20"/>
      <c r="DY283" s="20"/>
      <c r="DZ283" s="20"/>
      <c r="EA283" s="20"/>
    </row>
    <row r="284" spans="2:131" ht="18" customHeight="1">
      <c r="B284" s="707"/>
      <c r="C284" s="707"/>
      <c r="D284" s="707"/>
      <c r="E284" s="707"/>
      <c r="F284" s="707"/>
      <c r="G284" s="707"/>
      <c r="H284" s="707"/>
      <c r="I284" s="707"/>
      <c r="J284" s="707"/>
      <c r="K284" s="707"/>
      <c r="L284" s="19"/>
      <c r="M284" s="20"/>
      <c r="N284" s="20"/>
      <c r="O284" s="20"/>
      <c r="P284" s="20"/>
      <c r="Q284" s="20"/>
      <c r="R284" s="20"/>
      <c r="S284" s="20"/>
      <c r="T284" s="20"/>
      <c r="U284" s="20"/>
      <c r="V284" s="20"/>
      <c r="W284" s="20"/>
      <c r="X284" s="20"/>
      <c r="Y284" s="20"/>
      <c r="Z284" s="20"/>
      <c r="AA284" s="20"/>
      <c r="AB284" s="20"/>
      <c r="AC284" s="20"/>
      <c r="AD284" s="20"/>
      <c r="AE284" s="20"/>
      <c r="AF284" s="20"/>
      <c r="AG284" s="20"/>
      <c r="AH284" s="20"/>
      <c r="AI284" s="20"/>
      <c r="AJ284" s="20"/>
      <c r="AK284" s="20"/>
      <c r="AL284" s="20"/>
      <c r="AM284" s="20"/>
      <c r="AN284" s="20"/>
      <c r="AO284" s="20"/>
      <c r="AP284" s="20"/>
      <c r="AQ284" s="20"/>
      <c r="AR284" s="20"/>
      <c r="AS284" s="20"/>
      <c r="AT284" s="20"/>
      <c r="AU284" s="20"/>
      <c r="AV284" s="20"/>
      <c r="AW284" s="20"/>
      <c r="AX284" s="20"/>
      <c r="AY284" s="20"/>
      <c r="AZ284" s="20"/>
      <c r="BA284" s="20"/>
      <c r="BB284" s="20"/>
      <c r="BC284" s="20"/>
      <c r="BD284" s="20"/>
      <c r="BE284" s="20"/>
      <c r="BF284" s="20"/>
      <c r="BG284" s="20"/>
      <c r="BH284" s="20"/>
      <c r="BI284" s="20"/>
      <c r="BJ284" s="20"/>
      <c r="BK284" s="20"/>
      <c r="BL284" s="20"/>
      <c r="BM284" s="20"/>
      <c r="BN284" s="20"/>
      <c r="BO284" s="20"/>
      <c r="BP284" s="20"/>
      <c r="BQ284" s="20"/>
      <c r="BR284" s="20"/>
      <c r="BS284" s="20"/>
      <c r="BT284" s="20"/>
      <c r="BU284" s="20"/>
      <c r="BV284" s="20"/>
      <c r="BW284" s="20"/>
      <c r="BX284" s="20"/>
      <c r="BY284" s="20"/>
      <c r="BZ284" s="20"/>
      <c r="CA284" s="20"/>
      <c r="CB284" s="20"/>
      <c r="CC284" s="20"/>
      <c r="CD284" s="20"/>
      <c r="CE284" s="20"/>
      <c r="CF284" s="20"/>
      <c r="CG284" s="20"/>
      <c r="CH284" s="20"/>
      <c r="CI284" s="20"/>
      <c r="CJ284" s="20"/>
      <c r="CK284" s="20"/>
      <c r="CL284" s="20"/>
      <c r="CM284" s="20"/>
      <c r="CN284" s="20"/>
      <c r="CO284" s="20"/>
      <c r="CP284" s="20"/>
      <c r="CQ284" s="20"/>
      <c r="CR284" s="20"/>
      <c r="CS284" s="20"/>
      <c r="CT284" s="20"/>
      <c r="CU284" s="20"/>
      <c r="CV284" s="20"/>
      <c r="CW284" s="20"/>
      <c r="CX284" s="20"/>
      <c r="CY284" s="20"/>
      <c r="CZ284" s="20"/>
      <c r="DA284" s="20"/>
      <c r="DB284" s="20"/>
      <c r="DC284" s="20"/>
      <c r="DD284" s="20"/>
      <c r="DE284" s="20"/>
      <c r="DF284" s="20"/>
      <c r="DG284" s="20"/>
      <c r="DH284" s="20"/>
      <c r="DI284" s="20"/>
      <c r="DJ284" s="20"/>
      <c r="DK284" s="20"/>
      <c r="DL284" s="20"/>
      <c r="DM284" s="20"/>
      <c r="DN284" s="20"/>
      <c r="DO284" s="20"/>
      <c r="DP284" s="20"/>
      <c r="DQ284" s="20"/>
      <c r="DR284" s="20"/>
      <c r="DS284" s="20"/>
      <c r="DT284" s="20"/>
      <c r="DU284" s="20"/>
      <c r="DV284" s="20"/>
      <c r="DW284" s="20"/>
      <c r="DX284" s="20"/>
      <c r="DY284" s="20"/>
      <c r="DZ284" s="20"/>
      <c r="EA284" s="20"/>
    </row>
    <row r="285" spans="2:131" ht="18" customHeight="1">
      <c r="B285" s="707"/>
      <c r="C285" s="707"/>
      <c r="D285" s="707"/>
      <c r="E285" s="707"/>
      <c r="F285" s="707"/>
      <c r="G285" s="707"/>
      <c r="H285" s="707"/>
      <c r="I285" s="707"/>
      <c r="J285" s="707"/>
      <c r="K285" s="707"/>
      <c r="L285" s="19"/>
      <c r="M285" s="20"/>
      <c r="N285" s="20"/>
      <c r="O285" s="20"/>
      <c r="P285" s="20"/>
      <c r="Q285" s="20"/>
      <c r="R285" s="20"/>
      <c r="S285" s="20"/>
      <c r="T285" s="20"/>
      <c r="U285" s="20"/>
      <c r="V285" s="20"/>
      <c r="W285" s="20"/>
      <c r="X285" s="20"/>
      <c r="Y285" s="20"/>
      <c r="Z285" s="20"/>
      <c r="AA285" s="20"/>
      <c r="AB285" s="20"/>
      <c r="AC285" s="20"/>
      <c r="AD285" s="20"/>
      <c r="AE285" s="20"/>
      <c r="AF285" s="20"/>
      <c r="AG285" s="20"/>
      <c r="AH285" s="20"/>
      <c r="AI285" s="20"/>
      <c r="AJ285" s="20"/>
      <c r="AK285" s="20"/>
      <c r="AL285" s="20"/>
      <c r="AM285" s="20"/>
      <c r="AN285" s="20"/>
      <c r="AO285" s="20"/>
      <c r="AP285" s="20"/>
      <c r="AQ285" s="20"/>
      <c r="AR285" s="20"/>
      <c r="AS285" s="20"/>
      <c r="AT285" s="20"/>
      <c r="AU285" s="20"/>
      <c r="AV285" s="20"/>
      <c r="AW285" s="20"/>
      <c r="AX285" s="20"/>
      <c r="AY285" s="20"/>
      <c r="AZ285" s="20"/>
      <c r="BA285" s="20"/>
      <c r="BB285" s="20"/>
      <c r="BC285" s="20"/>
      <c r="BD285" s="20"/>
      <c r="BE285" s="20"/>
      <c r="BF285" s="20"/>
      <c r="BG285" s="20"/>
      <c r="BH285" s="20"/>
      <c r="BI285" s="20"/>
      <c r="BJ285" s="20"/>
      <c r="BK285" s="20"/>
      <c r="BL285" s="20"/>
      <c r="BM285" s="20"/>
      <c r="BN285" s="20"/>
      <c r="BO285" s="20"/>
      <c r="BP285" s="20"/>
      <c r="BQ285" s="20"/>
      <c r="BR285" s="20"/>
      <c r="BS285" s="20"/>
      <c r="BT285" s="20"/>
      <c r="BU285" s="20"/>
      <c r="BV285" s="20"/>
      <c r="BW285" s="20"/>
      <c r="BX285" s="20"/>
      <c r="BY285" s="20"/>
      <c r="BZ285" s="20"/>
      <c r="CA285" s="20"/>
      <c r="CB285" s="20"/>
      <c r="CC285" s="20"/>
      <c r="CD285" s="20"/>
      <c r="CE285" s="20"/>
      <c r="CF285" s="20"/>
      <c r="CG285" s="20"/>
      <c r="CH285" s="20"/>
      <c r="CI285" s="20"/>
      <c r="CJ285" s="20"/>
      <c r="CK285" s="20"/>
      <c r="CL285" s="20"/>
      <c r="CM285" s="20"/>
      <c r="CN285" s="20"/>
      <c r="CO285" s="20"/>
      <c r="CP285" s="20"/>
      <c r="CQ285" s="20"/>
      <c r="CR285" s="20"/>
      <c r="CS285" s="20"/>
      <c r="CT285" s="20"/>
      <c r="CU285" s="20"/>
      <c r="CV285" s="20"/>
      <c r="CW285" s="20"/>
      <c r="CX285" s="20"/>
      <c r="CY285" s="20"/>
      <c r="CZ285" s="20"/>
      <c r="DA285" s="20"/>
      <c r="DB285" s="20"/>
      <c r="DC285" s="20"/>
      <c r="DD285" s="20"/>
      <c r="DE285" s="20"/>
      <c r="DF285" s="20"/>
      <c r="DG285" s="20"/>
      <c r="DH285" s="20"/>
      <c r="DI285" s="20"/>
      <c r="DJ285" s="20"/>
      <c r="DK285" s="20"/>
      <c r="DL285" s="20"/>
      <c r="DM285" s="20"/>
      <c r="DN285" s="20"/>
      <c r="DO285" s="20"/>
      <c r="DP285" s="20"/>
      <c r="DQ285" s="20"/>
      <c r="DR285" s="20"/>
      <c r="DS285" s="20"/>
      <c r="DT285" s="20"/>
      <c r="DU285" s="20"/>
      <c r="DV285" s="20"/>
      <c r="DW285" s="20"/>
      <c r="DX285" s="20"/>
      <c r="DY285" s="20"/>
      <c r="DZ285" s="20"/>
      <c r="EA285" s="20"/>
    </row>
    <row r="286" spans="2:131" ht="18" customHeight="1">
      <c r="B286" s="708"/>
      <c r="C286" s="708"/>
      <c r="D286" s="707"/>
      <c r="E286" s="707"/>
      <c r="F286" s="707"/>
      <c r="G286" s="707"/>
      <c r="H286" s="707"/>
      <c r="I286" s="707"/>
      <c r="J286" s="707"/>
      <c r="K286" s="707"/>
      <c r="L286" s="19"/>
      <c r="M286" s="20"/>
      <c r="N286" s="20"/>
      <c r="O286" s="20"/>
      <c r="P286" s="20"/>
      <c r="Q286" s="20"/>
      <c r="R286" s="20"/>
      <c r="S286" s="20"/>
      <c r="T286" s="20"/>
      <c r="U286" s="20"/>
      <c r="V286" s="20"/>
      <c r="W286" s="20"/>
      <c r="X286" s="20"/>
      <c r="Y286" s="20"/>
      <c r="Z286" s="20"/>
      <c r="AA286" s="20"/>
      <c r="AB286" s="20"/>
      <c r="AC286" s="20"/>
      <c r="AD286" s="20"/>
      <c r="AE286" s="20"/>
      <c r="AF286" s="20"/>
      <c r="AG286" s="20"/>
      <c r="AH286" s="20"/>
      <c r="AI286" s="20"/>
      <c r="AJ286" s="20"/>
      <c r="AK286" s="20"/>
      <c r="AL286" s="20"/>
      <c r="AM286" s="20"/>
      <c r="AN286" s="20"/>
      <c r="AO286" s="20"/>
      <c r="AP286" s="20"/>
      <c r="AQ286" s="20"/>
      <c r="AR286" s="20"/>
      <c r="AS286" s="20"/>
      <c r="AT286" s="20"/>
      <c r="AU286" s="20"/>
      <c r="AV286" s="20"/>
      <c r="AW286" s="20"/>
      <c r="AX286" s="20"/>
      <c r="AY286" s="20"/>
      <c r="AZ286" s="20"/>
      <c r="BA286" s="20"/>
      <c r="BB286" s="20"/>
      <c r="BC286" s="20"/>
      <c r="BD286" s="20"/>
      <c r="BE286" s="20"/>
      <c r="BF286" s="20"/>
      <c r="BG286" s="20"/>
      <c r="BH286" s="20"/>
      <c r="BI286" s="20"/>
      <c r="BJ286" s="20"/>
      <c r="BK286" s="20"/>
      <c r="BL286" s="20"/>
      <c r="BM286" s="20"/>
      <c r="BN286" s="20"/>
      <c r="BO286" s="20"/>
      <c r="BP286" s="20"/>
      <c r="BQ286" s="20"/>
      <c r="BR286" s="20"/>
      <c r="BS286" s="20"/>
      <c r="BT286" s="20"/>
      <c r="BU286" s="20"/>
      <c r="BV286" s="20"/>
      <c r="BW286" s="20"/>
      <c r="BX286" s="20"/>
      <c r="BY286" s="20"/>
      <c r="BZ286" s="20"/>
      <c r="CA286" s="20"/>
      <c r="CB286" s="20"/>
      <c r="CC286" s="20"/>
      <c r="CD286" s="20"/>
      <c r="CE286" s="20"/>
      <c r="CF286" s="20"/>
      <c r="CG286" s="20"/>
      <c r="CH286" s="20"/>
      <c r="CI286" s="20"/>
      <c r="CJ286" s="20"/>
      <c r="CK286" s="20"/>
      <c r="CL286" s="20"/>
      <c r="CM286" s="20"/>
      <c r="CN286" s="20"/>
      <c r="CO286" s="20"/>
      <c r="CP286" s="20"/>
      <c r="CQ286" s="20"/>
      <c r="CR286" s="20"/>
      <c r="CS286" s="20"/>
      <c r="CT286" s="20"/>
      <c r="CU286" s="20"/>
      <c r="CV286" s="20"/>
      <c r="CW286" s="20"/>
      <c r="CX286" s="20"/>
      <c r="CY286" s="20"/>
      <c r="CZ286" s="20"/>
      <c r="DA286" s="20"/>
      <c r="DB286" s="20"/>
      <c r="DC286" s="20"/>
      <c r="DD286" s="20"/>
      <c r="DE286" s="20"/>
      <c r="DF286" s="20"/>
      <c r="DG286" s="20"/>
      <c r="DH286" s="20"/>
      <c r="DI286" s="20"/>
      <c r="DJ286" s="20"/>
      <c r="DK286" s="20"/>
      <c r="DL286" s="20"/>
      <c r="DM286" s="20"/>
      <c r="DN286" s="20"/>
      <c r="DO286" s="20"/>
      <c r="DP286" s="20"/>
      <c r="DQ286" s="20"/>
      <c r="DR286" s="20"/>
      <c r="DS286" s="20"/>
      <c r="DT286" s="20"/>
      <c r="DU286" s="20"/>
      <c r="DV286" s="20"/>
      <c r="DW286" s="20"/>
      <c r="DX286" s="20"/>
      <c r="DY286" s="20"/>
      <c r="DZ286" s="20"/>
      <c r="EA286" s="20"/>
    </row>
    <row r="287" spans="2:131" ht="18" customHeight="1">
      <c r="B287" s="707"/>
      <c r="C287" s="707"/>
      <c r="D287" s="707"/>
      <c r="E287" s="707"/>
      <c r="F287" s="707"/>
      <c r="G287" s="707"/>
      <c r="H287" s="707"/>
      <c r="I287" s="707"/>
      <c r="J287" s="707"/>
      <c r="K287" s="707"/>
      <c r="L287" s="19"/>
      <c r="M287" s="20"/>
      <c r="N287" s="20"/>
      <c r="O287" s="20"/>
      <c r="P287" s="20"/>
      <c r="Q287" s="20"/>
      <c r="R287" s="20"/>
      <c r="S287" s="20"/>
      <c r="T287" s="20"/>
      <c r="U287" s="20"/>
      <c r="V287" s="20"/>
      <c r="W287" s="20"/>
      <c r="X287" s="20"/>
      <c r="Y287" s="20"/>
      <c r="Z287" s="20"/>
      <c r="AA287" s="20"/>
      <c r="AB287" s="20"/>
      <c r="AC287" s="20"/>
      <c r="AD287" s="20"/>
      <c r="AE287" s="20"/>
      <c r="AF287" s="20"/>
      <c r="AG287" s="20"/>
      <c r="AH287" s="20"/>
      <c r="AI287" s="20"/>
      <c r="AJ287" s="20"/>
      <c r="AK287" s="20"/>
      <c r="AL287" s="20"/>
      <c r="AM287" s="20"/>
      <c r="AN287" s="20"/>
      <c r="AO287" s="20"/>
      <c r="AP287" s="20"/>
      <c r="AQ287" s="20"/>
      <c r="AR287" s="20"/>
      <c r="AS287" s="20"/>
      <c r="AT287" s="20"/>
      <c r="AU287" s="20"/>
      <c r="AV287" s="20"/>
      <c r="AW287" s="20"/>
      <c r="AX287" s="20"/>
      <c r="AY287" s="20"/>
      <c r="AZ287" s="20"/>
      <c r="BA287" s="20"/>
      <c r="BB287" s="20"/>
      <c r="BC287" s="20"/>
      <c r="BD287" s="20"/>
      <c r="BE287" s="20"/>
      <c r="BF287" s="20"/>
      <c r="BG287" s="20"/>
      <c r="BH287" s="20"/>
      <c r="BI287" s="20"/>
      <c r="BJ287" s="20"/>
      <c r="BK287" s="20"/>
      <c r="BL287" s="20"/>
      <c r="BM287" s="20"/>
      <c r="BN287" s="20"/>
      <c r="BO287" s="20"/>
      <c r="BP287" s="20"/>
      <c r="BQ287" s="20"/>
      <c r="BR287" s="20"/>
      <c r="BS287" s="20"/>
      <c r="BT287" s="20"/>
      <c r="BU287" s="20"/>
      <c r="BV287" s="20"/>
      <c r="BW287" s="20"/>
      <c r="BX287" s="20"/>
      <c r="BY287" s="20"/>
      <c r="BZ287" s="20"/>
      <c r="CA287" s="20"/>
      <c r="CB287" s="20"/>
      <c r="CC287" s="20"/>
      <c r="CD287" s="20"/>
      <c r="CE287" s="20"/>
      <c r="CF287" s="20"/>
      <c r="CG287" s="20"/>
      <c r="CH287" s="20"/>
      <c r="CI287" s="20"/>
      <c r="CJ287" s="20"/>
      <c r="CK287" s="20"/>
      <c r="CL287" s="20"/>
      <c r="CM287" s="20"/>
      <c r="CN287" s="20"/>
      <c r="CO287" s="20"/>
      <c r="CP287" s="20"/>
      <c r="CQ287" s="20"/>
      <c r="CR287" s="20"/>
      <c r="CS287" s="20"/>
      <c r="CT287" s="20"/>
      <c r="CU287" s="20"/>
      <c r="CV287" s="20"/>
      <c r="CW287" s="20"/>
      <c r="CX287" s="20"/>
      <c r="CY287" s="20"/>
      <c r="CZ287" s="20"/>
      <c r="DA287" s="20"/>
      <c r="DB287" s="20"/>
      <c r="DC287" s="20"/>
      <c r="DD287" s="20"/>
      <c r="DE287" s="20"/>
      <c r="DF287" s="20"/>
      <c r="DG287" s="20"/>
      <c r="DH287" s="20"/>
      <c r="DI287" s="20"/>
      <c r="DJ287" s="20"/>
      <c r="DK287" s="20"/>
      <c r="DL287" s="20"/>
      <c r="DM287" s="20"/>
      <c r="DN287" s="20"/>
      <c r="DO287" s="20"/>
      <c r="DP287" s="20"/>
      <c r="DQ287" s="20"/>
      <c r="DR287" s="20"/>
      <c r="DS287" s="20"/>
      <c r="DT287" s="20"/>
      <c r="DU287" s="20"/>
      <c r="DV287" s="20"/>
      <c r="DW287" s="20"/>
      <c r="DX287" s="20"/>
      <c r="DY287" s="20"/>
      <c r="DZ287" s="20"/>
      <c r="EA287" s="20"/>
    </row>
    <row r="288" spans="2:131" ht="18" customHeight="1">
      <c r="B288" s="707"/>
      <c r="C288" s="707"/>
      <c r="D288" s="707"/>
      <c r="E288" s="707"/>
      <c r="F288" s="707"/>
      <c r="G288" s="707"/>
      <c r="H288" s="707"/>
      <c r="I288" s="707"/>
      <c r="J288" s="707"/>
      <c r="K288" s="707"/>
      <c r="L288" s="19"/>
      <c r="M288" s="20"/>
      <c r="N288" s="20"/>
      <c r="O288" s="20"/>
      <c r="P288" s="20"/>
      <c r="Q288" s="20"/>
      <c r="R288" s="20"/>
      <c r="S288" s="20"/>
      <c r="T288" s="20"/>
      <c r="U288" s="20"/>
      <c r="V288" s="20"/>
      <c r="W288" s="20"/>
      <c r="X288" s="20"/>
      <c r="Y288" s="20"/>
      <c r="Z288" s="20"/>
      <c r="AA288" s="20"/>
      <c r="AB288" s="20"/>
      <c r="AC288" s="20"/>
      <c r="AD288" s="20"/>
      <c r="AE288" s="20"/>
      <c r="AF288" s="20"/>
      <c r="AG288" s="20"/>
      <c r="AH288" s="20"/>
      <c r="AI288" s="20"/>
      <c r="AJ288" s="20"/>
      <c r="AK288" s="20"/>
      <c r="AL288" s="20"/>
      <c r="AM288" s="20"/>
      <c r="AN288" s="20"/>
      <c r="AO288" s="20"/>
      <c r="AP288" s="20"/>
      <c r="AQ288" s="20"/>
      <c r="AR288" s="20"/>
      <c r="AS288" s="20"/>
      <c r="AT288" s="20"/>
      <c r="AU288" s="20"/>
      <c r="AV288" s="20"/>
      <c r="AW288" s="20"/>
      <c r="AX288" s="20"/>
      <c r="AY288" s="20"/>
      <c r="AZ288" s="20"/>
      <c r="BA288" s="20"/>
      <c r="BB288" s="20"/>
      <c r="BC288" s="20"/>
      <c r="BD288" s="20"/>
      <c r="BE288" s="20"/>
      <c r="BF288" s="20"/>
      <c r="BG288" s="20"/>
      <c r="BH288" s="20"/>
      <c r="BI288" s="20"/>
      <c r="BJ288" s="20"/>
      <c r="BK288" s="20"/>
      <c r="BL288" s="20"/>
      <c r="BM288" s="20"/>
      <c r="BN288" s="20"/>
      <c r="BO288" s="20"/>
      <c r="BP288" s="20"/>
      <c r="BQ288" s="20"/>
      <c r="BR288" s="20"/>
      <c r="BS288" s="20"/>
      <c r="BT288" s="20"/>
      <c r="BU288" s="20"/>
      <c r="BV288" s="20"/>
      <c r="BW288" s="20"/>
      <c r="BX288" s="20"/>
      <c r="BY288" s="20"/>
      <c r="BZ288" s="20"/>
      <c r="CA288" s="20"/>
      <c r="CB288" s="20"/>
      <c r="CC288" s="20"/>
      <c r="CD288" s="20"/>
      <c r="CE288" s="20"/>
      <c r="CF288" s="20"/>
      <c r="CG288" s="20"/>
      <c r="CH288" s="20"/>
      <c r="CI288" s="20"/>
      <c r="CJ288" s="20"/>
      <c r="CK288" s="20"/>
      <c r="CL288" s="20"/>
      <c r="CM288" s="20"/>
      <c r="CN288" s="20"/>
      <c r="CO288" s="20"/>
      <c r="CP288" s="20"/>
      <c r="CQ288" s="20"/>
      <c r="CR288" s="20"/>
      <c r="CS288" s="20"/>
      <c r="CT288" s="20"/>
      <c r="CU288" s="20"/>
      <c r="CV288" s="20"/>
      <c r="CW288" s="20"/>
      <c r="CX288" s="20"/>
      <c r="CY288" s="20"/>
      <c r="CZ288" s="20"/>
      <c r="DA288" s="20"/>
      <c r="DB288" s="20"/>
      <c r="DC288" s="20"/>
      <c r="DD288" s="20"/>
      <c r="DE288" s="20"/>
      <c r="DF288" s="20"/>
      <c r="DG288" s="20"/>
      <c r="DH288" s="20"/>
      <c r="DI288" s="20"/>
      <c r="DJ288" s="20"/>
      <c r="DK288" s="20"/>
      <c r="DL288" s="20"/>
      <c r="DM288" s="20"/>
      <c r="DN288" s="20"/>
      <c r="DO288" s="20"/>
      <c r="DP288" s="20"/>
      <c r="DQ288" s="20"/>
      <c r="DR288" s="20"/>
      <c r="DS288" s="20"/>
      <c r="DT288" s="20"/>
      <c r="DU288" s="20"/>
      <c r="DV288" s="20"/>
      <c r="DW288" s="20"/>
      <c r="DX288" s="20"/>
      <c r="DY288" s="20"/>
      <c r="DZ288" s="20"/>
      <c r="EA288" s="20"/>
    </row>
    <row r="289" spans="2:131" ht="18" customHeight="1">
      <c r="B289" s="707"/>
      <c r="C289" s="707"/>
      <c r="D289" s="707"/>
      <c r="E289" s="707"/>
      <c r="F289" s="707"/>
      <c r="G289" s="707"/>
      <c r="H289" s="707"/>
      <c r="I289" s="707"/>
      <c r="J289" s="707"/>
      <c r="K289" s="707"/>
      <c r="L289" s="19"/>
      <c r="M289" s="20"/>
      <c r="N289" s="20"/>
      <c r="O289" s="20"/>
      <c r="P289" s="20"/>
      <c r="Q289" s="20"/>
      <c r="R289" s="20"/>
      <c r="S289" s="20"/>
      <c r="T289" s="20"/>
      <c r="U289" s="20"/>
      <c r="V289" s="20"/>
      <c r="W289" s="20"/>
      <c r="X289" s="20"/>
      <c r="Y289" s="20"/>
      <c r="Z289" s="20"/>
      <c r="AA289" s="20"/>
      <c r="AB289" s="20"/>
      <c r="AC289" s="20"/>
      <c r="AD289" s="20"/>
      <c r="AE289" s="20"/>
      <c r="AF289" s="20"/>
      <c r="AG289" s="20"/>
      <c r="AH289" s="20"/>
      <c r="AI289" s="20"/>
      <c r="AJ289" s="20"/>
      <c r="AK289" s="20"/>
      <c r="AL289" s="20"/>
      <c r="AM289" s="20"/>
      <c r="AN289" s="20"/>
      <c r="AO289" s="20"/>
      <c r="AP289" s="20"/>
      <c r="AQ289" s="20"/>
      <c r="AR289" s="20"/>
      <c r="AS289" s="20"/>
      <c r="AT289" s="20"/>
      <c r="AU289" s="20"/>
      <c r="AV289" s="20"/>
      <c r="AW289" s="20"/>
      <c r="AX289" s="20"/>
      <c r="AY289" s="20"/>
      <c r="AZ289" s="20"/>
      <c r="BA289" s="20"/>
      <c r="BB289" s="20"/>
      <c r="BC289" s="20"/>
      <c r="BD289" s="20"/>
      <c r="BE289" s="20"/>
      <c r="BF289" s="20"/>
      <c r="BG289" s="20"/>
      <c r="BH289" s="20"/>
      <c r="BI289" s="20"/>
      <c r="BJ289" s="20"/>
      <c r="BK289" s="20"/>
      <c r="BL289" s="20"/>
      <c r="BM289" s="20"/>
      <c r="BN289" s="20"/>
      <c r="BO289" s="20"/>
      <c r="BP289" s="20"/>
      <c r="BQ289" s="20"/>
      <c r="BR289" s="20"/>
      <c r="BS289" s="20"/>
      <c r="BT289" s="20"/>
      <c r="BU289" s="20"/>
      <c r="BV289" s="20"/>
      <c r="BW289" s="20"/>
      <c r="BX289" s="20"/>
      <c r="BY289" s="20"/>
      <c r="BZ289" s="20"/>
      <c r="CA289" s="20"/>
      <c r="CB289" s="20"/>
      <c r="CC289" s="20"/>
      <c r="CD289" s="20"/>
      <c r="CE289" s="20"/>
      <c r="CF289" s="20"/>
      <c r="CG289" s="20"/>
      <c r="CH289" s="20"/>
      <c r="CI289" s="20"/>
      <c r="CJ289" s="20"/>
      <c r="CK289" s="20"/>
      <c r="CL289" s="20"/>
      <c r="CM289" s="20"/>
      <c r="CN289" s="20"/>
      <c r="CO289" s="20"/>
      <c r="CP289" s="20"/>
      <c r="CQ289" s="20"/>
      <c r="CR289" s="20"/>
      <c r="CS289" s="20"/>
      <c r="CT289" s="20"/>
      <c r="CU289" s="20"/>
      <c r="CV289" s="20"/>
      <c r="CW289" s="20"/>
      <c r="CX289" s="20"/>
      <c r="CY289" s="20"/>
      <c r="CZ289" s="20"/>
      <c r="DA289" s="20"/>
      <c r="DB289" s="20"/>
      <c r="DC289" s="20"/>
      <c r="DD289" s="20"/>
      <c r="DE289" s="20"/>
      <c r="DF289" s="20"/>
      <c r="DG289" s="20"/>
      <c r="DH289" s="20"/>
      <c r="DI289" s="20"/>
      <c r="DJ289" s="20"/>
      <c r="DK289" s="20"/>
      <c r="DL289" s="20"/>
      <c r="DM289" s="20"/>
      <c r="DN289" s="20"/>
      <c r="DO289" s="20"/>
      <c r="DP289" s="20"/>
      <c r="DQ289" s="20"/>
      <c r="DR289" s="20"/>
      <c r="DS289" s="20"/>
      <c r="DT289" s="20"/>
      <c r="DU289" s="20"/>
      <c r="DV289" s="20"/>
      <c r="DW289" s="20"/>
      <c r="DX289" s="20"/>
      <c r="DY289" s="20"/>
      <c r="DZ289" s="20"/>
      <c r="EA289" s="20"/>
    </row>
    <row r="290" spans="2:131" ht="18" customHeight="1">
      <c r="B290" s="707"/>
      <c r="C290" s="707"/>
      <c r="D290" s="707"/>
      <c r="E290" s="707"/>
      <c r="F290" s="707"/>
      <c r="G290" s="707"/>
      <c r="H290" s="707"/>
      <c r="I290" s="707"/>
      <c r="J290" s="707"/>
      <c r="K290" s="707"/>
      <c r="L290" s="19"/>
      <c r="M290" s="20"/>
      <c r="N290" s="20"/>
      <c r="O290" s="20"/>
      <c r="P290" s="20"/>
      <c r="Q290" s="20"/>
      <c r="R290" s="20"/>
      <c r="S290" s="20"/>
      <c r="T290" s="20"/>
      <c r="U290" s="20"/>
      <c r="V290" s="20"/>
      <c r="W290" s="20"/>
      <c r="X290" s="20"/>
      <c r="Y290" s="20"/>
      <c r="Z290" s="20"/>
      <c r="AA290" s="20"/>
      <c r="AB290" s="20"/>
      <c r="AC290" s="20"/>
      <c r="AD290" s="20"/>
      <c r="AE290" s="20"/>
      <c r="AF290" s="20"/>
      <c r="AG290" s="20"/>
      <c r="AH290" s="20"/>
      <c r="AI290" s="20"/>
      <c r="AJ290" s="20"/>
      <c r="AK290" s="20"/>
      <c r="AL290" s="20"/>
      <c r="AM290" s="20"/>
      <c r="AN290" s="20"/>
      <c r="AO290" s="20"/>
      <c r="AP290" s="20"/>
      <c r="AQ290" s="20"/>
      <c r="AR290" s="20"/>
      <c r="AS290" s="20"/>
      <c r="AT290" s="20"/>
      <c r="AU290" s="20"/>
      <c r="AV290" s="20"/>
      <c r="AW290" s="20"/>
      <c r="AX290" s="20"/>
      <c r="AY290" s="20"/>
      <c r="AZ290" s="20"/>
      <c r="BA290" s="20"/>
      <c r="BB290" s="20"/>
      <c r="BC290" s="20"/>
      <c r="BD290" s="20"/>
      <c r="BE290" s="20"/>
      <c r="BF290" s="20"/>
      <c r="BG290" s="20"/>
      <c r="BH290" s="20"/>
      <c r="BI290" s="20"/>
      <c r="BJ290" s="20"/>
      <c r="BK290" s="20"/>
      <c r="BL290" s="20"/>
      <c r="BM290" s="20"/>
      <c r="BN290" s="20"/>
      <c r="BO290" s="20"/>
      <c r="BP290" s="20"/>
      <c r="BQ290" s="20"/>
      <c r="BR290" s="20"/>
      <c r="BS290" s="20"/>
      <c r="BT290" s="20"/>
      <c r="BU290" s="20"/>
      <c r="BV290" s="20"/>
      <c r="BW290" s="20"/>
      <c r="BX290" s="20"/>
      <c r="BY290" s="20"/>
      <c r="BZ290" s="20"/>
      <c r="CA290" s="20"/>
      <c r="CB290" s="20"/>
      <c r="CC290" s="20"/>
      <c r="CD290" s="20"/>
      <c r="CE290" s="20"/>
      <c r="CF290" s="20"/>
      <c r="CG290" s="20"/>
      <c r="CH290" s="20"/>
      <c r="CI290" s="20"/>
      <c r="CJ290" s="20"/>
      <c r="CK290" s="20"/>
      <c r="CL290" s="20"/>
      <c r="CM290" s="20"/>
      <c r="CN290" s="20"/>
      <c r="CO290" s="20"/>
      <c r="CP290" s="20"/>
      <c r="CQ290" s="20"/>
      <c r="CR290" s="20"/>
      <c r="CS290" s="20"/>
      <c r="CT290" s="20"/>
      <c r="CU290" s="20"/>
      <c r="CV290" s="20"/>
      <c r="CW290" s="20"/>
      <c r="CX290" s="20"/>
      <c r="CY290" s="20"/>
      <c r="CZ290" s="20"/>
      <c r="DA290" s="20"/>
      <c r="DB290" s="20"/>
      <c r="DC290" s="20"/>
      <c r="DD290" s="20"/>
      <c r="DE290" s="20"/>
      <c r="DF290" s="20"/>
      <c r="DG290" s="20"/>
      <c r="DH290" s="20"/>
      <c r="DI290" s="20"/>
      <c r="DJ290" s="20"/>
      <c r="DK290" s="20"/>
      <c r="DL290" s="20"/>
      <c r="DM290" s="20"/>
      <c r="DN290" s="20"/>
      <c r="DO290" s="20"/>
      <c r="DP290" s="20"/>
      <c r="DQ290" s="20"/>
      <c r="DR290" s="20"/>
      <c r="DS290" s="20"/>
      <c r="DT290" s="20"/>
      <c r="DU290" s="20"/>
      <c r="DV290" s="20"/>
      <c r="DW290" s="20"/>
      <c r="DX290" s="20"/>
      <c r="DY290" s="20"/>
      <c r="DZ290" s="20"/>
      <c r="EA290" s="20"/>
    </row>
    <row r="291" spans="2:131" ht="18" customHeight="1">
      <c r="B291" s="707"/>
      <c r="C291" s="707"/>
      <c r="D291" s="707"/>
      <c r="E291" s="707"/>
      <c r="F291" s="707"/>
      <c r="G291" s="707"/>
      <c r="H291" s="707"/>
      <c r="I291" s="707"/>
      <c r="J291" s="707"/>
      <c r="K291" s="707"/>
      <c r="L291" s="19"/>
      <c r="M291" s="20"/>
      <c r="N291" s="20"/>
      <c r="O291" s="20"/>
      <c r="P291" s="20"/>
      <c r="Q291" s="20"/>
      <c r="R291" s="20"/>
      <c r="S291" s="20"/>
      <c r="T291" s="20"/>
      <c r="U291" s="20"/>
      <c r="V291" s="20"/>
      <c r="W291" s="20"/>
      <c r="X291" s="20"/>
      <c r="Y291" s="20"/>
      <c r="Z291" s="20"/>
      <c r="AA291" s="20"/>
      <c r="AB291" s="20"/>
      <c r="AC291" s="20"/>
      <c r="AD291" s="20"/>
      <c r="AE291" s="20"/>
      <c r="AF291" s="20"/>
      <c r="AG291" s="20"/>
      <c r="AH291" s="20"/>
      <c r="AI291" s="20"/>
      <c r="AJ291" s="20"/>
      <c r="AK291" s="20"/>
      <c r="AL291" s="20"/>
      <c r="AM291" s="20"/>
      <c r="AN291" s="20"/>
      <c r="AO291" s="20"/>
      <c r="AP291" s="20"/>
      <c r="AQ291" s="20"/>
      <c r="AR291" s="20"/>
      <c r="AS291" s="20"/>
      <c r="AT291" s="20"/>
      <c r="AU291" s="20"/>
      <c r="AV291" s="20"/>
      <c r="AW291" s="20"/>
      <c r="AX291" s="20"/>
      <c r="AY291" s="20"/>
      <c r="AZ291" s="20"/>
      <c r="BA291" s="20"/>
      <c r="BB291" s="20"/>
      <c r="BC291" s="20"/>
      <c r="BD291" s="20"/>
      <c r="BE291" s="20"/>
      <c r="BF291" s="20"/>
      <c r="BG291" s="20"/>
      <c r="BH291" s="20"/>
      <c r="BI291" s="20"/>
      <c r="BJ291" s="20"/>
      <c r="BK291" s="20"/>
      <c r="BL291" s="20"/>
      <c r="BM291" s="20"/>
      <c r="BN291" s="20"/>
      <c r="BO291" s="20"/>
      <c r="BP291" s="20"/>
      <c r="BQ291" s="20"/>
      <c r="BR291" s="20"/>
      <c r="BS291" s="20"/>
      <c r="BT291" s="20"/>
      <c r="BU291" s="20"/>
      <c r="BV291" s="20"/>
      <c r="BW291" s="20"/>
      <c r="BX291" s="20"/>
      <c r="BY291" s="20"/>
      <c r="BZ291" s="20"/>
      <c r="CA291" s="20"/>
      <c r="CB291" s="20"/>
      <c r="CC291" s="20"/>
      <c r="CD291" s="20"/>
      <c r="CE291" s="20"/>
      <c r="CF291" s="20"/>
      <c r="CG291" s="20"/>
      <c r="CH291" s="20"/>
      <c r="CI291" s="20"/>
      <c r="CJ291" s="20"/>
      <c r="CK291" s="20"/>
      <c r="CL291" s="20"/>
      <c r="CM291" s="20"/>
      <c r="CN291" s="20"/>
      <c r="CO291" s="20"/>
      <c r="CP291" s="20"/>
      <c r="CQ291" s="20"/>
      <c r="CR291" s="20"/>
      <c r="CS291" s="20"/>
      <c r="CT291" s="20"/>
      <c r="CU291" s="20"/>
      <c r="CV291" s="20"/>
      <c r="CW291" s="20"/>
      <c r="CX291" s="20"/>
      <c r="CY291" s="20"/>
      <c r="CZ291" s="20"/>
      <c r="DA291" s="20"/>
      <c r="DB291" s="20"/>
      <c r="DC291" s="20"/>
      <c r="DD291" s="20"/>
      <c r="DE291" s="20"/>
      <c r="DF291" s="20"/>
      <c r="DG291" s="20"/>
      <c r="DH291" s="20"/>
      <c r="DI291" s="20"/>
      <c r="DJ291" s="20"/>
      <c r="DK291" s="20"/>
      <c r="DL291" s="20"/>
      <c r="DM291" s="20"/>
      <c r="DN291" s="20"/>
      <c r="DO291" s="20"/>
      <c r="DP291" s="20"/>
      <c r="DQ291" s="20"/>
      <c r="DR291" s="20"/>
      <c r="DS291" s="20"/>
      <c r="DT291" s="20"/>
      <c r="DU291" s="20"/>
      <c r="DV291" s="20"/>
      <c r="DW291" s="20"/>
      <c r="DX291" s="20"/>
      <c r="DY291" s="20"/>
      <c r="DZ291" s="20"/>
      <c r="EA291" s="20"/>
    </row>
    <row r="292" spans="2:131" ht="18" customHeight="1">
      <c r="B292" s="708"/>
      <c r="C292" s="708"/>
      <c r="D292" s="707"/>
      <c r="E292" s="707"/>
      <c r="F292" s="707"/>
      <c r="G292" s="707"/>
      <c r="H292" s="707"/>
      <c r="I292" s="707"/>
      <c r="J292" s="707"/>
      <c r="K292" s="707"/>
      <c r="L292" s="19"/>
      <c r="M292" s="20"/>
      <c r="N292" s="20"/>
      <c r="O292" s="20"/>
      <c r="P292" s="20"/>
      <c r="Q292" s="20"/>
      <c r="R292" s="20"/>
      <c r="S292" s="20"/>
      <c r="T292" s="20"/>
      <c r="U292" s="20"/>
      <c r="V292" s="20"/>
      <c r="W292" s="20"/>
      <c r="X292" s="20"/>
      <c r="Y292" s="20"/>
      <c r="Z292" s="20"/>
      <c r="AA292" s="20"/>
      <c r="AB292" s="20"/>
      <c r="AC292" s="20"/>
      <c r="AD292" s="20"/>
      <c r="AE292" s="20"/>
      <c r="AF292" s="20"/>
      <c r="AG292" s="20"/>
      <c r="AH292" s="20"/>
      <c r="AI292" s="20"/>
      <c r="AJ292" s="20"/>
      <c r="AK292" s="20"/>
      <c r="AL292" s="20"/>
      <c r="AM292" s="20"/>
      <c r="AN292" s="20"/>
      <c r="AO292" s="20"/>
      <c r="AP292" s="20"/>
      <c r="AQ292" s="20"/>
      <c r="AR292" s="20"/>
      <c r="AS292" s="20"/>
      <c r="AT292" s="20"/>
      <c r="AU292" s="20"/>
      <c r="AV292" s="20"/>
      <c r="AW292" s="20"/>
      <c r="AX292" s="20"/>
      <c r="AY292" s="20"/>
      <c r="AZ292" s="20"/>
      <c r="BA292" s="20"/>
      <c r="BB292" s="20"/>
      <c r="BC292" s="20"/>
      <c r="BD292" s="20"/>
      <c r="BE292" s="20"/>
      <c r="BF292" s="20"/>
      <c r="BG292" s="20"/>
      <c r="BH292" s="20"/>
      <c r="BI292" s="20"/>
      <c r="BJ292" s="20"/>
      <c r="BK292" s="20"/>
      <c r="BL292" s="20"/>
      <c r="BM292" s="20"/>
      <c r="BN292" s="20"/>
      <c r="BO292" s="20"/>
      <c r="BP292" s="20"/>
      <c r="BQ292" s="20"/>
      <c r="BR292" s="20"/>
      <c r="BS292" s="20"/>
      <c r="BT292" s="20"/>
      <c r="BU292" s="20"/>
      <c r="BV292" s="20"/>
      <c r="BW292" s="20"/>
      <c r="BX292" s="20"/>
      <c r="BY292" s="20"/>
      <c r="BZ292" s="20"/>
      <c r="CA292" s="20"/>
      <c r="CB292" s="20"/>
      <c r="CC292" s="20"/>
      <c r="CD292" s="20"/>
      <c r="CE292" s="20"/>
      <c r="CF292" s="20"/>
      <c r="CG292" s="20"/>
      <c r="CH292" s="20"/>
      <c r="CI292" s="20"/>
      <c r="CJ292" s="20"/>
      <c r="CK292" s="20"/>
      <c r="CL292" s="20"/>
      <c r="CM292" s="20"/>
      <c r="CN292" s="20"/>
      <c r="CO292" s="20"/>
      <c r="CP292" s="20"/>
      <c r="CQ292" s="20"/>
      <c r="CR292" s="20"/>
      <c r="CS292" s="20"/>
      <c r="CT292" s="20"/>
      <c r="CU292" s="20"/>
      <c r="CV292" s="20"/>
      <c r="CW292" s="20"/>
      <c r="CX292" s="20"/>
      <c r="CY292" s="20"/>
      <c r="CZ292" s="20"/>
      <c r="DA292" s="20"/>
      <c r="DB292" s="20"/>
      <c r="DC292" s="20"/>
      <c r="DD292" s="20"/>
      <c r="DE292" s="20"/>
      <c r="DF292" s="20"/>
      <c r="DG292" s="20"/>
      <c r="DH292" s="20"/>
      <c r="DI292" s="20"/>
      <c r="DJ292" s="20"/>
      <c r="DK292" s="20"/>
      <c r="DL292" s="20"/>
      <c r="DM292" s="20"/>
      <c r="DN292" s="20"/>
      <c r="DO292" s="20"/>
      <c r="DP292" s="20"/>
      <c r="DQ292" s="20"/>
      <c r="DR292" s="20"/>
      <c r="DS292" s="20"/>
      <c r="DT292" s="20"/>
      <c r="DU292" s="20"/>
      <c r="DV292" s="20"/>
      <c r="DW292" s="20"/>
      <c r="DX292" s="20"/>
      <c r="DY292" s="20"/>
      <c r="DZ292" s="20"/>
      <c r="EA292" s="20"/>
    </row>
    <row r="293" spans="2:131" ht="18" customHeight="1">
      <c r="B293" s="707"/>
      <c r="C293" s="707"/>
      <c r="D293" s="707"/>
      <c r="E293" s="707"/>
      <c r="F293" s="707"/>
      <c r="G293" s="707"/>
      <c r="H293" s="707"/>
      <c r="I293" s="707"/>
      <c r="J293" s="707"/>
      <c r="K293" s="707"/>
      <c r="L293" s="19"/>
      <c r="M293" s="20"/>
      <c r="N293" s="20"/>
      <c r="O293" s="20"/>
      <c r="P293" s="20"/>
      <c r="Q293" s="20"/>
      <c r="R293" s="20"/>
      <c r="S293" s="20"/>
      <c r="T293" s="20"/>
      <c r="U293" s="20"/>
      <c r="V293" s="20"/>
      <c r="W293" s="20"/>
      <c r="X293" s="20"/>
      <c r="Y293" s="20"/>
      <c r="Z293" s="20"/>
      <c r="AA293" s="20"/>
      <c r="AB293" s="20"/>
      <c r="AC293" s="20"/>
      <c r="AD293" s="20"/>
      <c r="AE293" s="20"/>
      <c r="AF293" s="20"/>
      <c r="AG293" s="20"/>
      <c r="AH293" s="20"/>
      <c r="AI293" s="20"/>
      <c r="AJ293" s="20"/>
      <c r="AK293" s="20"/>
      <c r="AL293" s="20"/>
      <c r="AM293" s="20"/>
      <c r="AN293" s="20"/>
      <c r="AO293" s="20"/>
      <c r="AP293" s="20"/>
      <c r="AQ293" s="20"/>
      <c r="AR293" s="20"/>
      <c r="AS293" s="20"/>
      <c r="AT293" s="20"/>
      <c r="AU293" s="20"/>
      <c r="AV293" s="20"/>
      <c r="AW293" s="20"/>
      <c r="AX293" s="20"/>
      <c r="AY293" s="20"/>
      <c r="AZ293" s="20"/>
      <c r="BA293" s="20"/>
      <c r="BB293" s="20"/>
      <c r="BC293" s="20"/>
      <c r="BD293" s="20"/>
      <c r="BE293" s="20"/>
      <c r="BF293" s="20"/>
      <c r="BG293" s="20"/>
      <c r="BH293" s="20"/>
      <c r="BI293" s="20"/>
      <c r="BJ293" s="20"/>
      <c r="BK293" s="20"/>
      <c r="BL293" s="20"/>
      <c r="BM293" s="20"/>
      <c r="BN293" s="20"/>
      <c r="BO293" s="20"/>
      <c r="BP293" s="20"/>
      <c r="BQ293" s="20"/>
      <c r="BR293" s="20"/>
      <c r="BS293" s="20"/>
      <c r="BT293" s="20"/>
      <c r="BU293" s="20"/>
      <c r="BV293" s="20"/>
      <c r="BW293" s="20"/>
      <c r="BX293" s="20"/>
      <c r="BY293" s="20"/>
      <c r="BZ293" s="20"/>
      <c r="CA293" s="20"/>
      <c r="CB293" s="20"/>
      <c r="CC293" s="20"/>
      <c r="CD293" s="20"/>
      <c r="CE293" s="20"/>
      <c r="CF293" s="20"/>
      <c r="CG293" s="20"/>
      <c r="CH293" s="20"/>
      <c r="CI293" s="20"/>
      <c r="CJ293" s="20"/>
      <c r="CK293" s="20"/>
      <c r="CL293" s="20"/>
      <c r="CM293" s="20"/>
      <c r="CN293" s="20"/>
      <c r="CO293" s="20"/>
      <c r="CP293" s="20"/>
      <c r="CQ293" s="20"/>
      <c r="CR293" s="20"/>
      <c r="CS293" s="20"/>
      <c r="CT293" s="20"/>
      <c r="CU293" s="20"/>
      <c r="CV293" s="20"/>
      <c r="CW293" s="20"/>
      <c r="CX293" s="20"/>
      <c r="CY293" s="20"/>
      <c r="CZ293" s="20"/>
      <c r="DA293" s="20"/>
      <c r="DB293" s="20"/>
      <c r="DC293" s="20"/>
      <c r="DD293" s="20"/>
      <c r="DE293" s="20"/>
      <c r="DF293" s="20"/>
      <c r="DG293" s="20"/>
      <c r="DH293" s="20"/>
      <c r="DI293" s="20"/>
      <c r="DJ293" s="20"/>
      <c r="DK293" s="20"/>
      <c r="DL293" s="20"/>
      <c r="DM293" s="20"/>
      <c r="DN293" s="20"/>
      <c r="DO293" s="20"/>
      <c r="DP293" s="20"/>
      <c r="DQ293" s="20"/>
      <c r="DR293" s="20"/>
      <c r="DS293" s="20"/>
      <c r="DT293" s="20"/>
      <c r="DU293" s="20"/>
      <c r="DV293" s="20"/>
      <c r="DW293" s="20"/>
      <c r="DX293" s="20"/>
      <c r="DY293" s="20"/>
      <c r="DZ293" s="20"/>
      <c r="EA293" s="20"/>
    </row>
    <row r="294" spans="2:131" ht="18" customHeight="1">
      <c r="B294" s="707"/>
      <c r="C294" s="707"/>
      <c r="D294" s="707"/>
      <c r="E294" s="707"/>
      <c r="F294" s="707"/>
      <c r="G294" s="707"/>
      <c r="H294" s="707"/>
      <c r="I294" s="707"/>
      <c r="J294" s="707"/>
      <c r="K294" s="707"/>
      <c r="L294" s="19"/>
      <c r="M294" s="20"/>
      <c r="N294" s="20"/>
      <c r="O294" s="20"/>
      <c r="P294" s="20"/>
      <c r="Q294" s="20"/>
      <c r="R294" s="20"/>
      <c r="S294" s="20"/>
      <c r="T294" s="20"/>
      <c r="U294" s="20"/>
      <c r="V294" s="20"/>
      <c r="W294" s="20"/>
      <c r="X294" s="20"/>
      <c r="Y294" s="20"/>
      <c r="Z294" s="20"/>
      <c r="AA294" s="20"/>
      <c r="AB294" s="20"/>
      <c r="AC294" s="20"/>
      <c r="AD294" s="20"/>
      <c r="AE294" s="20"/>
      <c r="AF294" s="20"/>
      <c r="AG294" s="20"/>
      <c r="AH294" s="20"/>
      <c r="AI294" s="20"/>
      <c r="AJ294" s="20"/>
      <c r="AK294" s="20"/>
      <c r="AL294" s="20"/>
      <c r="AM294" s="20"/>
      <c r="AN294" s="20"/>
      <c r="AO294" s="20"/>
      <c r="AP294" s="20"/>
      <c r="AQ294" s="20"/>
      <c r="AR294" s="20"/>
      <c r="AS294" s="20"/>
      <c r="AT294" s="20"/>
      <c r="AU294" s="20"/>
      <c r="AV294" s="20"/>
      <c r="AW294" s="20"/>
      <c r="AX294" s="20"/>
      <c r="AY294" s="20"/>
      <c r="AZ294" s="20"/>
      <c r="BA294" s="20"/>
      <c r="BB294" s="20"/>
      <c r="BC294" s="20"/>
      <c r="BD294" s="20"/>
      <c r="BE294" s="20"/>
      <c r="BF294" s="20"/>
      <c r="BG294" s="20"/>
      <c r="BH294" s="20"/>
      <c r="BI294" s="20"/>
      <c r="BJ294" s="20"/>
      <c r="BK294" s="20"/>
      <c r="BL294" s="20"/>
      <c r="BM294" s="20"/>
      <c r="BN294" s="20"/>
      <c r="BO294" s="20"/>
      <c r="BP294" s="20"/>
      <c r="BQ294" s="20"/>
      <c r="BR294" s="20"/>
      <c r="BS294" s="20"/>
      <c r="BT294" s="20"/>
      <c r="BU294" s="20"/>
      <c r="BV294" s="20"/>
      <c r="BW294" s="20"/>
      <c r="BX294" s="20"/>
      <c r="BY294" s="20"/>
      <c r="BZ294" s="20"/>
      <c r="CA294" s="20"/>
      <c r="CB294" s="20"/>
      <c r="CC294" s="20"/>
      <c r="CD294" s="20"/>
      <c r="CE294" s="20"/>
      <c r="CF294" s="20"/>
      <c r="CG294" s="20"/>
      <c r="CH294" s="20"/>
      <c r="CI294" s="20"/>
      <c r="CJ294" s="20"/>
      <c r="CK294" s="20"/>
      <c r="CL294" s="20"/>
      <c r="CM294" s="20"/>
      <c r="CN294" s="20"/>
      <c r="CO294" s="20"/>
      <c r="CP294" s="20"/>
      <c r="CQ294" s="20"/>
      <c r="CR294" s="20"/>
      <c r="CS294" s="20"/>
      <c r="CT294" s="20"/>
      <c r="CU294" s="20"/>
      <c r="CV294" s="20"/>
      <c r="CW294" s="20"/>
      <c r="CX294" s="20"/>
      <c r="CY294" s="20"/>
      <c r="CZ294" s="20"/>
      <c r="DA294" s="20"/>
      <c r="DB294" s="20"/>
      <c r="DC294" s="20"/>
      <c r="DD294" s="20"/>
      <c r="DE294" s="20"/>
      <c r="DF294" s="20"/>
      <c r="DG294" s="20"/>
      <c r="DH294" s="20"/>
      <c r="DI294" s="20"/>
      <c r="DJ294" s="20"/>
      <c r="DK294" s="20"/>
      <c r="DL294" s="20"/>
      <c r="DM294" s="20"/>
      <c r="DN294" s="20"/>
      <c r="DO294" s="20"/>
      <c r="DP294" s="20"/>
      <c r="DQ294" s="20"/>
      <c r="DR294" s="20"/>
      <c r="DS294" s="20"/>
      <c r="DT294" s="20"/>
      <c r="DU294" s="20"/>
      <c r="DV294" s="20"/>
      <c r="DW294" s="20"/>
      <c r="DX294" s="20"/>
      <c r="DY294" s="20"/>
      <c r="DZ294" s="20"/>
      <c r="EA294" s="20"/>
    </row>
    <row r="295" spans="2:131" ht="18" customHeight="1">
      <c r="B295" s="707"/>
      <c r="C295" s="707"/>
      <c r="D295" s="707"/>
      <c r="E295" s="707"/>
      <c r="F295" s="707"/>
      <c r="G295" s="707"/>
      <c r="H295" s="707"/>
      <c r="I295" s="707"/>
      <c r="J295" s="707"/>
      <c r="K295" s="707"/>
      <c r="L295" s="19"/>
      <c r="M295" s="20"/>
      <c r="N295" s="20"/>
      <c r="O295" s="20"/>
      <c r="P295" s="20"/>
      <c r="Q295" s="20"/>
      <c r="R295" s="20"/>
      <c r="S295" s="20"/>
      <c r="T295" s="20"/>
      <c r="U295" s="20"/>
      <c r="V295" s="20"/>
      <c r="W295" s="20"/>
      <c r="X295" s="20"/>
      <c r="Y295" s="20"/>
      <c r="Z295" s="20"/>
      <c r="AA295" s="20"/>
      <c r="AB295" s="20"/>
      <c r="AC295" s="20"/>
      <c r="AD295" s="20"/>
      <c r="AE295" s="20"/>
      <c r="AF295" s="20"/>
      <c r="AG295" s="20"/>
      <c r="AH295" s="20"/>
      <c r="AI295" s="20"/>
      <c r="AJ295" s="20"/>
      <c r="AK295" s="20"/>
      <c r="AL295" s="20"/>
      <c r="AM295" s="20"/>
      <c r="AN295" s="20"/>
      <c r="AO295" s="20"/>
      <c r="AP295" s="20"/>
      <c r="AQ295" s="20"/>
      <c r="AR295" s="20"/>
      <c r="AS295" s="20"/>
      <c r="AT295" s="20"/>
      <c r="AU295" s="20"/>
      <c r="AV295" s="20"/>
      <c r="AW295" s="20"/>
      <c r="AX295" s="20"/>
      <c r="AY295" s="20"/>
      <c r="AZ295" s="20"/>
      <c r="BA295" s="20"/>
      <c r="BB295" s="20"/>
      <c r="BC295" s="20"/>
      <c r="BD295" s="20"/>
      <c r="BE295" s="20"/>
      <c r="BF295" s="20"/>
      <c r="BG295" s="20"/>
      <c r="BH295" s="20"/>
      <c r="BI295" s="20"/>
      <c r="BJ295" s="20"/>
      <c r="BK295" s="20"/>
      <c r="BL295" s="20"/>
      <c r="BM295" s="20"/>
      <c r="BN295" s="20"/>
      <c r="BO295" s="20"/>
      <c r="BP295" s="20"/>
      <c r="BQ295" s="20"/>
      <c r="BR295" s="20"/>
      <c r="BS295" s="20"/>
      <c r="BT295" s="20"/>
      <c r="BU295" s="20"/>
      <c r="BV295" s="20"/>
      <c r="BW295" s="20"/>
      <c r="BX295" s="20"/>
      <c r="BY295" s="20"/>
      <c r="BZ295" s="20"/>
      <c r="CA295" s="20"/>
      <c r="CB295" s="20"/>
      <c r="CC295" s="20"/>
      <c r="CD295" s="20"/>
      <c r="CE295" s="20"/>
      <c r="CF295" s="20"/>
      <c r="CG295" s="20"/>
      <c r="CH295" s="20"/>
      <c r="CI295" s="20"/>
      <c r="CJ295" s="20"/>
      <c r="CK295" s="20"/>
      <c r="CL295" s="20"/>
      <c r="CM295" s="20"/>
      <c r="CN295" s="20"/>
      <c r="CO295" s="20"/>
      <c r="CP295" s="20"/>
      <c r="CQ295" s="20"/>
      <c r="CR295" s="20"/>
      <c r="CS295" s="20"/>
      <c r="CT295" s="20"/>
      <c r="CU295" s="20"/>
      <c r="CV295" s="20"/>
      <c r="CW295" s="20"/>
      <c r="CX295" s="20"/>
      <c r="CY295" s="20"/>
      <c r="CZ295" s="20"/>
      <c r="DA295" s="20"/>
      <c r="DB295" s="20"/>
      <c r="DC295" s="20"/>
      <c r="DD295" s="20"/>
      <c r="DE295" s="20"/>
      <c r="DF295" s="20"/>
      <c r="DG295" s="20"/>
      <c r="DH295" s="20"/>
      <c r="DI295" s="20"/>
      <c r="DJ295" s="20"/>
      <c r="DK295" s="20"/>
      <c r="DL295" s="20"/>
      <c r="DM295" s="20"/>
      <c r="DN295" s="20"/>
      <c r="DO295" s="20"/>
      <c r="DP295" s="20"/>
      <c r="DQ295" s="20"/>
      <c r="DR295" s="20"/>
      <c r="DS295" s="20"/>
      <c r="DT295" s="20"/>
      <c r="DU295" s="20"/>
      <c r="DV295" s="20"/>
      <c r="DW295" s="20"/>
      <c r="DX295" s="20"/>
      <c r="DY295" s="20"/>
      <c r="DZ295" s="20"/>
      <c r="EA295" s="20"/>
    </row>
    <row r="296" spans="2:131" ht="18" customHeight="1">
      <c r="B296" s="707"/>
      <c r="C296" s="707"/>
      <c r="D296" s="707"/>
      <c r="E296" s="707"/>
      <c r="F296" s="707"/>
      <c r="G296" s="707"/>
      <c r="H296" s="707"/>
      <c r="I296" s="707"/>
      <c r="J296" s="707"/>
      <c r="K296" s="707"/>
      <c r="L296" s="19"/>
      <c r="M296" s="20"/>
      <c r="N296" s="20"/>
      <c r="O296" s="20"/>
      <c r="P296" s="20"/>
      <c r="Q296" s="20"/>
      <c r="R296" s="20"/>
      <c r="S296" s="20"/>
      <c r="T296" s="20"/>
      <c r="U296" s="20"/>
      <c r="V296" s="20"/>
      <c r="W296" s="20"/>
      <c r="X296" s="20"/>
      <c r="Y296" s="20"/>
      <c r="Z296" s="20"/>
      <c r="AA296" s="20"/>
      <c r="AB296" s="20"/>
      <c r="AC296" s="20"/>
      <c r="AD296" s="20"/>
      <c r="AE296" s="20"/>
      <c r="AF296" s="20"/>
      <c r="AG296" s="20"/>
      <c r="AH296" s="20"/>
      <c r="AI296" s="20"/>
      <c r="AJ296" s="20"/>
      <c r="AK296" s="20"/>
      <c r="AL296" s="20"/>
      <c r="AM296" s="20"/>
      <c r="AN296" s="20"/>
      <c r="AO296" s="20"/>
      <c r="AP296" s="20"/>
      <c r="AQ296" s="20"/>
      <c r="AR296" s="20"/>
      <c r="AS296" s="20"/>
      <c r="AT296" s="20"/>
      <c r="AU296" s="20"/>
      <c r="AV296" s="20"/>
      <c r="AW296" s="20"/>
      <c r="AX296" s="20"/>
      <c r="AY296" s="20"/>
      <c r="AZ296" s="20"/>
      <c r="BA296" s="20"/>
      <c r="BB296" s="20"/>
      <c r="BC296" s="20"/>
      <c r="BD296" s="20"/>
      <c r="BE296" s="20"/>
      <c r="BF296" s="20"/>
      <c r="BG296" s="20"/>
      <c r="BH296" s="20"/>
      <c r="BI296" s="20"/>
      <c r="BJ296" s="20"/>
      <c r="BK296" s="20"/>
      <c r="BL296" s="20"/>
      <c r="BM296" s="20"/>
      <c r="BN296" s="20"/>
      <c r="BO296" s="20"/>
      <c r="BP296" s="20"/>
      <c r="BQ296" s="20"/>
      <c r="BR296" s="20"/>
      <c r="BS296" s="20"/>
      <c r="BT296" s="20"/>
      <c r="BU296" s="20"/>
      <c r="BV296" s="20"/>
      <c r="BW296" s="20"/>
      <c r="BX296" s="20"/>
      <c r="BY296" s="20"/>
      <c r="BZ296" s="20"/>
      <c r="CA296" s="20"/>
      <c r="CB296" s="20"/>
      <c r="CC296" s="20"/>
      <c r="CD296" s="20"/>
      <c r="CE296" s="20"/>
      <c r="CF296" s="20"/>
      <c r="CG296" s="20"/>
      <c r="CH296" s="20"/>
      <c r="CI296" s="20"/>
      <c r="CJ296" s="20"/>
      <c r="CK296" s="20"/>
      <c r="CL296" s="20"/>
      <c r="CM296" s="20"/>
      <c r="CN296" s="20"/>
      <c r="CO296" s="20"/>
      <c r="CP296" s="20"/>
      <c r="CQ296" s="20"/>
      <c r="CR296" s="20"/>
      <c r="CS296" s="20"/>
      <c r="CT296" s="20"/>
      <c r="CU296" s="20"/>
      <c r="CV296" s="20"/>
      <c r="CW296" s="20"/>
      <c r="CX296" s="20"/>
      <c r="CY296" s="20"/>
      <c r="CZ296" s="20"/>
      <c r="DA296" s="20"/>
      <c r="DB296" s="20"/>
      <c r="DC296" s="20"/>
      <c r="DD296" s="20"/>
      <c r="DE296" s="20"/>
      <c r="DF296" s="20"/>
      <c r="DG296" s="20"/>
      <c r="DH296" s="20"/>
      <c r="DI296" s="20"/>
      <c r="DJ296" s="20"/>
      <c r="DK296" s="20"/>
      <c r="DL296" s="20"/>
      <c r="DM296" s="20"/>
      <c r="DN296" s="20"/>
      <c r="DO296" s="20"/>
      <c r="DP296" s="20"/>
      <c r="DQ296" s="20"/>
      <c r="DR296" s="20"/>
      <c r="DS296" s="20"/>
      <c r="DT296" s="20"/>
      <c r="DU296" s="20"/>
      <c r="DV296" s="20"/>
      <c r="DW296" s="20"/>
      <c r="DX296" s="20"/>
      <c r="DY296" s="20"/>
      <c r="DZ296" s="20"/>
      <c r="EA296" s="20"/>
    </row>
    <row r="297" spans="2:131" ht="18" customHeight="1">
      <c r="B297" s="707"/>
      <c r="C297" s="707"/>
      <c r="D297" s="707"/>
      <c r="E297" s="707"/>
      <c r="F297" s="707"/>
      <c r="G297" s="707"/>
      <c r="H297" s="707"/>
      <c r="I297" s="707"/>
      <c r="J297" s="707"/>
      <c r="K297" s="707"/>
      <c r="L297" s="19"/>
      <c r="M297" s="20"/>
      <c r="N297" s="20"/>
      <c r="O297" s="20"/>
      <c r="P297" s="20"/>
      <c r="Q297" s="20"/>
      <c r="R297" s="20"/>
      <c r="S297" s="20"/>
      <c r="T297" s="20"/>
      <c r="U297" s="20"/>
      <c r="V297" s="20"/>
      <c r="W297" s="20"/>
      <c r="X297" s="20"/>
      <c r="Y297" s="20"/>
      <c r="Z297" s="20"/>
      <c r="AA297" s="20"/>
      <c r="AB297" s="20"/>
      <c r="AC297" s="20"/>
      <c r="AD297" s="20"/>
      <c r="AE297" s="20"/>
      <c r="AF297" s="20"/>
      <c r="AG297" s="20"/>
      <c r="AH297" s="20"/>
      <c r="AI297" s="20"/>
      <c r="AJ297" s="20"/>
      <c r="AK297" s="20"/>
      <c r="AL297" s="20"/>
      <c r="AM297" s="20"/>
      <c r="AN297" s="20"/>
      <c r="AO297" s="20"/>
      <c r="AP297" s="20"/>
      <c r="AQ297" s="20"/>
      <c r="AR297" s="20"/>
      <c r="AS297" s="20"/>
      <c r="AT297" s="20"/>
      <c r="AU297" s="20"/>
      <c r="AV297" s="20"/>
      <c r="AW297" s="20"/>
      <c r="AX297" s="20"/>
      <c r="AY297" s="20"/>
      <c r="AZ297" s="20"/>
      <c r="BA297" s="20"/>
      <c r="BB297" s="20"/>
      <c r="BC297" s="20"/>
      <c r="BD297" s="20"/>
      <c r="BE297" s="20"/>
      <c r="BF297" s="20"/>
      <c r="BG297" s="20"/>
      <c r="BH297" s="20"/>
      <c r="BI297" s="20"/>
      <c r="BJ297" s="20"/>
      <c r="BK297" s="20"/>
      <c r="BL297" s="20"/>
      <c r="BM297" s="20"/>
      <c r="BN297" s="20"/>
      <c r="BO297" s="20"/>
      <c r="BP297" s="20"/>
      <c r="BQ297" s="20"/>
      <c r="BR297" s="20"/>
      <c r="BS297" s="20"/>
      <c r="BT297" s="20"/>
      <c r="BU297" s="20"/>
      <c r="BV297" s="20"/>
      <c r="BW297" s="20"/>
      <c r="BX297" s="20"/>
      <c r="BY297" s="20"/>
      <c r="BZ297" s="20"/>
      <c r="CA297" s="20"/>
      <c r="CB297" s="20"/>
      <c r="CC297" s="20"/>
      <c r="CD297" s="20"/>
      <c r="CE297" s="20"/>
      <c r="CF297" s="20"/>
      <c r="CG297" s="20"/>
      <c r="CH297" s="20"/>
      <c r="CI297" s="20"/>
      <c r="CJ297" s="20"/>
      <c r="CK297" s="20"/>
      <c r="CL297" s="20"/>
      <c r="CM297" s="20"/>
      <c r="CN297" s="20"/>
      <c r="CO297" s="20"/>
      <c r="CP297" s="20"/>
      <c r="CQ297" s="20"/>
      <c r="CR297" s="20"/>
      <c r="CS297" s="20"/>
      <c r="CT297" s="20"/>
      <c r="CU297" s="20"/>
      <c r="CV297" s="20"/>
      <c r="CW297" s="20"/>
      <c r="CX297" s="20"/>
      <c r="CY297" s="20"/>
      <c r="CZ297" s="20"/>
      <c r="DA297" s="20"/>
      <c r="DB297" s="20"/>
      <c r="DC297" s="20"/>
      <c r="DD297" s="20"/>
      <c r="DE297" s="20"/>
      <c r="DF297" s="20"/>
      <c r="DG297" s="20"/>
      <c r="DH297" s="20"/>
      <c r="DI297" s="20"/>
      <c r="DJ297" s="20"/>
      <c r="DK297" s="20"/>
      <c r="DL297" s="20"/>
      <c r="DM297" s="20"/>
      <c r="DN297" s="20"/>
      <c r="DO297" s="20"/>
      <c r="DP297" s="20"/>
      <c r="DQ297" s="20"/>
      <c r="DR297" s="20"/>
      <c r="DS297" s="20"/>
      <c r="DT297" s="20"/>
      <c r="DU297" s="20"/>
      <c r="DV297" s="20"/>
      <c r="DW297" s="20"/>
      <c r="DX297" s="20"/>
      <c r="DY297" s="20"/>
      <c r="DZ297" s="20"/>
      <c r="EA297" s="20"/>
    </row>
    <row r="298" spans="2:131" ht="18" customHeight="1">
      <c r="B298" s="708"/>
      <c r="C298" s="708"/>
      <c r="D298" s="707"/>
      <c r="E298" s="707"/>
      <c r="F298" s="707"/>
      <c r="G298" s="707"/>
      <c r="H298" s="707"/>
      <c r="I298" s="707"/>
      <c r="J298" s="707"/>
      <c r="K298" s="707"/>
      <c r="L298" s="19"/>
      <c r="M298" s="20"/>
      <c r="N298" s="20"/>
      <c r="O298" s="20"/>
      <c r="P298" s="20"/>
      <c r="Q298" s="20"/>
      <c r="R298" s="20"/>
      <c r="S298" s="20"/>
      <c r="T298" s="20"/>
      <c r="U298" s="20"/>
      <c r="V298" s="20"/>
      <c r="W298" s="20"/>
      <c r="X298" s="20"/>
      <c r="Y298" s="20"/>
      <c r="Z298" s="20"/>
      <c r="AA298" s="20"/>
      <c r="AB298" s="20"/>
      <c r="AC298" s="20"/>
      <c r="AD298" s="20"/>
      <c r="AE298" s="20"/>
      <c r="AF298" s="20"/>
      <c r="AG298" s="20"/>
      <c r="AH298" s="20"/>
      <c r="AI298" s="20"/>
      <c r="AJ298" s="20"/>
      <c r="AK298" s="20"/>
      <c r="AL298" s="20"/>
      <c r="AM298" s="20"/>
      <c r="AN298" s="20"/>
      <c r="AO298" s="20"/>
      <c r="AP298" s="20"/>
      <c r="AQ298" s="20"/>
      <c r="AR298" s="20"/>
      <c r="AS298" s="20"/>
      <c r="AT298" s="20"/>
      <c r="AU298" s="20"/>
      <c r="AV298" s="20"/>
      <c r="AW298" s="20"/>
      <c r="AX298" s="20"/>
      <c r="AY298" s="20"/>
      <c r="AZ298" s="20"/>
      <c r="BA298" s="20"/>
      <c r="BB298" s="20"/>
      <c r="BC298" s="20"/>
      <c r="BD298" s="20"/>
      <c r="BE298" s="20"/>
      <c r="BF298" s="20"/>
      <c r="BG298" s="20"/>
      <c r="BH298" s="20"/>
      <c r="BI298" s="20"/>
      <c r="BJ298" s="20"/>
      <c r="BK298" s="20"/>
      <c r="BL298" s="20"/>
      <c r="BM298" s="20"/>
      <c r="BN298" s="20"/>
      <c r="BO298" s="20"/>
      <c r="BP298" s="20"/>
      <c r="BQ298" s="20"/>
      <c r="BR298" s="20"/>
      <c r="BS298" s="20"/>
      <c r="BT298" s="20"/>
      <c r="BU298" s="20"/>
      <c r="BV298" s="20"/>
      <c r="BW298" s="20"/>
      <c r="BX298" s="20"/>
      <c r="BY298" s="20"/>
      <c r="BZ298" s="20"/>
      <c r="CA298" s="20"/>
      <c r="CB298" s="20"/>
      <c r="CC298" s="20"/>
      <c r="CD298" s="20"/>
      <c r="CE298" s="20"/>
      <c r="CF298" s="20"/>
      <c r="CG298" s="20"/>
      <c r="CH298" s="20"/>
      <c r="CI298" s="20"/>
      <c r="CJ298" s="20"/>
      <c r="CK298" s="20"/>
      <c r="CL298" s="20"/>
      <c r="CM298" s="20"/>
      <c r="CN298" s="20"/>
      <c r="CO298" s="20"/>
      <c r="CP298" s="20"/>
      <c r="CQ298" s="20"/>
      <c r="CR298" s="20"/>
      <c r="CS298" s="20"/>
      <c r="CT298" s="20"/>
      <c r="CU298" s="20"/>
      <c r="CV298" s="20"/>
      <c r="CW298" s="20"/>
      <c r="CX298" s="20"/>
      <c r="CY298" s="20"/>
      <c r="CZ298" s="20"/>
      <c r="DA298" s="20"/>
      <c r="DB298" s="20"/>
      <c r="DC298" s="20"/>
      <c r="DD298" s="20"/>
      <c r="DE298" s="20"/>
      <c r="DF298" s="20"/>
      <c r="DG298" s="20"/>
      <c r="DH298" s="20"/>
      <c r="DI298" s="20"/>
      <c r="DJ298" s="20"/>
      <c r="DK298" s="20"/>
      <c r="DL298" s="20"/>
      <c r="DM298" s="20"/>
      <c r="DN298" s="20"/>
      <c r="DO298" s="20"/>
      <c r="DP298" s="20"/>
      <c r="DQ298" s="20"/>
      <c r="DR298" s="20"/>
      <c r="DS298" s="20"/>
      <c r="DT298" s="20"/>
      <c r="DU298" s="20"/>
      <c r="DV298" s="20"/>
      <c r="DW298" s="20"/>
      <c r="DX298" s="20"/>
      <c r="DY298" s="20"/>
      <c r="DZ298" s="20"/>
      <c r="EA298" s="20"/>
    </row>
    <row r="299" spans="2:131" ht="18" customHeight="1">
      <c r="B299" s="707"/>
      <c r="C299" s="707"/>
      <c r="D299" s="707"/>
      <c r="E299" s="707"/>
      <c r="F299" s="707"/>
      <c r="G299" s="707"/>
      <c r="H299" s="707"/>
      <c r="I299" s="707"/>
      <c r="J299" s="707"/>
      <c r="K299" s="707"/>
      <c r="L299" s="19"/>
      <c r="M299" s="20"/>
      <c r="N299" s="20"/>
      <c r="O299" s="20"/>
      <c r="P299" s="20"/>
      <c r="Q299" s="20"/>
      <c r="R299" s="20"/>
      <c r="S299" s="20"/>
      <c r="T299" s="20"/>
      <c r="U299" s="20"/>
      <c r="V299" s="20"/>
      <c r="W299" s="20"/>
      <c r="X299" s="20"/>
      <c r="Y299" s="20"/>
      <c r="Z299" s="20"/>
      <c r="AA299" s="20"/>
      <c r="AB299" s="20"/>
      <c r="AC299" s="20"/>
      <c r="AD299" s="20"/>
      <c r="AE299" s="20"/>
      <c r="AF299" s="20"/>
      <c r="AG299" s="20"/>
      <c r="AH299" s="20"/>
      <c r="AI299" s="20"/>
      <c r="AJ299" s="20"/>
      <c r="AK299" s="20"/>
      <c r="AL299" s="20"/>
      <c r="AM299" s="20"/>
      <c r="AN299" s="20"/>
      <c r="AO299" s="20"/>
      <c r="AP299" s="20"/>
      <c r="AQ299" s="20"/>
      <c r="AR299" s="20"/>
      <c r="AS299" s="20"/>
      <c r="AT299" s="20"/>
      <c r="AU299" s="20"/>
      <c r="AV299" s="20"/>
      <c r="AW299" s="20"/>
      <c r="AX299" s="20"/>
      <c r="AY299" s="20"/>
      <c r="AZ299" s="20"/>
      <c r="BA299" s="20"/>
      <c r="BB299" s="20"/>
      <c r="BC299" s="20"/>
      <c r="BD299" s="20"/>
      <c r="BE299" s="20"/>
      <c r="BF299" s="20"/>
      <c r="BG299" s="20"/>
      <c r="BH299" s="20"/>
      <c r="BI299" s="20"/>
      <c r="BJ299" s="20"/>
      <c r="BK299" s="20"/>
      <c r="BL299" s="20"/>
      <c r="BM299" s="20"/>
      <c r="BN299" s="20"/>
      <c r="BO299" s="20"/>
      <c r="BP299" s="20"/>
      <c r="BQ299" s="20"/>
      <c r="BR299" s="20"/>
      <c r="BS299" s="20"/>
      <c r="BT299" s="20"/>
      <c r="BU299" s="20"/>
      <c r="BV299" s="20"/>
      <c r="BW299" s="20"/>
      <c r="BX299" s="20"/>
      <c r="BY299" s="20"/>
      <c r="BZ299" s="20"/>
      <c r="CA299" s="20"/>
      <c r="CB299" s="20"/>
      <c r="CC299" s="20"/>
      <c r="CD299" s="20"/>
      <c r="CE299" s="20"/>
      <c r="CF299" s="20"/>
      <c r="CG299" s="20"/>
      <c r="CH299" s="20"/>
      <c r="CI299" s="20"/>
      <c r="CJ299" s="20"/>
      <c r="CK299" s="20"/>
      <c r="CL299" s="20"/>
      <c r="CM299" s="20"/>
      <c r="CN299" s="20"/>
      <c r="CO299" s="20"/>
      <c r="CP299" s="20"/>
      <c r="CQ299" s="20"/>
      <c r="CR299" s="20"/>
      <c r="CS299" s="20"/>
      <c r="CT299" s="20"/>
      <c r="CU299" s="20"/>
      <c r="CV299" s="20"/>
      <c r="CW299" s="20"/>
      <c r="CX299" s="20"/>
      <c r="CY299" s="20"/>
      <c r="CZ299" s="20"/>
      <c r="DA299" s="20"/>
      <c r="DB299" s="20"/>
      <c r="DC299" s="20"/>
      <c r="DD299" s="20"/>
      <c r="DE299" s="20"/>
      <c r="DF299" s="20"/>
      <c r="DG299" s="20"/>
      <c r="DH299" s="20"/>
      <c r="DI299" s="20"/>
      <c r="DJ299" s="20"/>
      <c r="DK299" s="20"/>
      <c r="DL299" s="20"/>
      <c r="DM299" s="20"/>
      <c r="DN299" s="20"/>
      <c r="DO299" s="20"/>
      <c r="DP299" s="20"/>
      <c r="DQ299" s="20"/>
      <c r="DR299" s="20"/>
      <c r="DS299" s="20"/>
      <c r="DT299" s="20"/>
      <c r="DU299" s="20"/>
      <c r="DV299" s="20"/>
      <c r="DW299" s="20"/>
      <c r="DX299" s="20"/>
      <c r="DY299" s="20"/>
      <c r="DZ299" s="20"/>
      <c r="EA299" s="20"/>
    </row>
    <row r="300" spans="2:131" ht="18" customHeight="1">
      <c r="B300" s="707"/>
      <c r="C300" s="707"/>
      <c r="D300" s="707"/>
      <c r="E300" s="707"/>
      <c r="F300" s="707"/>
      <c r="G300" s="707"/>
      <c r="H300" s="707"/>
      <c r="I300" s="707"/>
      <c r="J300" s="707"/>
      <c r="K300" s="707"/>
      <c r="L300" s="19"/>
      <c r="M300" s="20"/>
      <c r="N300" s="20"/>
      <c r="O300" s="20"/>
      <c r="P300" s="20"/>
      <c r="Q300" s="20"/>
      <c r="R300" s="20"/>
      <c r="S300" s="20"/>
      <c r="T300" s="20"/>
      <c r="U300" s="20"/>
      <c r="V300" s="20"/>
      <c r="W300" s="20"/>
      <c r="X300" s="20"/>
      <c r="Y300" s="20"/>
      <c r="Z300" s="20"/>
      <c r="AA300" s="20"/>
      <c r="AB300" s="20"/>
      <c r="AC300" s="20"/>
      <c r="AD300" s="20"/>
      <c r="AE300" s="20"/>
      <c r="AF300" s="20"/>
      <c r="AG300" s="20"/>
      <c r="AH300" s="20"/>
      <c r="AI300" s="20"/>
      <c r="AJ300" s="20"/>
      <c r="AK300" s="20"/>
      <c r="AL300" s="20"/>
      <c r="AM300" s="20"/>
      <c r="AN300" s="20"/>
      <c r="AO300" s="20"/>
      <c r="AP300" s="20"/>
      <c r="AQ300" s="20"/>
      <c r="AR300" s="20"/>
      <c r="AS300" s="20"/>
      <c r="AT300" s="20"/>
      <c r="AU300" s="20"/>
      <c r="AV300" s="20"/>
      <c r="AW300" s="20"/>
      <c r="AX300" s="20"/>
      <c r="AY300" s="20"/>
      <c r="AZ300" s="20"/>
      <c r="BA300" s="20"/>
      <c r="BB300" s="20"/>
      <c r="BC300" s="20"/>
      <c r="BD300" s="20"/>
      <c r="BE300" s="20"/>
      <c r="BF300" s="20"/>
      <c r="BG300" s="20"/>
      <c r="BH300" s="20"/>
      <c r="BI300" s="20"/>
      <c r="BJ300" s="20"/>
      <c r="BK300" s="20"/>
      <c r="BL300" s="20"/>
      <c r="BM300" s="20"/>
      <c r="BN300" s="20"/>
      <c r="BO300" s="20"/>
      <c r="BP300" s="20"/>
      <c r="BQ300" s="20"/>
      <c r="BR300" s="20"/>
      <c r="BS300" s="20"/>
      <c r="BT300" s="20"/>
      <c r="BU300" s="20"/>
      <c r="BV300" s="20"/>
      <c r="BW300" s="20"/>
      <c r="BX300" s="20"/>
      <c r="BY300" s="20"/>
      <c r="BZ300" s="20"/>
      <c r="CA300" s="20"/>
      <c r="CB300" s="20"/>
      <c r="CC300" s="20"/>
      <c r="CD300" s="20"/>
      <c r="CE300" s="20"/>
      <c r="CF300" s="20"/>
      <c r="CG300" s="20"/>
      <c r="CH300" s="20"/>
      <c r="CI300" s="20"/>
      <c r="CJ300" s="20"/>
      <c r="CK300" s="20"/>
      <c r="CL300" s="20"/>
      <c r="CM300" s="20"/>
      <c r="CN300" s="20"/>
      <c r="CO300" s="20"/>
      <c r="CP300" s="20"/>
      <c r="CQ300" s="20"/>
      <c r="CR300" s="20"/>
      <c r="CS300" s="20"/>
      <c r="CT300" s="20"/>
      <c r="CU300" s="20"/>
      <c r="CV300" s="20"/>
      <c r="CW300" s="20"/>
      <c r="CX300" s="20"/>
      <c r="CY300" s="20"/>
      <c r="CZ300" s="20"/>
      <c r="DA300" s="20"/>
      <c r="DB300" s="20"/>
      <c r="DC300" s="20"/>
      <c r="DD300" s="20"/>
      <c r="DE300" s="20"/>
      <c r="DF300" s="20"/>
      <c r="DG300" s="20"/>
      <c r="DH300" s="20"/>
      <c r="DI300" s="20"/>
      <c r="DJ300" s="20"/>
      <c r="DK300" s="20"/>
      <c r="DL300" s="20"/>
      <c r="DM300" s="20"/>
      <c r="DN300" s="20"/>
      <c r="DO300" s="20"/>
      <c r="DP300" s="20"/>
      <c r="DQ300" s="20"/>
      <c r="DR300" s="20"/>
      <c r="DS300" s="20"/>
      <c r="DT300" s="20"/>
      <c r="DU300" s="20"/>
      <c r="DV300" s="20"/>
      <c r="DW300" s="20"/>
      <c r="DX300" s="20"/>
      <c r="DY300" s="20"/>
      <c r="DZ300" s="20"/>
      <c r="EA300" s="20"/>
    </row>
    <row r="301" spans="2:131" ht="18" customHeight="1">
      <c r="B301" s="707"/>
      <c r="C301" s="707"/>
      <c r="D301" s="707"/>
      <c r="E301" s="707"/>
      <c r="F301" s="707"/>
      <c r="G301" s="707"/>
      <c r="H301" s="707"/>
      <c r="I301" s="707"/>
      <c r="J301" s="707"/>
      <c r="K301" s="707"/>
      <c r="L301" s="19"/>
      <c r="M301" s="20"/>
      <c r="N301" s="20"/>
      <c r="O301" s="20"/>
      <c r="P301" s="20"/>
      <c r="Q301" s="20"/>
      <c r="R301" s="20"/>
      <c r="S301" s="20"/>
      <c r="T301" s="20"/>
      <c r="U301" s="20"/>
      <c r="V301" s="20"/>
      <c r="W301" s="20"/>
      <c r="X301" s="20"/>
      <c r="Y301" s="20"/>
      <c r="Z301" s="20"/>
      <c r="AA301" s="20"/>
      <c r="AB301" s="20"/>
      <c r="AC301" s="20"/>
      <c r="AD301" s="20"/>
      <c r="AE301" s="20"/>
      <c r="AF301" s="20"/>
      <c r="AG301" s="20"/>
      <c r="AH301" s="20"/>
      <c r="AI301" s="20"/>
      <c r="AJ301" s="20"/>
      <c r="AK301" s="20"/>
      <c r="AL301" s="20"/>
      <c r="AM301" s="20"/>
      <c r="AN301" s="20"/>
      <c r="AO301" s="20"/>
      <c r="AP301" s="20"/>
      <c r="AQ301" s="20"/>
      <c r="AR301" s="20"/>
      <c r="AS301" s="20"/>
      <c r="AT301" s="20"/>
      <c r="AU301" s="20"/>
      <c r="AV301" s="20"/>
      <c r="AW301" s="20"/>
      <c r="AX301" s="20"/>
      <c r="AY301" s="20"/>
      <c r="AZ301" s="20"/>
      <c r="BA301" s="20"/>
      <c r="BB301" s="20"/>
      <c r="BC301" s="20"/>
      <c r="BD301" s="20"/>
      <c r="BE301" s="20"/>
      <c r="BF301" s="20"/>
      <c r="BG301" s="20"/>
      <c r="BH301" s="20"/>
      <c r="BI301" s="20"/>
      <c r="BJ301" s="20"/>
      <c r="BK301" s="20"/>
      <c r="BL301" s="20"/>
      <c r="BM301" s="20"/>
      <c r="BN301" s="20"/>
      <c r="BO301" s="20"/>
      <c r="BP301" s="20"/>
      <c r="BQ301" s="20"/>
      <c r="BR301" s="20"/>
      <c r="BS301" s="20"/>
      <c r="BT301" s="20"/>
      <c r="BU301" s="20"/>
      <c r="BV301" s="20"/>
      <c r="BW301" s="20"/>
      <c r="BX301" s="20"/>
      <c r="BY301" s="20"/>
      <c r="BZ301" s="20"/>
      <c r="CA301" s="20"/>
      <c r="CB301" s="20"/>
      <c r="CC301" s="20"/>
      <c r="CD301" s="20"/>
      <c r="CE301" s="20"/>
      <c r="CF301" s="20"/>
      <c r="CG301" s="20"/>
      <c r="CH301" s="20"/>
      <c r="CI301" s="20"/>
      <c r="CJ301" s="20"/>
      <c r="CK301" s="20"/>
      <c r="CL301" s="20"/>
      <c r="CM301" s="20"/>
      <c r="CN301" s="20"/>
      <c r="CO301" s="20"/>
      <c r="CP301" s="20"/>
      <c r="CQ301" s="20"/>
      <c r="CR301" s="20"/>
      <c r="CS301" s="20"/>
      <c r="CT301" s="20"/>
      <c r="CU301" s="20"/>
      <c r="CV301" s="20"/>
      <c r="CW301" s="20"/>
      <c r="CX301" s="20"/>
      <c r="CY301" s="20"/>
      <c r="CZ301" s="20"/>
      <c r="DA301" s="20"/>
      <c r="DB301" s="20"/>
      <c r="DC301" s="20"/>
      <c r="DD301" s="20"/>
      <c r="DE301" s="20"/>
      <c r="DF301" s="20"/>
      <c r="DG301" s="20"/>
      <c r="DH301" s="20"/>
      <c r="DI301" s="20"/>
      <c r="DJ301" s="20"/>
      <c r="DK301" s="20"/>
      <c r="DL301" s="20"/>
      <c r="DM301" s="20"/>
      <c r="DN301" s="20"/>
      <c r="DO301" s="20"/>
      <c r="DP301" s="20"/>
      <c r="DQ301" s="20"/>
      <c r="DR301" s="20"/>
      <c r="DS301" s="20"/>
      <c r="DT301" s="20"/>
      <c r="DU301" s="20"/>
      <c r="DV301" s="20"/>
      <c r="DW301" s="20"/>
      <c r="DX301" s="20"/>
      <c r="DY301" s="20"/>
      <c r="DZ301" s="20"/>
      <c r="EA301" s="20"/>
    </row>
    <row r="302" spans="2:131" ht="18" customHeight="1">
      <c r="B302" s="707"/>
      <c r="C302" s="707"/>
      <c r="D302" s="707"/>
      <c r="E302" s="707"/>
      <c r="F302" s="707"/>
      <c r="G302" s="707"/>
      <c r="H302" s="707"/>
      <c r="I302" s="707"/>
      <c r="J302" s="707"/>
      <c r="K302" s="707"/>
      <c r="L302" s="19"/>
      <c r="M302" s="20"/>
      <c r="N302" s="20"/>
      <c r="O302" s="20"/>
      <c r="P302" s="20"/>
      <c r="Q302" s="20"/>
      <c r="R302" s="20"/>
      <c r="S302" s="20"/>
      <c r="T302" s="20"/>
      <c r="U302" s="20"/>
      <c r="V302" s="20"/>
      <c r="W302" s="20"/>
      <c r="X302" s="20"/>
      <c r="Y302" s="20"/>
      <c r="Z302" s="20"/>
      <c r="AA302" s="20"/>
      <c r="AB302" s="20"/>
      <c r="AC302" s="20"/>
      <c r="AD302" s="20"/>
      <c r="AE302" s="20"/>
      <c r="AF302" s="20"/>
      <c r="AG302" s="20"/>
      <c r="AH302" s="20"/>
      <c r="AI302" s="20"/>
      <c r="AJ302" s="20"/>
      <c r="AK302" s="20"/>
      <c r="AL302" s="20"/>
      <c r="AM302" s="20"/>
      <c r="AN302" s="20"/>
      <c r="AO302" s="20"/>
      <c r="AP302" s="20"/>
      <c r="AQ302" s="20"/>
      <c r="AR302" s="20"/>
      <c r="AS302" s="20"/>
      <c r="AT302" s="20"/>
      <c r="AU302" s="20"/>
      <c r="AV302" s="20"/>
      <c r="AW302" s="20"/>
      <c r="AX302" s="20"/>
      <c r="AY302" s="20"/>
      <c r="AZ302" s="20"/>
      <c r="BA302" s="20"/>
      <c r="BB302" s="20"/>
      <c r="BC302" s="20"/>
      <c r="BD302" s="20"/>
      <c r="BE302" s="20"/>
      <c r="BF302" s="20"/>
      <c r="BG302" s="20"/>
      <c r="BH302" s="20"/>
      <c r="BI302" s="20"/>
      <c r="BJ302" s="20"/>
      <c r="BK302" s="20"/>
      <c r="BL302" s="20"/>
      <c r="BM302" s="20"/>
      <c r="BN302" s="20"/>
      <c r="BO302" s="20"/>
      <c r="BP302" s="20"/>
      <c r="BQ302" s="20"/>
      <c r="BR302" s="20"/>
      <c r="BS302" s="20"/>
      <c r="BT302" s="20"/>
      <c r="BU302" s="20"/>
      <c r="BV302" s="20"/>
      <c r="BW302" s="20"/>
      <c r="BX302" s="20"/>
      <c r="BY302" s="20"/>
      <c r="BZ302" s="20"/>
      <c r="CA302" s="20"/>
      <c r="CB302" s="20"/>
      <c r="CC302" s="20"/>
      <c r="CD302" s="20"/>
      <c r="CE302" s="20"/>
      <c r="CF302" s="20"/>
      <c r="CG302" s="20"/>
      <c r="CH302" s="20"/>
      <c r="CI302" s="20"/>
      <c r="CJ302" s="20"/>
      <c r="CK302" s="20"/>
      <c r="CL302" s="20"/>
      <c r="CM302" s="20"/>
      <c r="CN302" s="20"/>
      <c r="CO302" s="20"/>
      <c r="CP302" s="20"/>
      <c r="CQ302" s="20"/>
      <c r="CR302" s="20"/>
      <c r="CS302" s="20"/>
      <c r="CT302" s="20"/>
      <c r="CU302" s="20"/>
      <c r="CV302" s="20"/>
      <c r="CW302" s="20"/>
      <c r="CX302" s="20"/>
      <c r="CY302" s="20"/>
      <c r="CZ302" s="20"/>
      <c r="DA302" s="20"/>
      <c r="DB302" s="20"/>
      <c r="DC302" s="20"/>
      <c r="DD302" s="20"/>
      <c r="DE302" s="20"/>
      <c r="DF302" s="20"/>
      <c r="DG302" s="20"/>
      <c r="DH302" s="20"/>
      <c r="DI302" s="20"/>
      <c r="DJ302" s="20"/>
      <c r="DK302" s="20"/>
      <c r="DL302" s="20"/>
      <c r="DM302" s="20"/>
      <c r="DN302" s="20"/>
      <c r="DO302" s="20"/>
      <c r="DP302" s="20"/>
      <c r="DQ302" s="20"/>
      <c r="DR302" s="20"/>
      <c r="DS302" s="20"/>
      <c r="DT302" s="20"/>
      <c r="DU302" s="20"/>
      <c r="DV302" s="20"/>
      <c r="DW302" s="20"/>
      <c r="DX302" s="20"/>
      <c r="DY302" s="20"/>
      <c r="DZ302" s="20"/>
      <c r="EA302" s="20"/>
    </row>
    <row r="303" spans="2:131" ht="18" customHeight="1">
      <c r="B303" s="707"/>
      <c r="C303" s="707"/>
      <c r="D303" s="707"/>
      <c r="E303" s="707"/>
      <c r="F303" s="707"/>
      <c r="G303" s="707"/>
      <c r="H303" s="707"/>
      <c r="I303" s="707"/>
      <c r="J303" s="707"/>
      <c r="K303" s="707"/>
      <c r="L303" s="19"/>
      <c r="M303" s="20"/>
      <c r="N303" s="20"/>
      <c r="O303" s="20"/>
      <c r="P303" s="20"/>
      <c r="Q303" s="20"/>
      <c r="R303" s="20"/>
      <c r="S303" s="20"/>
      <c r="T303" s="20"/>
      <c r="U303" s="20"/>
      <c r="V303" s="20"/>
      <c r="W303" s="20"/>
      <c r="X303" s="20"/>
      <c r="Y303" s="20"/>
      <c r="Z303" s="20"/>
      <c r="AA303" s="20"/>
      <c r="AB303" s="20"/>
      <c r="AC303" s="20"/>
      <c r="AD303" s="20"/>
      <c r="AE303" s="20"/>
      <c r="AF303" s="20"/>
      <c r="AG303" s="20"/>
      <c r="AH303" s="20"/>
      <c r="AI303" s="20"/>
      <c r="AJ303" s="20"/>
      <c r="AK303" s="20"/>
      <c r="AL303" s="20"/>
      <c r="AM303" s="20"/>
      <c r="AN303" s="20"/>
      <c r="AO303" s="20"/>
      <c r="AP303" s="20"/>
      <c r="AQ303" s="20"/>
      <c r="AR303" s="20"/>
      <c r="AS303" s="20"/>
      <c r="AT303" s="20"/>
      <c r="AU303" s="20"/>
      <c r="AV303" s="20"/>
      <c r="AW303" s="20"/>
      <c r="AX303" s="20"/>
      <c r="AY303" s="20"/>
      <c r="AZ303" s="20"/>
      <c r="BA303" s="20"/>
      <c r="BB303" s="20"/>
      <c r="BC303" s="20"/>
      <c r="BD303" s="20"/>
      <c r="BE303" s="20"/>
      <c r="BF303" s="20"/>
      <c r="BG303" s="20"/>
      <c r="BH303" s="20"/>
      <c r="BI303" s="20"/>
      <c r="BJ303" s="20"/>
      <c r="BK303" s="20"/>
      <c r="BL303" s="20"/>
      <c r="BM303" s="20"/>
      <c r="BN303" s="20"/>
      <c r="BO303" s="20"/>
      <c r="BP303" s="20"/>
      <c r="BQ303" s="20"/>
      <c r="BR303" s="20"/>
      <c r="BS303" s="20"/>
      <c r="BT303" s="20"/>
      <c r="BU303" s="20"/>
      <c r="BV303" s="20"/>
      <c r="BW303" s="20"/>
      <c r="BX303" s="20"/>
      <c r="BY303" s="20"/>
      <c r="BZ303" s="20"/>
      <c r="CA303" s="20"/>
      <c r="CB303" s="20"/>
      <c r="CC303" s="20"/>
      <c r="CD303" s="20"/>
      <c r="CE303" s="20"/>
      <c r="CF303" s="20"/>
      <c r="CG303" s="20"/>
      <c r="CH303" s="20"/>
      <c r="CI303" s="20"/>
      <c r="CJ303" s="20"/>
      <c r="CK303" s="20"/>
      <c r="CL303" s="20"/>
      <c r="CM303" s="20"/>
      <c r="CN303" s="20"/>
      <c r="CO303" s="20"/>
      <c r="CP303" s="20"/>
      <c r="CQ303" s="20"/>
      <c r="CR303" s="20"/>
      <c r="CS303" s="20"/>
      <c r="CT303" s="20"/>
      <c r="CU303" s="20"/>
      <c r="CV303" s="20"/>
      <c r="CW303" s="20"/>
      <c r="CX303" s="20"/>
      <c r="CY303" s="20"/>
      <c r="CZ303" s="20"/>
      <c r="DA303" s="20"/>
      <c r="DB303" s="20"/>
      <c r="DC303" s="20"/>
      <c r="DD303" s="20"/>
      <c r="DE303" s="20"/>
      <c r="DF303" s="20"/>
      <c r="DG303" s="20"/>
      <c r="DH303" s="20"/>
      <c r="DI303" s="20"/>
      <c r="DJ303" s="20"/>
      <c r="DK303" s="20"/>
      <c r="DL303" s="20"/>
      <c r="DM303" s="20"/>
      <c r="DN303" s="20"/>
      <c r="DO303" s="20"/>
      <c r="DP303" s="20"/>
      <c r="DQ303" s="20"/>
      <c r="DR303" s="20"/>
      <c r="DS303" s="20"/>
      <c r="DT303" s="20"/>
      <c r="DU303" s="20"/>
      <c r="DV303" s="20"/>
      <c r="DW303" s="20"/>
      <c r="DX303" s="20"/>
      <c r="DY303" s="20"/>
      <c r="DZ303" s="20"/>
      <c r="EA303" s="20"/>
    </row>
    <row r="304" spans="2:131" ht="18" customHeight="1">
      <c r="B304" s="708"/>
      <c r="C304" s="708"/>
      <c r="D304" s="707"/>
      <c r="E304" s="707"/>
      <c r="F304" s="707"/>
      <c r="G304" s="707"/>
      <c r="H304" s="707"/>
      <c r="I304" s="707"/>
      <c r="J304" s="707"/>
      <c r="K304" s="707"/>
      <c r="L304" s="19"/>
      <c r="M304" s="20"/>
      <c r="N304" s="20"/>
      <c r="O304" s="20"/>
      <c r="P304" s="20"/>
      <c r="Q304" s="20"/>
      <c r="R304" s="20"/>
      <c r="S304" s="20"/>
      <c r="T304" s="20"/>
      <c r="U304" s="20"/>
      <c r="V304" s="20"/>
      <c r="W304" s="20"/>
      <c r="X304" s="20"/>
      <c r="Y304" s="20"/>
      <c r="Z304" s="20"/>
      <c r="AA304" s="20"/>
      <c r="AB304" s="20"/>
      <c r="AC304" s="20"/>
      <c r="AD304" s="20"/>
      <c r="AE304" s="20"/>
      <c r="AF304" s="20"/>
      <c r="AG304" s="20"/>
      <c r="AH304" s="20"/>
      <c r="AI304" s="20"/>
      <c r="AJ304" s="20"/>
      <c r="AK304" s="20"/>
      <c r="AL304" s="20"/>
      <c r="AM304" s="20"/>
      <c r="AN304" s="20"/>
      <c r="AO304" s="20"/>
      <c r="AP304" s="20"/>
      <c r="AQ304" s="20"/>
      <c r="AR304" s="20"/>
      <c r="AS304" s="20"/>
      <c r="AT304" s="20"/>
      <c r="AU304" s="20"/>
      <c r="AV304" s="20"/>
      <c r="AW304" s="20"/>
      <c r="AX304" s="20"/>
      <c r="AY304" s="20"/>
      <c r="AZ304" s="20"/>
      <c r="BA304" s="20"/>
      <c r="BB304" s="20"/>
      <c r="BC304" s="20"/>
      <c r="BD304" s="20"/>
      <c r="BE304" s="20"/>
      <c r="BF304" s="20"/>
      <c r="BG304" s="20"/>
      <c r="BH304" s="20"/>
      <c r="BI304" s="20"/>
      <c r="BJ304" s="20"/>
      <c r="BK304" s="20"/>
      <c r="BL304" s="20"/>
      <c r="BM304" s="20"/>
      <c r="BN304" s="20"/>
      <c r="BO304" s="20"/>
      <c r="BP304" s="20"/>
      <c r="BQ304" s="20"/>
      <c r="BR304" s="20"/>
      <c r="BS304" s="20"/>
      <c r="BT304" s="20"/>
      <c r="BU304" s="20"/>
      <c r="BV304" s="20"/>
      <c r="BW304" s="20"/>
      <c r="BX304" s="20"/>
      <c r="BY304" s="20"/>
      <c r="BZ304" s="20"/>
      <c r="CA304" s="20"/>
      <c r="CB304" s="20"/>
      <c r="CC304" s="20"/>
      <c r="CD304" s="20"/>
      <c r="CE304" s="20"/>
      <c r="CF304" s="20"/>
      <c r="CG304" s="20"/>
      <c r="CH304" s="20"/>
      <c r="CI304" s="20"/>
      <c r="CJ304" s="20"/>
      <c r="CK304" s="20"/>
      <c r="CL304" s="20"/>
      <c r="CM304" s="20"/>
      <c r="CN304" s="20"/>
      <c r="CO304" s="20"/>
      <c r="CP304" s="20"/>
      <c r="CQ304" s="20"/>
      <c r="CR304" s="20"/>
      <c r="CS304" s="20"/>
      <c r="CT304" s="20"/>
      <c r="CU304" s="20"/>
      <c r="CV304" s="20"/>
      <c r="CW304" s="20"/>
      <c r="CX304" s="20"/>
      <c r="CY304" s="20"/>
      <c r="CZ304" s="20"/>
      <c r="DA304" s="20"/>
      <c r="DB304" s="20"/>
      <c r="DC304" s="20"/>
      <c r="DD304" s="20"/>
      <c r="DE304" s="20"/>
      <c r="DF304" s="20"/>
      <c r="DG304" s="20"/>
      <c r="DH304" s="20"/>
      <c r="DI304" s="20"/>
      <c r="DJ304" s="20"/>
      <c r="DK304" s="20"/>
      <c r="DL304" s="20"/>
      <c r="DM304" s="20"/>
      <c r="DN304" s="20"/>
      <c r="DO304" s="20"/>
      <c r="DP304" s="20"/>
      <c r="DQ304" s="20"/>
      <c r="DR304" s="20"/>
      <c r="DS304" s="20"/>
      <c r="DT304" s="20"/>
      <c r="DU304" s="20"/>
      <c r="DV304" s="20"/>
      <c r="DW304" s="20"/>
      <c r="DX304" s="20"/>
      <c r="DY304" s="20"/>
      <c r="DZ304" s="20"/>
      <c r="EA304" s="20"/>
    </row>
    <row r="305" spans="2:131" ht="18" customHeight="1">
      <c r="B305" s="707"/>
      <c r="C305" s="707"/>
      <c r="D305" s="707"/>
      <c r="E305" s="707"/>
      <c r="F305" s="707"/>
      <c r="G305" s="707"/>
      <c r="H305" s="707"/>
      <c r="I305" s="707"/>
      <c r="J305" s="707"/>
      <c r="K305" s="707"/>
      <c r="L305" s="19"/>
      <c r="M305" s="20"/>
      <c r="N305" s="20"/>
      <c r="O305" s="20"/>
      <c r="P305" s="20"/>
      <c r="Q305" s="20"/>
      <c r="R305" s="20"/>
      <c r="S305" s="20"/>
      <c r="T305" s="20"/>
      <c r="U305" s="20"/>
      <c r="V305" s="20"/>
      <c r="W305" s="20"/>
      <c r="X305" s="20"/>
      <c r="Y305" s="20"/>
      <c r="Z305" s="20"/>
      <c r="AA305" s="20"/>
      <c r="AB305" s="20"/>
      <c r="AC305" s="20"/>
      <c r="AD305" s="20"/>
      <c r="AE305" s="20"/>
      <c r="AF305" s="20"/>
      <c r="AG305" s="20"/>
      <c r="AH305" s="20"/>
      <c r="AI305" s="20"/>
      <c r="AJ305" s="20"/>
      <c r="AK305" s="20"/>
      <c r="AL305" s="20"/>
      <c r="AM305" s="20"/>
      <c r="AN305" s="20"/>
      <c r="AO305" s="20"/>
      <c r="AP305" s="20"/>
      <c r="AQ305" s="20"/>
      <c r="AR305" s="20"/>
      <c r="AS305" s="20"/>
      <c r="AT305" s="20"/>
      <c r="AU305" s="20"/>
      <c r="AV305" s="20"/>
      <c r="AW305" s="20"/>
      <c r="AX305" s="20"/>
      <c r="AY305" s="20"/>
      <c r="AZ305" s="20"/>
      <c r="BA305" s="20"/>
      <c r="BB305" s="20"/>
      <c r="BC305" s="20"/>
      <c r="BD305" s="20"/>
      <c r="BE305" s="20"/>
      <c r="BF305" s="20"/>
      <c r="BG305" s="20"/>
      <c r="BH305" s="20"/>
      <c r="BI305" s="20"/>
      <c r="BJ305" s="20"/>
      <c r="BK305" s="20"/>
      <c r="BL305" s="20"/>
      <c r="BM305" s="20"/>
      <c r="BN305" s="20"/>
      <c r="BO305" s="20"/>
      <c r="BP305" s="20"/>
      <c r="BQ305" s="20"/>
      <c r="BR305" s="20"/>
      <c r="BS305" s="20"/>
      <c r="BT305" s="20"/>
      <c r="BU305" s="20"/>
      <c r="BV305" s="20"/>
      <c r="BW305" s="20"/>
      <c r="BX305" s="20"/>
      <c r="BY305" s="20"/>
      <c r="BZ305" s="20"/>
      <c r="CA305" s="20"/>
      <c r="CB305" s="20"/>
      <c r="CC305" s="20"/>
      <c r="CD305" s="20"/>
      <c r="CE305" s="20"/>
      <c r="CF305" s="20"/>
      <c r="CG305" s="20"/>
      <c r="CH305" s="20"/>
      <c r="CI305" s="20"/>
      <c r="CJ305" s="20"/>
      <c r="CK305" s="20"/>
      <c r="CL305" s="20"/>
      <c r="CM305" s="20"/>
      <c r="CN305" s="20"/>
      <c r="CO305" s="20"/>
      <c r="CP305" s="20"/>
      <c r="CQ305" s="20"/>
      <c r="CR305" s="20"/>
      <c r="CS305" s="20"/>
      <c r="CT305" s="20"/>
      <c r="CU305" s="20"/>
      <c r="CV305" s="20"/>
      <c r="CW305" s="20"/>
      <c r="CX305" s="20"/>
      <c r="CY305" s="20"/>
      <c r="CZ305" s="20"/>
      <c r="DA305" s="20"/>
      <c r="DB305" s="20"/>
      <c r="DC305" s="20"/>
      <c r="DD305" s="20"/>
      <c r="DE305" s="20"/>
      <c r="DF305" s="20"/>
      <c r="DG305" s="20"/>
      <c r="DH305" s="20"/>
      <c r="DI305" s="20"/>
      <c r="DJ305" s="20"/>
      <c r="DK305" s="20"/>
      <c r="DL305" s="20"/>
      <c r="DM305" s="20"/>
      <c r="DN305" s="20"/>
      <c r="DO305" s="20"/>
      <c r="DP305" s="20"/>
      <c r="DQ305" s="20"/>
      <c r="DR305" s="20"/>
      <c r="DS305" s="20"/>
      <c r="DT305" s="20"/>
      <c r="DU305" s="20"/>
      <c r="DV305" s="20"/>
      <c r="DW305" s="20"/>
      <c r="DX305" s="20"/>
      <c r="DY305" s="20"/>
      <c r="DZ305" s="20"/>
      <c r="EA305" s="20"/>
    </row>
    <row r="306" spans="2:131" ht="18" customHeight="1">
      <c r="B306" s="707"/>
      <c r="C306" s="707"/>
      <c r="D306" s="707"/>
      <c r="E306" s="707"/>
      <c r="F306" s="707"/>
      <c r="G306" s="707"/>
      <c r="H306" s="707"/>
      <c r="I306" s="707"/>
      <c r="J306" s="707"/>
      <c r="K306" s="707"/>
      <c r="L306" s="19"/>
      <c r="M306" s="20"/>
      <c r="N306" s="20"/>
      <c r="O306" s="20"/>
      <c r="P306" s="20"/>
      <c r="Q306" s="20"/>
      <c r="R306" s="20"/>
      <c r="S306" s="20"/>
      <c r="T306" s="20"/>
      <c r="U306" s="20"/>
      <c r="V306" s="20"/>
      <c r="W306" s="20"/>
      <c r="X306" s="20"/>
      <c r="Y306" s="20"/>
      <c r="Z306" s="20"/>
      <c r="AA306" s="20"/>
      <c r="AB306" s="20"/>
      <c r="AC306" s="20"/>
      <c r="AD306" s="20"/>
      <c r="AE306" s="20"/>
      <c r="AF306" s="20"/>
      <c r="AG306" s="20"/>
      <c r="AH306" s="20"/>
      <c r="AI306" s="20"/>
      <c r="AJ306" s="20"/>
      <c r="AK306" s="20"/>
      <c r="AL306" s="20"/>
      <c r="AM306" s="20"/>
      <c r="AN306" s="20"/>
      <c r="AO306" s="20"/>
      <c r="AP306" s="20"/>
      <c r="AQ306" s="20"/>
      <c r="AR306" s="20"/>
      <c r="AS306" s="20"/>
      <c r="AT306" s="20"/>
      <c r="AU306" s="20"/>
      <c r="AV306" s="20"/>
      <c r="AW306" s="20"/>
      <c r="AX306" s="20"/>
      <c r="AY306" s="20"/>
      <c r="AZ306" s="20"/>
      <c r="BA306" s="20"/>
      <c r="BB306" s="20"/>
      <c r="BC306" s="20"/>
      <c r="BD306" s="20"/>
      <c r="BE306" s="20"/>
      <c r="BF306" s="20"/>
      <c r="BG306" s="20"/>
      <c r="BH306" s="20"/>
      <c r="BI306" s="20"/>
      <c r="BJ306" s="20"/>
      <c r="BK306" s="20"/>
      <c r="BL306" s="20"/>
      <c r="BM306" s="20"/>
      <c r="BN306" s="20"/>
      <c r="BO306" s="20"/>
      <c r="BP306" s="20"/>
      <c r="BQ306" s="20"/>
      <c r="BR306" s="20"/>
      <c r="BS306" s="20"/>
      <c r="BT306" s="20"/>
      <c r="BU306" s="20"/>
      <c r="BV306" s="20"/>
      <c r="BW306" s="20"/>
      <c r="BX306" s="20"/>
      <c r="BY306" s="20"/>
      <c r="BZ306" s="20"/>
      <c r="CA306" s="20"/>
      <c r="CB306" s="20"/>
      <c r="CC306" s="20"/>
      <c r="CD306" s="20"/>
      <c r="CE306" s="20"/>
      <c r="CF306" s="20"/>
      <c r="CG306" s="20"/>
      <c r="CH306" s="20"/>
      <c r="CI306" s="20"/>
      <c r="CJ306" s="20"/>
      <c r="CK306" s="20"/>
      <c r="CL306" s="20"/>
      <c r="CM306" s="20"/>
      <c r="CN306" s="20"/>
      <c r="CO306" s="20"/>
      <c r="CP306" s="20"/>
      <c r="CQ306" s="20"/>
      <c r="CR306" s="20"/>
      <c r="CS306" s="20"/>
      <c r="CT306" s="20"/>
      <c r="CU306" s="20"/>
      <c r="CV306" s="20"/>
      <c r="CW306" s="20"/>
      <c r="CX306" s="20"/>
      <c r="CY306" s="20"/>
      <c r="CZ306" s="20"/>
      <c r="DA306" s="20"/>
      <c r="DB306" s="20"/>
      <c r="DC306" s="20"/>
      <c r="DD306" s="20"/>
      <c r="DE306" s="20"/>
      <c r="DF306" s="20"/>
      <c r="DG306" s="20"/>
      <c r="DH306" s="20"/>
      <c r="DI306" s="20"/>
      <c r="DJ306" s="20"/>
      <c r="DK306" s="20"/>
      <c r="DL306" s="20"/>
      <c r="DM306" s="20"/>
      <c r="DN306" s="20"/>
      <c r="DO306" s="20"/>
      <c r="DP306" s="20"/>
      <c r="DQ306" s="20"/>
      <c r="DR306" s="20"/>
      <c r="DS306" s="20"/>
      <c r="DT306" s="20"/>
      <c r="DU306" s="20"/>
      <c r="DV306" s="20"/>
      <c r="DW306" s="20"/>
      <c r="DX306" s="20"/>
      <c r="DY306" s="20"/>
      <c r="DZ306" s="20"/>
      <c r="EA306" s="20"/>
    </row>
    <row r="307" spans="2:131" ht="18" customHeight="1">
      <c r="B307" s="707"/>
      <c r="C307" s="707"/>
      <c r="D307" s="707"/>
      <c r="E307" s="707"/>
      <c r="F307" s="707"/>
      <c r="G307" s="707"/>
      <c r="H307" s="707"/>
      <c r="I307" s="707"/>
      <c r="J307" s="707"/>
      <c r="K307" s="707"/>
      <c r="L307" s="19"/>
      <c r="M307" s="20"/>
      <c r="N307" s="20"/>
      <c r="O307" s="20"/>
      <c r="P307" s="20"/>
      <c r="Q307" s="20"/>
      <c r="R307" s="20"/>
      <c r="S307" s="20"/>
      <c r="T307" s="20"/>
      <c r="U307" s="20"/>
      <c r="V307" s="20"/>
      <c r="W307" s="20"/>
      <c r="X307" s="20"/>
      <c r="Y307" s="20"/>
      <c r="Z307" s="20"/>
      <c r="AA307" s="20"/>
      <c r="AB307" s="20"/>
      <c r="AC307" s="20"/>
      <c r="AD307" s="20"/>
      <c r="AE307" s="20"/>
      <c r="AF307" s="20"/>
      <c r="AG307" s="20"/>
      <c r="AH307" s="20"/>
      <c r="AI307" s="20"/>
      <c r="AJ307" s="20"/>
      <c r="AK307" s="20"/>
      <c r="AL307" s="20"/>
      <c r="AM307" s="20"/>
      <c r="AN307" s="20"/>
      <c r="AO307" s="20"/>
      <c r="AP307" s="20"/>
      <c r="AQ307" s="20"/>
      <c r="AR307" s="20"/>
      <c r="AS307" s="20"/>
      <c r="AT307" s="20"/>
      <c r="AU307" s="20"/>
      <c r="AV307" s="20"/>
      <c r="AW307" s="20"/>
      <c r="AX307" s="20"/>
      <c r="AY307" s="20"/>
      <c r="AZ307" s="20"/>
      <c r="BA307" s="20"/>
      <c r="BB307" s="20"/>
      <c r="BC307" s="20"/>
      <c r="BD307" s="20"/>
      <c r="BE307" s="20"/>
      <c r="BF307" s="20"/>
      <c r="BG307" s="20"/>
      <c r="BH307" s="20"/>
      <c r="BI307" s="20"/>
      <c r="BJ307" s="20"/>
      <c r="BK307" s="20"/>
      <c r="BL307" s="20"/>
      <c r="BM307" s="20"/>
      <c r="BN307" s="20"/>
      <c r="BO307" s="20"/>
      <c r="BP307" s="20"/>
      <c r="BQ307" s="20"/>
      <c r="BR307" s="20"/>
      <c r="BS307" s="20"/>
      <c r="BT307" s="20"/>
      <c r="BU307" s="20"/>
      <c r="BV307" s="20"/>
      <c r="BW307" s="20"/>
      <c r="BX307" s="20"/>
      <c r="BY307" s="20"/>
      <c r="BZ307" s="20"/>
      <c r="CA307" s="20"/>
      <c r="CB307" s="20"/>
      <c r="CC307" s="20"/>
      <c r="CD307" s="20"/>
      <c r="CE307" s="20"/>
      <c r="CF307" s="20"/>
      <c r="CG307" s="20"/>
      <c r="CH307" s="20"/>
      <c r="CI307" s="20"/>
      <c r="CJ307" s="20"/>
      <c r="CK307" s="20"/>
      <c r="CL307" s="20"/>
      <c r="CM307" s="20"/>
      <c r="CN307" s="20"/>
      <c r="CO307" s="20"/>
      <c r="CP307" s="20"/>
      <c r="CQ307" s="20"/>
      <c r="CR307" s="20"/>
      <c r="CS307" s="20"/>
      <c r="CT307" s="20"/>
      <c r="CU307" s="20"/>
      <c r="CV307" s="20"/>
      <c r="CW307" s="20"/>
      <c r="CX307" s="20"/>
      <c r="CY307" s="20"/>
      <c r="CZ307" s="20"/>
      <c r="DA307" s="20"/>
      <c r="DB307" s="20"/>
      <c r="DC307" s="20"/>
      <c r="DD307" s="20"/>
      <c r="DE307" s="20"/>
      <c r="DF307" s="20"/>
      <c r="DG307" s="20"/>
      <c r="DH307" s="20"/>
      <c r="DI307" s="20"/>
      <c r="DJ307" s="20"/>
      <c r="DK307" s="20"/>
      <c r="DL307" s="20"/>
      <c r="DM307" s="20"/>
      <c r="DN307" s="20"/>
      <c r="DO307" s="20"/>
      <c r="DP307" s="20"/>
      <c r="DQ307" s="20"/>
      <c r="DR307" s="20"/>
      <c r="DS307" s="20"/>
      <c r="DT307" s="20"/>
      <c r="DU307" s="20"/>
      <c r="DV307" s="20"/>
      <c r="DW307" s="20"/>
      <c r="DX307" s="20"/>
      <c r="DY307" s="20"/>
      <c r="DZ307" s="20"/>
      <c r="EA307" s="20"/>
    </row>
    <row r="308" spans="2:131" ht="18" customHeight="1">
      <c r="B308" s="707"/>
      <c r="C308" s="707"/>
      <c r="D308" s="707"/>
      <c r="E308" s="707"/>
      <c r="F308" s="707"/>
      <c r="G308" s="707"/>
      <c r="H308" s="707"/>
      <c r="I308" s="707"/>
      <c r="J308" s="707"/>
      <c r="K308" s="707"/>
      <c r="L308" s="19"/>
      <c r="M308" s="20"/>
      <c r="N308" s="20"/>
      <c r="O308" s="20"/>
      <c r="P308" s="20"/>
      <c r="Q308" s="20"/>
      <c r="R308" s="20"/>
      <c r="S308" s="20"/>
      <c r="T308" s="20"/>
      <c r="U308" s="20"/>
      <c r="V308" s="20"/>
      <c r="W308" s="20"/>
      <c r="X308" s="20"/>
      <c r="Y308" s="20"/>
      <c r="Z308" s="20"/>
      <c r="AA308" s="20"/>
      <c r="AB308" s="20"/>
      <c r="AC308" s="20"/>
      <c r="AD308" s="20"/>
      <c r="AE308" s="20"/>
      <c r="AF308" s="20"/>
      <c r="AG308" s="20"/>
      <c r="AH308" s="20"/>
      <c r="AI308" s="20"/>
      <c r="AJ308" s="20"/>
      <c r="AK308" s="20"/>
      <c r="AL308" s="20"/>
      <c r="AM308" s="20"/>
      <c r="AN308" s="20"/>
      <c r="AO308" s="20"/>
      <c r="AP308" s="20"/>
      <c r="AQ308" s="20"/>
      <c r="AR308" s="20"/>
      <c r="AS308" s="20"/>
      <c r="AT308" s="20"/>
      <c r="AU308" s="20"/>
      <c r="AV308" s="20"/>
      <c r="AW308" s="20"/>
      <c r="AX308" s="20"/>
      <c r="AY308" s="20"/>
      <c r="AZ308" s="20"/>
      <c r="BA308" s="20"/>
      <c r="BB308" s="20"/>
      <c r="BC308" s="20"/>
      <c r="BD308" s="20"/>
      <c r="BE308" s="20"/>
      <c r="BF308" s="20"/>
      <c r="BG308" s="20"/>
      <c r="BH308" s="20"/>
      <c r="BI308" s="20"/>
      <c r="BJ308" s="20"/>
      <c r="BK308" s="20"/>
      <c r="BL308" s="20"/>
      <c r="BM308" s="20"/>
      <c r="BN308" s="20"/>
      <c r="BO308" s="20"/>
      <c r="BP308" s="20"/>
      <c r="BQ308" s="20"/>
      <c r="BR308" s="20"/>
      <c r="BS308" s="20"/>
      <c r="BT308" s="20"/>
      <c r="BU308" s="20"/>
      <c r="BV308" s="20"/>
      <c r="BW308" s="20"/>
      <c r="BX308" s="20"/>
      <c r="BY308" s="20"/>
      <c r="BZ308" s="20"/>
      <c r="CA308" s="20"/>
      <c r="CB308" s="20"/>
      <c r="CC308" s="20"/>
      <c r="CD308" s="20"/>
      <c r="CE308" s="20"/>
      <c r="CF308" s="20"/>
      <c r="CG308" s="20"/>
      <c r="CH308" s="20"/>
      <c r="CI308" s="20"/>
      <c r="CJ308" s="20"/>
      <c r="CK308" s="20"/>
      <c r="CL308" s="20"/>
      <c r="CM308" s="20"/>
      <c r="CN308" s="20"/>
      <c r="CO308" s="20"/>
      <c r="CP308" s="20"/>
      <c r="CQ308" s="20"/>
      <c r="CR308" s="20"/>
      <c r="CS308" s="20"/>
      <c r="CT308" s="20"/>
      <c r="CU308" s="20"/>
      <c r="CV308" s="20"/>
      <c r="CW308" s="20"/>
      <c r="CX308" s="20"/>
      <c r="CY308" s="20"/>
      <c r="CZ308" s="20"/>
      <c r="DA308" s="20"/>
      <c r="DB308" s="20"/>
      <c r="DC308" s="20"/>
      <c r="DD308" s="20"/>
      <c r="DE308" s="20"/>
      <c r="DF308" s="20"/>
      <c r="DG308" s="20"/>
      <c r="DH308" s="20"/>
      <c r="DI308" s="20"/>
      <c r="DJ308" s="20"/>
      <c r="DK308" s="20"/>
      <c r="DL308" s="20"/>
      <c r="DM308" s="20"/>
      <c r="DN308" s="20"/>
      <c r="DO308" s="20"/>
      <c r="DP308" s="20"/>
      <c r="DQ308" s="20"/>
      <c r="DR308" s="20"/>
      <c r="DS308" s="20"/>
      <c r="DT308" s="20"/>
      <c r="DU308" s="20"/>
      <c r="DV308" s="20"/>
      <c r="DW308" s="20"/>
      <c r="DX308" s="20"/>
      <c r="DY308" s="20"/>
      <c r="DZ308" s="20"/>
      <c r="EA308" s="20"/>
    </row>
    <row r="309" spans="2:131" ht="18" customHeight="1">
      <c r="B309" s="707"/>
      <c r="C309" s="707"/>
      <c r="D309" s="707"/>
      <c r="E309" s="707"/>
      <c r="F309" s="707"/>
      <c r="G309" s="707"/>
      <c r="H309" s="707"/>
      <c r="I309" s="707"/>
      <c r="J309" s="707"/>
      <c r="K309" s="707"/>
      <c r="L309" s="19"/>
      <c r="M309" s="20"/>
      <c r="N309" s="20"/>
      <c r="O309" s="20"/>
      <c r="P309" s="20"/>
      <c r="Q309" s="20"/>
      <c r="R309" s="20"/>
      <c r="S309" s="20"/>
      <c r="T309" s="20"/>
      <c r="U309" s="20"/>
      <c r="V309" s="20"/>
      <c r="W309" s="20"/>
      <c r="X309" s="20"/>
      <c r="Y309" s="20"/>
      <c r="Z309" s="20"/>
      <c r="AA309" s="20"/>
      <c r="AB309" s="20"/>
      <c r="AC309" s="20"/>
      <c r="AD309" s="20"/>
      <c r="AE309" s="20"/>
      <c r="AF309" s="20"/>
      <c r="AG309" s="20"/>
      <c r="AH309" s="20"/>
      <c r="AI309" s="20"/>
      <c r="AJ309" s="20"/>
      <c r="AK309" s="20"/>
      <c r="AL309" s="20"/>
      <c r="AM309" s="20"/>
      <c r="AN309" s="20"/>
      <c r="AO309" s="20"/>
      <c r="AP309" s="20"/>
      <c r="AQ309" s="20"/>
      <c r="AR309" s="20"/>
      <c r="AS309" s="20"/>
      <c r="AT309" s="20"/>
      <c r="AU309" s="20"/>
      <c r="AV309" s="20"/>
      <c r="AW309" s="20"/>
      <c r="AX309" s="20"/>
      <c r="AY309" s="20"/>
      <c r="AZ309" s="20"/>
      <c r="BA309" s="20"/>
      <c r="BB309" s="20"/>
      <c r="BC309" s="20"/>
      <c r="BD309" s="20"/>
      <c r="BE309" s="20"/>
      <c r="BF309" s="20"/>
      <c r="BG309" s="20"/>
      <c r="BH309" s="20"/>
      <c r="BI309" s="20"/>
      <c r="BJ309" s="20"/>
      <c r="BK309" s="20"/>
      <c r="BL309" s="20"/>
      <c r="BM309" s="20"/>
      <c r="BN309" s="20"/>
      <c r="BO309" s="20"/>
      <c r="BP309" s="20"/>
      <c r="BQ309" s="20"/>
      <c r="BR309" s="20"/>
      <c r="BS309" s="20"/>
      <c r="BT309" s="20"/>
      <c r="BU309" s="20"/>
      <c r="BV309" s="20"/>
      <c r="BW309" s="20"/>
      <c r="BX309" s="20"/>
      <c r="BY309" s="20"/>
      <c r="BZ309" s="20"/>
      <c r="CA309" s="20"/>
      <c r="CB309" s="20"/>
      <c r="CC309" s="20"/>
      <c r="CD309" s="20"/>
      <c r="CE309" s="20"/>
      <c r="CF309" s="20"/>
      <c r="CG309" s="20"/>
      <c r="CH309" s="20"/>
      <c r="CI309" s="20"/>
      <c r="CJ309" s="20"/>
      <c r="CK309" s="20"/>
      <c r="CL309" s="20"/>
      <c r="CM309" s="20"/>
      <c r="CN309" s="20"/>
      <c r="CO309" s="20"/>
      <c r="CP309" s="20"/>
      <c r="CQ309" s="20"/>
      <c r="CR309" s="20"/>
      <c r="CS309" s="20"/>
      <c r="CT309" s="20"/>
      <c r="CU309" s="20"/>
      <c r="CV309" s="20"/>
      <c r="CW309" s="20"/>
      <c r="CX309" s="20"/>
      <c r="CY309" s="20"/>
      <c r="CZ309" s="20"/>
      <c r="DA309" s="20"/>
      <c r="DB309" s="20"/>
      <c r="DC309" s="20"/>
      <c r="DD309" s="20"/>
      <c r="DE309" s="20"/>
      <c r="DF309" s="20"/>
      <c r="DG309" s="20"/>
      <c r="DH309" s="20"/>
      <c r="DI309" s="20"/>
      <c r="DJ309" s="20"/>
      <c r="DK309" s="20"/>
      <c r="DL309" s="20"/>
      <c r="DM309" s="20"/>
      <c r="DN309" s="20"/>
      <c r="DO309" s="20"/>
      <c r="DP309" s="20"/>
      <c r="DQ309" s="20"/>
      <c r="DR309" s="20"/>
      <c r="DS309" s="20"/>
      <c r="DT309" s="20"/>
      <c r="DU309" s="20"/>
      <c r="DV309" s="20"/>
      <c r="DW309" s="20"/>
      <c r="DX309" s="20"/>
      <c r="DY309" s="20"/>
      <c r="DZ309" s="20"/>
      <c r="EA309" s="20"/>
    </row>
    <row r="310" spans="2:131" ht="18" customHeight="1">
      <c r="B310" s="708"/>
      <c r="C310" s="708"/>
      <c r="D310" s="707"/>
      <c r="E310" s="707"/>
      <c r="F310" s="707"/>
      <c r="G310" s="707"/>
      <c r="H310" s="707"/>
      <c r="I310" s="707"/>
      <c r="J310" s="707"/>
      <c r="K310" s="707"/>
      <c r="L310" s="19"/>
      <c r="M310" s="20"/>
      <c r="N310" s="20"/>
      <c r="O310" s="20"/>
      <c r="P310" s="20"/>
      <c r="Q310" s="20"/>
      <c r="R310" s="20"/>
      <c r="S310" s="20"/>
      <c r="T310" s="20"/>
      <c r="U310" s="20"/>
      <c r="V310" s="20"/>
      <c r="W310" s="20"/>
      <c r="X310" s="20"/>
      <c r="Y310" s="20"/>
      <c r="Z310" s="20"/>
      <c r="AA310" s="20"/>
      <c r="AB310" s="20"/>
      <c r="AC310" s="20"/>
      <c r="AD310" s="20"/>
      <c r="AE310" s="20"/>
      <c r="AF310" s="20"/>
      <c r="AG310" s="20"/>
      <c r="AH310" s="20"/>
      <c r="AI310" s="20"/>
      <c r="AJ310" s="20"/>
      <c r="AK310" s="20"/>
      <c r="AL310" s="20"/>
      <c r="AM310" s="20"/>
      <c r="AN310" s="20"/>
      <c r="AO310" s="20"/>
      <c r="AP310" s="20"/>
      <c r="AQ310" s="20"/>
      <c r="AR310" s="20"/>
      <c r="AS310" s="20"/>
      <c r="AT310" s="20"/>
      <c r="AU310" s="20"/>
      <c r="AV310" s="20"/>
      <c r="AW310" s="20"/>
      <c r="AX310" s="20"/>
      <c r="AY310" s="20"/>
      <c r="AZ310" s="20"/>
      <c r="BA310" s="20"/>
      <c r="BB310" s="20"/>
      <c r="BC310" s="20"/>
      <c r="BD310" s="20"/>
      <c r="BE310" s="20"/>
      <c r="BF310" s="20"/>
      <c r="BG310" s="20"/>
      <c r="BH310" s="20"/>
      <c r="BI310" s="20"/>
      <c r="BJ310" s="20"/>
      <c r="BK310" s="20"/>
      <c r="BL310" s="20"/>
      <c r="BM310" s="20"/>
      <c r="BN310" s="20"/>
      <c r="BO310" s="20"/>
      <c r="BP310" s="20"/>
      <c r="BQ310" s="20"/>
      <c r="BR310" s="20"/>
      <c r="BS310" s="20"/>
      <c r="BT310" s="20"/>
      <c r="BU310" s="20"/>
      <c r="BV310" s="20"/>
      <c r="BW310" s="20"/>
      <c r="BX310" s="20"/>
      <c r="BY310" s="20"/>
      <c r="BZ310" s="20"/>
      <c r="CA310" s="20"/>
      <c r="CB310" s="20"/>
      <c r="CC310" s="20"/>
      <c r="CD310" s="20"/>
      <c r="CE310" s="20"/>
      <c r="CF310" s="20"/>
      <c r="CG310" s="20"/>
      <c r="CH310" s="20"/>
      <c r="CI310" s="20"/>
      <c r="CJ310" s="20"/>
      <c r="CK310" s="20"/>
      <c r="CL310" s="20"/>
      <c r="CM310" s="20"/>
      <c r="CN310" s="20"/>
      <c r="CO310" s="20"/>
      <c r="CP310" s="20"/>
      <c r="CQ310" s="20"/>
      <c r="CR310" s="20"/>
      <c r="CS310" s="20"/>
      <c r="CT310" s="20"/>
      <c r="CU310" s="20"/>
      <c r="CV310" s="20"/>
      <c r="CW310" s="20"/>
      <c r="CX310" s="20"/>
      <c r="CY310" s="20"/>
      <c r="CZ310" s="20"/>
      <c r="DA310" s="20"/>
      <c r="DB310" s="20"/>
      <c r="DC310" s="20"/>
      <c r="DD310" s="20"/>
      <c r="DE310" s="20"/>
      <c r="DF310" s="20"/>
      <c r="DG310" s="20"/>
      <c r="DH310" s="20"/>
      <c r="DI310" s="20"/>
      <c r="DJ310" s="20"/>
      <c r="DK310" s="20"/>
      <c r="DL310" s="20"/>
      <c r="DM310" s="20"/>
      <c r="DN310" s="20"/>
      <c r="DO310" s="20"/>
      <c r="DP310" s="20"/>
      <c r="DQ310" s="20"/>
      <c r="DR310" s="20"/>
      <c r="DS310" s="20"/>
      <c r="DT310" s="20"/>
      <c r="DU310" s="20"/>
      <c r="DV310" s="20"/>
      <c r="DW310" s="20"/>
      <c r="DX310" s="20"/>
      <c r="DY310" s="20"/>
      <c r="DZ310" s="20"/>
      <c r="EA310" s="20"/>
    </row>
    <row r="311" spans="2:131" ht="18" customHeight="1">
      <c r="B311" s="707"/>
      <c r="C311" s="707"/>
      <c r="D311" s="707"/>
      <c r="E311" s="707"/>
      <c r="F311" s="707"/>
      <c r="G311" s="707"/>
      <c r="H311" s="707"/>
      <c r="I311" s="707"/>
      <c r="J311" s="707"/>
      <c r="K311" s="707"/>
      <c r="L311" s="19"/>
      <c r="M311" s="20"/>
      <c r="N311" s="20"/>
      <c r="O311" s="20"/>
      <c r="P311" s="20"/>
      <c r="Q311" s="20"/>
      <c r="R311" s="20"/>
      <c r="S311" s="20"/>
      <c r="T311" s="20"/>
      <c r="U311" s="20"/>
      <c r="V311" s="20"/>
      <c r="W311" s="20"/>
      <c r="X311" s="20"/>
      <c r="Y311" s="20"/>
      <c r="Z311" s="20"/>
      <c r="AA311" s="20"/>
      <c r="AB311" s="20"/>
      <c r="AC311" s="20"/>
      <c r="AD311" s="20"/>
      <c r="AE311" s="20"/>
      <c r="AF311" s="20"/>
      <c r="AG311" s="20"/>
      <c r="AH311" s="20"/>
      <c r="AI311" s="20"/>
      <c r="AJ311" s="20"/>
      <c r="AK311" s="20"/>
      <c r="AL311" s="20"/>
      <c r="AM311" s="20"/>
      <c r="AN311" s="20"/>
      <c r="AO311" s="20"/>
      <c r="AP311" s="20"/>
      <c r="AQ311" s="20"/>
      <c r="AR311" s="20"/>
      <c r="AS311" s="20"/>
      <c r="AT311" s="20"/>
      <c r="AU311" s="20"/>
      <c r="AV311" s="20"/>
      <c r="AW311" s="20"/>
      <c r="AX311" s="20"/>
      <c r="AY311" s="20"/>
      <c r="AZ311" s="20"/>
      <c r="BA311" s="20"/>
      <c r="BB311" s="20"/>
      <c r="BC311" s="20"/>
      <c r="BD311" s="20"/>
      <c r="BE311" s="20"/>
      <c r="BF311" s="20"/>
      <c r="BG311" s="20"/>
      <c r="BH311" s="20"/>
      <c r="BI311" s="20"/>
      <c r="BJ311" s="20"/>
      <c r="BK311" s="20"/>
      <c r="BL311" s="20"/>
      <c r="BM311" s="20"/>
      <c r="BN311" s="20"/>
      <c r="BO311" s="20"/>
      <c r="BP311" s="20"/>
      <c r="BQ311" s="20"/>
      <c r="BR311" s="20"/>
      <c r="BS311" s="20"/>
      <c r="BT311" s="20"/>
      <c r="BU311" s="20"/>
      <c r="BV311" s="20"/>
      <c r="BW311" s="20"/>
      <c r="BX311" s="20"/>
      <c r="BY311" s="20"/>
      <c r="BZ311" s="20"/>
      <c r="CA311" s="20"/>
      <c r="CB311" s="20"/>
      <c r="CC311" s="20"/>
      <c r="CD311" s="20"/>
      <c r="CE311" s="20"/>
      <c r="CF311" s="20"/>
      <c r="CG311" s="20"/>
      <c r="CH311" s="20"/>
      <c r="CI311" s="20"/>
      <c r="CJ311" s="20"/>
      <c r="CK311" s="20"/>
      <c r="CL311" s="20"/>
      <c r="CM311" s="20"/>
      <c r="CN311" s="20"/>
      <c r="CO311" s="20"/>
      <c r="CP311" s="20"/>
      <c r="CQ311" s="20"/>
      <c r="CR311" s="20"/>
      <c r="CS311" s="20"/>
      <c r="CT311" s="20"/>
      <c r="CU311" s="20"/>
      <c r="CV311" s="20"/>
      <c r="CW311" s="20"/>
      <c r="CX311" s="20"/>
      <c r="CY311" s="20"/>
      <c r="CZ311" s="20"/>
      <c r="DA311" s="20"/>
      <c r="DB311" s="20"/>
      <c r="DC311" s="20"/>
      <c r="DD311" s="20"/>
      <c r="DE311" s="20"/>
      <c r="DF311" s="20"/>
      <c r="DG311" s="20"/>
      <c r="DH311" s="20"/>
      <c r="DI311" s="20"/>
      <c r="DJ311" s="20"/>
      <c r="DK311" s="20"/>
      <c r="DL311" s="20"/>
      <c r="DM311" s="20"/>
      <c r="DN311" s="20"/>
      <c r="DO311" s="20"/>
      <c r="DP311" s="20"/>
      <c r="DQ311" s="20"/>
      <c r="DR311" s="20"/>
      <c r="DS311" s="20"/>
      <c r="DT311" s="20"/>
      <c r="DU311" s="20"/>
      <c r="DV311" s="20"/>
      <c r="DW311" s="20"/>
      <c r="DX311" s="20"/>
      <c r="DY311" s="20"/>
      <c r="DZ311" s="20"/>
      <c r="EA311" s="20"/>
    </row>
    <row r="312" spans="2:131" ht="18" customHeight="1">
      <c r="B312" s="707"/>
      <c r="C312" s="707"/>
      <c r="D312" s="707"/>
      <c r="E312" s="707"/>
      <c r="F312" s="707"/>
      <c r="G312" s="707"/>
      <c r="H312" s="707"/>
      <c r="I312" s="707"/>
      <c r="J312" s="707"/>
      <c r="K312" s="707"/>
      <c r="L312" s="19"/>
      <c r="M312" s="20"/>
      <c r="N312" s="20"/>
      <c r="O312" s="20"/>
      <c r="P312" s="20"/>
      <c r="Q312" s="20"/>
      <c r="R312" s="20"/>
      <c r="S312" s="20"/>
      <c r="T312" s="20"/>
      <c r="U312" s="20"/>
      <c r="V312" s="20"/>
      <c r="W312" s="20"/>
      <c r="X312" s="20"/>
      <c r="Y312" s="20"/>
      <c r="Z312" s="20"/>
      <c r="AA312" s="20"/>
      <c r="AB312" s="20"/>
      <c r="AC312" s="20"/>
      <c r="AD312" s="20"/>
      <c r="AE312" s="20"/>
      <c r="AF312" s="20"/>
      <c r="AG312" s="20"/>
      <c r="AH312" s="20"/>
      <c r="AI312" s="20"/>
      <c r="AJ312" s="20"/>
      <c r="AK312" s="20"/>
      <c r="AL312" s="20"/>
      <c r="AM312" s="20"/>
      <c r="AN312" s="20"/>
      <c r="AO312" s="20"/>
      <c r="AP312" s="20"/>
      <c r="AQ312" s="20"/>
      <c r="AR312" s="20"/>
      <c r="AS312" s="20"/>
      <c r="AT312" s="20"/>
      <c r="AU312" s="20"/>
      <c r="AV312" s="20"/>
      <c r="AW312" s="20"/>
      <c r="AX312" s="20"/>
      <c r="AY312" s="20"/>
      <c r="AZ312" s="20"/>
      <c r="BA312" s="20"/>
      <c r="BB312" s="20"/>
      <c r="BC312" s="20"/>
      <c r="BD312" s="20"/>
      <c r="BE312" s="20"/>
      <c r="BF312" s="20"/>
      <c r="BG312" s="20"/>
      <c r="BH312" s="20"/>
      <c r="BI312" s="20"/>
      <c r="BJ312" s="20"/>
      <c r="BK312" s="20"/>
      <c r="BL312" s="20"/>
      <c r="BM312" s="20"/>
      <c r="BN312" s="20"/>
      <c r="BO312" s="20"/>
      <c r="BP312" s="20"/>
      <c r="BQ312" s="20"/>
      <c r="BR312" s="20"/>
      <c r="BS312" s="20"/>
      <c r="BT312" s="20"/>
      <c r="BU312" s="20"/>
      <c r="BV312" s="20"/>
      <c r="BW312" s="20"/>
      <c r="BX312" s="20"/>
      <c r="BY312" s="20"/>
      <c r="BZ312" s="20"/>
      <c r="CA312" s="20"/>
      <c r="CB312" s="20"/>
      <c r="CC312" s="20"/>
      <c r="CD312" s="20"/>
      <c r="CE312" s="20"/>
      <c r="CF312" s="20"/>
      <c r="CG312" s="20"/>
      <c r="CH312" s="20"/>
      <c r="CI312" s="20"/>
      <c r="CJ312" s="20"/>
      <c r="CK312" s="20"/>
      <c r="CL312" s="20"/>
      <c r="CM312" s="20"/>
      <c r="CN312" s="20"/>
      <c r="CO312" s="20"/>
      <c r="CP312" s="20"/>
      <c r="CQ312" s="20"/>
      <c r="CR312" s="20"/>
      <c r="CS312" s="20"/>
      <c r="CT312" s="20"/>
      <c r="CU312" s="20"/>
      <c r="CV312" s="20"/>
      <c r="CW312" s="20"/>
      <c r="CX312" s="20"/>
      <c r="CY312" s="20"/>
      <c r="CZ312" s="20"/>
      <c r="DA312" s="20"/>
      <c r="DB312" s="20"/>
      <c r="DC312" s="20"/>
      <c r="DD312" s="20"/>
      <c r="DE312" s="20"/>
      <c r="DF312" s="20"/>
      <c r="DG312" s="20"/>
      <c r="DH312" s="20"/>
      <c r="DI312" s="20"/>
      <c r="DJ312" s="20"/>
      <c r="DK312" s="20"/>
      <c r="DL312" s="20"/>
      <c r="DM312" s="20"/>
      <c r="DN312" s="20"/>
      <c r="DO312" s="20"/>
      <c r="DP312" s="20"/>
      <c r="DQ312" s="20"/>
      <c r="DR312" s="20"/>
      <c r="DS312" s="20"/>
      <c r="DT312" s="20"/>
      <c r="DU312" s="20"/>
      <c r="DV312" s="20"/>
      <c r="DW312" s="20"/>
      <c r="DX312" s="20"/>
      <c r="DY312" s="20"/>
      <c r="DZ312" s="20"/>
      <c r="EA312" s="20"/>
    </row>
    <row r="313" spans="2:131" ht="18" customHeight="1">
      <c r="B313" s="707"/>
      <c r="C313" s="707"/>
      <c r="D313" s="707"/>
      <c r="E313" s="707"/>
      <c r="F313" s="707"/>
      <c r="G313" s="707"/>
      <c r="H313" s="707"/>
      <c r="I313" s="707"/>
      <c r="J313" s="707"/>
      <c r="K313" s="707"/>
      <c r="L313" s="19"/>
      <c r="M313" s="20"/>
      <c r="N313" s="20"/>
      <c r="O313" s="20"/>
      <c r="P313" s="20"/>
      <c r="Q313" s="20"/>
      <c r="R313" s="20"/>
      <c r="S313" s="20"/>
      <c r="T313" s="20"/>
      <c r="U313" s="20"/>
      <c r="V313" s="20"/>
      <c r="W313" s="20"/>
      <c r="X313" s="20"/>
      <c r="Y313" s="20"/>
      <c r="Z313" s="20"/>
      <c r="AA313" s="20"/>
      <c r="AB313" s="20"/>
      <c r="AC313" s="20"/>
      <c r="AD313" s="20"/>
      <c r="AE313" s="20"/>
      <c r="AF313" s="20"/>
      <c r="AG313" s="20"/>
      <c r="AH313" s="20"/>
      <c r="AI313" s="20"/>
      <c r="AJ313" s="20"/>
      <c r="AK313" s="20"/>
      <c r="AL313" s="20"/>
      <c r="AM313" s="20"/>
      <c r="AN313" s="20"/>
      <c r="AO313" s="20"/>
      <c r="AP313" s="20"/>
      <c r="AQ313" s="20"/>
      <c r="AR313" s="20"/>
      <c r="AS313" s="20"/>
      <c r="AT313" s="20"/>
      <c r="AU313" s="20"/>
      <c r="AV313" s="20"/>
      <c r="AW313" s="20"/>
      <c r="AX313" s="20"/>
      <c r="AY313" s="20"/>
      <c r="AZ313" s="20"/>
      <c r="BA313" s="20"/>
      <c r="BB313" s="20"/>
      <c r="BC313" s="20"/>
      <c r="BD313" s="20"/>
      <c r="BE313" s="20"/>
      <c r="BF313" s="20"/>
      <c r="BG313" s="20"/>
      <c r="BH313" s="20"/>
      <c r="BI313" s="20"/>
      <c r="BJ313" s="20"/>
      <c r="BK313" s="20"/>
      <c r="BL313" s="20"/>
      <c r="BM313" s="20"/>
      <c r="BN313" s="20"/>
      <c r="BO313" s="20"/>
      <c r="BP313" s="20"/>
      <c r="BQ313" s="20"/>
      <c r="BR313" s="20"/>
      <c r="BS313" s="20"/>
      <c r="BT313" s="20"/>
      <c r="BU313" s="20"/>
      <c r="BV313" s="20"/>
      <c r="BW313" s="20"/>
      <c r="BX313" s="20"/>
      <c r="BY313" s="20"/>
      <c r="BZ313" s="20"/>
      <c r="CA313" s="20"/>
      <c r="CB313" s="20"/>
      <c r="CC313" s="20"/>
      <c r="CD313" s="20"/>
      <c r="CE313" s="20"/>
      <c r="CF313" s="20"/>
      <c r="CG313" s="20"/>
      <c r="CH313" s="20"/>
      <c r="CI313" s="20"/>
      <c r="CJ313" s="20"/>
      <c r="CK313" s="20"/>
      <c r="CL313" s="20"/>
      <c r="CM313" s="20"/>
      <c r="CN313" s="20"/>
      <c r="CO313" s="20"/>
      <c r="CP313" s="20"/>
      <c r="CQ313" s="20"/>
      <c r="CR313" s="20"/>
      <c r="CS313" s="20"/>
      <c r="CT313" s="20"/>
      <c r="CU313" s="20"/>
      <c r="CV313" s="20"/>
      <c r="CW313" s="20"/>
      <c r="CX313" s="20"/>
      <c r="CY313" s="20"/>
      <c r="CZ313" s="20"/>
      <c r="DA313" s="20"/>
      <c r="DB313" s="20"/>
      <c r="DC313" s="20"/>
      <c r="DD313" s="20"/>
      <c r="DE313" s="20"/>
      <c r="DF313" s="20"/>
      <c r="DG313" s="20"/>
      <c r="DH313" s="20"/>
      <c r="DI313" s="20"/>
      <c r="DJ313" s="20"/>
      <c r="DK313" s="20"/>
      <c r="DL313" s="20"/>
      <c r="DM313" s="20"/>
      <c r="DN313" s="20"/>
      <c r="DO313" s="20"/>
      <c r="DP313" s="20"/>
      <c r="DQ313" s="20"/>
      <c r="DR313" s="20"/>
      <c r="DS313" s="20"/>
      <c r="DT313" s="20"/>
      <c r="DU313" s="20"/>
      <c r="DV313" s="20"/>
      <c r="DW313" s="20"/>
      <c r="DX313" s="20"/>
      <c r="DY313" s="20"/>
      <c r="DZ313" s="20"/>
      <c r="EA313" s="20"/>
    </row>
    <row r="314" spans="2:131" ht="18" customHeight="1">
      <c r="B314" s="707"/>
      <c r="C314" s="707"/>
      <c r="D314" s="707"/>
      <c r="E314" s="707"/>
      <c r="F314" s="707"/>
      <c r="G314" s="707"/>
      <c r="H314" s="707"/>
      <c r="I314" s="707"/>
      <c r="J314" s="707"/>
      <c r="K314" s="707"/>
      <c r="L314" s="19"/>
      <c r="M314" s="20"/>
      <c r="N314" s="20"/>
      <c r="O314" s="20"/>
      <c r="P314" s="20"/>
      <c r="Q314" s="20"/>
      <c r="R314" s="20"/>
      <c r="S314" s="20"/>
      <c r="T314" s="20"/>
      <c r="U314" s="20"/>
      <c r="V314" s="20"/>
      <c r="W314" s="20"/>
      <c r="X314" s="20"/>
      <c r="Y314" s="20"/>
      <c r="Z314" s="20"/>
      <c r="AA314" s="20"/>
      <c r="AB314" s="20"/>
      <c r="AC314" s="20"/>
      <c r="AD314" s="20"/>
      <c r="AE314" s="20"/>
      <c r="AF314" s="20"/>
      <c r="AG314" s="20"/>
      <c r="AH314" s="20"/>
      <c r="AI314" s="20"/>
      <c r="AJ314" s="20"/>
      <c r="AK314" s="20"/>
      <c r="AL314" s="20"/>
      <c r="AM314" s="20"/>
      <c r="AN314" s="20"/>
      <c r="AO314" s="20"/>
      <c r="AP314" s="20"/>
      <c r="AQ314" s="20"/>
      <c r="AR314" s="20"/>
      <c r="AS314" s="20"/>
      <c r="AT314" s="20"/>
      <c r="AU314" s="20"/>
      <c r="AV314" s="20"/>
      <c r="AW314" s="20"/>
      <c r="AX314" s="20"/>
      <c r="AY314" s="20"/>
      <c r="AZ314" s="20"/>
      <c r="BA314" s="20"/>
      <c r="BB314" s="20"/>
      <c r="BC314" s="20"/>
      <c r="BD314" s="20"/>
      <c r="BE314" s="20"/>
      <c r="BF314" s="20"/>
      <c r="BG314" s="20"/>
      <c r="BH314" s="20"/>
      <c r="BI314" s="20"/>
      <c r="BJ314" s="20"/>
      <c r="BK314" s="20"/>
      <c r="BL314" s="20"/>
      <c r="BM314" s="20"/>
      <c r="BN314" s="20"/>
      <c r="BO314" s="20"/>
      <c r="BP314" s="20"/>
      <c r="BQ314" s="20"/>
      <c r="BR314" s="20"/>
      <c r="BS314" s="20"/>
      <c r="BT314" s="20"/>
      <c r="BU314" s="20"/>
      <c r="BV314" s="20"/>
      <c r="BW314" s="20"/>
      <c r="BX314" s="20"/>
      <c r="BY314" s="20"/>
      <c r="BZ314" s="20"/>
      <c r="CA314" s="20"/>
      <c r="CB314" s="20"/>
      <c r="CC314" s="20"/>
      <c r="CD314" s="20"/>
      <c r="CE314" s="20"/>
      <c r="CF314" s="20"/>
      <c r="CG314" s="20"/>
      <c r="CH314" s="20"/>
      <c r="CI314" s="20"/>
      <c r="CJ314" s="20"/>
      <c r="CK314" s="20"/>
      <c r="CL314" s="20"/>
      <c r="CM314" s="20"/>
      <c r="CN314" s="20"/>
      <c r="CO314" s="20"/>
      <c r="CP314" s="20"/>
      <c r="CQ314" s="20"/>
      <c r="CR314" s="20"/>
      <c r="CS314" s="20"/>
      <c r="CT314" s="20"/>
      <c r="CU314" s="20"/>
      <c r="CV314" s="20"/>
      <c r="CW314" s="20"/>
      <c r="CX314" s="20"/>
      <c r="CY314" s="20"/>
      <c r="CZ314" s="20"/>
      <c r="DA314" s="20"/>
      <c r="DB314" s="20"/>
      <c r="DC314" s="20"/>
      <c r="DD314" s="20"/>
      <c r="DE314" s="20"/>
      <c r="DF314" s="20"/>
      <c r="DG314" s="20"/>
      <c r="DH314" s="20"/>
      <c r="DI314" s="20"/>
      <c r="DJ314" s="20"/>
      <c r="DK314" s="20"/>
      <c r="DL314" s="20"/>
      <c r="DM314" s="20"/>
      <c r="DN314" s="20"/>
      <c r="DO314" s="20"/>
      <c r="DP314" s="20"/>
      <c r="DQ314" s="20"/>
      <c r="DR314" s="20"/>
      <c r="DS314" s="20"/>
      <c r="DT314" s="20"/>
      <c r="DU314" s="20"/>
      <c r="DV314" s="20"/>
      <c r="DW314" s="20"/>
      <c r="DX314" s="20"/>
      <c r="DY314" s="20"/>
      <c r="DZ314" s="20"/>
      <c r="EA314" s="20"/>
    </row>
    <row r="315" spans="2:131" ht="18" customHeight="1">
      <c r="B315" s="707"/>
      <c r="C315" s="707"/>
      <c r="D315" s="707"/>
      <c r="E315" s="707"/>
      <c r="F315" s="707"/>
      <c r="G315" s="707"/>
      <c r="H315" s="707"/>
      <c r="I315" s="707"/>
      <c r="J315" s="707"/>
      <c r="K315" s="707"/>
      <c r="L315" s="19"/>
      <c r="M315" s="20"/>
      <c r="N315" s="20"/>
      <c r="O315" s="20"/>
      <c r="P315" s="20"/>
      <c r="Q315" s="20"/>
      <c r="R315" s="20"/>
      <c r="S315" s="20"/>
      <c r="T315" s="20"/>
      <c r="U315" s="20"/>
      <c r="V315" s="20"/>
      <c r="W315" s="20"/>
      <c r="X315" s="20"/>
      <c r="Y315" s="20"/>
      <c r="Z315" s="20"/>
      <c r="AA315" s="20"/>
      <c r="AB315" s="20"/>
      <c r="AC315" s="20"/>
      <c r="AD315" s="20"/>
      <c r="AE315" s="20"/>
      <c r="AF315" s="20"/>
      <c r="AG315" s="20"/>
      <c r="AH315" s="20"/>
      <c r="AI315" s="20"/>
      <c r="AJ315" s="20"/>
      <c r="AK315" s="20"/>
      <c r="AL315" s="20"/>
      <c r="AM315" s="20"/>
      <c r="AN315" s="20"/>
      <c r="AO315" s="20"/>
      <c r="AP315" s="20"/>
      <c r="AQ315" s="20"/>
      <c r="AR315" s="20"/>
      <c r="AS315" s="20"/>
      <c r="AT315" s="20"/>
      <c r="AU315" s="20"/>
      <c r="AV315" s="20"/>
      <c r="AW315" s="20"/>
      <c r="AX315" s="20"/>
      <c r="AY315" s="20"/>
      <c r="AZ315" s="20"/>
      <c r="BA315" s="20"/>
      <c r="BB315" s="20"/>
      <c r="BC315" s="20"/>
      <c r="BD315" s="20"/>
      <c r="BE315" s="20"/>
      <c r="BF315" s="20"/>
      <c r="BG315" s="20"/>
      <c r="BH315" s="20"/>
      <c r="BI315" s="20"/>
      <c r="BJ315" s="20"/>
      <c r="BK315" s="20"/>
      <c r="BL315" s="20"/>
      <c r="BM315" s="20"/>
      <c r="BN315" s="20"/>
      <c r="BO315" s="20"/>
      <c r="BP315" s="20"/>
      <c r="BQ315" s="20"/>
      <c r="BR315" s="20"/>
      <c r="BS315" s="20"/>
      <c r="BT315" s="20"/>
      <c r="BU315" s="20"/>
      <c r="BV315" s="20"/>
      <c r="BW315" s="20"/>
      <c r="BX315" s="20"/>
      <c r="BY315" s="20"/>
      <c r="BZ315" s="20"/>
      <c r="CA315" s="20"/>
      <c r="CB315" s="20"/>
      <c r="CC315" s="20"/>
      <c r="CD315" s="20"/>
      <c r="CE315" s="20"/>
      <c r="CF315" s="20"/>
      <c r="CG315" s="20"/>
      <c r="CH315" s="20"/>
      <c r="CI315" s="20"/>
      <c r="CJ315" s="20"/>
      <c r="CK315" s="20"/>
      <c r="CL315" s="20"/>
      <c r="CM315" s="20"/>
      <c r="CN315" s="20"/>
      <c r="CO315" s="20"/>
      <c r="CP315" s="20"/>
      <c r="CQ315" s="20"/>
      <c r="CR315" s="20"/>
      <c r="CS315" s="20"/>
      <c r="CT315" s="20"/>
      <c r="CU315" s="20"/>
      <c r="CV315" s="20"/>
      <c r="CW315" s="20"/>
      <c r="CX315" s="20"/>
      <c r="CY315" s="20"/>
      <c r="CZ315" s="20"/>
      <c r="DA315" s="20"/>
      <c r="DB315" s="20"/>
      <c r="DC315" s="20"/>
      <c r="DD315" s="20"/>
      <c r="DE315" s="20"/>
      <c r="DF315" s="20"/>
      <c r="DG315" s="20"/>
      <c r="DH315" s="20"/>
      <c r="DI315" s="20"/>
      <c r="DJ315" s="20"/>
      <c r="DK315" s="20"/>
      <c r="DL315" s="20"/>
      <c r="DM315" s="20"/>
      <c r="DN315" s="20"/>
      <c r="DO315" s="20"/>
      <c r="DP315" s="20"/>
      <c r="DQ315" s="20"/>
      <c r="DR315" s="20"/>
      <c r="DS315" s="20"/>
      <c r="DT315" s="20"/>
      <c r="DU315" s="20"/>
      <c r="DV315" s="20"/>
      <c r="DW315" s="20"/>
      <c r="DX315" s="20"/>
      <c r="DY315" s="20"/>
      <c r="DZ315" s="20"/>
      <c r="EA315" s="20"/>
    </row>
    <row r="316" spans="2:131" ht="18" customHeight="1">
      <c r="B316" s="708"/>
      <c r="C316" s="708"/>
      <c r="D316" s="707"/>
      <c r="E316" s="707"/>
      <c r="F316" s="707"/>
      <c r="G316" s="707"/>
      <c r="H316" s="707"/>
      <c r="I316" s="707"/>
      <c r="J316" s="707"/>
      <c r="K316" s="707"/>
      <c r="L316" s="19"/>
      <c r="M316" s="20"/>
      <c r="N316" s="20"/>
      <c r="O316" s="20"/>
      <c r="P316" s="20"/>
      <c r="Q316" s="20"/>
      <c r="R316" s="20"/>
      <c r="S316" s="20"/>
      <c r="T316" s="20"/>
      <c r="U316" s="20"/>
      <c r="V316" s="20"/>
      <c r="W316" s="20"/>
      <c r="X316" s="20"/>
      <c r="Y316" s="20"/>
      <c r="Z316" s="20"/>
      <c r="AA316" s="20"/>
      <c r="AB316" s="20"/>
      <c r="AC316" s="20"/>
      <c r="AD316" s="20"/>
      <c r="AE316" s="20"/>
      <c r="AF316" s="20"/>
      <c r="AG316" s="20"/>
      <c r="AH316" s="20"/>
      <c r="AI316" s="20"/>
      <c r="AJ316" s="20"/>
      <c r="AK316" s="20"/>
      <c r="AL316" s="20"/>
      <c r="AM316" s="20"/>
      <c r="AN316" s="20"/>
      <c r="AO316" s="20"/>
      <c r="AP316" s="20"/>
      <c r="AQ316" s="20"/>
      <c r="AR316" s="20"/>
      <c r="AS316" s="20"/>
      <c r="AT316" s="20"/>
      <c r="AU316" s="20"/>
      <c r="AV316" s="20"/>
      <c r="AW316" s="20"/>
      <c r="AX316" s="20"/>
      <c r="AY316" s="20"/>
      <c r="AZ316" s="20"/>
      <c r="BA316" s="20"/>
      <c r="BB316" s="20"/>
      <c r="BC316" s="20"/>
      <c r="BD316" s="20"/>
      <c r="BE316" s="20"/>
      <c r="BF316" s="20"/>
      <c r="BG316" s="20"/>
      <c r="BH316" s="20"/>
      <c r="BI316" s="20"/>
      <c r="BJ316" s="20"/>
      <c r="BK316" s="20"/>
      <c r="BL316" s="20"/>
      <c r="BM316" s="20"/>
      <c r="BN316" s="20"/>
      <c r="BO316" s="20"/>
      <c r="BP316" s="20"/>
      <c r="BQ316" s="20"/>
      <c r="BR316" s="20"/>
      <c r="BS316" s="20"/>
      <c r="BT316" s="20"/>
      <c r="BU316" s="20"/>
      <c r="BV316" s="20"/>
      <c r="BW316" s="20"/>
      <c r="BX316" s="20"/>
      <c r="BY316" s="20"/>
      <c r="BZ316" s="20"/>
      <c r="CA316" s="20"/>
      <c r="CB316" s="20"/>
      <c r="CC316" s="20"/>
      <c r="CD316" s="20"/>
      <c r="CE316" s="20"/>
      <c r="CF316" s="20"/>
      <c r="CG316" s="20"/>
      <c r="CH316" s="20"/>
      <c r="CI316" s="20"/>
      <c r="CJ316" s="20"/>
      <c r="CK316" s="20"/>
      <c r="CL316" s="20"/>
      <c r="CM316" s="20"/>
      <c r="CN316" s="20"/>
      <c r="CO316" s="20"/>
      <c r="CP316" s="20"/>
      <c r="CQ316" s="20"/>
      <c r="CR316" s="20"/>
      <c r="CS316" s="20"/>
      <c r="CT316" s="20"/>
      <c r="CU316" s="20"/>
      <c r="CV316" s="20"/>
      <c r="CW316" s="20"/>
      <c r="CX316" s="20"/>
      <c r="CY316" s="20"/>
      <c r="CZ316" s="20"/>
      <c r="DA316" s="20"/>
      <c r="DB316" s="20"/>
      <c r="DC316" s="20"/>
      <c r="DD316" s="20"/>
      <c r="DE316" s="20"/>
      <c r="DF316" s="20"/>
      <c r="DG316" s="20"/>
      <c r="DH316" s="20"/>
      <c r="DI316" s="20"/>
      <c r="DJ316" s="20"/>
      <c r="DK316" s="20"/>
      <c r="DL316" s="20"/>
      <c r="DM316" s="20"/>
      <c r="DN316" s="20"/>
      <c r="DO316" s="20"/>
      <c r="DP316" s="20"/>
      <c r="DQ316" s="20"/>
      <c r="DR316" s="20"/>
      <c r="DS316" s="20"/>
      <c r="DT316" s="20"/>
      <c r="DU316" s="20"/>
      <c r="DV316" s="20"/>
      <c r="DW316" s="20"/>
      <c r="DX316" s="20"/>
      <c r="DY316" s="20"/>
      <c r="DZ316" s="20"/>
      <c r="EA316" s="20"/>
    </row>
    <row r="317" spans="2:131" ht="18" customHeight="1">
      <c r="B317" s="707"/>
      <c r="C317" s="707"/>
      <c r="D317" s="707"/>
      <c r="E317" s="707"/>
      <c r="F317" s="707"/>
      <c r="G317" s="707"/>
      <c r="H317" s="707"/>
      <c r="I317" s="707"/>
      <c r="J317" s="707"/>
      <c r="K317" s="707"/>
      <c r="L317" s="19"/>
      <c r="M317" s="20"/>
      <c r="N317" s="20"/>
      <c r="O317" s="20"/>
      <c r="P317" s="20"/>
      <c r="Q317" s="20"/>
      <c r="R317" s="20"/>
      <c r="S317" s="20"/>
      <c r="T317" s="20"/>
      <c r="U317" s="20"/>
      <c r="V317" s="20"/>
      <c r="W317" s="20"/>
      <c r="X317" s="20"/>
      <c r="Y317" s="20"/>
      <c r="Z317" s="20"/>
      <c r="AA317" s="20"/>
      <c r="AB317" s="20"/>
      <c r="AC317" s="20"/>
      <c r="AD317" s="20"/>
      <c r="AE317" s="20"/>
      <c r="AF317" s="20"/>
      <c r="AG317" s="20"/>
      <c r="AH317" s="20"/>
      <c r="AI317" s="20"/>
      <c r="AJ317" s="20"/>
      <c r="AK317" s="20"/>
      <c r="AL317" s="20"/>
      <c r="AM317" s="20"/>
      <c r="AN317" s="20"/>
      <c r="AO317" s="20"/>
      <c r="AP317" s="20"/>
      <c r="AQ317" s="20"/>
      <c r="AR317" s="20"/>
      <c r="AS317" s="20"/>
      <c r="AT317" s="20"/>
      <c r="AU317" s="20"/>
      <c r="AV317" s="20"/>
      <c r="AW317" s="20"/>
      <c r="AX317" s="20"/>
      <c r="AY317" s="20"/>
      <c r="AZ317" s="20"/>
      <c r="BA317" s="20"/>
      <c r="BB317" s="20"/>
      <c r="BC317" s="20"/>
      <c r="BD317" s="20"/>
      <c r="BE317" s="20"/>
      <c r="BF317" s="20"/>
      <c r="BG317" s="20"/>
      <c r="BH317" s="20"/>
      <c r="BI317" s="20"/>
      <c r="BJ317" s="20"/>
      <c r="BK317" s="20"/>
      <c r="BL317" s="20"/>
      <c r="BM317" s="20"/>
      <c r="BN317" s="20"/>
      <c r="BO317" s="20"/>
      <c r="BP317" s="20"/>
      <c r="BQ317" s="20"/>
      <c r="BR317" s="20"/>
      <c r="BS317" s="20"/>
      <c r="BT317" s="20"/>
      <c r="BU317" s="20"/>
      <c r="BV317" s="20"/>
      <c r="BW317" s="20"/>
      <c r="BX317" s="20"/>
      <c r="BY317" s="20"/>
      <c r="BZ317" s="20"/>
      <c r="CA317" s="20"/>
      <c r="CB317" s="20"/>
      <c r="CC317" s="20"/>
      <c r="CD317" s="20"/>
      <c r="CE317" s="20"/>
      <c r="CF317" s="20"/>
      <c r="CG317" s="20"/>
      <c r="CH317" s="20"/>
      <c r="CI317" s="20"/>
      <c r="CJ317" s="20"/>
      <c r="CK317" s="20"/>
      <c r="CL317" s="20"/>
      <c r="CM317" s="20"/>
      <c r="CN317" s="20"/>
      <c r="CO317" s="20"/>
      <c r="CP317" s="20"/>
      <c r="CQ317" s="20"/>
      <c r="CR317" s="20"/>
      <c r="CS317" s="20"/>
      <c r="CT317" s="20"/>
      <c r="CU317" s="20"/>
      <c r="CV317" s="20"/>
      <c r="CW317" s="20"/>
      <c r="CX317" s="20"/>
      <c r="CY317" s="20"/>
      <c r="CZ317" s="20"/>
      <c r="DA317" s="20"/>
      <c r="DB317" s="20"/>
      <c r="DC317" s="20"/>
      <c r="DD317" s="20"/>
      <c r="DE317" s="20"/>
      <c r="DF317" s="20"/>
      <c r="DG317" s="20"/>
      <c r="DH317" s="20"/>
      <c r="DI317" s="20"/>
      <c r="DJ317" s="20"/>
      <c r="DK317" s="20"/>
      <c r="DL317" s="20"/>
      <c r="DM317" s="20"/>
      <c r="DN317" s="20"/>
      <c r="DO317" s="20"/>
      <c r="DP317" s="20"/>
      <c r="DQ317" s="20"/>
      <c r="DR317" s="20"/>
      <c r="DS317" s="20"/>
      <c r="DT317" s="20"/>
      <c r="DU317" s="20"/>
      <c r="DV317" s="20"/>
      <c r="DW317" s="20"/>
      <c r="DX317" s="20"/>
      <c r="DY317" s="20"/>
      <c r="DZ317" s="20"/>
      <c r="EA317" s="20"/>
    </row>
    <row r="318" spans="2:131" ht="18" customHeight="1">
      <c r="B318" s="707"/>
      <c r="C318" s="707"/>
      <c r="D318" s="707"/>
      <c r="E318" s="707"/>
      <c r="F318" s="707"/>
      <c r="G318" s="707"/>
      <c r="H318" s="707"/>
      <c r="I318" s="707"/>
      <c r="J318" s="707"/>
      <c r="K318" s="707"/>
      <c r="L318" s="19"/>
      <c r="M318" s="20"/>
      <c r="N318" s="20"/>
      <c r="O318" s="20"/>
      <c r="P318" s="20"/>
      <c r="Q318" s="20"/>
      <c r="R318" s="20"/>
      <c r="S318" s="20"/>
      <c r="T318" s="20"/>
      <c r="U318" s="20"/>
      <c r="V318" s="20"/>
      <c r="W318" s="20"/>
      <c r="X318" s="20"/>
      <c r="Y318" s="20"/>
      <c r="Z318" s="20"/>
      <c r="AA318" s="20"/>
      <c r="AB318" s="20"/>
      <c r="AC318" s="20"/>
      <c r="AD318" s="20"/>
      <c r="AE318" s="20"/>
      <c r="AF318" s="20"/>
      <c r="AG318" s="20"/>
      <c r="AH318" s="20"/>
      <c r="AI318" s="20"/>
      <c r="AJ318" s="20"/>
      <c r="AK318" s="20"/>
      <c r="AL318" s="20"/>
      <c r="AM318" s="20"/>
      <c r="AN318" s="20"/>
      <c r="AO318" s="20"/>
      <c r="AP318" s="20"/>
      <c r="AQ318" s="20"/>
      <c r="AR318" s="20"/>
      <c r="AS318" s="20"/>
      <c r="AT318" s="20"/>
      <c r="AU318" s="20"/>
      <c r="AV318" s="20"/>
      <c r="AW318" s="20"/>
      <c r="AX318" s="20"/>
      <c r="AY318" s="20"/>
      <c r="AZ318" s="20"/>
      <c r="BA318" s="20"/>
      <c r="BB318" s="20"/>
      <c r="BC318" s="20"/>
      <c r="BD318" s="20"/>
      <c r="BE318" s="20"/>
      <c r="BF318" s="20"/>
      <c r="BG318" s="20"/>
      <c r="BH318" s="20"/>
      <c r="BI318" s="20"/>
      <c r="BJ318" s="20"/>
      <c r="BK318" s="20"/>
      <c r="BL318" s="20"/>
      <c r="BM318" s="20"/>
      <c r="BN318" s="20"/>
      <c r="BO318" s="20"/>
      <c r="BP318" s="20"/>
      <c r="BQ318" s="20"/>
      <c r="BR318" s="20"/>
      <c r="BS318" s="20"/>
      <c r="BT318" s="20"/>
      <c r="BU318" s="20"/>
      <c r="BV318" s="20"/>
      <c r="BW318" s="20"/>
      <c r="BX318" s="20"/>
      <c r="BY318" s="20"/>
      <c r="BZ318" s="20"/>
      <c r="CA318" s="20"/>
      <c r="CB318" s="20"/>
      <c r="CC318" s="20"/>
      <c r="CD318" s="20"/>
      <c r="CE318" s="20"/>
      <c r="CF318" s="20"/>
      <c r="CG318" s="20"/>
      <c r="CH318" s="20"/>
      <c r="CI318" s="20"/>
      <c r="CJ318" s="20"/>
      <c r="CK318" s="20"/>
      <c r="CL318" s="20"/>
      <c r="CM318" s="20"/>
      <c r="CN318" s="20"/>
      <c r="CO318" s="20"/>
      <c r="CP318" s="20"/>
      <c r="CQ318" s="20"/>
      <c r="CR318" s="20"/>
      <c r="CS318" s="20"/>
      <c r="CT318" s="20"/>
      <c r="CU318" s="20"/>
      <c r="CV318" s="20"/>
      <c r="CW318" s="20"/>
      <c r="CX318" s="20"/>
      <c r="CY318" s="20"/>
      <c r="CZ318" s="20"/>
      <c r="DA318" s="20"/>
      <c r="DB318" s="20"/>
      <c r="DC318" s="20"/>
      <c r="DD318" s="20"/>
      <c r="DE318" s="20"/>
      <c r="DF318" s="20"/>
      <c r="DG318" s="20"/>
      <c r="DH318" s="20"/>
      <c r="DI318" s="20"/>
      <c r="DJ318" s="20"/>
      <c r="DK318" s="20"/>
      <c r="DL318" s="20"/>
      <c r="DM318" s="20"/>
      <c r="DN318" s="20"/>
      <c r="DO318" s="20"/>
      <c r="DP318" s="20"/>
      <c r="DQ318" s="20"/>
      <c r="DR318" s="20"/>
      <c r="DS318" s="20"/>
      <c r="DT318" s="20"/>
      <c r="DU318" s="20"/>
      <c r="DV318" s="20"/>
      <c r="DW318" s="20"/>
      <c r="DX318" s="20"/>
      <c r="DY318" s="20"/>
      <c r="DZ318" s="20"/>
      <c r="EA318" s="20"/>
    </row>
    <row r="319" spans="2:131" ht="18" customHeight="1">
      <c r="B319" s="707"/>
      <c r="C319" s="707"/>
      <c r="D319" s="707"/>
      <c r="E319" s="707"/>
      <c r="F319" s="707"/>
      <c r="G319" s="707"/>
      <c r="H319" s="707"/>
      <c r="I319" s="707"/>
      <c r="J319" s="707"/>
      <c r="K319" s="707"/>
      <c r="L319" s="19"/>
      <c r="M319" s="20"/>
      <c r="N319" s="20"/>
      <c r="O319" s="20"/>
      <c r="P319" s="20"/>
      <c r="Q319" s="20"/>
      <c r="R319" s="20"/>
      <c r="S319" s="20"/>
      <c r="T319" s="20"/>
      <c r="U319" s="20"/>
      <c r="V319" s="20"/>
      <c r="W319" s="20"/>
      <c r="X319" s="20"/>
      <c r="Y319" s="20"/>
      <c r="Z319" s="20"/>
      <c r="AA319" s="20"/>
      <c r="AB319" s="20"/>
      <c r="AC319" s="20"/>
      <c r="AD319" s="20"/>
      <c r="AE319" s="20"/>
      <c r="AF319" s="20"/>
      <c r="AG319" s="20"/>
      <c r="AH319" s="20"/>
      <c r="AI319" s="20"/>
      <c r="AJ319" s="20"/>
      <c r="AK319" s="20"/>
      <c r="AL319" s="20"/>
      <c r="AM319" s="20"/>
      <c r="AN319" s="20"/>
      <c r="AO319" s="20"/>
      <c r="AP319" s="20"/>
      <c r="AQ319" s="20"/>
      <c r="AR319" s="20"/>
      <c r="AS319" s="20"/>
      <c r="AT319" s="20"/>
      <c r="AU319" s="20"/>
      <c r="AV319" s="20"/>
      <c r="AW319" s="20"/>
      <c r="AX319" s="20"/>
      <c r="AY319" s="20"/>
      <c r="AZ319" s="20"/>
      <c r="BA319" s="20"/>
      <c r="BB319" s="20"/>
      <c r="BC319" s="20"/>
      <c r="BD319" s="20"/>
      <c r="BE319" s="20"/>
      <c r="BF319" s="20"/>
      <c r="BG319" s="20"/>
      <c r="BH319" s="20"/>
      <c r="BI319" s="20"/>
      <c r="BJ319" s="20"/>
      <c r="BK319" s="20"/>
      <c r="BL319" s="20"/>
      <c r="BM319" s="20"/>
      <c r="BN319" s="20"/>
      <c r="BO319" s="20"/>
      <c r="BP319" s="20"/>
      <c r="BQ319" s="20"/>
      <c r="BR319" s="20"/>
      <c r="BS319" s="20"/>
      <c r="BT319" s="20"/>
      <c r="BU319" s="20"/>
      <c r="BV319" s="20"/>
      <c r="BW319" s="20"/>
      <c r="BX319" s="20"/>
      <c r="BY319" s="20"/>
      <c r="BZ319" s="20"/>
      <c r="CA319" s="20"/>
      <c r="CB319" s="20"/>
      <c r="CC319" s="20"/>
      <c r="CD319" s="20"/>
      <c r="CE319" s="20"/>
      <c r="CF319" s="20"/>
      <c r="CG319" s="20"/>
      <c r="CH319" s="20"/>
      <c r="CI319" s="20"/>
      <c r="CJ319" s="20"/>
      <c r="CK319" s="20"/>
      <c r="CL319" s="20"/>
      <c r="CM319" s="20"/>
      <c r="CN319" s="20"/>
      <c r="CO319" s="20"/>
      <c r="CP319" s="20"/>
      <c r="CQ319" s="20"/>
      <c r="CR319" s="20"/>
      <c r="CS319" s="20"/>
      <c r="CT319" s="20"/>
      <c r="CU319" s="20"/>
      <c r="CV319" s="20"/>
      <c r="CW319" s="20"/>
      <c r="CX319" s="20"/>
      <c r="CY319" s="20"/>
      <c r="CZ319" s="20"/>
      <c r="DA319" s="20"/>
      <c r="DB319" s="20"/>
      <c r="DC319" s="20"/>
      <c r="DD319" s="20"/>
      <c r="DE319" s="20"/>
      <c r="DF319" s="20"/>
      <c r="DG319" s="20"/>
      <c r="DH319" s="20"/>
      <c r="DI319" s="20"/>
      <c r="DJ319" s="20"/>
      <c r="DK319" s="20"/>
      <c r="DL319" s="20"/>
      <c r="DM319" s="20"/>
      <c r="DN319" s="20"/>
      <c r="DO319" s="20"/>
      <c r="DP319" s="20"/>
      <c r="DQ319" s="20"/>
      <c r="DR319" s="20"/>
      <c r="DS319" s="20"/>
      <c r="DT319" s="20"/>
      <c r="DU319" s="20"/>
      <c r="DV319" s="20"/>
      <c r="DW319" s="20"/>
      <c r="DX319" s="20"/>
      <c r="DY319" s="20"/>
      <c r="DZ319" s="20"/>
      <c r="EA319" s="20"/>
    </row>
    <row r="320" spans="2:131" ht="18" customHeight="1">
      <c r="B320" s="707"/>
      <c r="C320" s="707"/>
      <c r="D320" s="707"/>
      <c r="E320" s="707"/>
      <c r="F320" s="707"/>
      <c r="G320" s="707"/>
      <c r="H320" s="707"/>
      <c r="I320" s="707"/>
      <c r="J320" s="707"/>
      <c r="K320" s="707"/>
      <c r="L320" s="19"/>
      <c r="M320" s="20"/>
      <c r="N320" s="20"/>
      <c r="O320" s="20"/>
      <c r="P320" s="20"/>
      <c r="Q320" s="20"/>
      <c r="R320" s="20"/>
      <c r="S320" s="20"/>
      <c r="T320" s="20"/>
      <c r="U320" s="20"/>
      <c r="V320" s="20"/>
      <c r="W320" s="20"/>
      <c r="X320" s="20"/>
      <c r="Y320" s="20"/>
      <c r="Z320" s="20"/>
      <c r="AA320" s="20"/>
      <c r="AB320" s="20"/>
      <c r="AC320" s="20"/>
      <c r="AD320" s="20"/>
      <c r="AE320" s="20"/>
      <c r="AF320" s="20"/>
      <c r="AG320" s="20"/>
      <c r="AH320" s="20"/>
      <c r="AI320" s="20"/>
      <c r="AJ320" s="20"/>
      <c r="AK320" s="20"/>
      <c r="AL320" s="20"/>
      <c r="AM320" s="20"/>
      <c r="AN320" s="20"/>
      <c r="AO320" s="20"/>
      <c r="AP320" s="20"/>
      <c r="AQ320" s="20"/>
      <c r="AR320" s="20"/>
      <c r="AS320" s="20"/>
      <c r="AT320" s="20"/>
      <c r="AU320" s="20"/>
      <c r="AV320" s="20"/>
      <c r="AW320" s="20"/>
      <c r="AX320" s="20"/>
      <c r="AY320" s="20"/>
      <c r="AZ320" s="20"/>
      <c r="BA320" s="20"/>
      <c r="BB320" s="20"/>
      <c r="BC320" s="20"/>
      <c r="BD320" s="20"/>
      <c r="BE320" s="20"/>
      <c r="BF320" s="20"/>
      <c r="BG320" s="20"/>
      <c r="BH320" s="20"/>
      <c r="BI320" s="20"/>
      <c r="BJ320" s="20"/>
      <c r="BK320" s="20"/>
      <c r="BL320" s="20"/>
      <c r="BM320" s="20"/>
      <c r="BN320" s="20"/>
      <c r="BO320" s="20"/>
      <c r="BP320" s="20"/>
      <c r="BQ320" s="20"/>
      <c r="BR320" s="20"/>
      <c r="BS320" s="20"/>
      <c r="BT320" s="20"/>
      <c r="BU320" s="20"/>
      <c r="BV320" s="20"/>
      <c r="BW320" s="20"/>
      <c r="BX320" s="20"/>
      <c r="BY320" s="20"/>
      <c r="BZ320" s="20"/>
      <c r="CA320" s="20"/>
      <c r="CB320" s="20"/>
      <c r="CC320" s="20"/>
      <c r="CD320" s="20"/>
      <c r="CE320" s="20"/>
      <c r="CF320" s="20"/>
      <c r="CG320" s="20"/>
      <c r="CH320" s="20"/>
      <c r="CI320" s="20"/>
      <c r="CJ320" s="20"/>
      <c r="CK320" s="20"/>
      <c r="CL320" s="20"/>
      <c r="CM320" s="20"/>
      <c r="CN320" s="20"/>
      <c r="CO320" s="20"/>
      <c r="CP320" s="20"/>
      <c r="CQ320" s="20"/>
      <c r="CR320" s="20"/>
      <c r="CS320" s="20"/>
      <c r="CT320" s="20"/>
      <c r="CU320" s="20"/>
      <c r="CV320" s="20"/>
      <c r="CW320" s="20"/>
      <c r="CX320" s="20"/>
      <c r="CY320" s="20"/>
      <c r="CZ320" s="20"/>
      <c r="DA320" s="20"/>
      <c r="DB320" s="20"/>
      <c r="DC320" s="20"/>
      <c r="DD320" s="20"/>
      <c r="DE320" s="20"/>
      <c r="DF320" s="20"/>
      <c r="DG320" s="20"/>
      <c r="DH320" s="20"/>
      <c r="DI320" s="20"/>
      <c r="DJ320" s="20"/>
      <c r="DK320" s="20"/>
      <c r="DL320" s="20"/>
      <c r="DM320" s="20"/>
      <c r="DN320" s="20"/>
      <c r="DO320" s="20"/>
      <c r="DP320" s="20"/>
      <c r="DQ320" s="20"/>
      <c r="DR320" s="20"/>
      <c r="DS320" s="20"/>
      <c r="DT320" s="20"/>
      <c r="DU320" s="20"/>
      <c r="DV320" s="20"/>
      <c r="DW320" s="20"/>
      <c r="DX320" s="20"/>
      <c r="DY320" s="20"/>
      <c r="DZ320" s="20"/>
      <c r="EA320" s="20"/>
    </row>
    <row r="321" spans="2:131" ht="18" customHeight="1">
      <c r="B321" s="707"/>
      <c r="C321" s="707"/>
      <c r="D321" s="707"/>
      <c r="E321" s="707"/>
      <c r="F321" s="707"/>
      <c r="G321" s="707"/>
      <c r="H321" s="707"/>
      <c r="I321" s="707"/>
      <c r="J321" s="707"/>
      <c r="K321" s="707"/>
      <c r="L321" s="19"/>
      <c r="M321" s="20"/>
      <c r="N321" s="20"/>
      <c r="O321" s="20"/>
      <c r="P321" s="20"/>
      <c r="Q321" s="20"/>
      <c r="R321" s="20"/>
      <c r="S321" s="20"/>
      <c r="T321" s="20"/>
      <c r="U321" s="20"/>
      <c r="V321" s="20"/>
      <c r="W321" s="20"/>
      <c r="X321" s="20"/>
      <c r="Y321" s="20"/>
      <c r="Z321" s="20"/>
      <c r="AA321" s="20"/>
      <c r="AB321" s="20"/>
      <c r="AC321" s="20"/>
      <c r="AD321" s="20"/>
      <c r="AE321" s="20"/>
      <c r="AF321" s="20"/>
      <c r="AG321" s="20"/>
      <c r="AH321" s="20"/>
      <c r="AI321" s="20"/>
      <c r="AJ321" s="20"/>
      <c r="AK321" s="20"/>
      <c r="AL321" s="20"/>
      <c r="AM321" s="20"/>
      <c r="AN321" s="20"/>
      <c r="AO321" s="20"/>
      <c r="AP321" s="20"/>
      <c r="AQ321" s="20"/>
      <c r="AR321" s="20"/>
      <c r="AS321" s="20"/>
      <c r="AT321" s="20"/>
      <c r="AU321" s="20"/>
      <c r="AV321" s="20"/>
      <c r="AW321" s="20"/>
      <c r="AX321" s="20"/>
      <c r="AY321" s="20"/>
      <c r="AZ321" s="20"/>
      <c r="BA321" s="20"/>
      <c r="BB321" s="20"/>
      <c r="BC321" s="20"/>
      <c r="BD321" s="20"/>
      <c r="BE321" s="20"/>
      <c r="BF321" s="20"/>
      <c r="BG321" s="20"/>
      <c r="BH321" s="20"/>
      <c r="BI321" s="20"/>
      <c r="BJ321" s="20"/>
      <c r="BK321" s="20"/>
      <c r="BL321" s="20"/>
      <c r="BM321" s="20"/>
      <c r="BN321" s="20"/>
      <c r="BO321" s="20"/>
      <c r="BP321" s="20"/>
      <c r="BQ321" s="20"/>
      <c r="BR321" s="20"/>
      <c r="BS321" s="20"/>
      <c r="BT321" s="20"/>
      <c r="BU321" s="20"/>
      <c r="BV321" s="20"/>
      <c r="BW321" s="20"/>
      <c r="BX321" s="20"/>
      <c r="BY321" s="20"/>
      <c r="BZ321" s="20"/>
      <c r="CA321" s="20"/>
      <c r="CB321" s="20"/>
      <c r="CC321" s="20"/>
      <c r="CD321" s="20"/>
      <c r="CE321" s="20"/>
      <c r="CF321" s="20"/>
      <c r="CG321" s="20"/>
      <c r="CH321" s="20"/>
      <c r="CI321" s="20"/>
      <c r="CJ321" s="20"/>
      <c r="CK321" s="20"/>
      <c r="CL321" s="20"/>
      <c r="CM321" s="20"/>
      <c r="CN321" s="20"/>
      <c r="CO321" s="20"/>
      <c r="CP321" s="20"/>
      <c r="CQ321" s="20"/>
      <c r="CR321" s="20"/>
      <c r="CS321" s="20"/>
      <c r="CT321" s="20"/>
      <c r="CU321" s="20"/>
      <c r="CV321" s="20"/>
      <c r="CW321" s="20"/>
      <c r="CX321" s="20"/>
      <c r="CY321" s="20"/>
      <c r="CZ321" s="20"/>
      <c r="DA321" s="20"/>
      <c r="DB321" s="20"/>
      <c r="DC321" s="20"/>
      <c r="DD321" s="20"/>
      <c r="DE321" s="20"/>
      <c r="DF321" s="20"/>
      <c r="DG321" s="20"/>
      <c r="DH321" s="20"/>
      <c r="DI321" s="20"/>
      <c r="DJ321" s="20"/>
      <c r="DK321" s="20"/>
      <c r="DL321" s="20"/>
      <c r="DM321" s="20"/>
      <c r="DN321" s="20"/>
      <c r="DO321" s="20"/>
      <c r="DP321" s="20"/>
      <c r="DQ321" s="20"/>
      <c r="DR321" s="20"/>
      <c r="DS321" s="20"/>
      <c r="DT321" s="20"/>
      <c r="DU321" s="20"/>
      <c r="DV321" s="20"/>
      <c r="DW321" s="20"/>
      <c r="DX321" s="20"/>
      <c r="DY321" s="20"/>
      <c r="DZ321" s="20"/>
      <c r="EA321" s="20"/>
    </row>
    <row r="322" spans="2:131" ht="18" customHeight="1">
      <c r="B322" s="708"/>
      <c r="C322" s="708"/>
      <c r="D322" s="707"/>
      <c r="E322" s="707"/>
      <c r="F322" s="707"/>
      <c r="G322" s="707"/>
      <c r="H322" s="707"/>
      <c r="I322" s="707"/>
      <c r="J322" s="707"/>
      <c r="K322" s="707"/>
      <c r="L322" s="19"/>
      <c r="M322" s="20"/>
      <c r="N322" s="20"/>
      <c r="O322" s="20"/>
      <c r="P322" s="20"/>
      <c r="Q322" s="20"/>
      <c r="R322" s="20"/>
      <c r="S322" s="20"/>
      <c r="T322" s="20"/>
      <c r="U322" s="20"/>
      <c r="V322" s="20"/>
      <c r="W322" s="20"/>
      <c r="X322" s="20"/>
      <c r="Y322" s="20"/>
      <c r="Z322" s="20"/>
      <c r="AA322" s="20"/>
      <c r="AB322" s="20"/>
      <c r="AC322" s="20"/>
      <c r="AD322" s="20"/>
      <c r="AE322" s="20"/>
      <c r="AF322" s="20"/>
      <c r="AG322" s="20"/>
      <c r="AH322" s="20"/>
      <c r="AI322" s="20"/>
      <c r="AJ322" s="20"/>
      <c r="AK322" s="20"/>
      <c r="AL322" s="20"/>
      <c r="AM322" s="20"/>
      <c r="AN322" s="20"/>
      <c r="AO322" s="20"/>
      <c r="AP322" s="20"/>
      <c r="AQ322" s="20"/>
      <c r="AR322" s="20"/>
      <c r="AS322" s="20"/>
      <c r="AT322" s="20"/>
      <c r="AU322" s="20"/>
      <c r="AV322" s="20"/>
      <c r="AW322" s="20"/>
      <c r="AX322" s="20"/>
      <c r="AY322" s="20"/>
      <c r="AZ322" s="20"/>
      <c r="BA322" s="20"/>
      <c r="BB322" s="20"/>
      <c r="BC322" s="20"/>
      <c r="BD322" s="20"/>
      <c r="BE322" s="20"/>
      <c r="BF322" s="20"/>
      <c r="BG322" s="20"/>
      <c r="BH322" s="20"/>
      <c r="BI322" s="20"/>
      <c r="BJ322" s="20"/>
      <c r="BK322" s="20"/>
      <c r="BL322" s="20"/>
      <c r="BM322" s="20"/>
      <c r="BN322" s="20"/>
      <c r="BO322" s="20"/>
      <c r="BP322" s="20"/>
      <c r="BQ322" s="20"/>
      <c r="BR322" s="20"/>
      <c r="BS322" s="20"/>
      <c r="BT322" s="20"/>
      <c r="BU322" s="20"/>
      <c r="BV322" s="20"/>
      <c r="BW322" s="20"/>
      <c r="BX322" s="20"/>
      <c r="BY322" s="20"/>
      <c r="BZ322" s="20"/>
      <c r="CA322" s="20"/>
      <c r="CB322" s="20"/>
      <c r="CC322" s="20"/>
      <c r="CD322" s="20"/>
      <c r="CE322" s="20"/>
      <c r="CF322" s="20"/>
      <c r="CG322" s="20"/>
      <c r="CH322" s="20"/>
      <c r="CI322" s="20"/>
      <c r="CJ322" s="20"/>
      <c r="CK322" s="20"/>
      <c r="CL322" s="20"/>
      <c r="CM322" s="20"/>
      <c r="CN322" s="20"/>
      <c r="CO322" s="20"/>
      <c r="CP322" s="20"/>
      <c r="CQ322" s="20"/>
      <c r="CR322" s="20"/>
      <c r="CS322" s="20"/>
      <c r="CT322" s="20"/>
      <c r="CU322" s="20"/>
      <c r="CV322" s="20"/>
      <c r="CW322" s="20"/>
      <c r="CX322" s="20"/>
      <c r="CY322" s="20"/>
      <c r="CZ322" s="20"/>
      <c r="DA322" s="20"/>
      <c r="DB322" s="20"/>
      <c r="DC322" s="20"/>
      <c r="DD322" s="20"/>
      <c r="DE322" s="20"/>
      <c r="DF322" s="20"/>
      <c r="DG322" s="20"/>
      <c r="DH322" s="20"/>
      <c r="DI322" s="20"/>
      <c r="DJ322" s="20"/>
      <c r="DK322" s="20"/>
      <c r="DL322" s="20"/>
      <c r="DM322" s="20"/>
      <c r="DN322" s="20"/>
      <c r="DO322" s="20"/>
      <c r="DP322" s="20"/>
      <c r="DQ322" s="20"/>
      <c r="DR322" s="20"/>
      <c r="DS322" s="20"/>
      <c r="DT322" s="20"/>
      <c r="DU322" s="20"/>
      <c r="DV322" s="20"/>
      <c r="DW322" s="20"/>
      <c r="DX322" s="20"/>
      <c r="DY322" s="20"/>
      <c r="DZ322" s="20"/>
      <c r="EA322" s="20"/>
    </row>
    <row r="323" spans="2:131" ht="18" customHeight="1">
      <c r="B323" s="707"/>
      <c r="C323" s="707"/>
      <c r="D323" s="707"/>
      <c r="E323" s="707"/>
      <c r="F323" s="707"/>
      <c r="G323" s="707"/>
      <c r="H323" s="707"/>
      <c r="I323" s="707"/>
      <c r="J323" s="707"/>
      <c r="K323" s="707"/>
      <c r="L323" s="19"/>
      <c r="M323" s="20"/>
      <c r="N323" s="20"/>
      <c r="O323" s="20"/>
      <c r="P323" s="20"/>
      <c r="Q323" s="20"/>
      <c r="R323" s="20"/>
      <c r="S323" s="20"/>
      <c r="T323" s="20"/>
      <c r="U323" s="20"/>
      <c r="V323" s="20"/>
      <c r="W323" s="20"/>
      <c r="X323" s="20"/>
      <c r="Y323" s="20"/>
      <c r="Z323" s="20"/>
      <c r="AA323" s="20"/>
      <c r="AB323" s="20"/>
      <c r="AC323" s="20"/>
      <c r="AD323" s="20"/>
      <c r="AE323" s="20"/>
      <c r="AF323" s="20"/>
      <c r="AG323" s="20"/>
      <c r="AH323" s="20"/>
      <c r="AI323" s="20"/>
      <c r="AJ323" s="20"/>
      <c r="AK323" s="20"/>
      <c r="AL323" s="20"/>
      <c r="AM323" s="20"/>
      <c r="AN323" s="20"/>
      <c r="AO323" s="20"/>
      <c r="AP323" s="20"/>
      <c r="AQ323" s="20"/>
      <c r="AR323" s="20"/>
      <c r="AS323" s="20"/>
      <c r="AT323" s="20"/>
      <c r="AU323" s="20"/>
      <c r="AV323" s="20"/>
      <c r="AW323" s="20"/>
      <c r="AX323" s="20"/>
      <c r="AY323" s="20"/>
      <c r="AZ323" s="20"/>
      <c r="BA323" s="20"/>
      <c r="BB323" s="20"/>
      <c r="BC323" s="20"/>
      <c r="BD323" s="20"/>
      <c r="BE323" s="20"/>
      <c r="BF323" s="20"/>
      <c r="BG323" s="20"/>
      <c r="BH323" s="20"/>
      <c r="BI323" s="20"/>
      <c r="BJ323" s="20"/>
      <c r="BK323" s="20"/>
      <c r="BL323" s="20"/>
      <c r="BM323" s="20"/>
      <c r="BN323" s="20"/>
      <c r="BO323" s="20"/>
      <c r="BP323" s="20"/>
      <c r="BQ323" s="20"/>
      <c r="BR323" s="20"/>
      <c r="BS323" s="20"/>
      <c r="BT323" s="20"/>
      <c r="BU323" s="20"/>
      <c r="BV323" s="20"/>
      <c r="BW323" s="20"/>
      <c r="BX323" s="20"/>
      <c r="BY323" s="20"/>
      <c r="BZ323" s="20"/>
      <c r="CA323" s="20"/>
      <c r="CB323" s="20"/>
      <c r="CC323" s="20"/>
      <c r="CD323" s="20"/>
      <c r="CE323" s="20"/>
      <c r="CF323" s="20"/>
      <c r="CG323" s="20"/>
      <c r="CH323" s="20"/>
      <c r="CI323" s="20"/>
      <c r="CJ323" s="20"/>
      <c r="CK323" s="20"/>
      <c r="CL323" s="20"/>
      <c r="CM323" s="20"/>
      <c r="CN323" s="20"/>
      <c r="CO323" s="20"/>
      <c r="CP323" s="20"/>
      <c r="CQ323" s="20"/>
      <c r="CR323" s="20"/>
      <c r="CS323" s="20"/>
      <c r="CT323" s="20"/>
      <c r="CU323" s="20"/>
      <c r="CV323" s="20"/>
      <c r="CW323" s="20"/>
      <c r="CX323" s="20"/>
      <c r="CY323" s="20"/>
      <c r="CZ323" s="20"/>
      <c r="DA323" s="20"/>
      <c r="DB323" s="20"/>
      <c r="DC323" s="20"/>
      <c r="DD323" s="20"/>
      <c r="DE323" s="20"/>
      <c r="DF323" s="20"/>
      <c r="DG323" s="20"/>
      <c r="DH323" s="20"/>
      <c r="DI323" s="20"/>
      <c r="DJ323" s="20"/>
      <c r="DK323" s="20"/>
      <c r="DL323" s="20"/>
      <c r="DM323" s="20"/>
      <c r="DN323" s="20"/>
      <c r="DO323" s="20"/>
      <c r="DP323" s="20"/>
      <c r="DQ323" s="20"/>
      <c r="DR323" s="20"/>
      <c r="DS323" s="20"/>
      <c r="DT323" s="20"/>
      <c r="DU323" s="20"/>
      <c r="DV323" s="20"/>
      <c r="DW323" s="20"/>
      <c r="DX323" s="20"/>
      <c r="DY323" s="20"/>
      <c r="DZ323" s="20"/>
      <c r="EA323" s="20"/>
    </row>
    <row r="324" spans="2:131" ht="18" customHeight="1">
      <c r="B324" s="707"/>
      <c r="C324" s="707"/>
      <c r="D324" s="707"/>
      <c r="E324" s="707"/>
      <c r="F324" s="707"/>
      <c r="G324" s="707"/>
      <c r="H324" s="707"/>
      <c r="I324" s="707"/>
      <c r="J324" s="707"/>
      <c r="K324" s="707"/>
      <c r="L324" s="19"/>
      <c r="M324" s="20"/>
      <c r="N324" s="20"/>
      <c r="O324" s="20"/>
      <c r="P324" s="20"/>
      <c r="Q324" s="20"/>
      <c r="R324" s="20"/>
      <c r="S324" s="20"/>
      <c r="T324" s="20"/>
      <c r="U324" s="20"/>
      <c r="V324" s="20"/>
      <c r="W324" s="20"/>
      <c r="X324" s="20"/>
      <c r="Y324" s="20"/>
      <c r="Z324" s="20"/>
      <c r="AA324" s="20"/>
      <c r="AB324" s="20"/>
      <c r="AC324" s="20"/>
      <c r="AD324" s="20"/>
      <c r="AE324" s="20"/>
      <c r="AF324" s="20"/>
      <c r="AG324" s="20"/>
      <c r="AH324" s="20"/>
      <c r="AI324" s="20"/>
      <c r="AJ324" s="20"/>
      <c r="AK324" s="20"/>
      <c r="AL324" s="20"/>
      <c r="AM324" s="20"/>
      <c r="AN324" s="20"/>
      <c r="AO324" s="20"/>
      <c r="AP324" s="20"/>
      <c r="AQ324" s="20"/>
      <c r="AR324" s="20"/>
      <c r="AS324" s="20"/>
      <c r="AT324" s="20"/>
      <c r="AU324" s="20"/>
      <c r="AV324" s="20"/>
      <c r="AW324" s="20"/>
      <c r="AX324" s="20"/>
      <c r="AY324" s="20"/>
      <c r="AZ324" s="20"/>
      <c r="BA324" s="20"/>
      <c r="BB324" s="20"/>
      <c r="BC324" s="20"/>
      <c r="BD324" s="20"/>
      <c r="BE324" s="20"/>
      <c r="BF324" s="20"/>
      <c r="BG324" s="20"/>
      <c r="BH324" s="20"/>
      <c r="BI324" s="20"/>
      <c r="BJ324" s="20"/>
      <c r="BK324" s="20"/>
      <c r="BL324" s="20"/>
      <c r="BM324" s="20"/>
      <c r="BN324" s="20"/>
      <c r="BO324" s="20"/>
      <c r="BP324" s="20"/>
      <c r="BQ324" s="20"/>
      <c r="BR324" s="20"/>
      <c r="BS324" s="20"/>
      <c r="BT324" s="20"/>
      <c r="BU324" s="20"/>
      <c r="BV324" s="20"/>
      <c r="BW324" s="20"/>
      <c r="BX324" s="20"/>
      <c r="BY324" s="20"/>
      <c r="BZ324" s="20"/>
      <c r="CA324" s="20"/>
      <c r="CB324" s="20"/>
      <c r="CC324" s="20"/>
      <c r="CD324" s="20"/>
      <c r="CE324" s="20"/>
      <c r="CF324" s="20"/>
      <c r="CG324" s="20"/>
      <c r="CH324" s="20"/>
      <c r="CI324" s="20"/>
      <c r="CJ324" s="20"/>
      <c r="CK324" s="20"/>
      <c r="CL324" s="20"/>
      <c r="CM324" s="20"/>
      <c r="CN324" s="20"/>
      <c r="CO324" s="20"/>
      <c r="CP324" s="20"/>
      <c r="CQ324" s="20"/>
      <c r="CR324" s="20"/>
      <c r="CS324" s="20"/>
      <c r="CT324" s="20"/>
      <c r="CU324" s="20"/>
      <c r="CV324" s="20"/>
      <c r="CW324" s="20"/>
      <c r="CX324" s="20"/>
      <c r="CY324" s="20"/>
      <c r="CZ324" s="20"/>
      <c r="DA324" s="20"/>
      <c r="DB324" s="20"/>
      <c r="DC324" s="20"/>
      <c r="DD324" s="20"/>
      <c r="DE324" s="20"/>
      <c r="DF324" s="20"/>
      <c r="DG324" s="20"/>
      <c r="DH324" s="20"/>
      <c r="DI324" s="20"/>
      <c r="DJ324" s="20"/>
      <c r="DK324" s="20"/>
      <c r="DL324" s="20"/>
      <c r="DM324" s="20"/>
      <c r="DN324" s="20"/>
      <c r="DO324" s="20"/>
      <c r="DP324" s="20"/>
      <c r="DQ324" s="20"/>
      <c r="DR324" s="20"/>
      <c r="DS324" s="20"/>
      <c r="DT324" s="20"/>
      <c r="DU324" s="20"/>
      <c r="DV324" s="20"/>
      <c r="DW324" s="20"/>
      <c r="DX324" s="20"/>
      <c r="DY324" s="20"/>
      <c r="DZ324" s="20"/>
      <c r="EA324" s="20"/>
    </row>
    <row r="325" spans="2:131" ht="18" customHeight="1">
      <c r="B325" s="707"/>
      <c r="C325" s="707"/>
      <c r="D325" s="707"/>
      <c r="E325" s="707"/>
      <c r="F325" s="707"/>
      <c r="G325" s="707"/>
      <c r="H325" s="707"/>
      <c r="I325" s="707"/>
      <c r="J325" s="707"/>
      <c r="K325" s="707"/>
      <c r="L325" s="19"/>
      <c r="M325" s="20"/>
      <c r="N325" s="20"/>
      <c r="O325" s="20"/>
      <c r="P325" s="20"/>
      <c r="Q325" s="20"/>
      <c r="R325" s="20"/>
      <c r="S325" s="20"/>
      <c r="T325" s="20"/>
      <c r="U325" s="20"/>
      <c r="V325" s="20"/>
      <c r="W325" s="20"/>
      <c r="X325" s="20"/>
      <c r="Y325" s="20"/>
      <c r="Z325" s="20"/>
      <c r="AA325" s="20"/>
      <c r="AB325" s="20"/>
      <c r="AC325" s="20"/>
      <c r="AD325" s="20"/>
      <c r="AE325" s="20"/>
      <c r="AF325" s="20"/>
      <c r="AG325" s="20"/>
      <c r="AH325" s="20"/>
      <c r="AI325" s="20"/>
      <c r="AJ325" s="20"/>
      <c r="AK325" s="20"/>
      <c r="AL325" s="20"/>
      <c r="AM325" s="20"/>
      <c r="AN325" s="20"/>
      <c r="AO325" s="20"/>
      <c r="AP325" s="20"/>
      <c r="AQ325" s="20"/>
      <c r="AR325" s="20"/>
      <c r="AS325" s="20"/>
      <c r="AT325" s="20"/>
      <c r="AU325" s="20"/>
      <c r="AV325" s="20"/>
      <c r="AW325" s="20"/>
      <c r="AX325" s="20"/>
      <c r="AY325" s="20"/>
      <c r="AZ325" s="20"/>
      <c r="BA325" s="20"/>
      <c r="BB325" s="20"/>
      <c r="BC325" s="20"/>
      <c r="BD325" s="20"/>
      <c r="BE325" s="20"/>
      <c r="BF325" s="20"/>
      <c r="BG325" s="20"/>
      <c r="BH325" s="20"/>
      <c r="BI325" s="20"/>
      <c r="BJ325" s="20"/>
      <c r="BK325" s="20"/>
      <c r="BL325" s="20"/>
      <c r="BM325" s="20"/>
      <c r="BN325" s="20"/>
      <c r="BO325" s="20"/>
      <c r="BP325" s="20"/>
      <c r="BQ325" s="20"/>
      <c r="BR325" s="20"/>
      <c r="BS325" s="20"/>
      <c r="BT325" s="20"/>
      <c r="BU325" s="20"/>
      <c r="BV325" s="20"/>
      <c r="BW325" s="20"/>
      <c r="BX325" s="20"/>
      <c r="BY325" s="20"/>
      <c r="BZ325" s="20"/>
      <c r="CA325" s="20"/>
      <c r="CB325" s="20"/>
      <c r="CC325" s="20"/>
      <c r="CD325" s="20"/>
      <c r="CE325" s="20"/>
      <c r="CF325" s="20"/>
      <c r="CG325" s="20"/>
      <c r="CH325" s="20"/>
      <c r="CI325" s="20"/>
      <c r="CJ325" s="20"/>
      <c r="CK325" s="20"/>
      <c r="CL325" s="20"/>
      <c r="CM325" s="20"/>
      <c r="CN325" s="20"/>
      <c r="CO325" s="20"/>
      <c r="CP325" s="20"/>
      <c r="CQ325" s="20"/>
      <c r="CR325" s="20"/>
      <c r="CS325" s="20"/>
      <c r="CT325" s="20"/>
      <c r="CU325" s="20"/>
      <c r="CV325" s="20"/>
      <c r="CW325" s="20"/>
      <c r="CX325" s="20"/>
      <c r="CY325" s="20"/>
      <c r="CZ325" s="20"/>
      <c r="DA325" s="20"/>
      <c r="DB325" s="20"/>
      <c r="DC325" s="20"/>
      <c r="DD325" s="20"/>
      <c r="DE325" s="20"/>
      <c r="DF325" s="20"/>
      <c r="DG325" s="20"/>
      <c r="DH325" s="20"/>
      <c r="DI325" s="20"/>
      <c r="DJ325" s="20"/>
      <c r="DK325" s="20"/>
      <c r="DL325" s="20"/>
      <c r="DM325" s="20"/>
      <c r="DN325" s="20"/>
      <c r="DO325" s="20"/>
      <c r="DP325" s="20"/>
      <c r="DQ325" s="20"/>
      <c r="DR325" s="20"/>
      <c r="DS325" s="20"/>
      <c r="DT325" s="20"/>
      <c r="DU325" s="20"/>
      <c r="DV325" s="20"/>
      <c r="DW325" s="20"/>
      <c r="DX325" s="20"/>
      <c r="DY325" s="20"/>
      <c r="DZ325" s="20"/>
      <c r="EA325" s="20"/>
    </row>
    <row r="326" spans="2:131" ht="18" customHeight="1">
      <c r="B326" s="707"/>
      <c r="C326" s="707"/>
      <c r="D326" s="707"/>
      <c r="E326" s="707"/>
      <c r="F326" s="707"/>
      <c r="G326" s="707"/>
      <c r="H326" s="707"/>
      <c r="I326" s="707"/>
      <c r="J326" s="707"/>
      <c r="K326" s="707"/>
      <c r="L326" s="19"/>
      <c r="M326" s="20"/>
      <c r="N326" s="20"/>
      <c r="O326" s="20"/>
      <c r="P326" s="20"/>
      <c r="Q326" s="20"/>
      <c r="R326" s="20"/>
      <c r="S326" s="20"/>
      <c r="T326" s="20"/>
      <c r="U326" s="20"/>
      <c r="V326" s="20"/>
      <c r="W326" s="20"/>
      <c r="X326" s="20"/>
      <c r="Y326" s="20"/>
      <c r="Z326" s="20"/>
      <c r="AA326" s="20"/>
      <c r="AB326" s="20"/>
      <c r="AC326" s="20"/>
      <c r="AD326" s="20"/>
      <c r="AE326" s="20"/>
      <c r="AF326" s="20"/>
      <c r="AG326" s="20"/>
      <c r="AH326" s="20"/>
      <c r="AI326" s="20"/>
      <c r="AJ326" s="20"/>
      <c r="AK326" s="20"/>
      <c r="AL326" s="20"/>
      <c r="AM326" s="20"/>
      <c r="AN326" s="20"/>
      <c r="AO326" s="20"/>
      <c r="AP326" s="20"/>
      <c r="AQ326" s="20"/>
      <c r="AR326" s="20"/>
      <c r="AS326" s="20"/>
      <c r="AT326" s="20"/>
      <c r="AU326" s="20"/>
      <c r="AV326" s="20"/>
      <c r="AW326" s="20"/>
      <c r="AX326" s="20"/>
      <c r="AY326" s="20"/>
      <c r="AZ326" s="20"/>
      <c r="BA326" s="20"/>
      <c r="BB326" s="20"/>
      <c r="BC326" s="20"/>
      <c r="BD326" s="20"/>
      <c r="BE326" s="20"/>
      <c r="BF326" s="20"/>
      <c r="BG326" s="20"/>
      <c r="BH326" s="20"/>
      <c r="BI326" s="20"/>
      <c r="BJ326" s="20"/>
      <c r="BK326" s="20"/>
      <c r="BL326" s="20"/>
      <c r="BM326" s="20"/>
      <c r="BN326" s="20"/>
      <c r="BO326" s="20"/>
      <c r="BP326" s="20"/>
      <c r="BQ326" s="20"/>
      <c r="BR326" s="20"/>
      <c r="BS326" s="20"/>
      <c r="BT326" s="20"/>
      <c r="BU326" s="20"/>
      <c r="BV326" s="20"/>
      <c r="BW326" s="20"/>
      <c r="BX326" s="20"/>
      <c r="BY326" s="20"/>
      <c r="BZ326" s="20"/>
      <c r="CA326" s="20"/>
      <c r="CB326" s="20"/>
      <c r="CC326" s="20"/>
      <c r="CD326" s="20"/>
      <c r="CE326" s="20"/>
      <c r="CF326" s="20"/>
      <c r="CG326" s="20"/>
      <c r="CH326" s="20"/>
      <c r="CI326" s="20"/>
      <c r="CJ326" s="20"/>
      <c r="CK326" s="20"/>
      <c r="CL326" s="20"/>
      <c r="CM326" s="20"/>
      <c r="CN326" s="20"/>
      <c r="CO326" s="20"/>
      <c r="CP326" s="20"/>
      <c r="CQ326" s="20"/>
      <c r="CR326" s="20"/>
      <c r="CS326" s="20"/>
      <c r="CT326" s="20"/>
      <c r="CU326" s="20"/>
      <c r="CV326" s="20"/>
      <c r="CW326" s="20"/>
      <c r="CX326" s="20"/>
      <c r="CY326" s="20"/>
      <c r="CZ326" s="20"/>
      <c r="DA326" s="20"/>
      <c r="DB326" s="20"/>
      <c r="DC326" s="20"/>
      <c r="DD326" s="20"/>
      <c r="DE326" s="20"/>
      <c r="DF326" s="20"/>
      <c r="DG326" s="20"/>
      <c r="DH326" s="20"/>
      <c r="DI326" s="20"/>
      <c r="DJ326" s="20"/>
      <c r="DK326" s="20"/>
      <c r="DL326" s="20"/>
      <c r="DM326" s="20"/>
      <c r="DN326" s="20"/>
      <c r="DO326" s="20"/>
      <c r="DP326" s="20"/>
      <c r="DQ326" s="20"/>
      <c r="DR326" s="20"/>
      <c r="DS326" s="20"/>
      <c r="DT326" s="20"/>
      <c r="DU326" s="20"/>
      <c r="DV326" s="20"/>
      <c r="DW326" s="20"/>
      <c r="DX326" s="20"/>
      <c r="DY326" s="20"/>
      <c r="DZ326" s="20"/>
      <c r="EA326" s="20"/>
    </row>
    <row r="327" spans="2:131" ht="18" customHeight="1">
      <c r="B327" s="707"/>
      <c r="C327" s="707"/>
      <c r="D327" s="707"/>
      <c r="E327" s="707"/>
      <c r="F327" s="707"/>
      <c r="G327" s="707"/>
      <c r="H327" s="707"/>
      <c r="I327" s="707"/>
      <c r="J327" s="707"/>
      <c r="K327" s="707"/>
      <c r="L327" s="19"/>
      <c r="M327" s="20"/>
      <c r="N327" s="20"/>
      <c r="O327" s="20"/>
      <c r="P327" s="20"/>
      <c r="Q327" s="20"/>
      <c r="R327" s="20"/>
      <c r="S327" s="20"/>
      <c r="T327" s="20"/>
      <c r="U327" s="20"/>
      <c r="V327" s="20"/>
      <c r="W327" s="20"/>
      <c r="X327" s="20"/>
      <c r="Y327" s="20"/>
      <c r="Z327" s="20"/>
      <c r="AA327" s="20"/>
      <c r="AB327" s="20"/>
      <c r="AC327" s="20"/>
      <c r="AD327" s="20"/>
      <c r="AE327" s="20"/>
      <c r="AF327" s="20"/>
      <c r="AG327" s="20"/>
      <c r="AH327" s="20"/>
      <c r="AI327" s="20"/>
      <c r="AJ327" s="20"/>
      <c r="AK327" s="20"/>
      <c r="AL327" s="20"/>
      <c r="AM327" s="20"/>
      <c r="AN327" s="20"/>
      <c r="AO327" s="20"/>
      <c r="AP327" s="20"/>
      <c r="AQ327" s="20"/>
      <c r="AR327" s="20"/>
      <c r="AS327" s="20"/>
      <c r="AT327" s="20"/>
      <c r="AU327" s="20"/>
      <c r="AV327" s="20"/>
      <c r="AW327" s="20"/>
      <c r="AX327" s="20"/>
      <c r="AY327" s="20"/>
      <c r="AZ327" s="20"/>
      <c r="BA327" s="20"/>
      <c r="BB327" s="20"/>
      <c r="BC327" s="20"/>
      <c r="BD327" s="20"/>
      <c r="BE327" s="20"/>
      <c r="BF327" s="20"/>
      <c r="BG327" s="20"/>
      <c r="BH327" s="20"/>
      <c r="BI327" s="20"/>
      <c r="BJ327" s="20"/>
      <c r="BK327" s="20"/>
      <c r="BL327" s="20"/>
      <c r="BM327" s="20"/>
      <c r="BN327" s="20"/>
      <c r="BO327" s="20"/>
      <c r="BP327" s="20"/>
      <c r="BQ327" s="20"/>
      <c r="BR327" s="20"/>
      <c r="BS327" s="20"/>
      <c r="BT327" s="20"/>
      <c r="BU327" s="20"/>
      <c r="BV327" s="20"/>
      <c r="BW327" s="20"/>
      <c r="BX327" s="20"/>
      <c r="BY327" s="20"/>
      <c r="BZ327" s="20"/>
      <c r="CA327" s="20"/>
      <c r="CB327" s="20"/>
      <c r="CC327" s="20"/>
      <c r="CD327" s="20"/>
      <c r="CE327" s="20"/>
      <c r="CF327" s="20"/>
      <c r="CG327" s="20"/>
      <c r="CH327" s="20"/>
      <c r="CI327" s="20"/>
      <c r="CJ327" s="20"/>
      <c r="CK327" s="20"/>
      <c r="CL327" s="20"/>
      <c r="CM327" s="20"/>
      <c r="CN327" s="20"/>
      <c r="CO327" s="20"/>
      <c r="CP327" s="20"/>
      <c r="CQ327" s="20"/>
      <c r="CR327" s="20"/>
      <c r="CS327" s="20"/>
      <c r="CT327" s="20"/>
      <c r="CU327" s="20"/>
      <c r="CV327" s="20"/>
      <c r="CW327" s="20"/>
      <c r="CX327" s="20"/>
      <c r="CY327" s="20"/>
      <c r="CZ327" s="20"/>
      <c r="DA327" s="20"/>
      <c r="DB327" s="20"/>
      <c r="DC327" s="20"/>
      <c r="DD327" s="20"/>
      <c r="DE327" s="20"/>
      <c r="DF327" s="20"/>
      <c r="DG327" s="20"/>
      <c r="DH327" s="20"/>
      <c r="DI327" s="20"/>
      <c r="DJ327" s="20"/>
      <c r="DK327" s="20"/>
      <c r="DL327" s="20"/>
      <c r="DM327" s="20"/>
      <c r="DN327" s="20"/>
      <c r="DO327" s="20"/>
      <c r="DP327" s="20"/>
      <c r="DQ327" s="20"/>
      <c r="DR327" s="20"/>
      <c r="DS327" s="20"/>
      <c r="DT327" s="20"/>
      <c r="DU327" s="20"/>
      <c r="DV327" s="20"/>
      <c r="DW327" s="20"/>
      <c r="DX327" s="20"/>
      <c r="DY327" s="20"/>
      <c r="DZ327" s="20"/>
      <c r="EA327" s="20"/>
    </row>
    <row r="328" spans="2:131" ht="18" customHeight="1">
      <c r="B328" s="708"/>
      <c r="C328" s="708"/>
      <c r="D328" s="707"/>
      <c r="E328" s="707"/>
      <c r="F328" s="707"/>
      <c r="G328" s="707"/>
      <c r="H328" s="707"/>
      <c r="I328" s="707"/>
      <c r="J328" s="707"/>
      <c r="K328" s="707"/>
      <c r="L328" s="19"/>
      <c r="M328" s="20"/>
      <c r="N328" s="20"/>
      <c r="O328" s="20"/>
      <c r="P328" s="20"/>
      <c r="Q328" s="20"/>
      <c r="R328" s="20"/>
      <c r="S328" s="20"/>
      <c r="T328" s="20"/>
      <c r="U328" s="20"/>
      <c r="V328" s="20"/>
      <c r="W328" s="20"/>
      <c r="X328" s="20"/>
      <c r="Y328" s="20"/>
      <c r="Z328" s="20"/>
      <c r="AA328" s="20"/>
      <c r="AB328" s="20"/>
      <c r="AC328" s="20"/>
      <c r="AD328" s="20"/>
      <c r="AE328" s="20"/>
      <c r="AF328" s="20"/>
      <c r="AG328" s="20"/>
      <c r="AH328" s="20"/>
      <c r="AI328" s="20"/>
      <c r="AJ328" s="20"/>
      <c r="AK328" s="20"/>
      <c r="AL328" s="20"/>
      <c r="AM328" s="20"/>
      <c r="AN328" s="20"/>
      <c r="AO328" s="20"/>
      <c r="AP328" s="20"/>
      <c r="AQ328" s="20"/>
      <c r="AR328" s="20"/>
      <c r="AS328" s="20"/>
      <c r="AT328" s="20"/>
      <c r="AU328" s="20"/>
      <c r="AV328" s="20"/>
      <c r="AW328" s="20"/>
      <c r="AX328" s="20"/>
      <c r="AY328" s="20"/>
      <c r="AZ328" s="20"/>
      <c r="BA328" s="20"/>
      <c r="BB328" s="20"/>
      <c r="BC328" s="20"/>
      <c r="BD328" s="20"/>
      <c r="BE328" s="20"/>
      <c r="BF328" s="20"/>
      <c r="BG328" s="20"/>
      <c r="BH328" s="20"/>
      <c r="BI328" s="20"/>
      <c r="BJ328" s="20"/>
      <c r="BK328" s="20"/>
      <c r="BL328" s="20"/>
      <c r="BM328" s="20"/>
      <c r="BN328" s="20"/>
      <c r="BO328" s="20"/>
      <c r="BP328" s="20"/>
      <c r="BQ328" s="20"/>
      <c r="BR328" s="20"/>
      <c r="BS328" s="20"/>
      <c r="BT328" s="20"/>
      <c r="BU328" s="20"/>
      <c r="BV328" s="20"/>
      <c r="BW328" s="20"/>
      <c r="BX328" s="20"/>
      <c r="BY328" s="20"/>
      <c r="BZ328" s="20"/>
      <c r="CA328" s="20"/>
      <c r="CB328" s="20"/>
      <c r="CC328" s="20"/>
      <c r="CD328" s="20"/>
      <c r="CE328" s="20"/>
      <c r="CF328" s="20"/>
      <c r="CG328" s="20"/>
      <c r="CH328" s="20"/>
      <c r="CI328" s="20"/>
      <c r="CJ328" s="20"/>
      <c r="CK328" s="20"/>
      <c r="CL328" s="20"/>
      <c r="CM328" s="20"/>
      <c r="CN328" s="20"/>
      <c r="CO328" s="20"/>
      <c r="CP328" s="20"/>
      <c r="CQ328" s="20"/>
      <c r="CR328" s="20"/>
      <c r="CS328" s="20"/>
      <c r="CT328" s="20"/>
      <c r="CU328" s="20"/>
      <c r="CV328" s="20"/>
      <c r="CW328" s="20"/>
      <c r="CX328" s="20"/>
      <c r="CY328" s="20"/>
      <c r="CZ328" s="20"/>
      <c r="DA328" s="20"/>
      <c r="DB328" s="20"/>
      <c r="DC328" s="20"/>
      <c r="DD328" s="20"/>
      <c r="DE328" s="20"/>
      <c r="DF328" s="20"/>
      <c r="DG328" s="20"/>
      <c r="DH328" s="20"/>
      <c r="DI328" s="20"/>
      <c r="DJ328" s="20"/>
      <c r="DK328" s="20"/>
      <c r="DL328" s="20"/>
      <c r="DM328" s="20"/>
      <c r="DN328" s="20"/>
      <c r="DO328" s="20"/>
      <c r="DP328" s="20"/>
      <c r="DQ328" s="20"/>
      <c r="DR328" s="20"/>
      <c r="DS328" s="20"/>
      <c r="DT328" s="20"/>
      <c r="DU328" s="20"/>
      <c r="DV328" s="20"/>
      <c r="DW328" s="20"/>
      <c r="DX328" s="20"/>
      <c r="DY328" s="20"/>
      <c r="DZ328" s="20"/>
      <c r="EA328" s="20"/>
    </row>
    <row r="329" spans="2:131" ht="18" customHeight="1">
      <c r="B329" s="707"/>
      <c r="C329" s="707"/>
      <c r="D329" s="707"/>
      <c r="E329" s="707"/>
      <c r="F329" s="707"/>
      <c r="G329" s="707"/>
      <c r="H329" s="707"/>
      <c r="I329" s="707"/>
      <c r="J329" s="707"/>
      <c r="K329" s="707"/>
      <c r="L329" s="19"/>
      <c r="M329" s="20"/>
      <c r="N329" s="20"/>
      <c r="O329" s="20"/>
      <c r="P329" s="20"/>
      <c r="Q329" s="20"/>
      <c r="R329" s="20"/>
      <c r="S329" s="20"/>
      <c r="T329" s="20"/>
      <c r="U329" s="20"/>
      <c r="V329" s="20"/>
      <c r="W329" s="20"/>
      <c r="X329" s="20"/>
      <c r="Y329" s="20"/>
      <c r="Z329" s="20"/>
      <c r="AA329" s="20"/>
      <c r="AB329" s="20"/>
      <c r="AC329" s="20"/>
      <c r="AD329" s="20"/>
      <c r="AE329" s="20"/>
      <c r="AF329" s="20"/>
      <c r="AG329" s="20"/>
      <c r="AH329" s="20"/>
      <c r="AI329" s="20"/>
      <c r="AJ329" s="20"/>
      <c r="AK329" s="20"/>
      <c r="AL329" s="20"/>
      <c r="AM329" s="20"/>
      <c r="AN329" s="20"/>
      <c r="AO329" s="20"/>
      <c r="AP329" s="20"/>
      <c r="AQ329" s="20"/>
      <c r="AR329" s="20"/>
      <c r="AS329" s="20"/>
      <c r="AT329" s="20"/>
      <c r="AU329" s="20"/>
      <c r="AV329" s="20"/>
      <c r="AW329" s="20"/>
      <c r="AX329" s="20"/>
      <c r="AY329" s="20"/>
      <c r="AZ329" s="20"/>
      <c r="BA329" s="20"/>
      <c r="BB329" s="20"/>
      <c r="BC329" s="20"/>
      <c r="BD329" s="20"/>
      <c r="BE329" s="20"/>
      <c r="BF329" s="20"/>
      <c r="BG329" s="20"/>
      <c r="BH329" s="20"/>
      <c r="BI329" s="20"/>
      <c r="BJ329" s="20"/>
      <c r="BK329" s="20"/>
      <c r="BL329" s="20"/>
      <c r="BM329" s="20"/>
      <c r="BN329" s="20"/>
      <c r="BO329" s="20"/>
      <c r="BP329" s="20"/>
      <c r="BQ329" s="20"/>
      <c r="BR329" s="20"/>
      <c r="BS329" s="20"/>
      <c r="BT329" s="20"/>
      <c r="BU329" s="20"/>
      <c r="BV329" s="20"/>
      <c r="BW329" s="20"/>
      <c r="BX329" s="20"/>
      <c r="BY329" s="20"/>
      <c r="BZ329" s="20"/>
      <c r="CA329" s="20"/>
      <c r="CB329" s="20"/>
      <c r="CC329" s="20"/>
      <c r="CD329" s="20"/>
      <c r="CE329" s="20"/>
      <c r="CF329" s="20"/>
      <c r="CG329" s="20"/>
      <c r="CH329" s="20"/>
      <c r="CI329" s="20"/>
      <c r="CJ329" s="20"/>
      <c r="CK329" s="20"/>
      <c r="CL329" s="20"/>
      <c r="CM329" s="20"/>
      <c r="CN329" s="20"/>
      <c r="CO329" s="20"/>
      <c r="CP329" s="20"/>
      <c r="CQ329" s="20"/>
      <c r="CR329" s="20"/>
      <c r="CS329" s="20"/>
      <c r="CT329" s="20"/>
      <c r="CU329" s="20"/>
      <c r="CV329" s="20"/>
      <c r="CW329" s="20"/>
      <c r="CX329" s="20"/>
      <c r="CY329" s="20"/>
      <c r="CZ329" s="20"/>
      <c r="DA329" s="20"/>
      <c r="DB329" s="20"/>
      <c r="DC329" s="20"/>
      <c r="DD329" s="20"/>
      <c r="DE329" s="20"/>
      <c r="DF329" s="20"/>
      <c r="DG329" s="20"/>
      <c r="DH329" s="20"/>
      <c r="DI329" s="20"/>
      <c r="DJ329" s="20"/>
      <c r="DK329" s="20"/>
      <c r="DL329" s="20"/>
      <c r="DM329" s="20"/>
      <c r="DN329" s="20"/>
      <c r="DO329" s="20"/>
      <c r="DP329" s="20"/>
      <c r="DQ329" s="20"/>
      <c r="DR329" s="20"/>
      <c r="DS329" s="20"/>
      <c r="DT329" s="20"/>
      <c r="DU329" s="20"/>
      <c r="DV329" s="20"/>
      <c r="DW329" s="20"/>
      <c r="DX329" s="20"/>
      <c r="DY329" s="20"/>
      <c r="DZ329" s="20"/>
      <c r="EA329" s="20"/>
    </row>
    <row r="330" spans="2:131" ht="18" customHeight="1">
      <c r="B330" s="707"/>
      <c r="C330" s="707"/>
      <c r="D330" s="707"/>
      <c r="E330" s="707"/>
      <c r="F330" s="707"/>
      <c r="G330" s="707"/>
      <c r="H330" s="707"/>
      <c r="I330" s="707"/>
      <c r="J330" s="707"/>
      <c r="K330" s="707"/>
      <c r="L330" s="19"/>
      <c r="M330" s="20"/>
      <c r="N330" s="20"/>
      <c r="O330" s="20"/>
      <c r="P330" s="20"/>
      <c r="Q330" s="20"/>
      <c r="R330" s="20"/>
      <c r="S330" s="20"/>
      <c r="T330" s="20"/>
      <c r="U330" s="20"/>
      <c r="V330" s="20"/>
      <c r="W330" s="20"/>
      <c r="X330" s="20"/>
      <c r="Y330" s="20"/>
      <c r="Z330" s="20"/>
      <c r="AA330" s="20"/>
      <c r="AB330" s="20"/>
      <c r="AC330" s="20"/>
      <c r="AD330" s="20"/>
      <c r="AE330" s="20"/>
      <c r="AF330" s="20"/>
      <c r="AG330" s="20"/>
      <c r="AH330" s="20"/>
      <c r="AI330" s="20"/>
      <c r="AJ330" s="20"/>
      <c r="AK330" s="20"/>
      <c r="AL330" s="20"/>
      <c r="AM330" s="20"/>
      <c r="AN330" s="20"/>
      <c r="AO330" s="20"/>
      <c r="AP330" s="20"/>
      <c r="AQ330" s="20"/>
      <c r="AR330" s="20"/>
      <c r="AS330" s="20"/>
      <c r="AT330" s="20"/>
      <c r="AU330" s="20"/>
      <c r="AV330" s="20"/>
      <c r="AW330" s="20"/>
      <c r="AX330" s="20"/>
      <c r="AY330" s="20"/>
      <c r="AZ330" s="20"/>
      <c r="BA330" s="20"/>
      <c r="BB330" s="20"/>
      <c r="BC330" s="20"/>
      <c r="BD330" s="20"/>
      <c r="BE330" s="20"/>
      <c r="BF330" s="20"/>
      <c r="BG330" s="20"/>
      <c r="BH330" s="20"/>
      <c r="BI330" s="20"/>
      <c r="BJ330" s="20"/>
      <c r="BK330" s="20"/>
      <c r="BL330" s="20"/>
      <c r="BM330" s="20"/>
      <c r="BN330" s="20"/>
      <c r="BO330" s="20"/>
      <c r="BP330" s="20"/>
      <c r="BQ330" s="20"/>
      <c r="BR330" s="20"/>
      <c r="BS330" s="20"/>
      <c r="BT330" s="20"/>
      <c r="BU330" s="20"/>
      <c r="BV330" s="20"/>
      <c r="BW330" s="20"/>
      <c r="BX330" s="20"/>
      <c r="BY330" s="20"/>
      <c r="BZ330" s="20"/>
      <c r="CA330" s="20"/>
      <c r="CB330" s="20"/>
      <c r="CC330" s="20"/>
      <c r="CD330" s="20"/>
      <c r="CE330" s="20"/>
      <c r="CF330" s="20"/>
      <c r="CG330" s="20"/>
      <c r="CH330" s="20"/>
      <c r="CI330" s="20"/>
      <c r="CJ330" s="20"/>
      <c r="CK330" s="20"/>
      <c r="CL330" s="20"/>
      <c r="CM330" s="20"/>
      <c r="CN330" s="20"/>
      <c r="CO330" s="20"/>
      <c r="CP330" s="20"/>
      <c r="CQ330" s="20"/>
      <c r="CR330" s="20"/>
      <c r="CS330" s="20"/>
      <c r="CT330" s="20"/>
      <c r="CU330" s="20"/>
      <c r="CV330" s="20"/>
      <c r="CW330" s="20"/>
      <c r="CX330" s="20"/>
      <c r="CY330" s="20"/>
      <c r="CZ330" s="20"/>
      <c r="DA330" s="20"/>
      <c r="DB330" s="20"/>
      <c r="DC330" s="20"/>
      <c r="DD330" s="20"/>
      <c r="DE330" s="20"/>
      <c r="DF330" s="20"/>
      <c r="DG330" s="20"/>
      <c r="DH330" s="20"/>
      <c r="DI330" s="20"/>
      <c r="DJ330" s="20"/>
      <c r="DK330" s="20"/>
      <c r="DL330" s="20"/>
      <c r="DM330" s="20"/>
      <c r="DN330" s="20"/>
      <c r="DO330" s="20"/>
      <c r="DP330" s="20"/>
      <c r="DQ330" s="20"/>
      <c r="DR330" s="20"/>
      <c r="DS330" s="20"/>
      <c r="DT330" s="20"/>
      <c r="DU330" s="20"/>
      <c r="DV330" s="20"/>
      <c r="DW330" s="20"/>
      <c r="DX330" s="20"/>
      <c r="DY330" s="20"/>
      <c r="DZ330" s="20"/>
      <c r="EA330" s="20"/>
    </row>
    <row r="331" spans="2:131" ht="18" customHeight="1">
      <c r="B331" s="707"/>
      <c r="C331" s="707"/>
      <c r="D331" s="707"/>
      <c r="E331" s="707"/>
      <c r="F331" s="707"/>
      <c r="G331" s="707"/>
      <c r="H331" s="707"/>
      <c r="I331" s="707"/>
      <c r="J331" s="707"/>
      <c r="K331" s="707"/>
      <c r="L331" s="19"/>
      <c r="M331" s="20"/>
      <c r="N331" s="20"/>
      <c r="O331" s="20"/>
      <c r="P331" s="20"/>
      <c r="Q331" s="20"/>
      <c r="R331" s="20"/>
      <c r="S331" s="20"/>
      <c r="T331" s="20"/>
      <c r="U331" s="20"/>
      <c r="V331" s="20"/>
      <c r="W331" s="20"/>
      <c r="X331" s="20"/>
      <c r="Y331" s="20"/>
      <c r="Z331" s="20"/>
      <c r="AA331" s="20"/>
      <c r="AB331" s="20"/>
      <c r="AC331" s="20"/>
      <c r="AD331" s="20"/>
      <c r="AE331" s="20"/>
      <c r="AF331" s="20"/>
      <c r="AG331" s="20"/>
      <c r="AH331" s="20"/>
      <c r="AI331" s="20"/>
      <c r="AJ331" s="20"/>
      <c r="AK331" s="20"/>
      <c r="AL331" s="20"/>
      <c r="AM331" s="20"/>
      <c r="AN331" s="20"/>
      <c r="AO331" s="20"/>
      <c r="AP331" s="20"/>
      <c r="AQ331" s="20"/>
      <c r="AR331" s="20"/>
      <c r="AS331" s="20"/>
      <c r="AT331" s="20"/>
      <c r="AU331" s="20"/>
      <c r="AV331" s="20"/>
      <c r="AW331" s="20"/>
      <c r="AX331" s="20"/>
      <c r="AY331" s="20"/>
      <c r="AZ331" s="20"/>
      <c r="BA331" s="20"/>
      <c r="BB331" s="20"/>
      <c r="BC331" s="20"/>
      <c r="BD331" s="20"/>
      <c r="BE331" s="20"/>
      <c r="BF331" s="20"/>
      <c r="BG331" s="20"/>
      <c r="BH331" s="20"/>
      <c r="BI331" s="20"/>
      <c r="BJ331" s="20"/>
      <c r="BK331" s="20"/>
      <c r="BL331" s="20"/>
      <c r="BM331" s="20"/>
      <c r="BN331" s="20"/>
      <c r="BO331" s="20"/>
      <c r="BP331" s="20"/>
      <c r="BQ331" s="20"/>
      <c r="BR331" s="20"/>
      <c r="BS331" s="20"/>
      <c r="BT331" s="20"/>
      <c r="BU331" s="20"/>
      <c r="BV331" s="20"/>
      <c r="BW331" s="20"/>
      <c r="BX331" s="20"/>
      <c r="BY331" s="20"/>
      <c r="BZ331" s="20"/>
      <c r="CA331" s="20"/>
      <c r="CB331" s="20"/>
      <c r="CC331" s="20"/>
      <c r="CD331" s="20"/>
      <c r="CE331" s="20"/>
      <c r="CF331" s="20"/>
      <c r="CG331" s="20"/>
      <c r="CH331" s="20"/>
      <c r="CI331" s="20"/>
      <c r="CJ331" s="20"/>
      <c r="CK331" s="20"/>
      <c r="CL331" s="20"/>
      <c r="CM331" s="20"/>
      <c r="CN331" s="20"/>
      <c r="CO331" s="20"/>
      <c r="CP331" s="20"/>
      <c r="CQ331" s="20"/>
      <c r="CR331" s="20"/>
      <c r="CS331" s="20"/>
      <c r="CT331" s="20"/>
      <c r="CU331" s="20"/>
      <c r="CV331" s="20"/>
      <c r="CW331" s="20"/>
      <c r="CX331" s="20"/>
      <c r="CY331" s="20"/>
      <c r="CZ331" s="20"/>
      <c r="DA331" s="20"/>
      <c r="DB331" s="20"/>
      <c r="DC331" s="20"/>
      <c r="DD331" s="20"/>
      <c r="DE331" s="20"/>
      <c r="DF331" s="20"/>
      <c r="DG331" s="20"/>
      <c r="DH331" s="20"/>
      <c r="DI331" s="20"/>
      <c r="DJ331" s="20"/>
      <c r="DK331" s="20"/>
      <c r="DL331" s="20"/>
      <c r="DM331" s="20"/>
      <c r="DN331" s="20"/>
      <c r="DO331" s="20"/>
      <c r="DP331" s="20"/>
      <c r="DQ331" s="20"/>
      <c r="DR331" s="20"/>
      <c r="DS331" s="20"/>
      <c r="DT331" s="20"/>
      <c r="DU331" s="20"/>
      <c r="DV331" s="20"/>
      <c r="DW331" s="20"/>
      <c r="DX331" s="20"/>
      <c r="DY331" s="20"/>
      <c r="DZ331" s="20"/>
      <c r="EA331" s="20"/>
    </row>
    <row r="332" spans="2:131" ht="18" customHeight="1">
      <c r="B332" s="707"/>
      <c r="C332" s="707"/>
      <c r="D332" s="707"/>
      <c r="E332" s="707"/>
      <c r="F332" s="707"/>
      <c r="G332" s="707"/>
      <c r="H332" s="707"/>
      <c r="I332" s="707"/>
      <c r="J332" s="707"/>
      <c r="K332" s="707"/>
      <c r="L332" s="19"/>
      <c r="M332" s="20"/>
      <c r="N332" s="20"/>
      <c r="O332" s="20"/>
      <c r="P332" s="20"/>
      <c r="Q332" s="20"/>
      <c r="R332" s="20"/>
      <c r="S332" s="20"/>
      <c r="T332" s="20"/>
      <c r="U332" s="20"/>
      <c r="V332" s="20"/>
      <c r="W332" s="20"/>
      <c r="X332" s="20"/>
      <c r="Y332" s="20"/>
      <c r="Z332" s="20"/>
      <c r="AA332" s="20"/>
      <c r="AB332" s="20"/>
      <c r="AC332" s="20"/>
      <c r="AD332" s="20"/>
      <c r="AE332" s="20"/>
      <c r="AF332" s="20"/>
      <c r="AG332" s="20"/>
      <c r="AH332" s="20"/>
      <c r="AI332" s="20"/>
      <c r="AJ332" s="20"/>
      <c r="AK332" s="20"/>
      <c r="AL332" s="20"/>
      <c r="AM332" s="20"/>
      <c r="AN332" s="20"/>
      <c r="AO332" s="20"/>
      <c r="AP332" s="20"/>
      <c r="AQ332" s="20"/>
      <c r="AR332" s="20"/>
      <c r="AS332" s="20"/>
      <c r="AT332" s="20"/>
      <c r="AU332" s="20"/>
      <c r="AV332" s="20"/>
      <c r="AW332" s="20"/>
      <c r="AX332" s="20"/>
      <c r="AY332" s="20"/>
      <c r="AZ332" s="20"/>
      <c r="BA332" s="20"/>
      <c r="BB332" s="20"/>
      <c r="BC332" s="20"/>
      <c r="BD332" s="20"/>
      <c r="BE332" s="20"/>
      <c r="BF332" s="20"/>
      <c r="BG332" s="20"/>
      <c r="BH332" s="20"/>
      <c r="BI332" s="20"/>
      <c r="BJ332" s="20"/>
      <c r="BK332" s="20"/>
      <c r="BL332" s="20"/>
      <c r="BM332" s="20"/>
      <c r="BN332" s="20"/>
      <c r="BO332" s="20"/>
      <c r="BP332" s="20"/>
      <c r="BQ332" s="20"/>
      <c r="BR332" s="20"/>
      <c r="BS332" s="20"/>
      <c r="BT332" s="20"/>
      <c r="BU332" s="20"/>
      <c r="BV332" s="20"/>
      <c r="BW332" s="20"/>
      <c r="BX332" s="20"/>
      <c r="BY332" s="20"/>
      <c r="BZ332" s="20"/>
      <c r="CA332" s="20"/>
      <c r="CB332" s="20"/>
      <c r="CC332" s="20"/>
      <c r="CD332" s="20"/>
      <c r="CE332" s="20"/>
      <c r="CF332" s="20"/>
      <c r="CG332" s="20"/>
      <c r="CH332" s="20"/>
      <c r="CI332" s="20"/>
      <c r="CJ332" s="20"/>
      <c r="CK332" s="20"/>
      <c r="CL332" s="20"/>
      <c r="CM332" s="20"/>
      <c r="CN332" s="20"/>
      <c r="CO332" s="20"/>
      <c r="CP332" s="20"/>
      <c r="CQ332" s="20"/>
      <c r="CR332" s="20"/>
      <c r="CS332" s="20"/>
      <c r="CT332" s="20"/>
      <c r="CU332" s="20"/>
      <c r="CV332" s="20"/>
      <c r="CW332" s="20"/>
      <c r="CX332" s="20"/>
      <c r="CY332" s="20"/>
      <c r="CZ332" s="20"/>
      <c r="DA332" s="20"/>
      <c r="DB332" s="20"/>
      <c r="DC332" s="20"/>
      <c r="DD332" s="20"/>
      <c r="DE332" s="20"/>
      <c r="DF332" s="20"/>
      <c r="DG332" s="20"/>
      <c r="DH332" s="20"/>
      <c r="DI332" s="20"/>
      <c r="DJ332" s="20"/>
      <c r="DK332" s="20"/>
      <c r="DL332" s="20"/>
      <c r="DM332" s="20"/>
      <c r="DN332" s="20"/>
      <c r="DO332" s="20"/>
      <c r="DP332" s="20"/>
      <c r="DQ332" s="20"/>
      <c r="DR332" s="20"/>
      <c r="DS332" s="20"/>
      <c r="DT332" s="20"/>
      <c r="DU332" s="20"/>
      <c r="DV332" s="20"/>
      <c r="DW332" s="20"/>
      <c r="DX332" s="20"/>
      <c r="DY332" s="20"/>
      <c r="DZ332" s="20"/>
      <c r="EA332" s="20"/>
    </row>
    <row r="333" spans="2:131" ht="18" customHeight="1">
      <c r="B333" s="707"/>
      <c r="C333" s="707"/>
      <c r="D333" s="707"/>
      <c r="E333" s="707"/>
      <c r="F333" s="707"/>
      <c r="G333" s="707"/>
      <c r="H333" s="707"/>
      <c r="I333" s="707"/>
      <c r="J333" s="707"/>
      <c r="K333" s="707"/>
      <c r="L333" s="19"/>
      <c r="M333" s="20"/>
      <c r="N333" s="20"/>
      <c r="O333" s="20"/>
      <c r="P333" s="20"/>
      <c r="Q333" s="20"/>
      <c r="R333" s="20"/>
      <c r="S333" s="20"/>
      <c r="T333" s="20"/>
      <c r="U333" s="20"/>
      <c r="V333" s="20"/>
      <c r="W333" s="20"/>
      <c r="X333" s="20"/>
      <c r="Y333" s="20"/>
      <c r="Z333" s="20"/>
      <c r="AA333" s="20"/>
      <c r="AB333" s="20"/>
      <c r="AC333" s="20"/>
      <c r="AD333" s="20"/>
      <c r="AE333" s="20"/>
      <c r="AF333" s="20"/>
      <c r="AG333" s="20"/>
      <c r="AH333" s="20"/>
      <c r="AI333" s="20"/>
      <c r="AJ333" s="20"/>
      <c r="AK333" s="20"/>
      <c r="AL333" s="20"/>
      <c r="AM333" s="20"/>
      <c r="AN333" s="20"/>
      <c r="AO333" s="20"/>
      <c r="AP333" s="20"/>
      <c r="AQ333" s="20"/>
      <c r="AR333" s="20"/>
      <c r="AS333" s="20"/>
      <c r="AT333" s="20"/>
      <c r="AU333" s="20"/>
      <c r="AV333" s="20"/>
      <c r="AW333" s="20"/>
      <c r="AX333" s="20"/>
      <c r="AY333" s="20"/>
      <c r="AZ333" s="20"/>
      <c r="BA333" s="20"/>
      <c r="BB333" s="20"/>
      <c r="BC333" s="20"/>
      <c r="BD333" s="20"/>
      <c r="BE333" s="20"/>
      <c r="BF333" s="20"/>
      <c r="BG333" s="20"/>
      <c r="BH333" s="20"/>
      <c r="BI333" s="20"/>
      <c r="BJ333" s="20"/>
      <c r="BK333" s="20"/>
      <c r="BL333" s="20"/>
      <c r="BM333" s="20"/>
      <c r="BN333" s="20"/>
      <c r="BO333" s="20"/>
      <c r="BP333" s="20"/>
      <c r="BQ333" s="20"/>
      <c r="BR333" s="20"/>
      <c r="BS333" s="20"/>
      <c r="BT333" s="20"/>
      <c r="BU333" s="20"/>
      <c r="BV333" s="20"/>
      <c r="BW333" s="20"/>
      <c r="BX333" s="20"/>
      <c r="BY333" s="20"/>
      <c r="BZ333" s="20"/>
      <c r="CA333" s="20"/>
      <c r="CB333" s="20"/>
      <c r="CC333" s="20"/>
      <c r="CD333" s="20"/>
      <c r="CE333" s="20"/>
      <c r="CF333" s="20"/>
      <c r="CG333" s="20"/>
      <c r="CH333" s="20"/>
      <c r="CI333" s="20"/>
      <c r="CJ333" s="20"/>
      <c r="CK333" s="20"/>
      <c r="CL333" s="20"/>
      <c r="CM333" s="20"/>
      <c r="CN333" s="20"/>
      <c r="CO333" s="20"/>
      <c r="CP333" s="20"/>
      <c r="CQ333" s="20"/>
      <c r="CR333" s="20"/>
      <c r="CS333" s="20"/>
      <c r="CT333" s="20"/>
      <c r="CU333" s="20"/>
      <c r="CV333" s="20"/>
      <c r="CW333" s="20"/>
      <c r="CX333" s="20"/>
      <c r="CY333" s="20"/>
      <c r="CZ333" s="20"/>
      <c r="DA333" s="20"/>
      <c r="DB333" s="20"/>
      <c r="DC333" s="20"/>
      <c r="DD333" s="20"/>
      <c r="DE333" s="20"/>
      <c r="DF333" s="20"/>
      <c r="DG333" s="20"/>
      <c r="DH333" s="20"/>
      <c r="DI333" s="20"/>
      <c r="DJ333" s="20"/>
      <c r="DK333" s="20"/>
      <c r="DL333" s="20"/>
      <c r="DM333" s="20"/>
      <c r="DN333" s="20"/>
      <c r="DO333" s="20"/>
      <c r="DP333" s="20"/>
      <c r="DQ333" s="20"/>
      <c r="DR333" s="20"/>
      <c r="DS333" s="20"/>
      <c r="DT333" s="20"/>
      <c r="DU333" s="20"/>
      <c r="DV333" s="20"/>
      <c r="DW333" s="20"/>
      <c r="DX333" s="20"/>
      <c r="DY333" s="20"/>
      <c r="DZ333" s="20"/>
      <c r="EA333" s="20"/>
    </row>
    <row r="334" spans="2:131" ht="18" customHeight="1">
      <c r="B334" s="708"/>
      <c r="C334" s="708"/>
      <c r="D334" s="707"/>
      <c r="E334" s="707"/>
      <c r="F334" s="707"/>
      <c r="G334" s="707"/>
      <c r="H334" s="707"/>
      <c r="I334" s="707"/>
      <c r="J334" s="707"/>
      <c r="K334" s="707"/>
      <c r="L334" s="19"/>
      <c r="M334" s="20"/>
      <c r="N334" s="20"/>
      <c r="O334" s="20"/>
      <c r="P334" s="20"/>
      <c r="Q334" s="20"/>
      <c r="R334" s="20"/>
      <c r="S334" s="20"/>
      <c r="T334" s="20"/>
      <c r="U334" s="20"/>
      <c r="V334" s="20"/>
      <c r="W334" s="20"/>
      <c r="X334" s="20"/>
      <c r="Y334" s="20"/>
      <c r="Z334" s="20"/>
      <c r="AA334" s="20"/>
      <c r="AB334" s="20"/>
      <c r="AC334" s="20"/>
      <c r="AD334" s="20"/>
      <c r="AE334" s="20"/>
      <c r="AF334" s="20"/>
      <c r="AG334" s="20"/>
      <c r="AH334" s="20"/>
      <c r="AI334" s="20"/>
      <c r="AJ334" s="20"/>
      <c r="AK334" s="20"/>
      <c r="AL334" s="20"/>
      <c r="AM334" s="20"/>
      <c r="AN334" s="20"/>
      <c r="AO334" s="20"/>
      <c r="AP334" s="20"/>
      <c r="AQ334" s="20"/>
      <c r="AR334" s="20"/>
      <c r="AS334" s="20"/>
      <c r="AT334" s="20"/>
      <c r="AU334" s="20"/>
      <c r="AV334" s="20"/>
      <c r="AW334" s="20"/>
      <c r="AX334" s="20"/>
      <c r="AY334" s="20"/>
      <c r="AZ334" s="20"/>
      <c r="BA334" s="20"/>
      <c r="BB334" s="20"/>
      <c r="BC334" s="20"/>
      <c r="BD334" s="20"/>
      <c r="BE334" s="20"/>
      <c r="BF334" s="20"/>
      <c r="BG334" s="20"/>
      <c r="BH334" s="20"/>
      <c r="BI334" s="20"/>
      <c r="BJ334" s="20"/>
      <c r="BK334" s="20"/>
      <c r="BL334" s="20"/>
      <c r="BM334" s="20"/>
      <c r="BN334" s="20"/>
      <c r="BO334" s="20"/>
      <c r="BP334" s="20"/>
      <c r="BQ334" s="20"/>
      <c r="BR334" s="20"/>
      <c r="BS334" s="20"/>
      <c r="BT334" s="20"/>
      <c r="BU334" s="20"/>
      <c r="BV334" s="20"/>
      <c r="BW334" s="20"/>
      <c r="BX334" s="20"/>
      <c r="BY334" s="20"/>
      <c r="BZ334" s="20"/>
      <c r="CA334" s="20"/>
      <c r="CB334" s="20"/>
      <c r="CC334" s="20"/>
      <c r="CD334" s="20"/>
      <c r="CE334" s="20"/>
      <c r="CF334" s="20"/>
      <c r="CG334" s="20"/>
      <c r="CH334" s="20"/>
      <c r="CI334" s="20"/>
      <c r="CJ334" s="20"/>
      <c r="CK334" s="20"/>
      <c r="CL334" s="20"/>
      <c r="CM334" s="20"/>
      <c r="CN334" s="20"/>
      <c r="CO334" s="20"/>
      <c r="CP334" s="20"/>
      <c r="CQ334" s="20"/>
      <c r="CR334" s="20"/>
      <c r="CS334" s="20"/>
      <c r="CT334" s="20"/>
      <c r="CU334" s="20"/>
      <c r="CV334" s="20"/>
      <c r="CW334" s="20"/>
      <c r="CX334" s="20"/>
      <c r="CY334" s="20"/>
      <c r="CZ334" s="20"/>
      <c r="DA334" s="20"/>
      <c r="DB334" s="20"/>
      <c r="DC334" s="20"/>
      <c r="DD334" s="20"/>
      <c r="DE334" s="20"/>
      <c r="DF334" s="20"/>
      <c r="DG334" s="20"/>
      <c r="DH334" s="20"/>
      <c r="DI334" s="20"/>
      <c r="DJ334" s="20"/>
      <c r="DK334" s="20"/>
      <c r="DL334" s="20"/>
      <c r="DM334" s="20"/>
      <c r="DN334" s="20"/>
      <c r="DO334" s="20"/>
      <c r="DP334" s="20"/>
      <c r="DQ334" s="20"/>
      <c r="DR334" s="20"/>
      <c r="DS334" s="20"/>
      <c r="DT334" s="20"/>
      <c r="DU334" s="20"/>
      <c r="DV334" s="20"/>
      <c r="DW334" s="20"/>
      <c r="DX334" s="20"/>
      <c r="DY334" s="20"/>
      <c r="DZ334" s="20"/>
      <c r="EA334" s="20"/>
    </row>
    <row r="335" spans="2:131" ht="18" customHeight="1">
      <c r="B335" s="707"/>
      <c r="C335" s="707"/>
      <c r="D335" s="707"/>
      <c r="E335" s="707"/>
      <c r="F335" s="707"/>
      <c r="G335" s="707"/>
      <c r="H335" s="707"/>
      <c r="I335" s="707"/>
      <c r="J335" s="707"/>
      <c r="K335" s="707"/>
      <c r="L335" s="19"/>
      <c r="M335" s="20"/>
      <c r="N335" s="20"/>
      <c r="O335" s="20"/>
      <c r="P335" s="20"/>
      <c r="Q335" s="20"/>
      <c r="R335" s="20"/>
      <c r="S335" s="20"/>
      <c r="T335" s="20"/>
      <c r="U335" s="20"/>
      <c r="V335" s="20"/>
      <c r="W335" s="20"/>
      <c r="X335" s="20"/>
      <c r="Y335" s="20"/>
      <c r="Z335" s="20"/>
      <c r="AA335" s="20"/>
      <c r="AB335" s="20"/>
      <c r="AC335" s="20"/>
      <c r="AD335" s="20"/>
      <c r="AE335" s="20"/>
      <c r="AF335" s="20"/>
      <c r="AG335" s="20"/>
      <c r="AH335" s="20"/>
      <c r="AI335" s="20"/>
      <c r="AJ335" s="20"/>
      <c r="AK335" s="20"/>
      <c r="AL335" s="20"/>
      <c r="AM335" s="20"/>
      <c r="AN335" s="20"/>
      <c r="AO335" s="20"/>
      <c r="AP335" s="20"/>
      <c r="AQ335" s="20"/>
      <c r="AR335" s="20"/>
      <c r="AS335" s="20"/>
      <c r="AT335" s="20"/>
      <c r="AU335" s="20"/>
      <c r="AV335" s="20"/>
      <c r="AW335" s="20"/>
      <c r="AX335" s="20"/>
      <c r="AY335" s="20"/>
      <c r="AZ335" s="20"/>
      <c r="BA335" s="20"/>
      <c r="BB335" s="20"/>
      <c r="BC335" s="20"/>
      <c r="BD335" s="20"/>
      <c r="BE335" s="20"/>
      <c r="BF335" s="20"/>
      <c r="BG335" s="20"/>
      <c r="BH335" s="20"/>
      <c r="BI335" s="20"/>
      <c r="BJ335" s="20"/>
      <c r="BK335" s="20"/>
      <c r="BL335" s="20"/>
      <c r="BM335" s="20"/>
      <c r="BN335" s="20"/>
      <c r="BO335" s="20"/>
      <c r="BP335" s="20"/>
      <c r="BQ335" s="20"/>
      <c r="BR335" s="20"/>
      <c r="BS335" s="20"/>
      <c r="BT335" s="20"/>
      <c r="BU335" s="20"/>
      <c r="BV335" s="20"/>
      <c r="BW335" s="20"/>
      <c r="BX335" s="20"/>
      <c r="BY335" s="20"/>
      <c r="BZ335" s="20"/>
      <c r="CA335" s="20"/>
      <c r="CB335" s="20"/>
      <c r="CC335" s="20"/>
      <c r="CD335" s="20"/>
      <c r="CE335" s="20"/>
      <c r="CF335" s="20"/>
      <c r="CG335" s="20"/>
      <c r="CH335" s="20"/>
      <c r="CI335" s="20"/>
      <c r="CJ335" s="20"/>
      <c r="CK335" s="20"/>
      <c r="CL335" s="20"/>
      <c r="CM335" s="20"/>
      <c r="CN335" s="20"/>
      <c r="CO335" s="20"/>
      <c r="CP335" s="20"/>
      <c r="CQ335" s="20"/>
      <c r="CR335" s="20"/>
      <c r="CS335" s="20"/>
      <c r="CT335" s="20"/>
      <c r="CU335" s="20"/>
      <c r="CV335" s="20"/>
      <c r="CW335" s="20"/>
      <c r="CX335" s="20"/>
      <c r="CY335" s="20"/>
      <c r="CZ335" s="20"/>
      <c r="DA335" s="20"/>
      <c r="DB335" s="20"/>
      <c r="DC335" s="20"/>
      <c r="DD335" s="20"/>
      <c r="DE335" s="20"/>
      <c r="DF335" s="20"/>
      <c r="DG335" s="20"/>
      <c r="DH335" s="20"/>
      <c r="DI335" s="20"/>
      <c r="DJ335" s="20"/>
      <c r="DK335" s="20"/>
      <c r="DL335" s="20"/>
      <c r="DM335" s="20"/>
      <c r="DN335" s="20"/>
      <c r="DO335" s="20"/>
      <c r="DP335" s="20"/>
      <c r="DQ335" s="20"/>
      <c r="DR335" s="20"/>
      <c r="DS335" s="20"/>
      <c r="DT335" s="20"/>
      <c r="DU335" s="20"/>
      <c r="DV335" s="20"/>
      <c r="DW335" s="20"/>
      <c r="DX335" s="20"/>
      <c r="DY335" s="20"/>
      <c r="DZ335" s="20"/>
      <c r="EA335" s="20"/>
    </row>
    <row r="336" spans="2:131" ht="18" customHeight="1">
      <c r="B336" s="707"/>
      <c r="C336" s="707"/>
      <c r="D336" s="707"/>
      <c r="E336" s="707"/>
      <c r="F336" s="707"/>
      <c r="G336" s="707"/>
      <c r="H336" s="707"/>
      <c r="I336" s="707"/>
      <c r="J336" s="707"/>
      <c r="K336" s="707"/>
      <c r="L336" s="19"/>
      <c r="M336" s="20"/>
      <c r="N336" s="20"/>
      <c r="O336" s="20"/>
      <c r="P336" s="20"/>
      <c r="Q336" s="20"/>
      <c r="R336" s="20"/>
      <c r="S336" s="20"/>
      <c r="T336" s="20"/>
      <c r="U336" s="20"/>
      <c r="V336" s="20"/>
      <c r="W336" s="20"/>
      <c r="X336" s="20"/>
      <c r="Y336" s="20"/>
      <c r="Z336" s="20"/>
      <c r="AA336" s="20"/>
      <c r="AB336" s="20"/>
      <c r="AC336" s="20"/>
      <c r="AD336" s="20"/>
      <c r="AE336" s="20"/>
      <c r="AF336" s="20"/>
      <c r="AG336" s="20"/>
      <c r="AH336" s="20"/>
      <c r="AI336" s="20"/>
      <c r="AJ336" s="20"/>
      <c r="AK336" s="20"/>
      <c r="AL336" s="20"/>
      <c r="AM336" s="20"/>
      <c r="AN336" s="20"/>
      <c r="AO336" s="20"/>
      <c r="AP336" s="20"/>
      <c r="AQ336" s="20"/>
      <c r="AR336" s="20"/>
      <c r="AS336" s="20"/>
      <c r="AT336" s="20"/>
      <c r="AU336" s="20"/>
      <c r="AV336" s="20"/>
      <c r="AW336" s="20"/>
      <c r="AX336" s="20"/>
      <c r="AY336" s="20"/>
      <c r="AZ336" s="20"/>
      <c r="BA336" s="20"/>
      <c r="BB336" s="20"/>
      <c r="BC336" s="20"/>
      <c r="BD336" s="20"/>
      <c r="BE336" s="20"/>
      <c r="BF336" s="20"/>
      <c r="BG336" s="20"/>
      <c r="BH336" s="20"/>
      <c r="BI336" s="20"/>
      <c r="BJ336" s="20"/>
      <c r="BK336" s="20"/>
      <c r="BL336" s="20"/>
      <c r="BM336" s="20"/>
      <c r="BN336" s="20"/>
      <c r="BO336" s="20"/>
      <c r="BP336" s="20"/>
      <c r="BQ336" s="20"/>
      <c r="BR336" s="20"/>
      <c r="BS336" s="20"/>
      <c r="BT336" s="20"/>
      <c r="BU336" s="20"/>
      <c r="BV336" s="20"/>
      <c r="BW336" s="20"/>
      <c r="BX336" s="20"/>
      <c r="BY336" s="20"/>
      <c r="BZ336" s="20"/>
      <c r="CA336" s="20"/>
      <c r="CB336" s="20"/>
      <c r="CC336" s="20"/>
      <c r="CD336" s="20"/>
      <c r="CE336" s="20"/>
      <c r="CF336" s="20"/>
      <c r="CG336" s="20"/>
      <c r="CH336" s="20"/>
      <c r="CI336" s="20"/>
      <c r="CJ336" s="20"/>
      <c r="CK336" s="20"/>
      <c r="CL336" s="20"/>
      <c r="CM336" s="20"/>
      <c r="CN336" s="20"/>
      <c r="CO336" s="20"/>
      <c r="CP336" s="20"/>
      <c r="CQ336" s="20"/>
      <c r="CR336" s="20"/>
      <c r="CS336" s="20"/>
      <c r="CT336" s="20"/>
      <c r="CU336" s="20"/>
      <c r="CV336" s="20"/>
      <c r="CW336" s="20"/>
      <c r="CX336" s="20"/>
      <c r="CY336" s="20"/>
      <c r="CZ336" s="20"/>
      <c r="DA336" s="20"/>
      <c r="DB336" s="20"/>
      <c r="DC336" s="20"/>
      <c r="DD336" s="20"/>
      <c r="DE336" s="20"/>
      <c r="DF336" s="20"/>
      <c r="DG336" s="20"/>
      <c r="DH336" s="20"/>
      <c r="DI336" s="20"/>
      <c r="DJ336" s="20"/>
      <c r="DK336" s="20"/>
      <c r="DL336" s="20"/>
      <c r="DM336" s="20"/>
      <c r="DN336" s="20"/>
      <c r="DO336" s="20"/>
      <c r="DP336" s="20"/>
      <c r="DQ336" s="20"/>
      <c r="DR336" s="20"/>
      <c r="DS336" s="20"/>
      <c r="DT336" s="20"/>
      <c r="DU336" s="20"/>
      <c r="DV336" s="20"/>
      <c r="DW336" s="20"/>
      <c r="DX336" s="20"/>
      <c r="DY336" s="20"/>
      <c r="DZ336" s="20"/>
      <c r="EA336" s="20"/>
    </row>
    <row r="337" spans="2:131" ht="18" customHeight="1">
      <c r="B337" s="707"/>
      <c r="C337" s="707"/>
      <c r="D337" s="707"/>
      <c r="E337" s="707"/>
      <c r="F337" s="707"/>
      <c r="G337" s="707"/>
      <c r="H337" s="707"/>
      <c r="I337" s="707"/>
      <c r="J337" s="707"/>
      <c r="K337" s="707"/>
      <c r="L337" s="19"/>
      <c r="M337" s="20"/>
      <c r="N337" s="20"/>
      <c r="O337" s="20"/>
      <c r="P337" s="20"/>
      <c r="Q337" s="20"/>
      <c r="R337" s="20"/>
      <c r="S337" s="20"/>
      <c r="T337" s="20"/>
      <c r="U337" s="20"/>
      <c r="V337" s="20"/>
      <c r="W337" s="20"/>
      <c r="X337" s="20"/>
      <c r="Y337" s="20"/>
      <c r="Z337" s="20"/>
      <c r="AA337" s="20"/>
      <c r="AB337" s="20"/>
      <c r="AC337" s="20"/>
      <c r="AD337" s="20"/>
      <c r="AE337" s="20"/>
      <c r="AF337" s="20"/>
      <c r="AG337" s="20"/>
      <c r="AH337" s="20"/>
      <c r="AI337" s="20"/>
      <c r="AJ337" s="20"/>
      <c r="AK337" s="20"/>
      <c r="AL337" s="20"/>
      <c r="AM337" s="20"/>
      <c r="AN337" s="20"/>
      <c r="AO337" s="20"/>
      <c r="AP337" s="20"/>
      <c r="AQ337" s="20"/>
      <c r="AR337" s="20"/>
      <c r="AS337" s="20"/>
      <c r="AT337" s="20"/>
      <c r="AU337" s="20"/>
      <c r="AV337" s="20"/>
      <c r="AW337" s="20"/>
      <c r="AX337" s="20"/>
      <c r="AY337" s="20"/>
      <c r="AZ337" s="20"/>
      <c r="BA337" s="20"/>
      <c r="BB337" s="20"/>
      <c r="BC337" s="20"/>
      <c r="BD337" s="20"/>
      <c r="BE337" s="20"/>
      <c r="BF337" s="20"/>
      <c r="BG337" s="20"/>
      <c r="BH337" s="20"/>
      <c r="BI337" s="20"/>
      <c r="BJ337" s="20"/>
      <c r="BK337" s="20"/>
      <c r="BL337" s="20"/>
      <c r="BM337" s="20"/>
      <c r="BN337" s="20"/>
      <c r="BO337" s="20"/>
      <c r="BP337" s="20"/>
      <c r="BQ337" s="20"/>
      <c r="BR337" s="20"/>
      <c r="BS337" s="20"/>
      <c r="BT337" s="20"/>
      <c r="BU337" s="20"/>
      <c r="BV337" s="20"/>
      <c r="BW337" s="20"/>
      <c r="BX337" s="20"/>
      <c r="BY337" s="20"/>
      <c r="BZ337" s="20"/>
      <c r="CA337" s="20"/>
      <c r="CB337" s="20"/>
      <c r="CC337" s="20"/>
      <c r="CD337" s="20"/>
      <c r="CE337" s="20"/>
      <c r="CF337" s="20"/>
      <c r="CG337" s="20"/>
      <c r="CH337" s="20"/>
      <c r="CI337" s="20"/>
      <c r="CJ337" s="20"/>
      <c r="CK337" s="20"/>
      <c r="CL337" s="20"/>
      <c r="CM337" s="20"/>
      <c r="CN337" s="20"/>
      <c r="CO337" s="20"/>
      <c r="CP337" s="20"/>
      <c r="CQ337" s="20"/>
      <c r="CR337" s="20"/>
      <c r="CS337" s="20"/>
      <c r="CT337" s="20"/>
      <c r="CU337" s="20"/>
      <c r="CV337" s="20"/>
      <c r="CW337" s="20"/>
      <c r="CX337" s="20"/>
      <c r="CY337" s="20"/>
      <c r="CZ337" s="20"/>
      <c r="DA337" s="20"/>
      <c r="DB337" s="20"/>
      <c r="DC337" s="20"/>
      <c r="DD337" s="20"/>
      <c r="DE337" s="20"/>
      <c r="DF337" s="20"/>
      <c r="DG337" s="20"/>
      <c r="DH337" s="20"/>
      <c r="DI337" s="20"/>
      <c r="DJ337" s="20"/>
      <c r="DK337" s="20"/>
      <c r="DL337" s="20"/>
      <c r="DM337" s="20"/>
      <c r="DN337" s="20"/>
      <c r="DO337" s="20"/>
      <c r="DP337" s="20"/>
      <c r="DQ337" s="20"/>
      <c r="DR337" s="20"/>
      <c r="DS337" s="20"/>
      <c r="DT337" s="20"/>
      <c r="DU337" s="20"/>
      <c r="DV337" s="20"/>
      <c r="DW337" s="20"/>
      <c r="DX337" s="20"/>
      <c r="DY337" s="20"/>
      <c r="DZ337" s="20"/>
      <c r="EA337" s="20"/>
    </row>
    <row r="338" spans="2:131" ht="18" customHeight="1">
      <c r="B338" s="707"/>
      <c r="C338" s="707"/>
      <c r="D338" s="707"/>
      <c r="E338" s="707"/>
      <c r="F338" s="707"/>
      <c r="G338" s="707"/>
      <c r="H338" s="707"/>
      <c r="I338" s="707"/>
      <c r="J338" s="707"/>
      <c r="K338" s="707"/>
      <c r="L338" s="19"/>
      <c r="M338" s="20"/>
      <c r="N338" s="20"/>
      <c r="O338" s="20"/>
      <c r="P338" s="20"/>
      <c r="Q338" s="20"/>
      <c r="R338" s="20"/>
      <c r="S338" s="20"/>
      <c r="T338" s="20"/>
      <c r="U338" s="20"/>
      <c r="V338" s="20"/>
      <c r="W338" s="20"/>
      <c r="X338" s="20"/>
      <c r="Y338" s="20"/>
      <c r="Z338" s="20"/>
      <c r="AA338" s="20"/>
      <c r="AB338" s="20"/>
      <c r="AC338" s="20"/>
      <c r="AD338" s="20"/>
      <c r="AE338" s="20"/>
      <c r="AF338" s="20"/>
      <c r="AG338" s="20"/>
      <c r="AH338" s="20"/>
      <c r="AI338" s="20"/>
      <c r="AJ338" s="20"/>
      <c r="AK338" s="20"/>
      <c r="AL338" s="20"/>
      <c r="AM338" s="20"/>
      <c r="AN338" s="20"/>
      <c r="AO338" s="20"/>
      <c r="AP338" s="20"/>
      <c r="AQ338" s="20"/>
      <c r="AR338" s="20"/>
      <c r="AS338" s="20"/>
      <c r="AT338" s="20"/>
      <c r="AU338" s="20"/>
      <c r="AV338" s="20"/>
      <c r="AW338" s="20"/>
      <c r="AX338" s="20"/>
      <c r="AY338" s="20"/>
      <c r="AZ338" s="20"/>
      <c r="BA338" s="20"/>
      <c r="BB338" s="20"/>
      <c r="BC338" s="20"/>
      <c r="BD338" s="20"/>
      <c r="BE338" s="20"/>
      <c r="BF338" s="20"/>
      <c r="BG338" s="20"/>
      <c r="BH338" s="20"/>
      <c r="BI338" s="20"/>
      <c r="BJ338" s="20"/>
      <c r="BK338" s="20"/>
      <c r="BL338" s="20"/>
      <c r="BM338" s="20"/>
      <c r="BN338" s="20"/>
      <c r="BO338" s="20"/>
      <c r="BP338" s="20"/>
      <c r="BQ338" s="20"/>
      <c r="BR338" s="20"/>
      <c r="BS338" s="20"/>
      <c r="BT338" s="20"/>
      <c r="BU338" s="20"/>
      <c r="BV338" s="20"/>
      <c r="BW338" s="20"/>
      <c r="BX338" s="20"/>
      <c r="BY338" s="20"/>
      <c r="BZ338" s="20"/>
      <c r="CA338" s="20"/>
      <c r="CB338" s="20"/>
      <c r="CC338" s="20"/>
      <c r="CD338" s="20"/>
      <c r="CE338" s="20"/>
      <c r="CF338" s="20"/>
      <c r="CG338" s="20"/>
      <c r="CH338" s="20"/>
      <c r="CI338" s="20"/>
      <c r="CJ338" s="20"/>
      <c r="CK338" s="20"/>
      <c r="CL338" s="20"/>
      <c r="CM338" s="20"/>
      <c r="CN338" s="20"/>
      <c r="CO338" s="20"/>
      <c r="CP338" s="20"/>
      <c r="CQ338" s="20"/>
      <c r="CR338" s="20"/>
      <c r="CS338" s="20"/>
      <c r="CT338" s="20"/>
      <c r="CU338" s="20"/>
      <c r="CV338" s="20"/>
      <c r="CW338" s="20"/>
      <c r="CX338" s="20"/>
      <c r="CY338" s="20"/>
      <c r="CZ338" s="20"/>
      <c r="DA338" s="20"/>
      <c r="DB338" s="20"/>
      <c r="DC338" s="20"/>
      <c r="DD338" s="20"/>
      <c r="DE338" s="20"/>
      <c r="DF338" s="20"/>
      <c r="DG338" s="20"/>
      <c r="DH338" s="20"/>
      <c r="DI338" s="20"/>
      <c r="DJ338" s="20"/>
      <c r="DK338" s="20"/>
      <c r="DL338" s="20"/>
      <c r="DM338" s="20"/>
      <c r="DN338" s="20"/>
      <c r="DO338" s="20"/>
      <c r="DP338" s="20"/>
      <c r="DQ338" s="20"/>
      <c r="DR338" s="20"/>
      <c r="DS338" s="20"/>
      <c r="DT338" s="20"/>
      <c r="DU338" s="20"/>
      <c r="DV338" s="20"/>
      <c r="DW338" s="20"/>
      <c r="DX338" s="20"/>
      <c r="DY338" s="20"/>
      <c r="DZ338" s="20"/>
      <c r="EA338" s="20"/>
    </row>
    <row r="339" spans="2:131" ht="18" customHeight="1">
      <c r="B339" s="707"/>
      <c r="C339" s="707"/>
      <c r="D339" s="707"/>
      <c r="E339" s="707"/>
      <c r="F339" s="707"/>
      <c r="G339" s="707"/>
      <c r="H339" s="707"/>
      <c r="I339" s="707"/>
      <c r="J339" s="707"/>
      <c r="K339" s="707"/>
      <c r="L339" s="19"/>
      <c r="M339" s="20"/>
      <c r="N339" s="20"/>
      <c r="O339" s="20"/>
      <c r="P339" s="20"/>
      <c r="Q339" s="20"/>
      <c r="R339" s="20"/>
      <c r="S339" s="20"/>
      <c r="T339" s="20"/>
      <c r="U339" s="20"/>
      <c r="V339" s="20"/>
      <c r="W339" s="20"/>
      <c r="X339" s="20"/>
      <c r="Y339" s="20"/>
      <c r="Z339" s="20"/>
      <c r="AA339" s="20"/>
      <c r="AB339" s="20"/>
      <c r="AC339" s="20"/>
      <c r="AD339" s="20"/>
      <c r="AE339" s="20"/>
      <c r="AF339" s="20"/>
      <c r="AG339" s="20"/>
      <c r="AH339" s="20"/>
      <c r="AI339" s="20"/>
      <c r="AJ339" s="20"/>
      <c r="AK339" s="20"/>
      <c r="AL339" s="20"/>
      <c r="AM339" s="20"/>
      <c r="AN339" s="20"/>
      <c r="AO339" s="20"/>
      <c r="AP339" s="20"/>
      <c r="AQ339" s="20"/>
      <c r="AR339" s="20"/>
      <c r="AS339" s="20"/>
      <c r="AT339" s="20"/>
      <c r="AU339" s="20"/>
      <c r="AV339" s="20"/>
      <c r="AW339" s="20"/>
      <c r="AX339" s="20"/>
      <c r="AY339" s="20"/>
      <c r="AZ339" s="20"/>
      <c r="BA339" s="20"/>
      <c r="BB339" s="20"/>
      <c r="BC339" s="20"/>
      <c r="BD339" s="20"/>
      <c r="BE339" s="20"/>
      <c r="BF339" s="20"/>
      <c r="BG339" s="20"/>
      <c r="BH339" s="20"/>
      <c r="BI339" s="20"/>
      <c r="BJ339" s="20"/>
      <c r="BK339" s="20"/>
      <c r="BL339" s="20"/>
      <c r="BM339" s="20"/>
      <c r="BN339" s="20"/>
      <c r="BO339" s="20"/>
      <c r="BP339" s="20"/>
      <c r="BQ339" s="20"/>
      <c r="BR339" s="20"/>
      <c r="BS339" s="20"/>
      <c r="BT339" s="20"/>
      <c r="BU339" s="20"/>
      <c r="BV339" s="20"/>
      <c r="BW339" s="20"/>
      <c r="BX339" s="20"/>
      <c r="BY339" s="20"/>
      <c r="BZ339" s="20"/>
      <c r="CA339" s="20"/>
      <c r="CB339" s="20"/>
      <c r="CC339" s="20"/>
      <c r="CD339" s="20"/>
      <c r="CE339" s="20"/>
      <c r="CF339" s="20"/>
      <c r="CG339" s="20"/>
      <c r="CH339" s="20"/>
      <c r="CI339" s="20"/>
      <c r="CJ339" s="20"/>
      <c r="CK339" s="20"/>
      <c r="CL339" s="20"/>
      <c r="CM339" s="20"/>
      <c r="CN339" s="20"/>
      <c r="CO339" s="20"/>
      <c r="CP339" s="20"/>
      <c r="CQ339" s="20"/>
      <c r="CR339" s="20"/>
      <c r="CS339" s="20"/>
      <c r="CT339" s="20"/>
      <c r="CU339" s="20"/>
      <c r="CV339" s="20"/>
      <c r="CW339" s="20"/>
      <c r="CX339" s="20"/>
      <c r="CY339" s="20"/>
      <c r="CZ339" s="20"/>
      <c r="DA339" s="20"/>
      <c r="DB339" s="20"/>
      <c r="DC339" s="20"/>
      <c r="DD339" s="20"/>
      <c r="DE339" s="20"/>
      <c r="DF339" s="20"/>
      <c r="DG339" s="20"/>
      <c r="DH339" s="20"/>
      <c r="DI339" s="20"/>
      <c r="DJ339" s="20"/>
      <c r="DK339" s="20"/>
      <c r="DL339" s="20"/>
      <c r="DM339" s="20"/>
      <c r="DN339" s="20"/>
      <c r="DO339" s="20"/>
      <c r="DP339" s="20"/>
      <c r="DQ339" s="20"/>
      <c r="DR339" s="20"/>
      <c r="DS339" s="20"/>
      <c r="DT339" s="20"/>
      <c r="DU339" s="20"/>
      <c r="DV339" s="20"/>
      <c r="DW339" s="20"/>
      <c r="DX339" s="20"/>
      <c r="DY339" s="20"/>
      <c r="DZ339" s="20"/>
      <c r="EA339" s="20"/>
    </row>
    <row r="340" spans="2:131" ht="18" customHeight="1">
      <c r="B340" s="708"/>
      <c r="C340" s="708"/>
      <c r="D340" s="707"/>
      <c r="E340" s="707"/>
      <c r="F340" s="707"/>
      <c r="G340" s="707"/>
      <c r="H340" s="707"/>
      <c r="I340" s="707"/>
      <c r="J340" s="707"/>
      <c r="K340" s="707"/>
      <c r="L340" s="19"/>
      <c r="M340" s="20"/>
      <c r="N340" s="20"/>
      <c r="O340" s="20"/>
      <c r="P340" s="20"/>
      <c r="Q340" s="20"/>
      <c r="R340" s="20"/>
      <c r="S340" s="20"/>
      <c r="T340" s="20"/>
      <c r="U340" s="20"/>
      <c r="V340" s="20"/>
      <c r="W340" s="20"/>
      <c r="X340" s="20"/>
      <c r="Y340" s="20"/>
      <c r="Z340" s="20"/>
      <c r="AA340" s="20"/>
      <c r="AB340" s="20"/>
      <c r="AC340" s="20"/>
      <c r="AD340" s="20"/>
      <c r="AE340" s="20"/>
      <c r="AF340" s="20"/>
      <c r="AG340" s="20"/>
      <c r="AH340" s="20"/>
      <c r="AI340" s="20"/>
      <c r="AJ340" s="20"/>
      <c r="AK340" s="20"/>
      <c r="AL340" s="20"/>
      <c r="AM340" s="20"/>
      <c r="AN340" s="20"/>
      <c r="AO340" s="20"/>
      <c r="AP340" s="20"/>
      <c r="AQ340" s="20"/>
      <c r="AR340" s="20"/>
      <c r="AS340" s="20"/>
      <c r="AT340" s="20"/>
      <c r="AU340" s="20"/>
      <c r="AV340" s="20"/>
      <c r="AW340" s="20"/>
      <c r="AX340" s="20"/>
      <c r="AY340" s="20"/>
      <c r="AZ340" s="20"/>
      <c r="BA340" s="20"/>
      <c r="BB340" s="20"/>
      <c r="BC340" s="20"/>
      <c r="BD340" s="20"/>
      <c r="BE340" s="20"/>
      <c r="BF340" s="20"/>
      <c r="BG340" s="20"/>
      <c r="BH340" s="20"/>
      <c r="BI340" s="20"/>
      <c r="BJ340" s="20"/>
      <c r="BK340" s="20"/>
      <c r="BL340" s="20"/>
      <c r="BM340" s="20"/>
      <c r="BN340" s="20"/>
      <c r="BO340" s="20"/>
      <c r="BP340" s="20"/>
      <c r="BQ340" s="20"/>
      <c r="BR340" s="20"/>
      <c r="BS340" s="20"/>
      <c r="BT340" s="20"/>
      <c r="BU340" s="20"/>
      <c r="BV340" s="20"/>
      <c r="BW340" s="20"/>
      <c r="BX340" s="20"/>
      <c r="BY340" s="20"/>
      <c r="BZ340" s="20"/>
      <c r="CA340" s="20"/>
      <c r="CB340" s="20"/>
      <c r="CC340" s="20"/>
      <c r="CD340" s="20"/>
      <c r="CE340" s="20"/>
      <c r="CF340" s="20"/>
      <c r="CG340" s="20"/>
      <c r="CH340" s="20"/>
      <c r="CI340" s="20"/>
      <c r="CJ340" s="20"/>
      <c r="CK340" s="20"/>
      <c r="CL340" s="20"/>
      <c r="CM340" s="20"/>
      <c r="CN340" s="20"/>
      <c r="CO340" s="20"/>
      <c r="CP340" s="20"/>
      <c r="CQ340" s="20"/>
      <c r="CR340" s="20"/>
      <c r="CS340" s="20"/>
      <c r="CT340" s="20"/>
      <c r="CU340" s="20"/>
      <c r="CV340" s="20"/>
      <c r="CW340" s="20"/>
      <c r="CX340" s="20"/>
      <c r="CY340" s="20"/>
      <c r="CZ340" s="20"/>
      <c r="DA340" s="20"/>
      <c r="DB340" s="20"/>
      <c r="DC340" s="20"/>
      <c r="DD340" s="20"/>
      <c r="DE340" s="20"/>
      <c r="DF340" s="20"/>
      <c r="DG340" s="20"/>
      <c r="DH340" s="20"/>
      <c r="DI340" s="20"/>
      <c r="DJ340" s="20"/>
      <c r="DK340" s="20"/>
      <c r="DL340" s="20"/>
      <c r="DM340" s="20"/>
      <c r="DN340" s="20"/>
      <c r="DO340" s="20"/>
      <c r="DP340" s="20"/>
      <c r="DQ340" s="20"/>
      <c r="DR340" s="20"/>
      <c r="DS340" s="20"/>
      <c r="DT340" s="20"/>
      <c r="DU340" s="20"/>
      <c r="DV340" s="20"/>
      <c r="DW340" s="20"/>
      <c r="DX340" s="20"/>
      <c r="DY340" s="20"/>
      <c r="DZ340" s="20"/>
      <c r="EA340" s="20"/>
    </row>
    <row r="341" spans="2:131" ht="18" customHeight="1">
      <c r="B341" s="707"/>
      <c r="C341" s="707"/>
      <c r="D341" s="707"/>
      <c r="E341" s="707"/>
      <c r="F341" s="707"/>
      <c r="G341" s="707"/>
      <c r="H341" s="707"/>
      <c r="I341" s="707"/>
      <c r="J341" s="707"/>
      <c r="K341" s="707"/>
      <c r="L341" s="19"/>
      <c r="M341" s="20"/>
      <c r="N341" s="20"/>
      <c r="O341" s="20"/>
      <c r="P341" s="20"/>
      <c r="Q341" s="20"/>
      <c r="R341" s="20"/>
      <c r="S341" s="20"/>
      <c r="T341" s="20"/>
      <c r="U341" s="20"/>
      <c r="V341" s="20"/>
      <c r="W341" s="20"/>
      <c r="X341" s="20"/>
      <c r="Y341" s="20"/>
      <c r="Z341" s="20"/>
      <c r="AA341" s="20"/>
      <c r="AB341" s="20"/>
      <c r="AC341" s="20"/>
      <c r="AD341" s="20"/>
      <c r="AE341" s="20"/>
      <c r="AF341" s="20"/>
      <c r="AG341" s="20"/>
      <c r="AH341" s="20"/>
      <c r="AI341" s="20"/>
      <c r="AJ341" s="20"/>
      <c r="AK341" s="20"/>
      <c r="AL341" s="20"/>
      <c r="AM341" s="20"/>
      <c r="AN341" s="20"/>
      <c r="AO341" s="20"/>
      <c r="AP341" s="20"/>
      <c r="AQ341" s="20"/>
      <c r="AR341" s="20"/>
      <c r="AS341" s="20"/>
      <c r="AT341" s="20"/>
      <c r="AU341" s="20"/>
      <c r="AV341" s="20"/>
      <c r="AW341" s="20"/>
      <c r="AX341" s="20"/>
      <c r="AY341" s="20"/>
      <c r="AZ341" s="20"/>
      <c r="BA341" s="20"/>
      <c r="BB341" s="20"/>
      <c r="BC341" s="20"/>
      <c r="BD341" s="20"/>
      <c r="BE341" s="20"/>
      <c r="BF341" s="20"/>
      <c r="BG341" s="20"/>
      <c r="BH341" s="20"/>
      <c r="BI341" s="20"/>
      <c r="BJ341" s="20"/>
      <c r="BK341" s="20"/>
      <c r="BL341" s="20"/>
      <c r="BM341" s="20"/>
      <c r="BN341" s="20"/>
      <c r="BO341" s="20"/>
      <c r="BP341" s="20"/>
      <c r="BQ341" s="20"/>
      <c r="BR341" s="20"/>
      <c r="BS341" s="20"/>
      <c r="BT341" s="20"/>
      <c r="BU341" s="20"/>
      <c r="BV341" s="20"/>
      <c r="BW341" s="20"/>
      <c r="BX341" s="20"/>
      <c r="BY341" s="20"/>
      <c r="BZ341" s="20"/>
      <c r="CA341" s="20"/>
      <c r="CB341" s="20"/>
      <c r="CC341" s="20"/>
      <c r="CD341" s="20"/>
      <c r="CE341" s="20"/>
      <c r="CF341" s="20"/>
      <c r="CG341" s="20"/>
      <c r="CH341" s="20"/>
      <c r="CI341" s="20"/>
      <c r="CJ341" s="20"/>
      <c r="CK341" s="20"/>
      <c r="CL341" s="20"/>
      <c r="CM341" s="20"/>
      <c r="CN341" s="20"/>
      <c r="CO341" s="20"/>
      <c r="CP341" s="20"/>
      <c r="CQ341" s="20"/>
      <c r="CR341" s="20"/>
      <c r="CS341" s="20"/>
      <c r="CT341" s="20"/>
      <c r="CU341" s="20"/>
      <c r="CV341" s="20"/>
      <c r="CW341" s="20"/>
      <c r="CX341" s="20"/>
      <c r="CY341" s="20"/>
      <c r="CZ341" s="20"/>
      <c r="DA341" s="20"/>
      <c r="DB341" s="20"/>
      <c r="DC341" s="20"/>
      <c r="DD341" s="20"/>
      <c r="DE341" s="20"/>
      <c r="DF341" s="20"/>
      <c r="DG341" s="20"/>
      <c r="DH341" s="20"/>
      <c r="DI341" s="20"/>
      <c r="DJ341" s="20"/>
      <c r="DK341" s="20"/>
      <c r="DL341" s="20"/>
      <c r="DM341" s="20"/>
      <c r="DN341" s="20"/>
      <c r="DO341" s="20"/>
      <c r="DP341" s="20"/>
      <c r="DQ341" s="20"/>
      <c r="DR341" s="20"/>
      <c r="DS341" s="20"/>
      <c r="DT341" s="20"/>
      <c r="DU341" s="20"/>
      <c r="DV341" s="20"/>
      <c r="DW341" s="20"/>
      <c r="DX341" s="20"/>
      <c r="DY341" s="20"/>
      <c r="DZ341" s="20"/>
      <c r="EA341" s="20"/>
    </row>
    <row r="342" spans="2:131" ht="18" customHeight="1">
      <c r="B342" s="707"/>
      <c r="C342" s="707"/>
      <c r="D342" s="707"/>
      <c r="E342" s="707"/>
      <c r="F342" s="707"/>
      <c r="G342" s="707"/>
      <c r="H342" s="707"/>
      <c r="I342" s="707"/>
      <c r="J342" s="707"/>
      <c r="K342" s="707"/>
      <c r="L342" s="19"/>
      <c r="M342" s="20"/>
      <c r="N342" s="20"/>
      <c r="O342" s="20"/>
      <c r="P342" s="20"/>
      <c r="Q342" s="20"/>
      <c r="R342" s="20"/>
      <c r="S342" s="20"/>
      <c r="T342" s="20"/>
      <c r="U342" s="20"/>
      <c r="V342" s="20"/>
      <c r="W342" s="20"/>
      <c r="X342" s="20"/>
      <c r="Y342" s="20"/>
      <c r="Z342" s="20"/>
      <c r="AA342" s="20"/>
      <c r="AB342" s="20"/>
      <c r="AC342" s="20"/>
      <c r="AD342" s="20"/>
      <c r="AE342" s="20"/>
      <c r="AF342" s="20"/>
      <c r="AG342" s="20"/>
      <c r="AH342" s="20"/>
      <c r="AI342" s="20"/>
      <c r="AJ342" s="20"/>
      <c r="AK342" s="20"/>
      <c r="AL342" s="20"/>
      <c r="AM342" s="20"/>
      <c r="AN342" s="20"/>
      <c r="AO342" s="20"/>
      <c r="AP342" s="20"/>
      <c r="AQ342" s="20"/>
      <c r="AR342" s="20"/>
      <c r="AS342" s="20"/>
      <c r="AT342" s="20"/>
      <c r="AU342" s="20"/>
      <c r="AV342" s="20"/>
      <c r="AW342" s="20"/>
      <c r="AX342" s="20"/>
      <c r="AY342" s="20"/>
      <c r="AZ342" s="20"/>
      <c r="BA342" s="20"/>
      <c r="BB342" s="20"/>
      <c r="BC342" s="20"/>
      <c r="BD342" s="20"/>
      <c r="BE342" s="20"/>
      <c r="BF342" s="20"/>
      <c r="BG342" s="20"/>
      <c r="BH342" s="20"/>
      <c r="BI342" s="20"/>
      <c r="BJ342" s="20"/>
      <c r="BK342" s="20"/>
      <c r="BL342" s="20"/>
      <c r="BM342" s="20"/>
      <c r="BN342" s="20"/>
      <c r="BO342" s="20"/>
      <c r="BP342" s="20"/>
      <c r="BQ342" s="20"/>
      <c r="BR342" s="20"/>
      <c r="BS342" s="20"/>
      <c r="BT342" s="20"/>
      <c r="BU342" s="20"/>
      <c r="BV342" s="20"/>
      <c r="BW342" s="20"/>
      <c r="BX342" s="20"/>
      <c r="BY342" s="20"/>
      <c r="BZ342" s="20"/>
      <c r="CA342" s="20"/>
      <c r="CB342" s="20"/>
      <c r="CC342" s="20"/>
      <c r="CD342" s="20"/>
      <c r="CE342" s="20"/>
      <c r="CF342" s="20"/>
      <c r="CG342" s="20"/>
      <c r="CH342" s="20"/>
      <c r="CI342" s="20"/>
      <c r="CJ342" s="20"/>
      <c r="CK342" s="20"/>
      <c r="CL342" s="20"/>
      <c r="CM342" s="20"/>
      <c r="CN342" s="20"/>
      <c r="CO342" s="20"/>
      <c r="CP342" s="20"/>
      <c r="CQ342" s="20"/>
      <c r="CR342" s="20"/>
      <c r="CS342" s="20"/>
      <c r="CT342" s="20"/>
      <c r="CU342" s="20"/>
      <c r="CV342" s="20"/>
      <c r="CW342" s="20"/>
      <c r="CX342" s="20"/>
      <c r="CY342" s="20"/>
      <c r="CZ342" s="20"/>
      <c r="DA342" s="20"/>
      <c r="DB342" s="20"/>
      <c r="DC342" s="20"/>
      <c r="DD342" s="20"/>
      <c r="DE342" s="20"/>
      <c r="DF342" s="20"/>
      <c r="DG342" s="20"/>
      <c r="DH342" s="20"/>
      <c r="DI342" s="20"/>
      <c r="DJ342" s="20"/>
      <c r="DK342" s="20"/>
      <c r="DL342" s="20"/>
      <c r="DM342" s="20"/>
      <c r="DN342" s="20"/>
      <c r="DO342" s="20"/>
      <c r="DP342" s="20"/>
      <c r="DQ342" s="20"/>
      <c r="DR342" s="20"/>
      <c r="DS342" s="20"/>
      <c r="DT342" s="20"/>
      <c r="DU342" s="20"/>
      <c r="DV342" s="20"/>
      <c r="DW342" s="20"/>
      <c r="DX342" s="20"/>
      <c r="DY342" s="20"/>
      <c r="DZ342" s="20"/>
      <c r="EA342" s="20"/>
    </row>
    <row r="343" spans="2:131" ht="18" customHeight="1">
      <c r="B343" s="707"/>
      <c r="C343" s="707"/>
      <c r="D343" s="707"/>
      <c r="E343" s="707"/>
      <c r="F343" s="707"/>
      <c r="G343" s="707"/>
      <c r="H343" s="707"/>
      <c r="I343" s="707"/>
      <c r="J343" s="707"/>
      <c r="K343" s="707"/>
      <c r="L343" s="19"/>
      <c r="M343" s="20"/>
      <c r="N343" s="20"/>
      <c r="O343" s="20"/>
      <c r="P343" s="20"/>
      <c r="Q343" s="20"/>
      <c r="R343" s="20"/>
      <c r="S343" s="20"/>
      <c r="T343" s="20"/>
      <c r="U343" s="20"/>
      <c r="V343" s="20"/>
      <c r="W343" s="20"/>
      <c r="X343" s="20"/>
      <c r="Y343" s="20"/>
      <c r="Z343" s="20"/>
      <c r="AA343" s="20"/>
      <c r="AB343" s="20"/>
      <c r="AC343" s="20"/>
      <c r="AD343" s="20"/>
      <c r="AE343" s="20"/>
      <c r="AF343" s="20"/>
      <c r="AG343" s="20"/>
      <c r="AH343" s="20"/>
      <c r="AI343" s="20"/>
      <c r="AJ343" s="20"/>
      <c r="AK343" s="20"/>
      <c r="AL343" s="20"/>
      <c r="AM343" s="20"/>
      <c r="AN343" s="20"/>
      <c r="AO343" s="20"/>
      <c r="AP343" s="20"/>
      <c r="AQ343" s="20"/>
      <c r="AR343" s="20"/>
      <c r="AS343" s="20"/>
      <c r="AT343" s="20"/>
      <c r="AU343" s="20"/>
      <c r="AV343" s="20"/>
      <c r="AW343" s="20"/>
      <c r="AX343" s="20"/>
      <c r="AY343" s="20"/>
      <c r="AZ343" s="20"/>
      <c r="BA343" s="20"/>
      <c r="BB343" s="20"/>
      <c r="BC343" s="20"/>
      <c r="BD343" s="20"/>
      <c r="BE343" s="20"/>
      <c r="BF343" s="20"/>
      <c r="BG343" s="20"/>
      <c r="BH343" s="20"/>
      <c r="BI343" s="20"/>
      <c r="BJ343" s="20"/>
      <c r="BK343" s="20"/>
      <c r="BL343" s="20"/>
      <c r="BM343" s="20"/>
      <c r="BN343" s="20"/>
      <c r="BO343" s="20"/>
      <c r="BP343" s="20"/>
      <c r="BQ343" s="20"/>
      <c r="BR343" s="20"/>
      <c r="BS343" s="20"/>
      <c r="BT343" s="20"/>
      <c r="BU343" s="20"/>
      <c r="BV343" s="20"/>
      <c r="BW343" s="20"/>
      <c r="BX343" s="20"/>
      <c r="BY343" s="20"/>
      <c r="BZ343" s="20"/>
      <c r="CA343" s="20"/>
      <c r="CB343" s="20"/>
      <c r="CC343" s="20"/>
      <c r="CD343" s="20"/>
      <c r="CE343" s="20"/>
      <c r="CF343" s="20"/>
      <c r="CG343" s="20"/>
      <c r="CH343" s="20"/>
      <c r="CI343" s="20"/>
      <c r="CJ343" s="20"/>
      <c r="CK343" s="20"/>
      <c r="CL343" s="20"/>
      <c r="CM343" s="20"/>
      <c r="CN343" s="20"/>
      <c r="CO343" s="20"/>
      <c r="CP343" s="20"/>
      <c r="CQ343" s="20"/>
      <c r="CR343" s="20"/>
      <c r="CS343" s="20"/>
      <c r="CT343" s="20"/>
      <c r="CU343" s="20"/>
      <c r="CV343" s="20"/>
      <c r="CW343" s="20"/>
      <c r="CX343" s="20"/>
      <c r="CY343" s="20"/>
      <c r="CZ343" s="20"/>
      <c r="DA343" s="20"/>
      <c r="DB343" s="20"/>
      <c r="DC343" s="20"/>
      <c r="DD343" s="20"/>
      <c r="DE343" s="20"/>
      <c r="DF343" s="20"/>
      <c r="DG343" s="20"/>
      <c r="DH343" s="20"/>
      <c r="DI343" s="20"/>
      <c r="DJ343" s="20"/>
      <c r="DK343" s="20"/>
      <c r="DL343" s="20"/>
      <c r="DM343" s="20"/>
      <c r="DN343" s="20"/>
      <c r="DO343" s="20"/>
      <c r="DP343" s="20"/>
      <c r="DQ343" s="20"/>
      <c r="DR343" s="20"/>
      <c r="DS343" s="20"/>
      <c r="DT343" s="20"/>
      <c r="DU343" s="20"/>
      <c r="DV343" s="20"/>
      <c r="DW343" s="20"/>
      <c r="DX343" s="20"/>
      <c r="DY343" s="20"/>
      <c r="DZ343" s="20"/>
      <c r="EA343" s="20"/>
    </row>
    <row r="344" spans="2:131" ht="18" customHeight="1">
      <c r="B344" s="707"/>
      <c r="C344" s="707"/>
      <c r="D344" s="707"/>
      <c r="E344" s="707"/>
      <c r="F344" s="707"/>
      <c r="G344" s="707"/>
      <c r="H344" s="707"/>
      <c r="I344" s="707"/>
      <c r="J344" s="707"/>
      <c r="K344" s="707"/>
      <c r="L344" s="19"/>
      <c r="M344" s="20"/>
      <c r="N344" s="20"/>
      <c r="O344" s="20"/>
      <c r="P344" s="20"/>
      <c r="Q344" s="20"/>
      <c r="R344" s="20"/>
      <c r="S344" s="20"/>
      <c r="T344" s="20"/>
      <c r="U344" s="20"/>
      <c r="V344" s="20"/>
      <c r="W344" s="20"/>
      <c r="X344" s="20"/>
      <c r="Y344" s="20"/>
      <c r="Z344" s="20"/>
      <c r="AA344" s="20"/>
      <c r="AB344" s="20"/>
      <c r="AC344" s="20"/>
      <c r="AD344" s="20"/>
      <c r="AE344" s="20"/>
      <c r="AF344" s="20"/>
      <c r="AG344" s="20"/>
      <c r="AH344" s="20"/>
      <c r="AI344" s="20"/>
      <c r="AJ344" s="20"/>
      <c r="AK344" s="20"/>
      <c r="AL344" s="20"/>
      <c r="AM344" s="20"/>
      <c r="AN344" s="20"/>
      <c r="AO344" s="20"/>
      <c r="AP344" s="20"/>
      <c r="AQ344" s="20"/>
      <c r="AR344" s="20"/>
      <c r="AS344" s="20"/>
      <c r="AT344" s="20"/>
      <c r="AU344" s="20"/>
      <c r="AV344" s="20"/>
      <c r="AW344" s="20"/>
      <c r="AX344" s="20"/>
      <c r="AY344" s="20"/>
      <c r="AZ344" s="20"/>
      <c r="BA344" s="20"/>
      <c r="BB344" s="20"/>
      <c r="BC344" s="20"/>
      <c r="BD344" s="20"/>
      <c r="BE344" s="20"/>
      <c r="BF344" s="20"/>
      <c r="BG344" s="20"/>
      <c r="BH344" s="20"/>
      <c r="BI344" s="20"/>
      <c r="BJ344" s="20"/>
      <c r="BK344" s="20"/>
      <c r="BL344" s="20"/>
      <c r="BM344" s="20"/>
      <c r="BN344" s="20"/>
      <c r="BO344" s="20"/>
      <c r="BP344" s="20"/>
      <c r="BQ344" s="20"/>
      <c r="BR344" s="20"/>
      <c r="BS344" s="20"/>
      <c r="BT344" s="20"/>
      <c r="BU344" s="20"/>
      <c r="BV344" s="20"/>
      <c r="BW344" s="20"/>
      <c r="BX344" s="20"/>
      <c r="BY344" s="20"/>
      <c r="BZ344" s="20"/>
      <c r="CA344" s="20"/>
      <c r="CB344" s="20"/>
      <c r="CC344" s="20"/>
      <c r="CD344" s="20"/>
      <c r="CE344" s="20"/>
      <c r="CF344" s="20"/>
      <c r="CG344" s="20"/>
      <c r="CH344" s="20"/>
      <c r="CI344" s="20"/>
      <c r="CJ344" s="20"/>
      <c r="CK344" s="20"/>
      <c r="CL344" s="20"/>
      <c r="CM344" s="20"/>
      <c r="CN344" s="20"/>
      <c r="CO344" s="20"/>
      <c r="CP344" s="20"/>
      <c r="CQ344" s="20"/>
      <c r="CR344" s="20"/>
      <c r="CS344" s="20"/>
      <c r="CT344" s="20"/>
      <c r="CU344" s="20"/>
      <c r="CV344" s="20"/>
      <c r="CW344" s="20"/>
      <c r="CX344" s="20"/>
      <c r="CY344" s="20"/>
      <c r="CZ344" s="20"/>
      <c r="DA344" s="20"/>
      <c r="DB344" s="20"/>
      <c r="DC344" s="20"/>
      <c r="DD344" s="20"/>
      <c r="DE344" s="20"/>
      <c r="DF344" s="20"/>
      <c r="DG344" s="20"/>
      <c r="DH344" s="20"/>
      <c r="DI344" s="20"/>
      <c r="DJ344" s="20"/>
      <c r="DK344" s="20"/>
      <c r="DL344" s="20"/>
      <c r="DM344" s="20"/>
      <c r="DN344" s="20"/>
      <c r="DO344" s="20"/>
      <c r="DP344" s="20"/>
      <c r="DQ344" s="20"/>
      <c r="DR344" s="20"/>
      <c r="DS344" s="20"/>
      <c r="DT344" s="20"/>
      <c r="DU344" s="20"/>
      <c r="DV344" s="20"/>
      <c r="DW344" s="20"/>
      <c r="DX344" s="20"/>
      <c r="DY344" s="20"/>
      <c r="DZ344" s="20"/>
      <c r="EA344" s="20"/>
    </row>
    <row r="345" spans="2:131" ht="18" customHeight="1">
      <c r="B345" s="707"/>
      <c r="C345" s="707"/>
      <c r="D345" s="707"/>
      <c r="E345" s="707"/>
      <c r="F345" s="707"/>
      <c r="G345" s="707"/>
      <c r="H345" s="707"/>
      <c r="I345" s="707"/>
      <c r="J345" s="707"/>
      <c r="K345" s="707"/>
      <c r="L345" s="19"/>
      <c r="M345" s="20"/>
      <c r="N345" s="20"/>
      <c r="O345" s="20"/>
      <c r="P345" s="20"/>
      <c r="Q345" s="20"/>
      <c r="R345" s="20"/>
      <c r="S345" s="20"/>
      <c r="T345" s="20"/>
      <c r="U345" s="20"/>
      <c r="V345" s="20"/>
      <c r="W345" s="20"/>
      <c r="X345" s="20"/>
      <c r="Y345" s="20"/>
      <c r="Z345" s="20"/>
      <c r="AA345" s="20"/>
      <c r="AB345" s="20"/>
      <c r="AC345" s="20"/>
      <c r="AD345" s="20"/>
      <c r="AE345" s="20"/>
      <c r="AF345" s="20"/>
      <c r="AG345" s="20"/>
      <c r="AH345" s="20"/>
      <c r="AI345" s="20"/>
      <c r="AJ345" s="20"/>
      <c r="AK345" s="20"/>
      <c r="AL345" s="20"/>
      <c r="AM345" s="20"/>
      <c r="AN345" s="20"/>
      <c r="AO345" s="20"/>
      <c r="AP345" s="20"/>
      <c r="AQ345" s="20"/>
      <c r="AR345" s="20"/>
      <c r="AS345" s="20"/>
      <c r="AT345" s="20"/>
      <c r="AU345" s="20"/>
      <c r="AV345" s="20"/>
      <c r="AW345" s="20"/>
      <c r="AX345" s="20"/>
      <c r="AY345" s="20"/>
      <c r="AZ345" s="20"/>
      <c r="BA345" s="20"/>
      <c r="BB345" s="20"/>
      <c r="BC345" s="20"/>
      <c r="BD345" s="20"/>
      <c r="BE345" s="20"/>
      <c r="BF345" s="20"/>
      <c r="BG345" s="20"/>
      <c r="BH345" s="20"/>
      <c r="BI345" s="20"/>
      <c r="BJ345" s="20"/>
      <c r="BK345" s="20"/>
      <c r="BL345" s="20"/>
      <c r="BM345" s="20"/>
      <c r="BN345" s="20"/>
      <c r="BO345" s="20"/>
      <c r="BP345" s="20"/>
      <c r="BQ345" s="20"/>
      <c r="BR345" s="20"/>
      <c r="BS345" s="20"/>
      <c r="BT345" s="20"/>
      <c r="BU345" s="20"/>
      <c r="BV345" s="20"/>
      <c r="BW345" s="20"/>
      <c r="BX345" s="20"/>
      <c r="BY345" s="20"/>
      <c r="BZ345" s="20"/>
      <c r="CA345" s="20"/>
      <c r="CB345" s="20"/>
      <c r="CC345" s="20"/>
      <c r="CD345" s="20"/>
      <c r="CE345" s="20"/>
      <c r="CF345" s="20"/>
      <c r="CG345" s="20"/>
      <c r="CH345" s="20"/>
      <c r="CI345" s="20"/>
      <c r="CJ345" s="20"/>
      <c r="CK345" s="20"/>
      <c r="CL345" s="20"/>
      <c r="CM345" s="20"/>
      <c r="CN345" s="20"/>
      <c r="CO345" s="20"/>
      <c r="CP345" s="20"/>
      <c r="CQ345" s="20"/>
      <c r="CR345" s="20"/>
      <c r="CS345" s="20"/>
      <c r="CT345" s="20"/>
      <c r="CU345" s="20"/>
      <c r="CV345" s="20"/>
      <c r="CW345" s="20"/>
      <c r="CX345" s="20"/>
      <c r="CY345" s="20"/>
      <c r="CZ345" s="20"/>
      <c r="DA345" s="20"/>
      <c r="DB345" s="20"/>
      <c r="DC345" s="20"/>
      <c r="DD345" s="20"/>
      <c r="DE345" s="20"/>
      <c r="DF345" s="20"/>
      <c r="DG345" s="20"/>
      <c r="DH345" s="20"/>
      <c r="DI345" s="20"/>
      <c r="DJ345" s="20"/>
      <c r="DK345" s="20"/>
      <c r="DL345" s="20"/>
      <c r="DM345" s="20"/>
      <c r="DN345" s="20"/>
      <c r="DO345" s="20"/>
      <c r="DP345" s="20"/>
      <c r="DQ345" s="20"/>
      <c r="DR345" s="20"/>
      <c r="DS345" s="20"/>
      <c r="DT345" s="20"/>
      <c r="DU345" s="20"/>
      <c r="DV345" s="20"/>
      <c r="DW345" s="20"/>
      <c r="DX345" s="20"/>
      <c r="DY345" s="20"/>
      <c r="DZ345" s="20"/>
      <c r="EA345" s="20"/>
    </row>
    <row r="346" spans="2:131" ht="18" customHeight="1">
      <c r="B346" s="708"/>
      <c r="C346" s="708"/>
      <c r="D346" s="707"/>
      <c r="E346" s="707"/>
      <c r="F346" s="707"/>
      <c r="G346" s="707"/>
      <c r="H346" s="707"/>
      <c r="I346" s="707"/>
      <c r="J346" s="707"/>
      <c r="K346" s="707"/>
      <c r="L346" s="19"/>
      <c r="M346" s="20"/>
      <c r="N346" s="20"/>
      <c r="O346" s="20"/>
      <c r="P346" s="20"/>
      <c r="Q346" s="20"/>
      <c r="R346" s="20"/>
      <c r="S346" s="20"/>
      <c r="T346" s="20"/>
      <c r="U346" s="20"/>
      <c r="V346" s="20"/>
      <c r="W346" s="20"/>
      <c r="X346" s="20"/>
      <c r="Y346" s="20"/>
      <c r="Z346" s="20"/>
      <c r="AA346" s="20"/>
      <c r="AB346" s="20"/>
      <c r="AC346" s="20"/>
      <c r="AD346" s="20"/>
      <c r="AE346" s="20"/>
      <c r="AF346" s="20"/>
      <c r="AG346" s="20"/>
      <c r="AH346" s="20"/>
      <c r="AI346" s="20"/>
      <c r="AJ346" s="20"/>
      <c r="AK346" s="20"/>
      <c r="AL346" s="20"/>
      <c r="AM346" s="20"/>
      <c r="AN346" s="20"/>
      <c r="AO346" s="20"/>
      <c r="AP346" s="20"/>
      <c r="AQ346" s="20"/>
      <c r="AR346" s="20"/>
      <c r="AS346" s="20"/>
      <c r="AT346" s="20"/>
      <c r="AU346" s="20"/>
      <c r="AV346" s="20"/>
      <c r="AW346" s="20"/>
      <c r="AX346" s="20"/>
      <c r="AY346" s="20"/>
      <c r="AZ346" s="20"/>
      <c r="BA346" s="20"/>
      <c r="BB346" s="20"/>
      <c r="BC346" s="20"/>
      <c r="BD346" s="20"/>
      <c r="BE346" s="20"/>
      <c r="BF346" s="20"/>
      <c r="BG346" s="20"/>
      <c r="BH346" s="20"/>
      <c r="BI346" s="20"/>
      <c r="BJ346" s="20"/>
      <c r="BK346" s="20"/>
      <c r="BL346" s="20"/>
      <c r="BM346" s="20"/>
      <c r="BN346" s="20"/>
      <c r="BO346" s="20"/>
      <c r="BP346" s="20"/>
      <c r="BQ346" s="20"/>
      <c r="BR346" s="20"/>
      <c r="BS346" s="20"/>
      <c r="BT346" s="20"/>
      <c r="BU346" s="20"/>
      <c r="BV346" s="20"/>
      <c r="BW346" s="20"/>
      <c r="BX346" s="20"/>
      <c r="BY346" s="20"/>
      <c r="BZ346" s="20"/>
      <c r="CA346" s="20"/>
      <c r="CB346" s="20"/>
      <c r="CC346" s="20"/>
      <c r="CD346" s="20"/>
      <c r="CE346" s="20"/>
      <c r="CF346" s="20"/>
      <c r="CG346" s="20"/>
      <c r="CH346" s="20"/>
      <c r="CI346" s="20"/>
      <c r="CJ346" s="20"/>
      <c r="CK346" s="20"/>
      <c r="CL346" s="20"/>
      <c r="CM346" s="20"/>
      <c r="CN346" s="20"/>
      <c r="CO346" s="20"/>
      <c r="CP346" s="20"/>
      <c r="CQ346" s="20"/>
      <c r="CR346" s="20"/>
      <c r="CS346" s="20"/>
      <c r="CT346" s="20"/>
      <c r="CU346" s="20"/>
      <c r="CV346" s="20"/>
      <c r="CW346" s="20"/>
      <c r="CX346" s="20"/>
      <c r="CY346" s="20"/>
      <c r="CZ346" s="20"/>
      <c r="DA346" s="20"/>
      <c r="DB346" s="20"/>
      <c r="DC346" s="20"/>
      <c r="DD346" s="20"/>
      <c r="DE346" s="20"/>
      <c r="DF346" s="20"/>
      <c r="DG346" s="20"/>
      <c r="DH346" s="20"/>
      <c r="DI346" s="20"/>
      <c r="DJ346" s="20"/>
      <c r="DK346" s="20"/>
      <c r="DL346" s="20"/>
      <c r="DM346" s="20"/>
      <c r="DN346" s="20"/>
      <c r="DO346" s="20"/>
      <c r="DP346" s="20"/>
      <c r="DQ346" s="20"/>
      <c r="DR346" s="20"/>
      <c r="DS346" s="20"/>
      <c r="DT346" s="20"/>
      <c r="DU346" s="20"/>
      <c r="DV346" s="20"/>
      <c r="DW346" s="20"/>
      <c r="DX346" s="20"/>
      <c r="DY346" s="20"/>
      <c r="DZ346" s="20"/>
      <c r="EA346" s="20"/>
    </row>
    <row r="347" spans="2:131" ht="18" customHeight="1">
      <c r="B347" s="707"/>
      <c r="C347" s="707"/>
      <c r="D347" s="707"/>
      <c r="E347" s="707"/>
      <c r="F347" s="707"/>
      <c r="G347" s="707"/>
      <c r="H347" s="707"/>
      <c r="I347" s="707"/>
      <c r="J347" s="707"/>
      <c r="K347" s="707"/>
      <c r="L347" s="19"/>
      <c r="M347" s="20"/>
      <c r="N347" s="20"/>
      <c r="O347" s="20"/>
      <c r="P347" s="20"/>
      <c r="Q347" s="20"/>
      <c r="R347" s="20"/>
      <c r="S347" s="20"/>
      <c r="T347" s="20"/>
      <c r="U347" s="20"/>
      <c r="V347" s="20"/>
      <c r="W347" s="20"/>
      <c r="X347" s="20"/>
      <c r="Y347" s="20"/>
      <c r="Z347" s="20"/>
      <c r="AA347" s="20"/>
      <c r="AB347" s="20"/>
      <c r="AC347" s="20"/>
      <c r="AD347" s="20"/>
      <c r="AE347" s="20"/>
      <c r="AF347" s="20"/>
      <c r="AG347" s="20"/>
      <c r="AH347" s="20"/>
      <c r="AI347" s="20"/>
      <c r="AJ347" s="20"/>
      <c r="AK347" s="20"/>
      <c r="AL347" s="20"/>
      <c r="AM347" s="20"/>
      <c r="AN347" s="20"/>
      <c r="AO347" s="20"/>
      <c r="AP347" s="20"/>
      <c r="AQ347" s="20"/>
      <c r="AR347" s="20"/>
      <c r="AS347" s="20"/>
      <c r="AT347" s="20"/>
      <c r="AU347" s="20"/>
      <c r="AV347" s="20"/>
      <c r="AW347" s="20"/>
      <c r="AX347" s="20"/>
      <c r="AY347" s="20"/>
      <c r="AZ347" s="20"/>
      <c r="BA347" s="20"/>
      <c r="BB347" s="20"/>
      <c r="BC347" s="20"/>
      <c r="BD347" s="20"/>
      <c r="BE347" s="20"/>
      <c r="BF347" s="20"/>
      <c r="BG347" s="20"/>
      <c r="BH347" s="20"/>
      <c r="BI347" s="20"/>
      <c r="BJ347" s="20"/>
      <c r="BK347" s="20"/>
      <c r="BL347" s="20"/>
      <c r="BM347" s="20"/>
      <c r="BN347" s="20"/>
      <c r="BO347" s="20"/>
      <c r="BP347" s="20"/>
      <c r="BQ347" s="20"/>
      <c r="BR347" s="20"/>
      <c r="BS347" s="20"/>
      <c r="BT347" s="20"/>
      <c r="BU347" s="20"/>
      <c r="BV347" s="20"/>
      <c r="BW347" s="20"/>
      <c r="BX347" s="20"/>
      <c r="BY347" s="20"/>
      <c r="BZ347" s="20"/>
      <c r="CA347" s="20"/>
      <c r="CB347" s="20"/>
      <c r="CC347" s="20"/>
      <c r="CD347" s="20"/>
      <c r="CE347" s="20"/>
      <c r="CF347" s="20"/>
      <c r="CG347" s="20"/>
      <c r="CH347" s="20"/>
      <c r="CI347" s="20"/>
      <c r="CJ347" s="20"/>
      <c r="CK347" s="20"/>
      <c r="CL347" s="20"/>
      <c r="CM347" s="20"/>
      <c r="CN347" s="20"/>
      <c r="CO347" s="20"/>
      <c r="CP347" s="20"/>
      <c r="CQ347" s="20"/>
      <c r="CR347" s="20"/>
      <c r="CS347" s="20"/>
      <c r="CT347" s="20"/>
      <c r="CU347" s="20"/>
      <c r="CV347" s="20"/>
      <c r="CW347" s="20"/>
      <c r="CX347" s="20"/>
      <c r="CY347" s="20"/>
      <c r="CZ347" s="20"/>
      <c r="DA347" s="20"/>
      <c r="DB347" s="20"/>
      <c r="DC347" s="20"/>
      <c r="DD347" s="20"/>
      <c r="DE347" s="20"/>
      <c r="DF347" s="20"/>
      <c r="DG347" s="20"/>
      <c r="DH347" s="20"/>
      <c r="DI347" s="20"/>
      <c r="DJ347" s="20"/>
      <c r="DK347" s="20"/>
      <c r="DL347" s="20"/>
      <c r="DM347" s="20"/>
      <c r="DN347" s="20"/>
      <c r="DO347" s="20"/>
      <c r="DP347" s="20"/>
      <c r="DQ347" s="20"/>
      <c r="DR347" s="20"/>
      <c r="DS347" s="20"/>
      <c r="DT347" s="20"/>
      <c r="DU347" s="20"/>
      <c r="DV347" s="20"/>
      <c r="DW347" s="20"/>
      <c r="DX347" s="20"/>
      <c r="DY347" s="20"/>
      <c r="DZ347" s="20"/>
      <c r="EA347" s="20"/>
    </row>
    <row r="348" spans="2:131" ht="18" customHeight="1">
      <c r="B348" s="707"/>
      <c r="C348" s="707"/>
      <c r="D348" s="707"/>
      <c r="E348" s="707"/>
      <c r="F348" s="707"/>
      <c r="G348" s="707"/>
      <c r="H348" s="707"/>
      <c r="I348" s="707"/>
      <c r="J348" s="707"/>
      <c r="K348" s="707"/>
      <c r="L348" s="19"/>
      <c r="M348" s="20"/>
      <c r="N348" s="20"/>
      <c r="O348" s="20"/>
      <c r="P348" s="20"/>
      <c r="Q348" s="20"/>
      <c r="R348" s="20"/>
      <c r="S348" s="20"/>
      <c r="T348" s="20"/>
      <c r="U348" s="20"/>
      <c r="V348" s="20"/>
      <c r="W348" s="20"/>
      <c r="X348" s="20"/>
      <c r="Y348" s="20"/>
      <c r="Z348" s="20"/>
      <c r="AA348" s="20"/>
      <c r="AB348" s="20"/>
      <c r="AC348" s="20"/>
      <c r="AD348" s="20"/>
      <c r="AE348" s="20"/>
      <c r="AF348" s="20"/>
      <c r="AG348" s="20"/>
      <c r="AH348" s="20"/>
      <c r="AI348" s="20"/>
      <c r="AJ348" s="20"/>
      <c r="AK348" s="20"/>
      <c r="AL348" s="20"/>
      <c r="AM348" s="20"/>
      <c r="AN348" s="20"/>
      <c r="AO348" s="20"/>
      <c r="AP348" s="20"/>
      <c r="AQ348" s="20"/>
      <c r="AR348" s="20"/>
      <c r="AS348" s="20"/>
      <c r="AT348" s="20"/>
      <c r="AU348" s="20"/>
      <c r="AV348" s="20"/>
      <c r="AW348" s="20"/>
      <c r="AX348" s="20"/>
      <c r="AY348" s="20"/>
      <c r="AZ348" s="20"/>
      <c r="BA348" s="20"/>
      <c r="BB348" s="20"/>
      <c r="BC348" s="20"/>
      <c r="BD348" s="20"/>
      <c r="BE348" s="20"/>
      <c r="BF348" s="20"/>
      <c r="BG348" s="20"/>
      <c r="BH348" s="20"/>
      <c r="BI348" s="20"/>
      <c r="BJ348" s="20"/>
      <c r="BK348" s="20"/>
      <c r="BL348" s="20"/>
      <c r="BM348" s="20"/>
      <c r="BN348" s="20"/>
      <c r="BO348" s="20"/>
      <c r="BP348" s="20"/>
      <c r="BQ348" s="20"/>
      <c r="BR348" s="20"/>
      <c r="BS348" s="20"/>
      <c r="BT348" s="20"/>
      <c r="BU348" s="20"/>
      <c r="BV348" s="20"/>
      <c r="BW348" s="20"/>
      <c r="BX348" s="20"/>
      <c r="BY348" s="20"/>
      <c r="BZ348" s="20"/>
      <c r="CA348" s="20"/>
      <c r="CB348" s="20"/>
      <c r="CC348" s="20"/>
      <c r="CD348" s="20"/>
      <c r="CE348" s="20"/>
      <c r="CF348" s="20"/>
      <c r="CG348" s="20"/>
      <c r="CH348" s="20"/>
      <c r="CI348" s="20"/>
      <c r="CJ348" s="20"/>
      <c r="CK348" s="20"/>
      <c r="CL348" s="20"/>
      <c r="CM348" s="20"/>
      <c r="CN348" s="20"/>
      <c r="CO348" s="20"/>
      <c r="CP348" s="20"/>
      <c r="CQ348" s="20"/>
      <c r="CR348" s="20"/>
      <c r="CS348" s="20"/>
      <c r="CT348" s="20"/>
      <c r="CU348" s="20"/>
      <c r="CV348" s="20"/>
      <c r="CW348" s="20"/>
      <c r="CX348" s="20"/>
      <c r="CY348" s="20"/>
      <c r="CZ348" s="20"/>
      <c r="DA348" s="20"/>
      <c r="DB348" s="20"/>
      <c r="DC348" s="20"/>
      <c r="DD348" s="20"/>
      <c r="DE348" s="20"/>
      <c r="DF348" s="20"/>
      <c r="DG348" s="20"/>
      <c r="DH348" s="20"/>
      <c r="DI348" s="20"/>
      <c r="DJ348" s="20"/>
      <c r="DK348" s="20"/>
      <c r="DL348" s="20"/>
      <c r="DM348" s="20"/>
      <c r="DN348" s="20"/>
      <c r="DO348" s="20"/>
      <c r="DP348" s="20"/>
      <c r="DQ348" s="20"/>
      <c r="DR348" s="20"/>
      <c r="DS348" s="20"/>
      <c r="DT348" s="20"/>
      <c r="DU348" s="20"/>
      <c r="DV348" s="20"/>
      <c r="DW348" s="20"/>
      <c r="DX348" s="20"/>
      <c r="DY348" s="20"/>
      <c r="DZ348" s="20"/>
      <c r="EA348" s="20"/>
    </row>
    <row r="349" spans="2:131" ht="18" customHeight="1">
      <c r="B349" s="707"/>
      <c r="C349" s="707"/>
      <c r="D349" s="707"/>
      <c r="E349" s="707"/>
      <c r="F349" s="707"/>
      <c r="G349" s="707"/>
      <c r="H349" s="707"/>
      <c r="I349" s="707"/>
      <c r="J349" s="707"/>
      <c r="K349" s="707"/>
      <c r="L349" s="19"/>
      <c r="M349" s="20"/>
      <c r="N349" s="20"/>
      <c r="O349" s="20"/>
      <c r="P349" s="20"/>
      <c r="Q349" s="20"/>
      <c r="R349" s="20"/>
      <c r="S349" s="20"/>
      <c r="T349" s="20"/>
      <c r="U349" s="20"/>
      <c r="V349" s="20"/>
      <c r="W349" s="20"/>
      <c r="X349" s="20"/>
      <c r="Y349" s="20"/>
      <c r="Z349" s="20"/>
      <c r="AA349" s="20"/>
      <c r="AB349" s="20"/>
      <c r="AC349" s="20"/>
      <c r="AD349" s="20"/>
      <c r="AE349" s="20"/>
      <c r="AF349" s="20"/>
      <c r="AG349" s="20"/>
      <c r="AH349" s="20"/>
      <c r="AI349" s="20"/>
      <c r="AJ349" s="20"/>
      <c r="AK349" s="20"/>
      <c r="AL349" s="20"/>
      <c r="AM349" s="20"/>
      <c r="AN349" s="20"/>
      <c r="AO349" s="20"/>
      <c r="AP349" s="20"/>
      <c r="AQ349" s="20"/>
      <c r="AR349" s="20"/>
      <c r="AS349" s="20"/>
      <c r="AT349" s="20"/>
      <c r="AU349" s="20"/>
      <c r="AV349" s="20"/>
      <c r="AW349" s="20"/>
      <c r="AX349" s="20"/>
      <c r="AY349" s="20"/>
      <c r="AZ349" s="20"/>
      <c r="BA349" s="20"/>
      <c r="BB349" s="20"/>
      <c r="BC349" s="20"/>
      <c r="BD349" s="20"/>
      <c r="BE349" s="20"/>
      <c r="BF349" s="20"/>
      <c r="BG349" s="20"/>
      <c r="BH349" s="20"/>
      <c r="BI349" s="20"/>
      <c r="BJ349" s="20"/>
      <c r="BK349" s="20"/>
      <c r="BL349" s="20"/>
      <c r="BM349" s="20"/>
      <c r="BN349" s="20"/>
      <c r="BO349" s="20"/>
      <c r="BP349" s="20"/>
      <c r="BQ349" s="20"/>
      <c r="BR349" s="20"/>
      <c r="BS349" s="20"/>
      <c r="BT349" s="20"/>
      <c r="BU349" s="20"/>
      <c r="BV349" s="20"/>
      <c r="BW349" s="20"/>
      <c r="BX349" s="20"/>
      <c r="BY349" s="20"/>
      <c r="BZ349" s="20"/>
      <c r="CA349" s="20"/>
      <c r="CB349" s="20"/>
      <c r="CC349" s="20"/>
      <c r="CD349" s="20"/>
      <c r="CE349" s="20"/>
      <c r="CF349" s="20"/>
      <c r="CG349" s="20"/>
      <c r="CH349" s="20"/>
      <c r="CI349" s="20"/>
      <c r="CJ349" s="20"/>
      <c r="CK349" s="20"/>
      <c r="CL349" s="20"/>
      <c r="CM349" s="20"/>
      <c r="CN349" s="20"/>
      <c r="CO349" s="20"/>
      <c r="CP349" s="20"/>
      <c r="CQ349" s="20"/>
      <c r="CR349" s="20"/>
      <c r="CS349" s="20"/>
      <c r="CT349" s="20"/>
      <c r="CU349" s="20"/>
      <c r="CV349" s="20"/>
      <c r="CW349" s="20"/>
      <c r="CX349" s="20"/>
      <c r="CY349" s="20"/>
      <c r="CZ349" s="20"/>
      <c r="DA349" s="20"/>
      <c r="DB349" s="20"/>
      <c r="DC349" s="20"/>
      <c r="DD349" s="20"/>
      <c r="DE349" s="20"/>
      <c r="DF349" s="20"/>
      <c r="DG349" s="20"/>
      <c r="DH349" s="20"/>
      <c r="DI349" s="20"/>
      <c r="DJ349" s="20"/>
      <c r="DK349" s="20"/>
      <c r="DL349" s="20"/>
      <c r="DM349" s="20"/>
      <c r="DN349" s="20"/>
      <c r="DO349" s="20"/>
      <c r="DP349" s="20"/>
      <c r="DQ349" s="20"/>
      <c r="DR349" s="20"/>
      <c r="DS349" s="20"/>
      <c r="DT349" s="20"/>
      <c r="DU349" s="20"/>
      <c r="DV349" s="20"/>
      <c r="DW349" s="20"/>
      <c r="DX349" s="20"/>
      <c r="DY349" s="20"/>
      <c r="DZ349" s="20"/>
      <c r="EA349" s="20"/>
    </row>
    <row r="350" spans="2:131" ht="18" customHeight="1">
      <c r="B350" s="707"/>
      <c r="C350" s="707"/>
      <c r="D350" s="707"/>
      <c r="E350" s="707"/>
      <c r="F350" s="707"/>
      <c r="G350" s="707"/>
      <c r="H350" s="707"/>
      <c r="I350" s="707"/>
      <c r="J350" s="707"/>
      <c r="K350" s="707"/>
      <c r="L350" s="19"/>
      <c r="M350" s="20"/>
      <c r="N350" s="20"/>
      <c r="O350" s="20"/>
      <c r="P350" s="20"/>
      <c r="Q350" s="20"/>
      <c r="R350" s="20"/>
      <c r="S350" s="20"/>
      <c r="T350" s="20"/>
      <c r="U350" s="20"/>
      <c r="V350" s="20"/>
      <c r="W350" s="20"/>
      <c r="X350" s="20"/>
      <c r="Y350" s="20"/>
      <c r="Z350" s="20"/>
      <c r="AA350" s="20"/>
      <c r="AB350" s="20"/>
      <c r="AC350" s="20"/>
      <c r="AD350" s="20"/>
      <c r="AE350" s="20"/>
      <c r="AF350" s="20"/>
      <c r="AG350" s="20"/>
      <c r="AH350" s="20"/>
      <c r="AI350" s="20"/>
      <c r="AJ350" s="20"/>
      <c r="AK350" s="20"/>
      <c r="AL350" s="20"/>
      <c r="AM350" s="20"/>
      <c r="AN350" s="20"/>
      <c r="AO350" s="20"/>
      <c r="AP350" s="20"/>
      <c r="AQ350" s="20"/>
      <c r="AR350" s="20"/>
      <c r="AS350" s="20"/>
      <c r="AT350" s="20"/>
      <c r="AU350" s="20"/>
      <c r="AV350" s="20"/>
      <c r="AW350" s="20"/>
      <c r="AX350" s="20"/>
      <c r="AY350" s="20"/>
      <c r="AZ350" s="20"/>
      <c r="BA350" s="20"/>
      <c r="BB350" s="20"/>
      <c r="BC350" s="20"/>
      <c r="BD350" s="20"/>
      <c r="BE350" s="20"/>
      <c r="BF350" s="20"/>
      <c r="BG350" s="20"/>
      <c r="BH350" s="20"/>
      <c r="BI350" s="20"/>
      <c r="BJ350" s="20"/>
      <c r="BK350" s="20"/>
      <c r="BL350" s="20"/>
      <c r="BM350" s="20"/>
      <c r="BN350" s="20"/>
      <c r="BO350" s="20"/>
      <c r="BP350" s="20"/>
      <c r="BQ350" s="20"/>
      <c r="BR350" s="20"/>
      <c r="BS350" s="20"/>
      <c r="BT350" s="20"/>
      <c r="BU350" s="20"/>
      <c r="BV350" s="20"/>
      <c r="BW350" s="20"/>
      <c r="BX350" s="20"/>
      <c r="BY350" s="20"/>
      <c r="BZ350" s="20"/>
      <c r="CA350" s="20"/>
      <c r="CB350" s="20"/>
      <c r="CC350" s="20"/>
      <c r="CD350" s="20"/>
      <c r="CE350" s="20"/>
      <c r="CF350" s="20"/>
      <c r="CG350" s="20"/>
      <c r="CH350" s="20"/>
      <c r="CI350" s="20"/>
      <c r="CJ350" s="20"/>
      <c r="CK350" s="20"/>
      <c r="CL350" s="20"/>
      <c r="CM350" s="20"/>
      <c r="CN350" s="20"/>
      <c r="CO350" s="20"/>
      <c r="CP350" s="20"/>
      <c r="CQ350" s="20"/>
      <c r="CR350" s="20"/>
      <c r="CS350" s="20"/>
      <c r="CT350" s="20"/>
      <c r="CU350" s="20"/>
      <c r="CV350" s="20"/>
      <c r="CW350" s="20"/>
      <c r="CX350" s="20"/>
      <c r="CY350" s="20"/>
      <c r="CZ350" s="20"/>
      <c r="DA350" s="20"/>
      <c r="DB350" s="20"/>
      <c r="DC350" s="20"/>
      <c r="DD350" s="20"/>
      <c r="DE350" s="20"/>
      <c r="DF350" s="20"/>
      <c r="DG350" s="20"/>
      <c r="DH350" s="20"/>
      <c r="DI350" s="20"/>
      <c r="DJ350" s="20"/>
      <c r="DK350" s="20"/>
      <c r="DL350" s="20"/>
      <c r="DM350" s="20"/>
      <c r="DN350" s="20"/>
      <c r="DO350" s="20"/>
      <c r="DP350" s="20"/>
      <c r="DQ350" s="20"/>
      <c r="DR350" s="20"/>
      <c r="DS350" s="20"/>
      <c r="DT350" s="20"/>
      <c r="DU350" s="20"/>
      <c r="DV350" s="20"/>
      <c r="DW350" s="20"/>
      <c r="DX350" s="20"/>
      <c r="DY350" s="20"/>
      <c r="DZ350" s="20"/>
      <c r="EA350" s="20"/>
    </row>
    <row r="351" spans="2:131" ht="18" customHeight="1">
      <c r="B351" s="707"/>
      <c r="C351" s="707"/>
      <c r="D351" s="707"/>
      <c r="E351" s="707"/>
      <c r="F351" s="707"/>
      <c r="G351" s="707"/>
      <c r="H351" s="707"/>
      <c r="I351" s="707"/>
      <c r="J351" s="707"/>
      <c r="K351" s="707"/>
      <c r="L351" s="19"/>
      <c r="M351" s="20"/>
      <c r="N351" s="20"/>
      <c r="O351" s="20"/>
      <c r="P351" s="20"/>
      <c r="Q351" s="20"/>
      <c r="R351" s="20"/>
      <c r="S351" s="20"/>
      <c r="T351" s="20"/>
      <c r="U351" s="20"/>
      <c r="V351" s="20"/>
      <c r="W351" s="20"/>
      <c r="X351" s="20"/>
      <c r="Y351" s="20"/>
      <c r="Z351" s="20"/>
      <c r="AA351" s="20"/>
      <c r="AB351" s="20"/>
      <c r="AC351" s="20"/>
      <c r="AD351" s="20"/>
      <c r="AE351" s="20"/>
      <c r="AF351" s="20"/>
      <c r="AG351" s="20"/>
      <c r="AH351" s="20"/>
      <c r="AI351" s="20"/>
      <c r="AJ351" s="20"/>
      <c r="AK351" s="20"/>
      <c r="AL351" s="20"/>
      <c r="AM351" s="20"/>
      <c r="AN351" s="20"/>
      <c r="AO351" s="20"/>
      <c r="AP351" s="20"/>
      <c r="AQ351" s="20"/>
      <c r="AR351" s="20"/>
      <c r="AS351" s="20"/>
      <c r="AT351" s="20"/>
      <c r="AU351" s="20"/>
      <c r="AV351" s="20"/>
      <c r="AW351" s="20"/>
      <c r="AX351" s="20"/>
      <c r="AY351" s="20"/>
      <c r="AZ351" s="20"/>
      <c r="BA351" s="20"/>
      <c r="BB351" s="20"/>
      <c r="BC351" s="20"/>
      <c r="BD351" s="20"/>
      <c r="BE351" s="20"/>
      <c r="BF351" s="20"/>
      <c r="BG351" s="20"/>
      <c r="BH351" s="20"/>
      <c r="BI351" s="20"/>
      <c r="BJ351" s="20"/>
      <c r="BK351" s="20"/>
      <c r="BL351" s="20"/>
      <c r="BM351" s="20"/>
      <c r="BN351" s="20"/>
      <c r="BO351" s="20"/>
      <c r="BP351" s="20"/>
      <c r="BQ351" s="20"/>
      <c r="BR351" s="20"/>
      <c r="BS351" s="20"/>
      <c r="BT351" s="20"/>
      <c r="BU351" s="20"/>
      <c r="BV351" s="20"/>
      <c r="BW351" s="20"/>
      <c r="BX351" s="20"/>
      <c r="BY351" s="20"/>
      <c r="BZ351" s="20"/>
      <c r="CA351" s="20"/>
      <c r="CB351" s="20"/>
      <c r="CC351" s="20"/>
      <c r="CD351" s="20"/>
      <c r="CE351" s="20"/>
      <c r="CF351" s="20"/>
      <c r="CG351" s="20"/>
      <c r="CH351" s="20"/>
      <c r="CI351" s="20"/>
      <c r="CJ351" s="20"/>
      <c r="CK351" s="20"/>
      <c r="CL351" s="20"/>
      <c r="CM351" s="20"/>
      <c r="CN351" s="20"/>
      <c r="CO351" s="20"/>
      <c r="CP351" s="20"/>
      <c r="CQ351" s="20"/>
      <c r="CR351" s="20"/>
      <c r="CS351" s="20"/>
      <c r="CT351" s="20"/>
      <c r="CU351" s="20"/>
      <c r="CV351" s="20"/>
      <c r="CW351" s="20"/>
      <c r="CX351" s="20"/>
      <c r="CY351" s="20"/>
      <c r="CZ351" s="20"/>
      <c r="DA351" s="20"/>
      <c r="DB351" s="20"/>
      <c r="DC351" s="20"/>
      <c r="DD351" s="20"/>
      <c r="DE351" s="20"/>
      <c r="DF351" s="20"/>
      <c r="DG351" s="20"/>
      <c r="DH351" s="20"/>
      <c r="DI351" s="20"/>
      <c r="DJ351" s="20"/>
      <c r="DK351" s="20"/>
      <c r="DL351" s="20"/>
      <c r="DM351" s="20"/>
      <c r="DN351" s="20"/>
      <c r="DO351" s="20"/>
      <c r="DP351" s="20"/>
      <c r="DQ351" s="20"/>
      <c r="DR351" s="20"/>
      <c r="DS351" s="20"/>
      <c r="DT351" s="20"/>
      <c r="DU351" s="20"/>
      <c r="DV351" s="20"/>
      <c r="DW351" s="20"/>
      <c r="DX351" s="20"/>
      <c r="DY351" s="20"/>
      <c r="DZ351" s="20"/>
      <c r="EA351" s="20"/>
    </row>
    <row r="352" spans="2:131" ht="18" customHeight="1">
      <c r="B352" s="708"/>
      <c r="C352" s="708"/>
      <c r="D352" s="707"/>
      <c r="E352" s="707"/>
      <c r="F352" s="707"/>
      <c r="G352" s="707"/>
      <c r="H352" s="707"/>
      <c r="I352" s="707"/>
      <c r="J352" s="707"/>
      <c r="K352" s="707"/>
      <c r="L352" s="19"/>
      <c r="M352" s="20"/>
      <c r="N352" s="20"/>
      <c r="O352" s="20"/>
      <c r="P352" s="20"/>
      <c r="Q352" s="20"/>
      <c r="R352" s="20"/>
      <c r="S352" s="20"/>
      <c r="T352" s="20"/>
      <c r="U352" s="20"/>
      <c r="V352" s="20"/>
      <c r="W352" s="20"/>
      <c r="X352" s="20"/>
      <c r="Y352" s="20"/>
      <c r="Z352" s="20"/>
      <c r="AA352" s="20"/>
      <c r="AB352" s="20"/>
      <c r="AC352" s="20"/>
      <c r="AD352" s="20"/>
      <c r="AE352" s="20"/>
      <c r="AF352" s="20"/>
      <c r="AG352" s="20"/>
      <c r="AH352" s="20"/>
      <c r="AI352" s="20"/>
      <c r="AJ352" s="20"/>
      <c r="AK352" s="20"/>
      <c r="AL352" s="20"/>
      <c r="AM352" s="20"/>
      <c r="AN352" s="20"/>
      <c r="AO352" s="20"/>
      <c r="AP352" s="20"/>
      <c r="AQ352" s="20"/>
      <c r="AR352" s="20"/>
      <c r="AS352" s="20"/>
      <c r="AT352" s="20"/>
      <c r="AU352" s="20"/>
      <c r="AV352" s="20"/>
      <c r="AW352" s="20"/>
      <c r="AX352" s="20"/>
      <c r="AY352" s="20"/>
      <c r="AZ352" s="20"/>
      <c r="BA352" s="20"/>
      <c r="BB352" s="20"/>
      <c r="BC352" s="20"/>
      <c r="BD352" s="20"/>
      <c r="BE352" s="20"/>
      <c r="BF352" s="20"/>
      <c r="BG352" s="20"/>
      <c r="BH352" s="20"/>
      <c r="BI352" s="20"/>
      <c r="BJ352" s="20"/>
      <c r="BK352" s="20"/>
      <c r="BL352" s="20"/>
      <c r="BM352" s="20"/>
      <c r="BN352" s="20"/>
      <c r="BO352" s="20"/>
      <c r="BP352" s="20"/>
      <c r="BQ352" s="20"/>
      <c r="BR352" s="20"/>
      <c r="BS352" s="20"/>
      <c r="BT352" s="20"/>
      <c r="BU352" s="20"/>
      <c r="BV352" s="20"/>
      <c r="BW352" s="20"/>
      <c r="BX352" s="20"/>
      <c r="BY352" s="20"/>
      <c r="BZ352" s="20"/>
      <c r="CA352" s="20"/>
      <c r="CB352" s="20"/>
      <c r="CC352" s="20"/>
      <c r="CD352" s="20"/>
      <c r="CE352" s="20"/>
      <c r="CF352" s="20"/>
      <c r="CG352" s="20"/>
      <c r="CH352" s="20"/>
      <c r="CI352" s="20"/>
      <c r="CJ352" s="20"/>
      <c r="CK352" s="20"/>
      <c r="CL352" s="20"/>
      <c r="CM352" s="20"/>
      <c r="CN352" s="20"/>
      <c r="CO352" s="20"/>
      <c r="CP352" s="20"/>
      <c r="CQ352" s="20"/>
      <c r="CR352" s="20"/>
      <c r="CS352" s="20"/>
      <c r="CT352" s="20"/>
      <c r="CU352" s="20"/>
      <c r="CV352" s="20"/>
      <c r="CW352" s="20"/>
      <c r="CX352" s="20"/>
      <c r="CY352" s="20"/>
      <c r="CZ352" s="20"/>
      <c r="DA352" s="20"/>
      <c r="DB352" s="20"/>
      <c r="DC352" s="20"/>
      <c r="DD352" s="20"/>
      <c r="DE352" s="20"/>
      <c r="DF352" s="20"/>
      <c r="DG352" s="20"/>
      <c r="DH352" s="20"/>
      <c r="DI352" s="20"/>
      <c r="DJ352" s="20"/>
      <c r="DK352" s="20"/>
      <c r="DL352" s="20"/>
      <c r="DM352" s="20"/>
      <c r="DN352" s="20"/>
      <c r="DO352" s="20"/>
      <c r="DP352" s="20"/>
      <c r="DQ352" s="20"/>
      <c r="DR352" s="20"/>
      <c r="DS352" s="20"/>
      <c r="DT352" s="20"/>
      <c r="DU352" s="20"/>
      <c r="DV352" s="20"/>
      <c r="DW352" s="20"/>
      <c r="DX352" s="20"/>
      <c r="DY352" s="20"/>
      <c r="DZ352" s="20"/>
      <c r="EA352" s="20"/>
    </row>
    <row r="353" spans="2:131" ht="18" customHeight="1">
      <c r="B353" s="707"/>
      <c r="C353" s="707"/>
      <c r="D353" s="707"/>
      <c r="E353" s="707"/>
      <c r="F353" s="707"/>
      <c r="G353" s="707"/>
      <c r="H353" s="707"/>
      <c r="I353" s="707"/>
      <c r="J353" s="707"/>
      <c r="K353" s="707"/>
      <c r="L353" s="19"/>
      <c r="M353" s="20"/>
      <c r="N353" s="20"/>
      <c r="O353" s="20"/>
      <c r="P353" s="20"/>
      <c r="Q353" s="20"/>
      <c r="R353" s="20"/>
      <c r="S353" s="20"/>
      <c r="T353" s="20"/>
      <c r="U353" s="20"/>
      <c r="V353" s="20"/>
      <c r="W353" s="20"/>
      <c r="X353" s="20"/>
      <c r="Y353" s="20"/>
      <c r="Z353" s="20"/>
      <c r="AA353" s="20"/>
      <c r="AB353" s="20"/>
      <c r="AC353" s="20"/>
      <c r="AD353" s="20"/>
      <c r="AE353" s="20"/>
      <c r="AF353" s="20"/>
      <c r="AG353" s="20"/>
      <c r="AH353" s="20"/>
      <c r="AI353" s="20"/>
      <c r="AJ353" s="20"/>
      <c r="AK353" s="20"/>
      <c r="AL353" s="20"/>
      <c r="AM353" s="20"/>
      <c r="AN353" s="20"/>
      <c r="AO353" s="20"/>
      <c r="AP353" s="20"/>
      <c r="AQ353" s="20"/>
      <c r="AR353" s="20"/>
      <c r="AS353" s="20"/>
      <c r="AT353" s="20"/>
      <c r="AU353" s="20"/>
      <c r="AV353" s="20"/>
      <c r="AW353" s="20"/>
      <c r="AX353" s="20"/>
      <c r="AY353" s="20"/>
      <c r="AZ353" s="20"/>
      <c r="BA353" s="20"/>
      <c r="BB353" s="20"/>
      <c r="BC353" s="20"/>
      <c r="BD353" s="20"/>
      <c r="BE353" s="20"/>
      <c r="BF353" s="20"/>
      <c r="BG353" s="20"/>
      <c r="BH353" s="20"/>
      <c r="BI353" s="20"/>
      <c r="BJ353" s="20"/>
      <c r="BK353" s="20"/>
      <c r="BL353" s="20"/>
      <c r="BM353" s="20"/>
      <c r="BN353" s="20"/>
      <c r="BO353" s="20"/>
      <c r="BP353" s="20"/>
      <c r="BQ353" s="20"/>
      <c r="BR353" s="20"/>
      <c r="BS353" s="20"/>
      <c r="BT353" s="20"/>
      <c r="BU353" s="20"/>
      <c r="BV353" s="20"/>
      <c r="BW353" s="20"/>
      <c r="BX353" s="20"/>
      <c r="BY353" s="20"/>
      <c r="BZ353" s="20"/>
      <c r="CA353" s="20"/>
      <c r="CB353" s="20"/>
      <c r="CC353" s="20"/>
      <c r="CD353" s="20"/>
      <c r="CE353" s="20"/>
      <c r="CF353" s="20"/>
      <c r="CG353" s="20"/>
      <c r="CH353" s="20"/>
      <c r="CI353" s="20"/>
      <c r="CJ353" s="20"/>
      <c r="CK353" s="20"/>
      <c r="CL353" s="20"/>
      <c r="CM353" s="20"/>
      <c r="CN353" s="20"/>
      <c r="CO353" s="20"/>
      <c r="CP353" s="20"/>
      <c r="CQ353" s="20"/>
      <c r="CR353" s="20"/>
      <c r="CS353" s="20"/>
      <c r="CT353" s="20"/>
      <c r="CU353" s="20"/>
      <c r="CV353" s="20"/>
      <c r="CW353" s="20"/>
      <c r="CX353" s="20"/>
      <c r="CY353" s="20"/>
      <c r="CZ353" s="20"/>
      <c r="DA353" s="20"/>
      <c r="DB353" s="20"/>
      <c r="DC353" s="20"/>
      <c r="DD353" s="20"/>
      <c r="DE353" s="20"/>
      <c r="DF353" s="20"/>
      <c r="DG353" s="20"/>
      <c r="DH353" s="20"/>
      <c r="DI353" s="20"/>
      <c r="DJ353" s="20"/>
      <c r="DK353" s="20"/>
      <c r="DL353" s="20"/>
      <c r="DM353" s="20"/>
      <c r="DN353" s="20"/>
      <c r="DO353" s="20"/>
      <c r="DP353" s="20"/>
      <c r="DQ353" s="20"/>
      <c r="DR353" s="20"/>
      <c r="DS353" s="20"/>
      <c r="DT353" s="20"/>
      <c r="DU353" s="20"/>
      <c r="DV353" s="20"/>
      <c r="DW353" s="20"/>
      <c r="DX353" s="20"/>
      <c r="DY353" s="20"/>
      <c r="DZ353" s="20"/>
      <c r="EA353" s="20"/>
    </row>
    <row r="354" spans="2:131" ht="18" customHeight="1">
      <c r="B354" s="707"/>
      <c r="C354" s="707"/>
      <c r="D354" s="707"/>
      <c r="E354" s="707"/>
      <c r="F354" s="707"/>
      <c r="G354" s="707"/>
      <c r="H354" s="707"/>
      <c r="I354" s="707"/>
      <c r="J354" s="707"/>
      <c r="K354" s="707"/>
      <c r="L354" s="19"/>
      <c r="M354" s="20"/>
      <c r="N354" s="20"/>
      <c r="O354" s="20"/>
      <c r="P354" s="20"/>
      <c r="Q354" s="20"/>
      <c r="R354" s="20"/>
      <c r="S354" s="20"/>
      <c r="T354" s="20"/>
      <c r="U354" s="20"/>
      <c r="V354" s="20"/>
      <c r="W354" s="20"/>
      <c r="X354" s="20"/>
      <c r="Y354" s="20"/>
      <c r="Z354" s="20"/>
      <c r="AA354" s="20"/>
      <c r="AB354" s="20"/>
      <c r="AC354" s="20"/>
      <c r="AD354" s="20"/>
      <c r="AE354" s="20"/>
      <c r="AF354" s="20"/>
      <c r="AG354" s="20"/>
      <c r="AH354" s="20"/>
      <c r="AI354" s="20"/>
      <c r="AJ354" s="20"/>
      <c r="AK354" s="20"/>
      <c r="AL354" s="20"/>
      <c r="AM354" s="20"/>
      <c r="AN354" s="20"/>
      <c r="AO354" s="20"/>
      <c r="AP354" s="20"/>
      <c r="AQ354" s="20"/>
      <c r="AR354" s="20"/>
      <c r="AS354" s="20"/>
      <c r="AT354" s="20"/>
      <c r="AU354" s="20"/>
      <c r="AV354" s="20"/>
      <c r="AW354" s="20"/>
      <c r="AX354" s="20"/>
      <c r="AY354" s="20"/>
      <c r="AZ354" s="20"/>
      <c r="BA354" s="20"/>
      <c r="BB354" s="20"/>
      <c r="BC354" s="20"/>
      <c r="BD354" s="20"/>
      <c r="BE354" s="20"/>
      <c r="BF354" s="20"/>
      <c r="BG354" s="20"/>
      <c r="BH354" s="20"/>
      <c r="BI354" s="20"/>
      <c r="BJ354" s="20"/>
      <c r="BK354" s="20"/>
      <c r="BL354" s="20"/>
      <c r="BM354" s="20"/>
      <c r="BN354" s="20"/>
      <c r="BO354" s="20"/>
      <c r="BP354" s="20"/>
      <c r="BQ354" s="20"/>
      <c r="BR354" s="20"/>
      <c r="BS354" s="20"/>
      <c r="BT354" s="20"/>
      <c r="BU354" s="20"/>
      <c r="BV354" s="20"/>
      <c r="BW354" s="20"/>
      <c r="BX354" s="20"/>
      <c r="BY354" s="20"/>
      <c r="BZ354" s="20"/>
      <c r="CA354" s="20"/>
      <c r="CB354" s="20"/>
      <c r="CC354" s="20"/>
      <c r="CD354" s="20"/>
      <c r="CE354" s="20"/>
      <c r="CF354" s="20"/>
      <c r="CG354" s="20"/>
      <c r="CH354" s="20"/>
      <c r="CI354" s="20"/>
      <c r="CJ354" s="20"/>
      <c r="CK354" s="20"/>
      <c r="CL354" s="20"/>
      <c r="CM354" s="20"/>
      <c r="CN354" s="20"/>
      <c r="CO354" s="20"/>
      <c r="CP354" s="20"/>
      <c r="CQ354" s="20"/>
      <c r="CR354" s="20"/>
      <c r="CS354" s="20"/>
      <c r="CT354" s="20"/>
      <c r="CU354" s="20"/>
      <c r="CV354" s="20"/>
      <c r="CW354" s="20"/>
      <c r="CX354" s="20"/>
      <c r="CY354" s="20"/>
      <c r="CZ354" s="20"/>
      <c r="DA354" s="20"/>
      <c r="DB354" s="20"/>
      <c r="DC354" s="20"/>
      <c r="DD354" s="20"/>
      <c r="DE354" s="20"/>
      <c r="DF354" s="20"/>
      <c r="DG354" s="20"/>
      <c r="DH354" s="20"/>
      <c r="DI354" s="20"/>
      <c r="DJ354" s="20"/>
      <c r="DK354" s="20"/>
      <c r="DL354" s="20"/>
      <c r="DM354" s="20"/>
      <c r="DN354" s="20"/>
      <c r="DO354" s="20"/>
      <c r="DP354" s="20"/>
      <c r="DQ354" s="20"/>
      <c r="DR354" s="20"/>
      <c r="DS354" s="20"/>
      <c r="DT354" s="20"/>
      <c r="DU354" s="20"/>
      <c r="DV354" s="20"/>
      <c r="DW354" s="20"/>
      <c r="DX354" s="20"/>
      <c r="DY354" s="20"/>
      <c r="DZ354" s="20"/>
      <c r="EA354" s="20"/>
    </row>
    <row r="355" spans="2:131" ht="18" customHeight="1">
      <c r="B355" s="707"/>
      <c r="C355" s="707"/>
      <c r="D355" s="707"/>
      <c r="E355" s="707"/>
      <c r="F355" s="707"/>
      <c r="G355" s="707"/>
      <c r="H355" s="707"/>
      <c r="I355" s="707"/>
      <c r="J355" s="707"/>
      <c r="K355" s="707"/>
      <c r="L355" s="19"/>
      <c r="M355" s="20"/>
      <c r="N355" s="20"/>
      <c r="O355" s="20"/>
      <c r="P355" s="20"/>
      <c r="Q355" s="20"/>
      <c r="R355" s="20"/>
      <c r="S355" s="20"/>
      <c r="T355" s="20"/>
      <c r="U355" s="20"/>
      <c r="V355" s="20"/>
      <c r="W355" s="20"/>
      <c r="X355" s="20"/>
      <c r="Y355" s="20"/>
      <c r="Z355" s="20"/>
      <c r="AA355" s="20"/>
      <c r="AB355" s="20"/>
      <c r="AC355" s="20"/>
      <c r="AD355" s="20"/>
      <c r="AE355" s="20"/>
      <c r="AF355" s="20"/>
      <c r="AG355" s="20"/>
      <c r="AH355" s="20"/>
      <c r="AI355" s="20"/>
      <c r="AJ355" s="20"/>
      <c r="AK355" s="20"/>
      <c r="AL355" s="20"/>
      <c r="AM355" s="20"/>
      <c r="AN355" s="20"/>
      <c r="AO355" s="20"/>
      <c r="AP355" s="20"/>
      <c r="AQ355" s="20"/>
      <c r="AR355" s="20"/>
      <c r="AS355" s="20"/>
      <c r="AT355" s="20"/>
      <c r="AU355" s="20"/>
      <c r="AV355" s="20"/>
      <c r="AW355" s="20"/>
      <c r="AX355" s="20"/>
      <c r="AY355" s="20"/>
      <c r="AZ355" s="20"/>
      <c r="BA355" s="20"/>
      <c r="BB355" s="20"/>
      <c r="BC355" s="20"/>
      <c r="BD355" s="20"/>
      <c r="BE355" s="20"/>
      <c r="BF355" s="20"/>
      <c r="BG355" s="20"/>
      <c r="BH355" s="20"/>
      <c r="BI355" s="20"/>
      <c r="BJ355" s="20"/>
      <c r="BK355" s="20"/>
      <c r="BL355" s="20"/>
      <c r="BM355" s="20"/>
      <c r="BN355" s="20"/>
      <c r="BO355" s="20"/>
      <c r="BP355" s="20"/>
      <c r="BQ355" s="20"/>
      <c r="BR355" s="20"/>
      <c r="BS355" s="20"/>
      <c r="BT355" s="20"/>
      <c r="BU355" s="20"/>
      <c r="BV355" s="20"/>
      <c r="BW355" s="20"/>
      <c r="BX355" s="20"/>
      <c r="BY355" s="20"/>
      <c r="BZ355" s="20"/>
      <c r="CA355" s="20"/>
      <c r="CB355" s="20"/>
      <c r="CC355" s="20"/>
      <c r="CD355" s="20"/>
      <c r="CE355" s="20"/>
      <c r="CF355" s="20"/>
      <c r="CG355" s="20"/>
      <c r="CH355" s="20"/>
      <c r="CI355" s="20"/>
      <c r="CJ355" s="20"/>
      <c r="CK355" s="20"/>
      <c r="CL355" s="20"/>
      <c r="CM355" s="20"/>
      <c r="CN355" s="20"/>
      <c r="CO355" s="20"/>
      <c r="CP355" s="20"/>
      <c r="CQ355" s="20"/>
      <c r="CR355" s="20"/>
      <c r="CS355" s="20"/>
      <c r="CT355" s="20"/>
      <c r="CU355" s="20"/>
      <c r="CV355" s="20"/>
      <c r="CW355" s="20"/>
      <c r="CX355" s="20"/>
      <c r="CY355" s="20"/>
      <c r="CZ355" s="20"/>
      <c r="DA355" s="20"/>
      <c r="DB355" s="20"/>
      <c r="DC355" s="20"/>
      <c r="DD355" s="20"/>
      <c r="DE355" s="20"/>
      <c r="DF355" s="20"/>
      <c r="DG355" s="20"/>
      <c r="DH355" s="20"/>
      <c r="DI355" s="20"/>
      <c r="DJ355" s="20"/>
      <c r="DK355" s="20"/>
      <c r="DL355" s="20"/>
      <c r="DM355" s="20"/>
      <c r="DN355" s="20"/>
      <c r="DO355" s="20"/>
      <c r="DP355" s="20"/>
      <c r="DQ355" s="20"/>
      <c r="DR355" s="20"/>
      <c r="DS355" s="20"/>
      <c r="DT355" s="20"/>
      <c r="DU355" s="20"/>
      <c r="DV355" s="20"/>
      <c r="DW355" s="20"/>
      <c r="DX355" s="20"/>
      <c r="DY355" s="20"/>
      <c r="DZ355" s="20"/>
      <c r="EA355" s="20"/>
    </row>
    <row r="356" spans="2:131" ht="18" customHeight="1">
      <c r="B356" s="707"/>
      <c r="C356" s="707"/>
      <c r="D356" s="707"/>
      <c r="E356" s="707"/>
      <c r="F356" s="707"/>
      <c r="G356" s="707"/>
      <c r="H356" s="707"/>
      <c r="I356" s="707"/>
      <c r="J356" s="707"/>
      <c r="K356" s="707"/>
      <c r="L356" s="19"/>
      <c r="M356" s="20"/>
      <c r="N356" s="20"/>
      <c r="O356" s="20"/>
      <c r="P356" s="20"/>
      <c r="Q356" s="20"/>
      <c r="R356" s="20"/>
      <c r="S356" s="20"/>
      <c r="T356" s="20"/>
      <c r="U356" s="20"/>
      <c r="V356" s="20"/>
      <c r="W356" s="20"/>
      <c r="X356" s="20"/>
      <c r="Y356" s="20"/>
      <c r="Z356" s="20"/>
      <c r="AA356" s="20"/>
      <c r="AB356" s="20"/>
      <c r="AC356" s="20"/>
      <c r="AD356" s="20"/>
      <c r="AE356" s="20"/>
      <c r="AF356" s="20"/>
      <c r="AG356" s="20"/>
      <c r="AH356" s="20"/>
      <c r="AI356" s="20"/>
      <c r="AJ356" s="20"/>
      <c r="AK356" s="20"/>
      <c r="AL356" s="20"/>
      <c r="AM356" s="20"/>
      <c r="AN356" s="20"/>
      <c r="AO356" s="20"/>
      <c r="AP356" s="20"/>
      <c r="AQ356" s="20"/>
      <c r="AR356" s="20"/>
      <c r="AS356" s="20"/>
      <c r="AT356" s="20"/>
      <c r="AU356" s="20"/>
      <c r="AV356" s="20"/>
      <c r="AW356" s="20"/>
      <c r="AX356" s="20"/>
      <c r="AY356" s="20"/>
      <c r="AZ356" s="20"/>
      <c r="BA356" s="20"/>
      <c r="BB356" s="20"/>
      <c r="BC356" s="20"/>
      <c r="BD356" s="20"/>
      <c r="BE356" s="20"/>
      <c r="BF356" s="20"/>
      <c r="BG356" s="20"/>
      <c r="BH356" s="20"/>
      <c r="BI356" s="20"/>
      <c r="BJ356" s="20"/>
      <c r="BK356" s="20"/>
      <c r="BL356" s="20"/>
      <c r="BM356" s="20"/>
      <c r="BN356" s="20"/>
      <c r="BO356" s="20"/>
      <c r="BP356" s="20"/>
      <c r="BQ356" s="20"/>
      <c r="BR356" s="20"/>
      <c r="BS356" s="20"/>
      <c r="BT356" s="20"/>
      <c r="BU356" s="20"/>
      <c r="BV356" s="20"/>
      <c r="BW356" s="20"/>
      <c r="BX356" s="20"/>
      <c r="BY356" s="20"/>
      <c r="BZ356" s="20"/>
      <c r="CA356" s="20"/>
      <c r="CB356" s="20"/>
      <c r="CC356" s="20"/>
      <c r="CD356" s="20"/>
      <c r="CE356" s="20"/>
      <c r="CF356" s="20"/>
      <c r="CG356" s="20"/>
      <c r="CH356" s="20"/>
      <c r="CI356" s="20"/>
      <c r="CJ356" s="20"/>
      <c r="CK356" s="20"/>
      <c r="CL356" s="20"/>
      <c r="CM356" s="20"/>
      <c r="CN356" s="20"/>
      <c r="CO356" s="20"/>
      <c r="CP356" s="20"/>
      <c r="CQ356" s="20"/>
      <c r="CR356" s="20"/>
      <c r="CS356" s="20"/>
      <c r="CT356" s="20"/>
      <c r="CU356" s="20"/>
      <c r="CV356" s="20"/>
      <c r="CW356" s="20"/>
      <c r="CX356" s="20"/>
      <c r="CY356" s="20"/>
      <c r="CZ356" s="20"/>
      <c r="DA356" s="20"/>
      <c r="DB356" s="20"/>
      <c r="DC356" s="20"/>
      <c r="DD356" s="20"/>
      <c r="DE356" s="20"/>
      <c r="DF356" s="20"/>
      <c r="DG356" s="20"/>
      <c r="DH356" s="20"/>
      <c r="DI356" s="20"/>
      <c r="DJ356" s="20"/>
      <c r="DK356" s="20"/>
      <c r="DL356" s="20"/>
      <c r="DM356" s="20"/>
      <c r="DN356" s="20"/>
      <c r="DO356" s="20"/>
      <c r="DP356" s="20"/>
      <c r="DQ356" s="20"/>
      <c r="DR356" s="20"/>
      <c r="DS356" s="20"/>
      <c r="DT356" s="20"/>
      <c r="DU356" s="20"/>
      <c r="DV356" s="20"/>
      <c r="DW356" s="20"/>
      <c r="DX356" s="20"/>
      <c r="DY356" s="20"/>
      <c r="DZ356" s="20"/>
      <c r="EA356" s="20"/>
    </row>
  </sheetData>
  <sheetProtection algorithmName="SHA-512" hashValue="ewKVgQKuCY9dBSPuw1MPXvx3V7sNUKx3RCpmlf6cyQTb3B2tA713wqXMwOSdS54hyHURdgrr3JVMW0WagwNbsQ==" saltValue="SEbDgVt5xwQO92K0LnaXdg==" spinCount="100000" sheet="1" objects="1" scenarios="1"/>
  <mergeCells count="4610">
    <mergeCell ref="AA4:AC4"/>
    <mergeCell ref="CX48:CZ48"/>
    <mergeCell ref="CI101:CK101"/>
    <mergeCell ref="B133:K133"/>
    <mergeCell ref="BN114:BP114"/>
    <mergeCell ref="BK96:BM96"/>
    <mergeCell ref="U134:W134"/>
    <mergeCell ref="DG100:DI100"/>
    <mergeCell ref="CO108:CQ108"/>
    <mergeCell ref="AJ117:AL117"/>
    <mergeCell ref="AP13:AR13"/>
    <mergeCell ref="X21:Z21"/>
    <mergeCell ref="DP52:DR52"/>
    <mergeCell ref="CU65:CW65"/>
    <mergeCell ref="DM10:DO10"/>
    <mergeCell ref="CC76:CE76"/>
    <mergeCell ref="BW75:BY75"/>
    <mergeCell ref="CC103:CE103"/>
    <mergeCell ref="AA104:AC104"/>
    <mergeCell ref="AA114:AC114"/>
    <mergeCell ref="CF130:CH130"/>
    <mergeCell ref="BK12:BM12"/>
    <mergeCell ref="AY7:BA7"/>
    <mergeCell ref="CO109:CQ109"/>
    <mergeCell ref="BN130:BP130"/>
    <mergeCell ref="BK129:BM129"/>
    <mergeCell ref="AG42:AI42"/>
    <mergeCell ref="B5:I5"/>
    <mergeCell ref="X5:Z5"/>
    <mergeCell ref="B8:I8"/>
    <mergeCell ref="DG27:DI27"/>
    <mergeCell ref="U12:W12"/>
    <mergeCell ref="L126:N126"/>
    <mergeCell ref="R110:T110"/>
    <mergeCell ref="CC102:CE102"/>
    <mergeCell ref="CU25:CW25"/>
    <mergeCell ref="AS51:AU51"/>
    <mergeCell ref="AS64:AU64"/>
    <mergeCell ref="DY81:EA81"/>
    <mergeCell ref="CC73:CE73"/>
    <mergeCell ref="CF118:CH118"/>
    <mergeCell ref="DY107:EA107"/>
    <mergeCell ref="DV62:DX62"/>
    <mergeCell ref="DY101:EA101"/>
    <mergeCell ref="DY50:EA50"/>
    <mergeCell ref="DG102:DI102"/>
    <mergeCell ref="DY44:EA44"/>
    <mergeCell ref="BK55:BM55"/>
    <mergeCell ref="DD55:DF55"/>
    <mergeCell ref="BH53:BJ53"/>
    <mergeCell ref="DS124:DU124"/>
    <mergeCell ref="AG122:AI122"/>
    <mergeCell ref="DY73:EA73"/>
    <mergeCell ref="AS122:AU122"/>
    <mergeCell ref="DG110:DI110"/>
    <mergeCell ref="DY78:EA78"/>
    <mergeCell ref="DV26:DX26"/>
    <mergeCell ref="DY76:EA76"/>
    <mergeCell ref="AS50:AU50"/>
    <mergeCell ref="BB74:BD74"/>
    <mergeCell ref="BB59:BD59"/>
    <mergeCell ref="BK82:BM82"/>
    <mergeCell ref="BB61:BD61"/>
    <mergeCell ref="BK67:BM67"/>
    <mergeCell ref="B10:I10"/>
    <mergeCell ref="U137:W137"/>
    <mergeCell ref="R14:T14"/>
    <mergeCell ref="AJ84:AL84"/>
    <mergeCell ref="L108:N108"/>
    <mergeCell ref="AJ130:AL130"/>
    <mergeCell ref="CO137:CQ137"/>
    <mergeCell ref="AP53:AR53"/>
    <mergeCell ref="DA118:DC118"/>
    <mergeCell ref="CL55:CN55"/>
    <mergeCell ref="DS56:DU56"/>
    <mergeCell ref="DP108:DR108"/>
    <mergeCell ref="DS40:DU40"/>
    <mergeCell ref="CO136:CQ136"/>
    <mergeCell ref="BK133:BM133"/>
    <mergeCell ref="BE101:BG101"/>
    <mergeCell ref="DP132:DR132"/>
    <mergeCell ref="BE43:BG43"/>
    <mergeCell ref="X20:Z20"/>
    <mergeCell ref="X14:Z14"/>
    <mergeCell ref="R125:T125"/>
    <mergeCell ref="BZ29:CB29"/>
    <mergeCell ref="CL124:CN124"/>
    <mergeCell ref="BT47:BV47"/>
    <mergeCell ref="AY16:BA16"/>
    <mergeCell ref="DP119:DR119"/>
    <mergeCell ref="CX127:CZ127"/>
    <mergeCell ref="R79:T79"/>
    <mergeCell ref="DA52:DC52"/>
    <mergeCell ref="AJ108:AL108"/>
    <mergeCell ref="CC109:CE109"/>
    <mergeCell ref="AD130:AF130"/>
    <mergeCell ref="X23:Z23"/>
    <mergeCell ref="DM34:DO34"/>
    <mergeCell ref="BQ39:BS39"/>
    <mergeCell ref="CL26:CN26"/>
    <mergeCell ref="DM50:DO50"/>
    <mergeCell ref="BH74:BJ74"/>
    <mergeCell ref="AP82:AR82"/>
    <mergeCell ref="AM55:AO55"/>
    <mergeCell ref="CU78:CW78"/>
    <mergeCell ref="CX114:CZ114"/>
    <mergeCell ref="DM36:DO36"/>
    <mergeCell ref="DG40:DI40"/>
    <mergeCell ref="DJ16:DL16"/>
    <mergeCell ref="DP97:DR97"/>
    <mergeCell ref="BZ61:CB61"/>
    <mergeCell ref="BH79:BJ79"/>
    <mergeCell ref="X64:Z64"/>
    <mergeCell ref="CX59:CZ59"/>
    <mergeCell ref="AP77:AR77"/>
    <mergeCell ref="DA57:DC57"/>
    <mergeCell ref="CI25:CK25"/>
    <mergeCell ref="DG26:DI26"/>
    <mergeCell ref="AJ16:AL16"/>
    <mergeCell ref="AA17:AC17"/>
    <mergeCell ref="BE99:BG99"/>
    <mergeCell ref="AY84:BA84"/>
    <mergeCell ref="CL78:CN78"/>
    <mergeCell ref="CL84:CN84"/>
    <mergeCell ref="BT48:BV48"/>
    <mergeCell ref="X16:Z16"/>
    <mergeCell ref="AJ111:AL111"/>
    <mergeCell ref="CR69:CT69"/>
    <mergeCell ref="BN127:BP127"/>
    <mergeCell ref="CX61:CZ61"/>
    <mergeCell ref="DV9:DX9"/>
    <mergeCell ref="DV24:DX24"/>
    <mergeCell ref="CU39:CW39"/>
    <mergeCell ref="DS31:DU31"/>
    <mergeCell ref="DA28:DC28"/>
    <mergeCell ref="AA42:AC42"/>
    <mergeCell ref="AD39:AF39"/>
    <mergeCell ref="X31:Z31"/>
    <mergeCell ref="X39:Z39"/>
    <mergeCell ref="DM49:DO49"/>
    <mergeCell ref="DM85:DO85"/>
    <mergeCell ref="DS43:DU43"/>
    <mergeCell ref="DG97:DI97"/>
    <mergeCell ref="CI99:CK99"/>
    <mergeCell ref="DJ114:DL114"/>
    <mergeCell ref="AV120:AX120"/>
    <mergeCell ref="CF54:CH54"/>
    <mergeCell ref="BK103:BM103"/>
    <mergeCell ref="CU12:CW12"/>
    <mergeCell ref="DP121:DR121"/>
    <mergeCell ref="BZ19:CB19"/>
    <mergeCell ref="DP67:DR67"/>
    <mergeCell ref="DA30:DC30"/>
    <mergeCell ref="DS104:DU104"/>
    <mergeCell ref="DS79:DU79"/>
    <mergeCell ref="DV51:DX51"/>
    <mergeCell ref="DP42:DR42"/>
    <mergeCell ref="DP47:DR47"/>
    <mergeCell ref="DV124:DX124"/>
    <mergeCell ref="AD10:AF10"/>
    <mergeCell ref="DV139:DX139"/>
    <mergeCell ref="CX27:CZ27"/>
    <mergeCell ref="DD30:DF30"/>
    <mergeCell ref="CX38:CZ38"/>
    <mergeCell ref="CU45:CW45"/>
    <mergeCell ref="BW42:BY42"/>
    <mergeCell ref="DP73:DR73"/>
    <mergeCell ref="DY45:EA45"/>
    <mergeCell ref="DM117:DO117"/>
    <mergeCell ref="DV101:DX101"/>
    <mergeCell ref="CF85:CH85"/>
    <mergeCell ref="DS81:DU81"/>
    <mergeCell ref="DS96:DU96"/>
    <mergeCell ref="DV30:DX30"/>
    <mergeCell ref="DV111:DX111"/>
    <mergeCell ref="DS80:DU80"/>
    <mergeCell ref="DM57:DO57"/>
    <mergeCell ref="DV84:DX84"/>
    <mergeCell ref="DV99:DX99"/>
    <mergeCell ref="DV57:DX57"/>
    <mergeCell ref="DV78:DX78"/>
    <mergeCell ref="DG111:DI111"/>
    <mergeCell ref="CL97:CN97"/>
    <mergeCell ref="CU109:CW109"/>
    <mergeCell ref="DG107:DI107"/>
    <mergeCell ref="CC43:CE43"/>
    <mergeCell ref="DA36:DC36"/>
    <mergeCell ref="BZ30:CB30"/>
    <mergeCell ref="DD34:DF34"/>
    <mergeCell ref="CO38:CQ38"/>
    <mergeCell ref="DV43:DX43"/>
    <mergeCell ref="CF60:CH60"/>
    <mergeCell ref="BN137:BP137"/>
    <mergeCell ref="CC54:CE54"/>
    <mergeCell ref="DJ128:DL128"/>
    <mergeCell ref="DD122:DF122"/>
    <mergeCell ref="BT76:BV76"/>
    <mergeCell ref="CO81:CQ81"/>
    <mergeCell ref="DV102:DX102"/>
    <mergeCell ref="DM71:DO71"/>
    <mergeCell ref="DG108:DI108"/>
    <mergeCell ref="DP50:DR50"/>
    <mergeCell ref="CU102:CW102"/>
    <mergeCell ref="DG71:DI71"/>
    <mergeCell ref="CC84:CE84"/>
    <mergeCell ref="CF96:CH96"/>
    <mergeCell ref="DJ65:DL65"/>
    <mergeCell ref="BQ102:BS102"/>
    <mergeCell ref="DM75:DO75"/>
    <mergeCell ref="CC53:CE53"/>
    <mergeCell ref="CF117:CH117"/>
    <mergeCell ref="BN125:BP125"/>
    <mergeCell ref="DV126:DX126"/>
    <mergeCell ref="DV53:DX53"/>
    <mergeCell ref="DM53:DO53"/>
    <mergeCell ref="DV128:DX128"/>
    <mergeCell ref="DV127:DX127"/>
    <mergeCell ref="DV103:DX103"/>
    <mergeCell ref="DP53:DR53"/>
    <mergeCell ref="DJ58:DL58"/>
    <mergeCell ref="CL137:CN137"/>
    <mergeCell ref="CO133:CQ133"/>
    <mergeCell ref="BZ136:CB136"/>
    <mergeCell ref="DM64:DO64"/>
    <mergeCell ref="AS139:AU139"/>
    <mergeCell ref="CU60:CW60"/>
    <mergeCell ref="DD36:DF36"/>
    <mergeCell ref="AS138:AU138"/>
    <mergeCell ref="AS132:AU132"/>
    <mergeCell ref="BZ128:CB128"/>
    <mergeCell ref="BT130:BV130"/>
    <mergeCell ref="AS137:AU137"/>
    <mergeCell ref="BH29:BJ29"/>
    <mergeCell ref="DD31:DF31"/>
    <mergeCell ref="AS82:AU82"/>
    <mergeCell ref="BK68:BM68"/>
    <mergeCell ref="CR60:CT60"/>
    <mergeCell ref="BN133:BP133"/>
    <mergeCell ref="CC55:CE55"/>
    <mergeCell ref="AV133:AX133"/>
    <mergeCell ref="BT136:BV136"/>
    <mergeCell ref="BW137:BY137"/>
    <mergeCell ref="BN138:BP138"/>
    <mergeCell ref="BN108:BP108"/>
    <mergeCell ref="CO84:CQ84"/>
    <mergeCell ref="CO78:CQ78"/>
    <mergeCell ref="BQ108:BS108"/>
    <mergeCell ref="BH59:BJ59"/>
    <mergeCell ref="BT110:BV110"/>
    <mergeCell ref="CX128:CZ128"/>
    <mergeCell ref="CR80:CT80"/>
    <mergeCell ref="CO120:CQ120"/>
    <mergeCell ref="CO96:CQ96"/>
    <mergeCell ref="CU76:CW76"/>
    <mergeCell ref="DA79:DC79"/>
    <mergeCell ref="BT124:BV124"/>
    <mergeCell ref="AD17:AF17"/>
    <mergeCell ref="DJ7:DL7"/>
    <mergeCell ref="CO20:CQ20"/>
    <mergeCell ref="AY13:BA13"/>
    <mergeCell ref="AV23:AX23"/>
    <mergeCell ref="CO23:CQ23"/>
    <mergeCell ref="BZ13:CB13"/>
    <mergeCell ref="CU8:CW8"/>
    <mergeCell ref="DG36:DI36"/>
    <mergeCell ref="AD56:AF56"/>
    <mergeCell ref="CX55:CZ55"/>
    <mergeCell ref="BZ34:CB34"/>
    <mergeCell ref="DJ56:DL56"/>
    <mergeCell ref="BN34:BP34"/>
    <mergeCell ref="BB19:BD19"/>
    <mergeCell ref="AV25:AX25"/>
    <mergeCell ref="AM28:AO28"/>
    <mergeCell ref="BT24:BV24"/>
    <mergeCell ref="AD7:AF7"/>
    <mergeCell ref="AG24:AI24"/>
    <mergeCell ref="AD47:AF47"/>
    <mergeCell ref="CX20:CZ20"/>
    <mergeCell ref="BE11:BG11"/>
    <mergeCell ref="AS13:AU13"/>
    <mergeCell ref="BE8:BG8"/>
    <mergeCell ref="O4:Q4"/>
    <mergeCell ref="AP19:AR19"/>
    <mergeCell ref="U32:W32"/>
    <mergeCell ref="CU77:CW77"/>
    <mergeCell ref="BB114:BD114"/>
    <mergeCell ref="BB43:BD43"/>
    <mergeCell ref="CU5:CW5"/>
    <mergeCell ref="BH26:BJ26"/>
    <mergeCell ref="O96:Q96"/>
    <mergeCell ref="AG38:AI38"/>
    <mergeCell ref="CC42:CE42"/>
    <mergeCell ref="AS108:AU108"/>
    <mergeCell ref="BQ78:BS78"/>
    <mergeCell ref="X17:Z17"/>
    <mergeCell ref="AY32:BA32"/>
    <mergeCell ref="O98:Q98"/>
    <mergeCell ref="AG40:AI40"/>
    <mergeCell ref="CC44:CE44"/>
    <mergeCell ref="BH84:BJ84"/>
    <mergeCell ref="AS7:AU7"/>
    <mergeCell ref="AP6:AR6"/>
    <mergeCell ref="CR101:CT101"/>
    <mergeCell ref="BK41:BM41"/>
    <mergeCell ref="R78:T78"/>
    <mergeCell ref="BT11:BV11"/>
    <mergeCell ref="AV60:AX60"/>
    <mergeCell ref="BH57:BJ57"/>
    <mergeCell ref="BB30:BD30"/>
    <mergeCell ref="AJ56:AL56"/>
    <mergeCell ref="O82:Q82"/>
    <mergeCell ref="BK69:BM69"/>
    <mergeCell ref="DS19:DU19"/>
    <mergeCell ref="AS58:AU58"/>
    <mergeCell ref="CL67:CN67"/>
    <mergeCell ref="DD53:DF53"/>
    <mergeCell ref="BQ74:BS74"/>
    <mergeCell ref="BN47:BP47"/>
    <mergeCell ref="AV27:AX27"/>
    <mergeCell ref="DM18:DO18"/>
    <mergeCell ref="DV71:DX71"/>
    <mergeCell ref="BH77:BJ77"/>
    <mergeCell ref="AG64:AI64"/>
    <mergeCell ref="DV59:DX59"/>
    <mergeCell ref="CR71:CT71"/>
    <mergeCell ref="AG74:AI74"/>
    <mergeCell ref="DP41:DR41"/>
    <mergeCell ref="DV41:DX41"/>
    <mergeCell ref="DV19:DX19"/>
    <mergeCell ref="DG75:DI75"/>
    <mergeCell ref="DV55:DX55"/>
    <mergeCell ref="DG62:DI62"/>
    <mergeCell ref="DV60:DX60"/>
    <mergeCell ref="AY18:BA18"/>
    <mergeCell ref="DD29:DF29"/>
    <mergeCell ref="DD52:DF52"/>
    <mergeCell ref="AV61:AX61"/>
    <mergeCell ref="AP32:AR32"/>
    <mergeCell ref="CX69:CZ69"/>
    <mergeCell ref="BE25:BG25"/>
    <mergeCell ref="DD28:DF28"/>
    <mergeCell ref="DM24:DO24"/>
    <mergeCell ref="DV7:DX7"/>
    <mergeCell ref="DA20:DC20"/>
    <mergeCell ref="DA14:DC14"/>
    <mergeCell ref="DS6:DU6"/>
    <mergeCell ref="DV58:DX58"/>
    <mergeCell ref="BQ8:BS8"/>
    <mergeCell ref="CU18:CW18"/>
    <mergeCell ref="BZ31:CB31"/>
    <mergeCell ref="DV35:DX35"/>
    <mergeCell ref="CO111:CQ111"/>
    <mergeCell ref="CI8:CK8"/>
    <mergeCell ref="CR7:CT7"/>
    <mergeCell ref="DS20:DU20"/>
    <mergeCell ref="DS21:DU21"/>
    <mergeCell ref="DP57:DR57"/>
    <mergeCell ref="DP59:DR59"/>
    <mergeCell ref="DM30:DO30"/>
    <mergeCell ref="DD16:DF16"/>
    <mergeCell ref="CC28:CE28"/>
    <mergeCell ref="CC34:CE34"/>
    <mergeCell ref="BT7:BV7"/>
    <mergeCell ref="DJ6:DL6"/>
    <mergeCell ref="DG6:DI6"/>
    <mergeCell ref="CF44:CH44"/>
    <mergeCell ref="DM8:DO8"/>
    <mergeCell ref="DM7:DO7"/>
    <mergeCell ref="DJ59:DL59"/>
    <mergeCell ref="CC12:CE12"/>
    <mergeCell ref="DD27:DF27"/>
    <mergeCell ref="DV81:DX81"/>
    <mergeCell ref="CR82:CT82"/>
    <mergeCell ref="CU114:CW114"/>
    <mergeCell ref="DA29:DC29"/>
    <mergeCell ref="DA35:DC35"/>
    <mergeCell ref="DA38:DC38"/>
    <mergeCell ref="BW110:BY110"/>
    <mergeCell ref="BN19:BP19"/>
    <mergeCell ref="BW25:BY25"/>
    <mergeCell ref="DS49:DU49"/>
    <mergeCell ref="DS12:DU12"/>
    <mergeCell ref="DA64:DC64"/>
    <mergeCell ref="DS39:DU39"/>
    <mergeCell ref="DV31:DX31"/>
    <mergeCell ref="DV17:DX17"/>
    <mergeCell ref="AM31:AO31"/>
    <mergeCell ref="DV73:DX73"/>
    <mergeCell ref="CI41:CK41"/>
    <mergeCell ref="CU23:CW23"/>
    <mergeCell ref="DA37:DC37"/>
    <mergeCell ref="AM18:AO18"/>
    <mergeCell ref="AV24:AX24"/>
    <mergeCell ref="AS101:AU101"/>
    <mergeCell ref="BH114:BJ114"/>
    <mergeCell ref="AM51:AO51"/>
    <mergeCell ref="AM59:AO59"/>
    <mergeCell ref="BT28:BV28"/>
    <mergeCell ref="BW104:BY104"/>
    <mergeCell ref="BK54:BM54"/>
    <mergeCell ref="AS62:AU62"/>
    <mergeCell ref="BT95:BV95"/>
    <mergeCell ref="BK80:BM80"/>
    <mergeCell ref="AV48:AX48"/>
    <mergeCell ref="BW62:BY62"/>
    <mergeCell ref="AY51:BA51"/>
    <mergeCell ref="BH41:BJ41"/>
    <mergeCell ref="BE111:BG111"/>
    <mergeCell ref="BE61:BG61"/>
    <mergeCell ref="AY55:BA55"/>
    <mergeCell ref="CR114:CT114"/>
    <mergeCell ref="BK23:BM23"/>
    <mergeCell ref="DV6:DX6"/>
    <mergeCell ref="DJ11:DL11"/>
    <mergeCell ref="DS30:DU30"/>
    <mergeCell ref="DP26:DR26"/>
    <mergeCell ref="DM25:DO25"/>
    <mergeCell ref="DM47:DO47"/>
    <mergeCell ref="DJ76:DL76"/>
    <mergeCell ref="DA24:DC24"/>
    <mergeCell ref="DM59:DO59"/>
    <mergeCell ref="BK102:BM102"/>
    <mergeCell ref="DS13:DU13"/>
    <mergeCell ref="DM107:DO107"/>
    <mergeCell ref="CI6:CK6"/>
    <mergeCell ref="CX11:CZ11"/>
    <mergeCell ref="DS14:DU14"/>
    <mergeCell ref="DS17:DU17"/>
    <mergeCell ref="DV75:DX75"/>
    <mergeCell ref="AP103:AR103"/>
    <mergeCell ref="BK71:BM71"/>
    <mergeCell ref="AP74:AR74"/>
    <mergeCell ref="BH73:BJ73"/>
    <mergeCell ref="CC74:CE74"/>
    <mergeCell ref="BW43:BY43"/>
    <mergeCell ref="BN74:BP74"/>
    <mergeCell ref="AP114:AR114"/>
    <mergeCell ref="AM77:AO77"/>
    <mergeCell ref="AP107:AR107"/>
    <mergeCell ref="AP102:AR102"/>
    <mergeCell ref="BH115:BJ115"/>
    <mergeCell ref="BT67:BV67"/>
    <mergeCell ref="BT65:BV65"/>
    <mergeCell ref="AP111:AR111"/>
    <mergeCell ref="AP101:AR101"/>
    <mergeCell ref="BK60:BM60"/>
    <mergeCell ref="BN101:BP101"/>
    <mergeCell ref="AP61:AR61"/>
    <mergeCell ref="BB85:BD85"/>
    <mergeCell ref="AS95:AU95"/>
    <mergeCell ref="AM7:AO7"/>
    <mergeCell ref="BQ23:BS23"/>
    <mergeCell ref="AV36:AX36"/>
    <mergeCell ref="AV30:AX30"/>
    <mergeCell ref="DM79:DO79"/>
    <mergeCell ref="AP37:AR37"/>
    <mergeCell ref="DJ9:DL9"/>
    <mergeCell ref="BQ21:BS21"/>
    <mergeCell ref="AV28:AX28"/>
    <mergeCell ref="DG114:DI114"/>
    <mergeCell ref="DG115:DI115"/>
    <mergeCell ref="AM128:AO128"/>
    <mergeCell ref="BE117:BG117"/>
    <mergeCell ref="BW116:BY116"/>
    <mergeCell ref="CX85:CZ85"/>
    <mergeCell ref="DD57:DF57"/>
    <mergeCell ref="DA12:DC12"/>
    <mergeCell ref="DG109:DI109"/>
    <mergeCell ref="CO30:CQ30"/>
    <mergeCell ref="AS40:AU40"/>
    <mergeCell ref="BQ37:BS37"/>
    <mergeCell ref="AV59:AX59"/>
    <mergeCell ref="BZ120:CB120"/>
    <mergeCell ref="DG32:DI32"/>
    <mergeCell ref="DD78:DF78"/>
    <mergeCell ref="DM54:DO54"/>
    <mergeCell ref="CF25:CH25"/>
    <mergeCell ref="DG43:DI43"/>
    <mergeCell ref="CC78:CE78"/>
    <mergeCell ref="CL126:CN126"/>
    <mergeCell ref="AV107:AX107"/>
    <mergeCell ref="BQ53:BS53"/>
    <mergeCell ref="DP137:DR137"/>
    <mergeCell ref="CU134:CW134"/>
    <mergeCell ref="DM120:DO120"/>
    <mergeCell ref="DJ75:DL75"/>
    <mergeCell ref="BK104:BM104"/>
    <mergeCell ref="AP117:AR117"/>
    <mergeCell ref="CU47:CW47"/>
    <mergeCell ref="BH68:BJ68"/>
    <mergeCell ref="BN134:BP134"/>
    <mergeCell ref="CU127:CW127"/>
    <mergeCell ref="CR126:CT126"/>
    <mergeCell ref="AV101:AX101"/>
    <mergeCell ref="CU115:CW115"/>
    <mergeCell ref="AS99:AU99"/>
    <mergeCell ref="BT77:BV77"/>
    <mergeCell ref="BE125:BG125"/>
    <mergeCell ref="DJ110:DL110"/>
    <mergeCell ref="CR107:CT107"/>
    <mergeCell ref="AP127:AR127"/>
    <mergeCell ref="BE129:BG129"/>
    <mergeCell ref="AV126:AX126"/>
    <mergeCell ref="CU55:CW55"/>
    <mergeCell ref="DM118:DO118"/>
    <mergeCell ref="AV132:AX132"/>
    <mergeCell ref="CF109:CH109"/>
    <mergeCell ref="AP132:AR132"/>
    <mergeCell ref="CR50:CT50"/>
    <mergeCell ref="BB125:BD125"/>
    <mergeCell ref="BK122:BM122"/>
    <mergeCell ref="BK115:BM115"/>
    <mergeCell ref="AY68:BA68"/>
    <mergeCell ref="AY124:BA124"/>
    <mergeCell ref="CI78:CK78"/>
    <mergeCell ref="BB53:BD53"/>
    <mergeCell ref="BK107:BM107"/>
    <mergeCell ref="CI56:CK56"/>
    <mergeCell ref="BT52:BV52"/>
    <mergeCell ref="AM42:AO42"/>
    <mergeCell ref="CC114:CE114"/>
    <mergeCell ref="BZ44:CB44"/>
    <mergeCell ref="AS117:AU117"/>
    <mergeCell ref="AJ114:AL114"/>
    <mergeCell ref="L121:N121"/>
    <mergeCell ref="CX104:CZ104"/>
    <mergeCell ref="AA51:AC51"/>
    <mergeCell ref="AA57:AC57"/>
    <mergeCell ref="AG101:AI101"/>
    <mergeCell ref="DJ138:DL138"/>
    <mergeCell ref="CL51:CN51"/>
    <mergeCell ref="AV116:AX116"/>
    <mergeCell ref="BK138:BM138"/>
    <mergeCell ref="BQ43:BS43"/>
    <mergeCell ref="AJ125:AL125"/>
    <mergeCell ref="AY108:BA108"/>
    <mergeCell ref="BZ53:CB53"/>
    <mergeCell ref="AS67:AU67"/>
    <mergeCell ref="AS116:AU116"/>
    <mergeCell ref="CL116:CN116"/>
    <mergeCell ref="BB62:BD62"/>
    <mergeCell ref="BQ55:BS55"/>
    <mergeCell ref="AJ122:AL122"/>
    <mergeCell ref="CI120:CK120"/>
    <mergeCell ref="CF119:CH119"/>
    <mergeCell ref="BB51:BD51"/>
    <mergeCell ref="O133:Q133"/>
    <mergeCell ref="AY67:BA67"/>
    <mergeCell ref="BE21:BG21"/>
    <mergeCell ref="AA36:AC36"/>
    <mergeCell ref="B21:K21"/>
    <mergeCell ref="AS37:AU37"/>
    <mergeCell ref="CL40:CN40"/>
    <mergeCell ref="BW19:BY19"/>
    <mergeCell ref="BN42:BP42"/>
    <mergeCell ref="BN52:BP52"/>
    <mergeCell ref="AM32:AO32"/>
    <mergeCell ref="X28:Z28"/>
    <mergeCell ref="X35:Z35"/>
    <mergeCell ref="O21:Q21"/>
    <mergeCell ref="L52:N52"/>
    <mergeCell ref="L53:N53"/>
    <mergeCell ref="O35:Q35"/>
    <mergeCell ref="O43:Q43"/>
    <mergeCell ref="U55:W55"/>
    <mergeCell ref="AM53:AO53"/>
    <mergeCell ref="BH48:BJ48"/>
    <mergeCell ref="AM36:AO36"/>
    <mergeCell ref="AG55:AI55"/>
    <mergeCell ref="AP36:AR36"/>
    <mergeCell ref="CI21:CK21"/>
    <mergeCell ref="AA54:AC54"/>
    <mergeCell ref="X52:Z52"/>
    <mergeCell ref="AP26:AR26"/>
    <mergeCell ref="R34:T34"/>
    <mergeCell ref="L24:N24"/>
    <mergeCell ref="AD115:AF115"/>
    <mergeCell ref="BH121:BJ121"/>
    <mergeCell ref="CR129:CT129"/>
    <mergeCell ref="DM116:DO116"/>
    <mergeCell ref="CR31:CT31"/>
    <mergeCell ref="BH97:BJ97"/>
    <mergeCell ref="AA68:AC68"/>
    <mergeCell ref="BE20:BG20"/>
    <mergeCell ref="L20:N20"/>
    <mergeCell ref="B23:K23"/>
    <mergeCell ref="CO40:CQ40"/>
    <mergeCell ref="J41:K41"/>
    <mergeCell ref="B29:I29"/>
    <mergeCell ref="O55:Q55"/>
    <mergeCell ref="CL53:CN53"/>
    <mergeCell ref="AY45:BA45"/>
    <mergeCell ref="BE39:BG39"/>
    <mergeCell ref="O23:Q23"/>
    <mergeCell ref="BB127:BD127"/>
    <mergeCell ref="L125:N125"/>
    <mergeCell ref="X124:Z124"/>
    <mergeCell ref="CR120:CT120"/>
    <mergeCell ref="BT104:BV104"/>
    <mergeCell ref="AM109:AO109"/>
    <mergeCell ref="AG78:AI78"/>
    <mergeCell ref="CX36:CZ36"/>
    <mergeCell ref="R80:T80"/>
    <mergeCell ref="U36:W36"/>
    <mergeCell ref="AV52:AX52"/>
    <mergeCell ref="AD53:AF53"/>
    <mergeCell ref="X60:Z60"/>
    <mergeCell ref="AD121:AF121"/>
    <mergeCell ref="AJ104:AL104"/>
    <mergeCell ref="AM73:AO73"/>
    <mergeCell ref="B136:K137"/>
    <mergeCell ref="BZ137:CB137"/>
    <mergeCell ref="BE5:BG5"/>
    <mergeCell ref="AM19:AO19"/>
    <mergeCell ref="B53:K53"/>
    <mergeCell ref="CI50:CK50"/>
    <mergeCell ref="DG20:DI20"/>
    <mergeCell ref="CI44:CK44"/>
    <mergeCell ref="BN57:BP57"/>
    <mergeCell ref="AV71:AX71"/>
    <mergeCell ref="AD19:AF19"/>
    <mergeCell ref="AM48:AO48"/>
    <mergeCell ref="CF7:CH7"/>
    <mergeCell ref="AM44:AO44"/>
    <mergeCell ref="AV73:AX73"/>
    <mergeCell ref="CC6:CE6"/>
    <mergeCell ref="O44:Q44"/>
    <mergeCell ref="AS60:AU60"/>
    <mergeCell ref="L35:N35"/>
    <mergeCell ref="CI13:CK13"/>
    <mergeCell ref="AG47:AI47"/>
    <mergeCell ref="AJ43:AL43"/>
    <mergeCell ref="AA21:AC21"/>
    <mergeCell ref="BW23:BY23"/>
    <mergeCell ref="AA23:AC23"/>
    <mergeCell ref="U49:W49"/>
    <mergeCell ref="L55:N55"/>
    <mergeCell ref="L38:N38"/>
    <mergeCell ref="O54:Q54"/>
    <mergeCell ref="CU44:CW44"/>
    <mergeCell ref="AY42:BA42"/>
    <mergeCell ref="AS136:AU136"/>
    <mergeCell ref="CO139:CQ139"/>
    <mergeCell ref="BZ139:CB139"/>
    <mergeCell ref="DP136:DR136"/>
    <mergeCell ref="DS137:DU137"/>
    <mergeCell ref="CX103:CZ103"/>
    <mergeCell ref="DP107:DR107"/>
    <mergeCell ref="DA117:DC117"/>
    <mergeCell ref="DS129:DU129"/>
    <mergeCell ref="CI126:CK126"/>
    <mergeCell ref="CI133:CK133"/>
    <mergeCell ref="DM136:DO136"/>
    <mergeCell ref="DA136:DC136"/>
    <mergeCell ref="DS82:DU82"/>
    <mergeCell ref="CX95:CZ95"/>
    <mergeCell ref="BK78:BM78"/>
    <mergeCell ref="CU116:CW116"/>
    <mergeCell ref="CC35:CE35"/>
    <mergeCell ref="DM102:DO102"/>
    <mergeCell ref="CC99:CE99"/>
    <mergeCell ref="DG53:DI53"/>
    <mergeCell ref="BZ100:CB100"/>
    <mergeCell ref="DP44:DR44"/>
    <mergeCell ref="CI136:CK136"/>
    <mergeCell ref="CO59:CQ59"/>
    <mergeCell ref="DM45:DO45"/>
    <mergeCell ref="CU97:CW97"/>
    <mergeCell ref="CR124:CT124"/>
    <mergeCell ref="CL108:CN108"/>
    <mergeCell ref="DM76:DO76"/>
    <mergeCell ref="CR35:CT35"/>
    <mergeCell ref="CL49:CN49"/>
    <mergeCell ref="CU125:CW125"/>
    <mergeCell ref="AY139:BA139"/>
    <mergeCell ref="CC138:CE138"/>
    <mergeCell ref="CL139:CN139"/>
    <mergeCell ref="O42:Q42"/>
    <mergeCell ref="R122:T122"/>
    <mergeCell ref="R95:T95"/>
    <mergeCell ref="AS96:AU96"/>
    <mergeCell ref="O104:Q104"/>
    <mergeCell ref="X97:Z97"/>
    <mergeCell ref="AA64:AC64"/>
    <mergeCell ref="AA117:AC117"/>
    <mergeCell ref="AG81:AI81"/>
    <mergeCell ref="AP58:AR58"/>
    <mergeCell ref="BZ82:CB82"/>
    <mergeCell ref="AP52:AR52"/>
    <mergeCell ref="AY115:BA115"/>
    <mergeCell ref="BE109:BG109"/>
    <mergeCell ref="R56:T56"/>
    <mergeCell ref="X138:Z138"/>
    <mergeCell ref="CL127:CN127"/>
    <mergeCell ref="BQ111:BS111"/>
    <mergeCell ref="BZ62:CB62"/>
    <mergeCell ref="BT119:BV119"/>
    <mergeCell ref="BE132:BG132"/>
    <mergeCell ref="CI96:CK96"/>
    <mergeCell ref="BZ122:CB122"/>
    <mergeCell ref="BB124:BD124"/>
    <mergeCell ref="BE62:BG62"/>
    <mergeCell ref="BZ138:CB138"/>
    <mergeCell ref="CL125:CN125"/>
    <mergeCell ref="AA132:AC132"/>
    <mergeCell ref="R134:T134"/>
    <mergeCell ref="BT132:BV132"/>
    <mergeCell ref="DM100:DO100"/>
    <mergeCell ref="DA39:DC39"/>
    <mergeCell ref="BH96:BJ96"/>
    <mergeCell ref="DJ64:DL64"/>
    <mergeCell ref="CC41:CE41"/>
    <mergeCell ref="CL25:CN25"/>
    <mergeCell ref="BK37:BM37"/>
    <mergeCell ref="CC137:CE137"/>
    <mergeCell ref="DJ25:DL25"/>
    <mergeCell ref="BH130:BJ130"/>
    <mergeCell ref="BH132:BJ132"/>
    <mergeCell ref="CX25:CZ25"/>
    <mergeCell ref="DM27:DO27"/>
    <mergeCell ref="DA130:DC130"/>
    <mergeCell ref="DA132:DC132"/>
    <mergeCell ref="CR122:CT122"/>
    <mergeCell ref="BH129:BJ129"/>
    <mergeCell ref="CL82:CN82"/>
    <mergeCell ref="BN29:BP29"/>
    <mergeCell ref="CU49:CW49"/>
    <mergeCell ref="CI129:CK129"/>
    <mergeCell ref="CC116:CE116"/>
    <mergeCell ref="DA65:DC65"/>
    <mergeCell ref="CC77:CE77"/>
    <mergeCell ref="CU121:CW121"/>
    <mergeCell ref="BZ95:CB95"/>
    <mergeCell ref="BN81:BP81"/>
    <mergeCell ref="CF69:CH69"/>
    <mergeCell ref="CX133:CZ133"/>
    <mergeCell ref="DG29:DI29"/>
    <mergeCell ref="DD132:DF132"/>
    <mergeCell ref="DJ139:DL139"/>
    <mergeCell ref="CR139:CT139"/>
    <mergeCell ref="DJ84:DL84"/>
    <mergeCell ref="CC51:CE51"/>
    <mergeCell ref="CF134:CH134"/>
    <mergeCell ref="CR136:CT136"/>
    <mergeCell ref="CR111:CT111"/>
    <mergeCell ref="DS139:DU139"/>
    <mergeCell ref="DJ109:DL109"/>
    <mergeCell ref="DS126:DU126"/>
    <mergeCell ref="BN68:BP68"/>
    <mergeCell ref="BW120:BY120"/>
    <mergeCell ref="DJ96:DL96"/>
    <mergeCell ref="BK136:BM136"/>
    <mergeCell ref="BN132:BP132"/>
    <mergeCell ref="CF82:CH82"/>
    <mergeCell ref="DP139:DR139"/>
    <mergeCell ref="DA121:DC121"/>
    <mergeCell ref="BZ55:CB55"/>
    <mergeCell ref="CF61:CH61"/>
    <mergeCell ref="BN115:BP115"/>
    <mergeCell ref="BN129:BP129"/>
    <mergeCell ref="BK98:BM98"/>
    <mergeCell ref="BK126:BM126"/>
    <mergeCell ref="BZ119:CB119"/>
    <mergeCell ref="BN119:BP119"/>
    <mergeCell ref="BT129:BV129"/>
    <mergeCell ref="CO110:CQ110"/>
    <mergeCell ref="CL107:CN107"/>
    <mergeCell ref="CF128:CH128"/>
    <mergeCell ref="CL133:CN133"/>
    <mergeCell ref="BT102:BV102"/>
    <mergeCell ref="DD138:DF138"/>
    <mergeCell ref="CF75:CH75"/>
    <mergeCell ref="BQ47:BS47"/>
    <mergeCell ref="CR74:CT74"/>
    <mergeCell ref="BW81:BY81"/>
    <mergeCell ref="BT57:BV57"/>
    <mergeCell ref="DV97:DX97"/>
    <mergeCell ref="DS52:DU52"/>
    <mergeCell ref="CX65:CZ65"/>
    <mergeCell ref="DA110:DC110"/>
    <mergeCell ref="CI118:CK118"/>
    <mergeCell ref="DG117:DI117"/>
    <mergeCell ref="BW79:BY79"/>
    <mergeCell ref="DA95:DC95"/>
    <mergeCell ref="BT64:BV64"/>
    <mergeCell ref="DY133:EA133"/>
    <mergeCell ref="DP81:DR81"/>
    <mergeCell ref="DY96:EA96"/>
    <mergeCell ref="DS128:DU128"/>
    <mergeCell ref="CF133:CH133"/>
    <mergeCell ref="BW132:BY132"/>
    <mergeCell ref="BW134:BY134"/>
    <mergeCell ref="CL119:CN119"/>
    <mergeCell ref="CR128:CT128"/>
    <mergeCell ref="BZ118:CB118"/>
    <mergeCell ref="BQ76:BS76"/>
    <mergeCell ref="BT111:BV111"/>
    <mergeCell ref="BQ117:BS117"/>
    <mergeCell ref="CO132:CQ132"/>
    <mergeCell ref="CC108:CE108"/>
    <mergeCell ref="DA134:DC134"/>
    <mergeCell ref="DM130:DO130"/>
    <mergeCell ref="AP128:AR128"/>
    <mergeCell ref="BZ37:CB37"/>
    <mergeCell ref="B64:K65"/>
    <mergeCell ref="X130:Z130"/>
    <mergeCell ref="AD21:AF21"/>
    <mergeCell ref="DA21:DC21"/>
    <mergeCell ref="CF34:CH34"/>
    <mergeCell ref="CI79:CK79"/>
    <mergeCell ref="BE18:BG18"/>
    <mergeCell ref="DJ26:DL26"/>
    <mergeCell ref="CO39:CQ39"/>
    <mergeCell ref="B127:I127"/>
    <mergeCell ref="CR23:CT23"/>
    <mergeCell ref="CR110:CT110"/>
    <mergeCell ref="J29:K29"/>
    <mergeCell ref="AJ68:AL68"/>
    <mergeCell ref="BQ130:BS130"/>
    <mergeCell ref="BQ62:BS62"/>
    <mergeCell ref="CR75:CT75"/>
    <mergeCell ref="BN59:BP59"/>
    <mergeCell ref="CC130:CE130"/>
    <mergeCell ref="CI108:CK108"/>
    <mergeCell ref="DJ129:DL129"/>
    <mergeCell ref="CO51:CQ51"/>
    <mergeCell ref="B58:K58"/>
    <mergeCell ref="B52:K52"/>
    <mergeCell ref="DG19:DI19"/>
    <mergeCell ref="J124:K124"/>
    <mergeCell ref="CL32:CN32"/>
    <mergeCell ref="BW85:BY85"/>
    <mergeCell ref="U69:W69"/>
    <mergeCell ref="AP56:AR56"/>
    <mergeCell ref="AJ133:AL133"/>
    <mergeCell ref="B145:AU145"/>
    <mergeCell ref="R31:T31"/>
    <mergeCell ref="DJ115:DL115"/>
    <mergeCell ref="J97:K97"/>
    <mergeCell ref="AS25:AU25"/>
    <mergeCell ref="U25:W25"/>
    <mergeCell ref="L133:N133"/>
    <mergeCell ref="BN53:BP53"/>
    <mergeCell ref="AV67:AX67"/>
    <mergeCell ref="L127:N127"/>
    <mergeCell ref="DJ111:DL111"/>
    <mergeCell ref="DG138:DI138"/>
    <mergeCell ref="BB139:BD139"/>
    <mergeCell ref="DG139:DI139"/>
    <mergeCell ref="B138:I138"/>
    <mergeCell ref="AM34:AO34"/>
    <mergeCell ref="AP73:AR73"/>
    <mergeCell ref="O59:Q59"/>
    <mergeCell ref="BT44:BV44"/>
    <mergeCell ref="X111:Z111"/>
    <mergeCell ref="O127:Q127"/>
    <mergeCell ref="AJ139:AL139"/>
    <mergeCell ref="B134:K134"/>
    <mergeCell ref="CF139:CH139"/>
    <mergeCell ref="AA130:AC130"/>
    <mergeCell ref="CI34:CK34"/>
    <mergeCell ref="CX130:CZ130"/>
    <mergeCell ref="CU129:CW129"/>
    <mergeCell ref="AP71:AR71"/>
    <mergeCell ref="L124:N124"/>
    <mergeCell ref="BE130:BG130"/>
    <mergeCell ref="L139:N139"/>
    <mergeCell ref="AM133:AO133"/>
    <mergeCell ref="AJ96:AL96"/>
    <mergeCell ref="AS109:AU109"/>
    <mergeCell ref="O60:Q60"/>
    <mergeCell ref="AS128:AU128"/>
    <mergeCell ref="BQ124:BS124"/>
    <mergeCell ref="X84:Z84"/>
    <mergeCell ref="AS79:AU79"/>
    <mergeCell ref="X121:Z121"/>
    <mergeCell ref="BB118:BD118"/>
    <mergeCell ref="AS134:AU134"/>
    <mergeCell ref="BW130:BY130"/>
    <mergeCell ref="J80:K80"/>
    <mergeCell ref="X120:Z120"/>
    <mergeCell ref="X127:Z127"/>
    <mergeCell ref="J96:K96"/>
    <mergeCell ref="B129:K129"/>
    <mergeCell ref="BN110:BP110"/>
    <mergeCell ref="AD120:AF120"/>
    <mergeCell ref="AV79:AX79"/>
    <mergeCell ref="BE95:BG95"/>
    <mergeCell ref="AA122:AC122"/>
    <mergeCell ref="BW95:BY95"/>
    <mergeCell ref="AV81:AX81"/>
    <mergeCell ref="BT118:BV118"/>
    <mergeCell ref="O107:Q107"/>
    <mergeCell ref="AP118:AR118"/>
    <mergeCell ref="B62:K62"/>
    <mergeCell ref="BT73:BV73"/>
    <mergeCell ref="J101:K101"/>
    <mergeCell ref="BK117:BM117"/>
    <mergeCell ref="L4:N4"/>
    <mergeCell ref="CI48:CK48"/>
    <mergeCell ref="R51:T51"/>
    <mergeCell ref="AV69:AX69"/>
    <mergeCell ref="BN55:BP55"/>
    <mergeCell ref="AV96:AX96"/>
    <mergeCell ref="AD104:AF104"/>
    <mergeCell ref="BZ108:CB108"/>
    <mergeCell ref="CX78:CZ78"/>
    <mergeCell ref="AY107:BA107"/>
    <mergeCell ref="L128:N128"/>
    <mergeCell ref="DG130:DI130"/>
    <mergeCell ref="CF32:CH32"/>
    <mergeCell ref="AV98:AX98"/>
    <mergeCell ref="CO57:CQ57"/>
    <mergeCell ref="CX80:CZ80"/>
    <mergeCell ref="CI43:CK43"/>
    <mergeCell ref="AV64:AX64"/>
    <mergeCell ref="AJ32:AL32"/>
    <mergeCell ref="CO50:CQ50"/>
    <mergeCell ref="U85:W85"/>
    <mergeCell ref="BE116:BG116"/>
    <mergeCell ref="DG34:DI34"/>
    <mergeCell ref="BN71:BP71"/>
    <mergeCell ref="DG28:DI28"/>
    <mergeCell ref="CL41:CN41"/>
    <mergeCell ref="BB107:BD107"/>
    <mergeCell ref="U78:W78"/>
    <mergeCell ref="AM82:AO82"/>
    <mergeCell ref="BN122:BP122"/>
    <mergeCell ref="CX31:CZ31"/>
    <mergeCell ref="DD19:DF19"/>
    <mergeCell ref="DY4:EA4"/>
    <mergeCell ref="DD17:DF17"/>
    <mergeCell ref="DP85:DR85"/>
    <mergeCell ref="BE40:BG40"/>
    <mergeCell ref="BN69:BP69"/>
    <mergeCell ref="AM54:AO54"/>
    <mergeCell ref="AJ53:AL53"/>
    <mergeCell ref="DJ98:DL98"/>
    <mergeCell ref="DY14:EA14"/>
    <mergeCell ref="CR108:CT108"/>
    <mergeCell ref="AJ45:AL45"/>
    <mergeCell ref="R97:T97"/>
    <mergeCell ref="DV5:DX5"/>
    <mergeCell ref="BZ35:CB35"/>
    <mergeCell ref="AJ55:AL55"/>
    <mergeCell ref="CX5:CZ5"/>
    <mergeCell ref="R96:T96"/>
    <mergeCell ref="CF42:CH42"/>
    <mergeCell ref="DG57:DI57"/>
    <mergeCell ref="AV108:AX108"/>
    <mergeCell ref="DD12:DF12"/>
    <mergeCell ref="DP12:DR12"/>
    <mergeCell ref="AD62:AF62"/>
    <mergeCell ref="R98:T98"/>
    <mergeCell ref="BB103:BD103"/>
    <mergeCell ref="CL12:CN12"/>
    <mergeCell ref="AA6:AC6"/>
    <mergeCell ref="CI61:CK61"/>
    <mergeCell ref="CX8:CZ8"/>
    <mergeCell ref="BH95:BJ95"/>
    <mergeCell ref="CF17:CH17"/>
    <mergeCell ref="BH18:BJ18"/>
    <mergeCell ref="AM136:AO136"/>
    <mergeCell ref="BW45:BY45"/>
    <mergeCell ref="BE59:BG59"/>
    <mergeCell ref="BK29:BM29"/>
    <mergeCell ref="AG13:AI13"/>
    <mergeCell ref="AD76:AF76"/>
    <mergeCell ref="AA128:AC128"/>
    <mergeCell ref="DG56:DI56"/>
    <mergeCell ref="BH14:BJ14"/>
    <mergeCell ref="CR10:CT10"/>
    <mergeCell ref="CU14:CW14"/>
    <mergeCell ref="DG50:DI50"/>
    <mergeCell ref="CU7:CW7"/>
    <mergeCell ref="BQ85:BS85"/>
    <mergeCell ref="CR138:CT138"/>
    <mergeCell ref="BQ138:BS138"/>
    <mergeCell ref="CL103:CN103"/>
    <mergeCell ref="CO104:CQ104"/>
    <mergeCell ref="CL134:CN134"/>
    <mergeCell ref="BT101:BV101"/>
    <mergeCell ref="BE127:BG127"/>
    <mergeCell ref="BB126:BD126"/>
    <mergeCell ref="BW119:BY119"/>
    <mergeCell ref="AA8:AC8"/>
    <mergeCell ref="BQ40:BS40"/>
    <mergeCell ref="AV82:AX82"/>
    <mergeCell ref="BH134:BJ134"/>
    <mergeCell ref="BE134:BG134"/>
    <mergeCell ref="BK134:BM134"/>
    <mergeCell ref="AY99:BA99"/>
    <mergeCell ref="BN65:BP65"/>
    <mergeCell ref="CL98:CN98"/>
    <mergeCell ref="B7:I7"/>
    <mergeCell ref="BT17:BV17"/>
    <mergeCell ref="CX12:CZ12"/>
    <mergeCell ref="BE49:BG49"/>
    <mergeCell ref="DA76:DC76"/>
    <mergeCell ref="BN103:BP103"/>
    <mergeCell ref="DJ101:DL101"/>
    <mergeCell ref="DA48:DC48"/>
    <mergeCell ref="CL101:CN101"/>
    <mergeCell ref="AJ36:AL36"/>
    <mergeCell ref="DG38:DI38"/>
    <mergeCell ref="B11:I11"/>
    <mergeCell ref="DS18:DU18"/>
    <mergeCell ref="CO12:CQ12"/>
    <mergeCell ref="CU10:CW10"/>
    <mergeCell ref="BT36:BV36"/>
    <mergeCell ref="BE10:BG10"/>
    <mergeCell ref="BQ10:BS10"/>
    <mergeCell ref="BK42:BM42"/>
    <mergeCell ref="AP28:AR28"/>
    <mergeCell ref="AJ71:AL71"/>
    <mergeCell ref="CF73:CH73"/>
    <mergeCell ref="DP11:DR11"/>
    <mergeCell ref="AA19:AC19"/>
    <mergeCell ref="DP13:DR13"/>
    <mergeCell ref="BZ50:CB50"/>
    <mergeCell ref="U17:W17"/>
    <mergeCell ref="AA39:AC39"/>
    <mergeCell ref="DJ100:DL100"/>
    <mergeCell ref="BE76:BG76"/>
    <mergeCell ref="AG76:AI76"/>
    <mergeCell ref="AJ102:AL102"/>
    <mergeCell ref="DA80:DC80"/>
    <mergeCell ref="DJ78:DL78"/>
    <mergeCell ref="BQ115:BS115"/>
    <mergeCell ref="BQ121:BS121"/>
    <mergeCell ref="AY69:BA69"/>
    <mergeCell ref="CI124:CK124"/>
    <mergeCell ref="DJ126:DL126"/>
    <mergeCell ref="BT100:BV100"/>
    <mergeCell ref="AY101:BA101"/>
    <mergeCell ref="CC117:CE117"/>
    <mergeCell ref="CL117:CN117"/>
    <mergeCell ref="CL80:CN80"/>
    <mergeCell ref="CU29:CW29"/>
    <mergeCell ref="DJ17:DL17"/>
    <mergeCell ref="DJ30:DL30"/>
    <mergeCell ref="CU42:CW42"/>
    <mergeCell ref="CR20:CT20"/>
    <mergeCell ref="CU21:CW21"/>
    <mergeCell ref="CF36:CH36"/>
    <mergeCell ref="BZ25:CB25"/>
    <mergeCell ref="CX45:CZ45"/>
    <mergeCell ref="CF21:CH21"/>
    <mergeCell ref="BH21:BJ21"/>
    <mergeCell ref="CX43:CZ43"/>
    <mergeCell ref="DG37:DI37"/>
    <mergeCell ref="CC107:CE107"/>
    <mergeCell ref="CL122:CN122"/>
    <mergeCell ref="AY102:BA102"/>
    <mergeCell ref="CX37:CZ37"/>
    <mergeCell ref="BQ97:BS97"/>
    <mergeCell ref="BK110:BM110"/>
    <mergeCell ref="BB56:BD56"/>
    <mergeCell ref="R4:T4"/>
    <mergeCell ref="BZ101:CB101"/>
    <mergeCell ref="BE114:BG114"/>
    <mergeCell ref="B36:I36"/>
    <mergeCell ref="R40:T40"/>
    <mergeCell ref="O39:Q39"/>
    <mergeCell ref="DG129:DI129"/>
    <mergeCell ref="CX100:CZ100"/>
    <mergeCell ref="CL14:CN14"/>
    <mergeCell ref="O5:Q5"/>
    <mergeCell ref="CR21:CT21"/>
    <mergeCell ref="AD128:AF128"/>
    <mergeCell ref="CO77:CQ77"/>
    <mergeCell ref="DS95:DU95"/>
    <mergeCell ref="BB98:BD98"/>
    <mergeCell ref="CL7:CN7"/>
    <mergeCell ref="BT21:BV21"/>
    <mergeCell ref="CX102:CZ102"/>
    <mergeCell ref="BK28:BM28"/>
    <mergeCell ref="X49:Z49"/>
    <mergeCell ref="AV122:AX122"/>
    <mergeCell ref="R35:T35"/>
    <mergeCell ref="AS77:AU77"/>
    <mergeCell ref="AS52:AU52"/>
    <mergeCell ref="AP34:AR34"/>
    <mergeCell ref="DP79:DR79"/>
    <mergeCell ref="DM9:DO9"/>
    <mergeCell ref="AD129:AF129"/>
    <mergeCell ref="B39:I39"/>
    <mergeCell ref="BH119:BJ119"/>
    <mergeCell ref="BW128:BY128"/>
    <mergeCell ref="AM16:AO16"/>
    <mergeCell ref="R133:T133"/>
    <mergeCell ref="BT26:BV26"/>
    <mergeCell ref="BB67:BD67"/>
    <mergeCell ref="AM120:AO120"/>
    <mergeCell ref="AJ119:AL119"/>
    <mergeCell ref="B103:I103"/>
    <mergeCell ref="B130:K130"/>
    <mergeCell ref="B132:K132"/>
    <mergeCell ref="O18:Q18"/>
    <mergeCell ref="O24:Q24"/>
    <mergeCell ref="BH133:BJ133"/>
    <mergeCell ref="R27:T27"/>
    <mergeCell ref="BK13:BM13"/>
    <mergeCell ref="U11:W11"/>
    <mergeCell ref="AA129:AC129"/>
    <mergeCell ref="BE12:BG12"/>
    <mergeCell ref="BQ11:BS11"/>
    <mergeCell ref="AJ37:AL37"/>
    <mergeCell ref="AS114:AU114"/>
    <mergeCell ref="BB41:BD41"/>
    <mergeCell ref="BK38:BM38"/>
    <mergeCell ref="X76:Z76"/>
    <mergeCell ref="AP45:AR45"/>
    <mergeCell ref="O58:Q58"/>
    <mergeCell ref="B93:H93"/>
    <mergeCell ref="AG23:AI23"/>
    <mergeCell ref="AG14:AI14"/>
    <mergeCell ref="AP24:AR24"/>
    <mergeCell ref="AG27:AI27"/>
    <mergeCell ref="AJ29:AL29"/>
    <mergeCell ref="AJ34:AL34"/>
    <mergeCell ref="BB28:BD28"/>
    <mergeCell ref="DY104:EA104"/>
    <mergeCell ref="DD8:DF8"/>
    <mergeCell ref="AG8:AI8"/>
    <mergeCell ref="DY39:EA39"/>
    <mergeCell ref="DY58:EA58"/>
    <mergeCell ref="DY26:EA26"/>
    <mergeCell ref="DM98:DO98"/>
    <mergeCell ref="DS24:DU24"/>
    <mergeCell ref="CO67:CQ67"/>
    <mergeCell ref="BH47:BJ47"/>
    <mergeCell ref="AV14:AX14"/>
    <mergeCell ref="BT9:BV9"/>
    <mergeCell ref="DA8:DC8"/>
    <mergeCell ref="DG7:DI7"/>
    <mergeCell ref="BW7:BY7"/>
    <mergeCell ref="DG11:DI11"/>
    <mergeCell ref="DM6:DO6"/>
    <mergeCell ref="DY77:EA77"/>
    <mergeCell ref="DV32:DX32"/>
    <mergeCell ref="DY21:EA21"/>
    <mergeCell ref="DY32:EA32"/>
    <mergeCell ref="DP9:DR9"/>
    <mergeCell ref="BW28:BY28"/>
    <mergeCell ref="DM77:DO77"/>
    <mergeCell ref="DG14:DI14"/>
    <mergeCell ref="CF19:CH19"/>
    <mergeCell ref="DA9:DC9"/>
    <mergeCell ref="CU20:CW20"/>
    <mergeCell ref="CX21:CZ21"/>
    <mergeCell ref="CU48:CW48"/>
    <mergeCell ref="BH16:BJ16"/>
    <mergeCell ref="DP7:DR7"/>
    <mergeCell ref="CU104:CW104"/>
    <mergeCell ref="DY95:EA95"/>
    <mergeCell ref="AD103:AF103"/>
    <mergeCell ref="CI42:CK42"/>
    <mergeCell ref="DJ18:DL18"/>
    <mergeCell ref="BQ18:BS18"/>
    <mergeCell ref="CI16:CK16"/>
    <mergeCell ref="CI36:CK36"/>
    <mergeCell ref="AG52:AI52"/>
    <mergeCell ref="DA98:DC98"/>
    <mergeCell ref="DS44:DU44"/>
    <mergeCell ref="BK95:BM95"/>
    <mergeCell ref="DG99:DI99"/>
    <mergeCell ref="AJ82:AL82"/>
    <mergeCell ref="BK97:BM97"/>
    <mergeCell ref="DV20:DX20"/>
    <mergeCell ref="DS97:DU97"/>
    <mergeCell ref="DV23:DX23"/>
    <mergeCell ref="DV34:DX34"/>
    <mergeCell ref="DV79:DX79"/>
    <mergeCell ref="DS64:DU64"/>
    <mergeCell ref="DV95:DX95"/>
    <mergeCell ref="BT103:BV103"/>
    <mergeCell ref="CU75:CW75"/>
    <mergeCell ref="DV50:DX50"/>
    <mergeCell ref="DV25:DX25"/>
    <mergeCell ref="DD102:DF102"/>
    <mergeCell ref="DY42:EA42"/>
    <mergeCell ref="DD49:DF49"/>
    <mergeCell ref="DY61:EA61"/>
    <mergeCell ref="BB50:BD50"/>
    <mergeCell ref="DV64:DX64"/>
    <mergeCell ref="DY24:EA24"/>
    <mergeCell ref="DJ19:DL19"/>
    <mergeCell ref="AD64:AF64"/>
    <mergeCell ref="BH24:BJ24"/>
    <mergeCell ref="CO69:CQ69"/>
    <mergeCell ref="CL69:CN69"/>
    <mergeCell ref="CO14:CQ14"/>
    <mergeCell ref="DA45:DC45"/>
    <mergeCell ref="CL43:CN43"/>
    <mergeCell ref="DP35:DR35"/>
    <mergeCell ref="CU57:CW57"/>
    <mergeCell ref="CX23:CZ23"/>
    <mergeCell ref="BZ17:CB17"/>
    <mergeCell ref="BB20:BD20"/>
    <mergeCell ref="CU27:CW27"/>
    <mergeCell ref="AP31:AR31"/>
    <mergeCell ref="BH27:BJ27"/>
    <mergeCell ref="BH28:BJ28"/>
    <mergeCell ref="CF23:CH23"/>
    <mergeCell ref="DJ44:DL44"/>
    <mergeCell ref="DA40:DC40"/>
    <mergeCell ref="DV16:DX16"/>
    <mergeCell ref="CI18:CK18"/>
    <mergeCell ref="BN31:BP31"/>
    <mergeCell ref="DJ35:DL35"/>
    <mergeCell ref="AV32:AX32"/>
    <mergeCell ref="AV26:AX26"/>
    <mergeCell ref="CR57:CT57"/>
    <mergeCell ref="DS58:DU58"/>
    <mergeCell ref="DS54:DU54"/>
    <mergeCell ref="CU40:CW40"/>
    <mergeCell ref="AM58:AO58"/>
    <mergeCell ref="DV13:DX13"/>
    <mergeCell ref="AJ13:AL13"/>
    <mergeCell ref="DS16:DU16"/>
    <mergeCell ref="BK130:BM130"/>
    <mergeCell ref="CL118:CN118"/>
    <mergeCell ref="U28:W28"/>
    <mergeCell ref="AY44:BA44"/>
    <mergeCell ref="AD57:AF57"/>
    <mergeCell ref="AG130:AI130"/>
    <mergeCell ref="BK48:BM48"/>
    <mergeCell ref="DS25:DU25"/>
    <mergeCell ref="X47:Z47"/>
    <mergeCell ref="CL102:CN102"/>
    <mergeCell ref="DY124:EA124"/>
    <mergeCell ref="BQ36:BS36"/>
    <mergeCell ref="DV54:DX54"/>
    <mergeCell ref="U80:W80"/>
    <mergeCell ref="DY126:EA126"/>
    <mergeCell ref="DP120:DR120"/>
    <mergeCell ref="AA32:AC32"/>
    <mergeCell ref="AP35:AR35"/>
    <mergeCell ref="DJ124:DL124"/>
    <mergeCell ref="DS116:DU116"/>
    <mergeCell ref="DP118:DR118"/>
    <mergeCell ref="DV125:DX125"/>
    <mergeCell ref="DY80:EA80"/>
    <mergeCell ref="U58:W58"/>
    <mergeCell ref="BB130:BD130"/>
    <mergeCell ref="AJ54:AL54"/>
    <mergeCell ref="CI73:CK73"/>
    <mergeCell ref="CU31:CW31"/>
    <mergeCell ref="BT60:BV60"/>
    <mergeCell ref="BQ2:BS2"/>
    <mergeCell ref="DM31:DO31"/>
    <mergeCell ref="CC124:CE124"/>
    <mergeCell ref="DM58:DO58"/>
    <mergeCell ref="BK132:BM132"/>
    <mergeCell ref="BZ79:CB79"/>
    <mergeCell ref="BW9:BY9"/>
    <mergeCell ref="AP16:AR16"/>
    <mergeCell ref="CC126:CE126"/>
    <mergeCell ref="U29:W29"/>
    <mergeCell ref="U23:W23"/>
    <mergeCell ref="BQ58:BS58"/>
    <mergeCell ref="BZ81:CB81"/>
    <mergeCell ref="DM60:DO60"/>
    <mergeCell ref="BB111:BD111"/>
    <mergeCell ref="DJ43:DL43"/>
    <mergeCell ref="DM44:DO44"/>
    <mergeCell ref="CC98:CE98"/>
    <mergeCell ref="AY57:BA57"/>
    <mergeCell ref="BE41:BG41"/>
    <mergeCell ref="AV12:AX12"/>
    <mergeCell ref="CR14:CT14"/>
    <mergeCell ref="BZ28:CB28"/>
    <mergeCell ref="DD56:DF56"/>
    <mergeCell ref="DA11:DC11"/>
    <mergeCell ref="BH55:BJ55"/>
    <mergeCell ref="AM24:AO24"/>
    <mergeCell ref="U76:W76"/>
    <mergeCell ref="DD13:DF13"/>
    <mergeCell ref="BQ34:BS34"/>
    <mergeCell ref="DM11:DO11"/>
    <mergeCell ref="AD23:AF23"/>
    <mergeCell ref="AV13:AX13"/>
    <mergeCell ref="BT85:BV85"/>
    <mergeCell ref="AY98:BA98"/>
    <mergeCell ref="CR84:CT84"/>
    <mergeCell ref="DA109:DC109"/>
    <mergeCell ref="CU95:CW95"/>
    <mergeCell ref="X85:Z85"/>
    <mergeCell ref="DD50:DF50"/>
    <mergeCell ref="BT116:BV116"/>
    <mergeCell ref="U42:W42"/>
    <mergeCell ref="AP5:AR5"/>
    <mergeCell ref="AJ99:AL99"/>
    <mergeCell ref="AG45:AI45"/>
    <mergeCell ref="BQ9:BS9"/>
    <mergeCell ref="BT108:BV108"/>
    <mergeCell ref="AM60:AO60"/>
    <mergeCell ref="CR78:CT78"/>
    <mergeCell ref="U21:W21"/>
    <mergeCell ref="BT45:BV45"/>
    <mergeCell ref="CX49:CZ49"/>
    <mergeCell ref="CC56:CE56"/>
    <mergeCell ref="BZ51:CB51"/>
    <mergeCell ref="AY26:BA26"/>
    <mergeCell ref="CU30:CW30"/>
    <mergeCell ref="U67:W67"/>
    <mergeCell ref="AD24:AF24"/>
    <mergeCell ref="AM13:AO13"/>
    <mergeCell ref="CX10:CZ10"/>
    <mergeCell ref="BE47:BG47"/>
    <mergeCell ref="AY43:BA43"/>
    <mergeCell ref="AG39:AI39"/>
    <mergeCell ref="CI12:CK12"/>
    <mergeCell ref="DM139:DO139"/>
    <mergeCell ref="L87:N87"/>
    <mergeCell ref="AV21:AX21"/>
    <mergeCell ref="AA34:AC34"/>
    <mergeCell ref="BW36:BY36"/>
    <mergeCell ref="R129:T129"/>
    <mergeCell ref="BZ124:CB124"/>
    <mergeCell ref="CL121:CN121"/>
    <mergeCell ref="DJ28:DL28"/>
    <mergeCell ref="CR42:CT42"/>
    <mergeCell ref="CR58:CT58"/>
    <mergeCell ref="DG54:DI54"/>
    <mergeCell ref="CO61:CQ61"/>
    <mergeCell ref="BZ99:CB99"/>
    <mergeCell ref="CO53:CQ53"/>
    <mergeCell ref="CX76:CZ76"/>
    <mergeCell ref="BH60:BJ60"/>
    <mergeCell ref="CF48:CH48"/>
    <mergeCell ref="O129:Q129"/>
    <mergeCell ref="U82:W82"/>
    <mergeCell ref="CO121:CQ121"/>
    <mergeCell ref="BT117:BV117"/>
    <mergeCell ref="X139:Z139"/>
    <mergeCell ref="AG136:AI136"/>
    <mergeCell ref="CC136:CE136"/>
    <mergeCell ref="X136:Z136"/>
    <mergeCell ref="O134:Q134"/>
    <mergeCell ref="O51:Q51"/>
    <mergeCell ref="O47:Q47"/>
    <mergeCell ref="R75:T75"/>
    <mergeCell ref="R58:T58"/>
    <mergeCell ref="BE38:BG38"/>
    <mergeCell ref="DV137:DX137"/>
    <mergeCell ref="O132:Q132"/>
    <mergeCell ref="R104:T104"/>
    <mergeCell ref="X100:Z100"/>
    <mergeCell ref="AA102:AC102"/>
    <mergeCell ref="X48:Z48"/>
    <mergeCell ref="BK119:BM119"/>
    <mergeCell ref="AS127:AU127"/>
    <mergeCell ref="O125:Q125"/>
    <mergeCell ref="AY29:BA29"/>
    <mergeCell ref="X74:Z74"/>
    <mergeCell ref="AG97:AI97"/>
    <mergeCell ref="BK47:BM47"/>
    <mergeCell ref="AP60:AR60"/>
    <mergeCell ref="AY96:BA96"/>
    <mergeCell ref="AD35:AF35"/>
    <mergeCell ref="O124:Q124"/>
    <mergeCell ref="AY58:BA58"/>
    <mergeCell ref="CI98:CK98"/>
    <mergeCell ref="AP116:AR116"/>
    <mergeCell ref="AY118:BA118"/>
    <mergeCell ref="DS120:DU120"/>
    <mergeCell ref="CR134:CT134"/>
    <mergeCell ref="O130:Q130"/>
    <mergeCell ref="DP60:DR60"/>
    <mergeCell ref="DP127:DR127"/>
    <mergeCell ref="AJ136:AL136"/>
    <mergeCell ref="DP133:DR133"/>
    <mergeCell ref="CI134:CK134"/>
    <mergeCell ref="CF121:CH121"/>
    <mergeCell ref="CC129:CE129"/>
    <mergeCell ref="CL110:CN110"/>
    <mergeCell ref="DS136:DU136"/>
    <mergeCell ref="DJ34:DL34"/>
    <mergeCell ref="BQ71:BS71"/>
    <mergeCell ref="DM73:DO73"/>
    <mergeCell ref="DJ60:DL60"/>
    <mergeCell ref="AS133:AU133"/>
    <mergeCell ref="DD119:DF119"/>
    <mergeCell ref="DM101:DO101"/>
    <mergeCell ref="AG61:AI61"/>
    <mergeCell ref="AG53:AI53"/>
    <mergeCell ref="BW136:BY136"/>
    <mergeCell ref="BT128:BV128"/>
    <mergeCell ref="AJ121:AL121"/>
    <mergeCell ref="AG132:AI132"/>
    <mergeCell ref="CF126:CH126"/>
    <mergeCell ref="CU73:CW73"/>
    <mergeCell ref="CO80:CQ80"/>
    <mergeCell ref="AY117:BA117"/>
    <mergeCell ref="BT79:BV79"/>
    <mergeCell ref="DA78:DC78"/>
    <mergeCell ref="BH49:BJ49"/>
    <mergeCell ref="BZ134:CB134"/>
    <mergeCell ref="AY133:BA133"/>
    <mergeCell ref="DS103:DU103"/>
    <mergeCell ref="DD130:DF130"/>
    <mergeCell ref="AM115:AO115"/>
    <mergeCell ref="CL48:CN48"/>
    <mergeCell ref="CO49:CQ49"/>
    <mergeCell ref="CU37:CW37"/>
    <mergeCell ref="DA120:DC120"/>
    <mergeCell ref="AY122:BA122"/>
    <mergeCell ref="DS118:DU118"/>
    <mergeCell ref="BT122:BV122"/>
    <mergeCell ref="DG85:DI85"/>
    <mergeCell ref="DJ80:DL80"/>
    <mergeCell ref="CX117:CZ117"/>
    <mergeCell ref="DJ107:DL107"/>
    <mergeCell ref="CO119:CQ119"/>
    <mergeCell ref="CL61:CN61"/>
    <mergeCell ref="AV58:AX58"/>
    <mergeCell ref="BE4:BG4"/>
    <mergeCell ref="AV5:AX5"/>
    <mergeCell ref="CI71:CK71"/>
    <mergeCell ref="CF20:CH20"/>
    <mergeCell ref="DA51:DC51"/>
    <mergeCell ref="BQ73:BS73"/>
    <mergeCell ref="BW5:BY5"/>
    <mergeCell ref="AJ26:AL26"/>
    <mergeCell ref="CF57:CH57"/>
    <mergeCell ref="DG18:DI18"/>
    <mergeCell ref="CU4:CW4"/>
    <mergeCell ref="AJ11:AL11"/>
    <mergeCell ref="CX9:CZ9"/>
    <mergeCell ref="BW8:BY8"/>
    <mergeCell ref="AM52:AO52"/>
    <mergeCell ref="BB78:BD78"/>
    <mergeCell ref="AM5:AO5"/>
    <mergeCell ref="B90:AU90"/>
    <mergeCell ref="O34:Q34"/>
    <mergeCell ref="O28:Q28"/>
    <mergeCell ref="J12:K12"/>
    <mergeCell ref="X11:Z11"/>
    <mergeCell ref="AV84:AX84"/>
    <mergeCell ref="L5:N5"/>
    <mergeCell ref="AD5:AF5"/>
    <mergeCell ref="AS4:AU4"/>
    <mergeCell ref="CC5:CE5"/>
    <mergeCell ref="BB11:BD11"/>
    <mergeCell ref="BE9:BG9"/>
    <mergeCell ref="CL79:CN79"/>
    <mergeCell ref="BE67:BG67"/>
    <mergeCell ref="AM69:AO69"/>
    <mergeCell ref="CF58:CH58"/>
    <mergeCell ref="CI59:CK59"/>
    <mergeCell ref="AG73:AI73"/>
    <mergeCell ref="BB32:BD32"/>
    <mergeCell ref="AM26:AO26"/>
    <mergeCell ref="BQ44:BS44"/>
    <mergeCell ref="AY20:BA20"/>
    <mergeCell ref="AG16:AI16"/>
    <mergeCell ref="BW13:BY13"/>
    <mergeCell ref="AD9:AF9"/>
    <mergeCell ref="CI10:CK10"/>
    <mergeCell ref="CL11:CN11"/>
    <mergeCell ref="BW10:BY10"/>
    <mergeCell ref="AJ31:AL31"/>
    <mergeCell ref="BH10:BJ10"/>
    <mergeCell ref="AG6:AI6"/>
    <mergeCell ref="AY4:BA4"/>
    <mergeCell ref="BB4:BD4"/>
    <mergeCell ref="AS6:AU6"/>
    <mergeCell ref="BH50:BJ50"/>
    <mergeCell ref="BZ12:CB12"/>
    <mergeCell ref="BB12:BD12"/>
    <mergeCell ref="BZ9:CB9"/>
    <mergeCell ref="AG10:AI10"/>
    <mergeCell ref="AG9:AI9"/>
    <mergeCell ref="BT8:BV8"/>
    <mergeCell ref="AG30:AI30"/>
    <mergeCell ref="CL39:CN39"/>
    <mergeCell ref="BH39:BJ39"/>
    <mergeCell ref="BW6:BY6"/>
    <mergeCell ref="BW34:BY34"/>
    <mergeCell ref="BN10:BP10"/>
    <mergeCell ref="BE23:BG23"/>
    <mergeCell ref="BQ29:BS29"/>
    <mergeCell ref="AP50:AR50"/>
    <mergeCell ref="AM17:AO17"/>
    <mergeCell ref="AM8:AO8"/>
    <mergeCell ref="BW29:BY29"/>
    <mergeCell ref="CC39:CE39"/>
    <mergeCell ref="BW27:BY27"/>
    <mergeCell ref="AG5:AI5"/>
    <mergeCell ref="CC26:CE26"/>
    <mergeCell ref="AV9:AX9"/>
    <mergeCell ref="AM10:AO10"/>
    <mergeCell ref="AM9:AO9"/>
    <mergeCell ref="CF10:CH10"/>
    <mergeCell ref="BB21:BD21"/>
    <mergeCell ref="AS10:AU10"/>
    <mergeCell ref="BH11:BJ11"/>
    <mergeCell ref="AY14:BA14"/>
    <mergeCell ref="BQ5:BS5"/>
    <mergeCell ref="AY36:BA36"/>
    <mergeCell ref="BT34:BV34"/>
    <mergeCell ref="AG44:AI44"/>
    <mergeCell ref="AS36:AU36"/>
    <mergeCell ref="BT5:BV5"/>
    <mergeCell ref="AY138:BA138"/>
    <mergeCell ref="AD136:AF136"/>
    <mergeCell ref="AY132:BA132"/>
    <mergeCell ref="AM124:AO124"/>
    <mergeCell ref="AP125:AR125"/>
    <mergeCell ref="AG138:AI138"/>
    <mergeCell ref="X125:Z125"/>
    <mergeCell ref="BQ65:BS65"/>
    <mergeCell ref="AM85:AO85"/>
    <mergeCell ref="BB104:BD104"/>
    <mergeCell ref="AA56:AC56"/>
    <mergeCell ref="U115:W115"/>
    <mergeCell ref="BW125:BY125"/>
    <mergeCell ref="AA73:AC73"/>
    <mergeCell ref="AM125:AO125"/>
    <mergeCell ref="U44:W44"/>
    <mergeCell ref="AM100:AO100"/>
    <mergeCell ref="BB110:BD110"/>
    <mergeCell ref="BE138:BG138"/>
    <mergeCell ref="AM137:AO137"/>
    <mergeCell ref="BW44:BY44"/>
    <mergeCell ref="BB57:BD57"/>
    <mergeCell ref="BQ119:BS119"/>
    <mergeCell ref="BB55:BD55"/>
    <mergeCell ref="AA55:AC55"/>
    <mergeCell ref="BQ126:BS126"/>
    <mergeCell ref="AS78:AU78"/>
    <mergeCell ref="BT62:BV62"/>
    <mergeCell ref="AD55:AF55"/>
    <mergeCell ref="AD122:AF122"/>
    <mergeCell ref="AM50:AO50"/>
    <mergeCell ref="BE48:BG48"/>
    <mergeCell ref="BQ139:BS139"/>
    <mergeCell ref="AS107:AU107"/>
    <mergeCell ref="CC16:CE16"/>
    <mergeCell ref="L84:N84"/>
    <mergeCell ref="L122:N122"/>
    <mergeCell ref="R138:T138"/>
    <mergeCell ref="R114:T114"/>
    <mergeCell ref="O121:Q121"/>
    <mergeCell ref="R115:T115"/>
    <mergeCell ref="R61:T61"/>
    <mergeCell ref="J26:K26"/>
    <mergeCell ref="J24:K24"/>
    <mergeCell ref="L16:N16"/>
    <mergeCell ref="L43:N43"/>
    <mergeCell ref="O37:Q37"/>
    <mergeCell ref="O49:Q49"/>
    <mergeCell ref="AA27:AC27"/>
    <mergeCell ref="BT53:BV53"/>
    <mergeCell ref="AJ64:AL64"/>
    <mergeCell ref="AG128:AI128"/>
    <mergeCell ref="AM122:AO122"/>
    <mergeCell ref="U30:W30"/>
    <mergeCell ref="J84:K84"/>
    <mergeCell ref="J78:K78"/>
    <mergeCell ref="L26:N26"/>
    <mergeCell ref="J25:K25"/>
    <mergeCell ref="L50:N50"/>
    <mergeCell ref="AY31:BA31"/>
    <mergeCell ref="O57:Q57"/>
    <mergeCell ref="O76:Q76"/>
    <mergeCell ref="O77:Q77"/>
    <mergeCell ref="AD29:AF29"/>
    <mergeCell ref="L21:N21"/>
    <mergeCell ref="X110:Z110"/>
    <mergeCell ref="B14:K14"/>
    <mergeCell ref="B94:D94"/>
    <mergeCell ref="O10:Q10"/>
    <mergeCell ref="R11:T11"/>
    <mergeCell ref="X50:Z50"/>
    <mergeCell ref="AA76:AC76"/>
    <mergeCell ref="AS18:AU18"/>
    <mergeCell ref="AS26:AU26"/>
    <mergeCell ref="J10:K10"/>
    <mergeCell ref="AA79:AC79"/>
    <mergeCell ref="AS16:AU16"/>
    <mergeCell ref="AG37:AI37"/>
    <mergeCell ref="AA47:AC47"/>
    <mergeCell ref="B67:F67"/>
    <mergeCell ref="L31:N31"/>
    <mergeCell ref="AG25:AI25"/>
    <mergeCell ref="B13:I13"/>
    <mergeCell ref="L13:N13"/>
    <mergeCell ref="AJ61:AL61"/>
    <mergeCell ref="AJ30:AL30"/>
    <mergeCell ref="U62:W62"/>
    <mergeCell ref="AS32:AU32"/>
    <mergeCell ref="AD85:AF85"/>
    <mergeCell ref="U27:W27"/>
    <mergeCell ref="AP69:AR69"/>
    <mergeCell ref="AP44:AR44"/>
    <mergeCell ref="O20:Q20"/>
    <mergeCell ref="AS21:AU21"/>
    <mergeCell ref="AG26:AI26"/>
    <mergeCell ref="AJ18:AL18"/>
    <mergeCell ref="J8:K8"/>
    <mergeCell ref="J11:K11"/>
    <mergeCell ref="AJ9:AL9"/>
    <mergeCell ref="X9:Z9"/>
    <mergeCell ref="BW78:BY78"/>
    <mergeCell ref="AP42:AR42"/>
    <mergeCell ref="BN9:BP9"/>
    <mergeCell ref="AS12:AU12"/>
    <mergeCell ref="AY10:BA10"/>
    <mergeCell ref="BK36:BM36"/>
    <mergeCell ref="BK18:BM18"/>
    <mergeCell ref="AV50:AX50"/>
    <mergeCell ref="AJ27:AL27"/>
    <mergeCell ref="BW52:BY52"/>
    <mergeCell ref="AS44:AU44"/>
    <mergeCell ref="AV42:AX42"/>
    <mergeCell ref="AM47:AO47"/>
    <mergeCell ref="L18:N18"/>
    <mergeCell ref="J13:K13"/>
    <mergeCell ref="AJ14:AL14"/>
    <mergeCell ref="AS20:AU20"/>
    <mergeCell ref="AS55:AU55"/>
    <mergeCell ref="AD18:AF18"/>
    <mergeCell ref="BK40:BM40"/>
    <mergeCell ref="AJ24:AL24"/>
    <mergeCell ref="AM35:AO35"/>
    <mergeCell ref="AD27:AF27"/>
    <mergeCell ref="B59:K59"/>
    <mergeCell ref="B9:I9"/>
    <mergeCell ref="BN11:BP11"/>
    <mergeCell ref="AS24:AU24"/>
    <mergeCell ref="X69:Z69"/>
    <mergeCell ref="DY5:EA5"/>
    <mergeCell ref="DP82:DR82"/>
    <mergeCell ref="DA99:DC99"/>
    <mergeCell ref="DD37:DF37"/>
    <mergeCell ref="DG42:DI42"/>
    <mergeCell ref="DP96:DR96"/>
    <mergeCell ref="DJ55:DL55"/>
    <mergeCell ref="DA26:DC26"/>
    <mergeCell ref="G67:K67"/>
    <mergeCell ref="DA102:DC102"/>
    <mergeCell ref="AS39:AU39"/>
    <mergeCell ref="CX57:CZ57"/>
    <mergeCell ref="O8:Q8"/>
    <mergeCell ref="BB95:BD95"/>
    <mergeCell ref="X54:Z54"/>
    <mergeCell ref="DG17:DI17"/>
    <mergeCell ref="DG16:DI16"/>
    <mergeCell ref="DD54:DF54"/>
    <mergeCell ref="DJ27:DL27"/>
    <mergeCell ref="BW58:BY58"/>
    <mergeCell ref="DA74:DC74"/>
    <mergeCell ref="BN95:BP95"/>
    <mergeCell ref="DJ99:DL99"/>
    <mergeCell ref="U74:W74"/>
    <mergeCell ref="U39:W39"/>
    <mergeCell ref="U26:W26"/>
    <mergeCell ref="DS85:DU85"/>
    <mergeCell ref="DP58:DR58"/>
    <mergeCell ref="DY48:EA48"/>
    <mergeCell ref="DV85:DX85"/>
    <mergeCell ref="DS38:DU38"/>
    <mergeCell ref="DM74:DO74"/>
    <mergeCell ref="DP24:DR24"/>
    <mergeCell ref="DJ41:DL41"/>
    <mergeCell ref="AV34:AX34"/>
    <mergeCell ref="DP27:DR27"/>
    <mergeCell ref="BW51:BY51"/>
    <mergeCell ref="BE65:BG65"/>
    <mergeCell ref="CF59:CH59"/>
    <mergeCell ref="CO82:CQ82"/>
    <mergeCell ref="DG44:DI44"/>
    <mergeCell ref="CC52:CE52"/>
    <mergeCell ref="CC58:CE58"/>
    <mergeCell ref="CL81:CN81"/>
    <mergeCell ref="CX47:CZ47"/>
    <mergeCell ref="BB29:BD29"/>
    <mergeCell ref="CC40:CE40"/>
    <mergeCell ref="BK84:BM84"/>
    <mergeCell ref="BH62:BJ62"/>
    <mergeCell ref="CC50:CE50"/>
    <mergeCell ref="BN54:BP54"/>
    <mergeCell ref="CF76:CH76"/>
    <mergeCell ref="BB35:BD35"/>
    <mergeCell ref="AY48:BA48"/>
    <mergeCell ref="BB49:BD49"/>
    <mergeCell ref="BE78:BG78"/>
    <mergeCell ref="BE31:BG31"/>
    <mergeCell ref="DG73:DI73"/>
    <mergeCell ref="DM51:DO51"/>
    <mergeCell ref="DM52:DO52"/>
    <mergeCell ref="CC37:CE37"/>
    <mergeCell ref="DG55:DI55"/>
    <mergeCell ref="CU38:CW38"/>
    <mergeCell ref="BQ31:BS31"/>
    <mergeCell ref="B6:I6"/>
    <mergeCell ref="R10:T10"/>
    <mergeCell ref="O9:Q9"/>
    <mergeCell ref="DD10:DF10"/>
    <mergeCell ref="BH12:BJ12"/>
    <mergeCell ref="BB13:BD13"/>
    <mergeCell ref="AA14:AC14"/>
    <mergeCell ref="AG11:AI11"/>
    <mergeCell ref="AV10:AX10"/>
    <mergeCell ref="AA10:AC10"/>
    <mergeCell ref="AA11:AC11"/>
    <mergeCell ref="CC18:CE18"/>
    <mergeCell ref="L14:N14"/>
    <mergeCell ref="BZ16:CB16"/>
    <mergeCell ref="BT19:BV19"/>
    <mergeCell ref="BK30:BM30"/>
    <mergeCell ref="CL20:CN20"/>
    <mergeCell ref="CL19:CN19"/>
    <mergeCell ref="BN26:BP26"/>
    <mergeCell ref="BK25:BM25"/>
    <mergeCell ref="AD6:AF6"/>
    <mergeCell ref="U8:W8"/>
    <mergeCell ref="CF12:CH12"/>
    <mergeCell ref="DD18:DF18"/>
    <mergeCell ref="BT6:BV6"/>
    <mergeCell ref="CU6:CW6"/>
    <mergeCell ref="CL21:CN21"/>
    <mergeCell ref="B28:I28"/>
    <mergeCell ref="AV6:AX6"/>
    <mergeCell ref="L9:N9"/>
    <mergeCell ref="O29:Q29"/>
    <mergeCell ref="O27:Q27"/>
    <mergeCell ref="L134:N134"/>
    <mergeCell ref="CO32:CQ32"/>
    <mergeCell ref="CR45:CT45"/>
    <mergeCell ref="BW99:BY99"/>
    <mergeCell ref="DV122:DX122"/>
    <mergeCell ref="AG110:AI110"/>
    <mergeCell ref="CO122:CQ122"/>
    <mergeCell ref="DP51:DR51"/>
    <mergeCell ref="CU71:CW71"/>
    <mergeCell ref="BN64:BP64"/>
    <mergeCell ref="DP98:DR98"/>
    <mergeCell ref="CI115:CK115"/>
    <mergeCell ref="AV76:AX76"/>
    <mergeCell ref="DJ42:DL42"/>
    <mergeCell ref="AV51:AX51"/>
    <mergeCell ref="DM41:DO41"/>
    <mergeCell ref="DD121:DF121"/>
    <mergeCell ref="BW115:BY115"/>
    <mergeCell ref="BB108:BD108"/>
    <mergeCell ref="CC111:CE111"/>
    <mergeCell ref="AG95:AI95"/>
    <mergeCell ref="U43:W43"/>
    <mergeCell ref="CC47:CE47"/>
    <mergeCell ref="DG120:DI120"/>
    <mergeCell ref="DM128:DO128"/>
    <mergeCell ref="DS125:DU125"/>
    <mergeCell ref="CU58:CW58"/>
    <mergeCell ref="BQ110:BS110"/>
    <mergeCell ref="CU128:CW128"/>
    <mergeCell ref="CX101:CZ101"/>
    <mergeCell ref="CX56:CZ56"/>
    <mergeCell ref="AA48:AC48"/>
    <mergeCell ref="CF77:CH77"/>
    <mergeCell ref="BW102:BY102"/>
    <mergeCell ref="AJ118:AL118"/>
    <mergeCell ref="CF41:CH41"/>
    <mergeCell ref="BH45:BJ45"/>
    <mergeCell ref="X41:Z41"/>
    <mergeCell ref="BE57:BG57"/>
    <mergeCell ref="BN116:BP116"/>
    <mergeCell ref="BH37:BJ37"/>
    <mergeCell ref="BK79:BM79"/>
    <mergeCell ref="CF37:CH37"/>
    <mergeCell ref="CO85:CQ85"/>
    <mergeCell ref="CR67:CT67"/>
    <mergeCell ref="CF84:CH84"/>
    <mergeCell ref="AG75:AI75"/>
    <mergeCell ref="BB44:BD44"/>
    <mergeCell ref="BK111:BM111"/>
    <mergeCell ref="CF108:CH108"/>
    <mergeCell ref="CR104:CT104"/>
    <mergeCell ref="BW117:BY117"/>
    <mergeCell ref="AM37:AO37"/>
    <mergeCell ref="CO97:CQ97"/>
    <mergeCell ref="AD97:AF97"/>
    <mergeCell ref="BZ71:CB71"/>
    <mergeCell ref="AJ73:AL73"/>
    <mergeCell ref="AM117:AO117"/>
    <mergeCell ref="AJ98:AL98"/>
    <mergeCell ref="AY74:BA74"/>
    <mergeCell ref="BH103:BJ103"/>
    <mergeCell ref="AG82:AI82"/>
    <mergeCell ref="AV104:AX104"/>
    <mergeCell ref="BZ116:CB116"/>
    <mergeCell ref="CO138:CQ138"/>
    <mergeCell ref="BE74:BG74"/>
    <mergeCell ref="CO134:CQ134"/>
    <mergeCell ref="B142:N142"/>
    <mergeCell ref="AS8:AU8"/>
    <mergeCell ref="BN117:BP117"/>
    <mergeCell ref="BW18:BY18"/>
    <mergeCell ref="BB31:BD31"/>
    <mergeCell ref="CU17:CW17"/>
    <mergeCell ref="CC25:CE25"/>
    <mergeCell ref="BH38:BJ38"/>
    <mergeCell ref="AD54:AF54"/>
    <mergeCell ref="CL9:CN9"/>
    <mergeCell ref="BB9:BD9"/>
    <mergeCell ref="BB17:BD17"/>
    <mergeCell ref="U9:W9"/>
    <mergeCell ref="R8:T8"/>
    <mergeCell ref="BW73:BY73"/>
    <mergeCell ref="AJ100:AL100"/>
    <mergeCell ref="CL62:CN62"/>
    <mergeCell ref="BT107:BV107"/>
    <mergeCell ref="BK65:BM65"/>
    <mergeCell ref="BB82:BD82"/>
    <mergeCell ref="BK10:BM10"/>
    <mergeCell ref="BE103:BG103"/>
    <mergeCell ref="BW16:BY16"/>
    <mergeCell ref="BB23:BD23"/>
    <mergeCell ref="CO127:CQ127"/>
    <mergeCell ref="BW127:BY127"/>
    <mergeCell ref="CL57:CN57"/>
    <mergeCell ref="BT71:BV71"/>
    <mergeCell ref="CR12:CT12"/>
    <mergeCell ref="BN139:BP139"/>
    <mergeCell ref="AM139:AO139"/>
    <mergeCell ref="CF125:CH125"/>
    <mergeCell ref="AJ5:AL5"/>
    <mergeCell ref="DD6:DF6"/>
    <mergeCell ref="BB8:BD8"/>
    <mergeCell ref="BE58:BG58"/>
    <mergeCell ref="BH4:BJ4"/>
    <mergeCell ref="CR47:CT47"/>
    <mergeCell ref="CO29:CQ29"/>
    <mergeCell ref="CI7:CK7"/>
    <mergeCell ref="CR38:CT38"/>
    <mergeCell ref="CL4:CN4"/>
    <mergeCell ref="BT4:BV4"/>
    <mergeCell ref="BZ60:CB60"/>
    <mergeCell ref="BT51:BV51"/>
    <mergeCell ref="CO36:CQ36"/>
    <mergeCell ref="CI4:CK4"/>
    <mergeCell ref="CI14:CK14"/>
    <mergeCell ref="BW49:BY49"/>
    <mergeCell ref="CO18:CQ18"/>
    <mergeCell ref="BH8:BJ8"/>
    <mergeCell ref="BW4:BY4"/>
    <mergeCell ref="CR28:CT28"/>
    <mergeCell ref="BQ27:BS27"/>
    <mergeCell ref="BN28:BP28"/>
    <mergeCell ref="BN17:BP17"/>
    <mergeCell ref="CR29:CT29"/>
    <mergeCell ref="CC13:CE13"/>
    <mergeCell ref="BQ13:BS13"/>
    <mergeCell ref="CF24:CH24"/>
    <mergeCell ref="BH23:BJ23"/>
    <mergeCell ref="R5:T5"/>
    <mergeCell ref="U130:W130"/>
    <mergeCell ref="O120:Q120"/>
    <mergeCell ref="R103:T103"/>
    <mergeCell ref="X101:Z101"/>
    <mergeCell ref="BN7:BP7"/>
    <mergeCell ref="BK6:BM6"/>
    <mergeCell ref="AD12:AF12"/>
    <mergeCell ref="DS28:DU28"/>
    <mergeCell ref="X30:Z30"/>
    <mergeCell ref="R50:T50"/>
    <mergeCell ref="R39:T39"/>
    <mergeCell ref="CI17:CK17"/>
    <mergeCell ref="U7:W7"/>
    <mergeCell ref="BK118:BM118"/>
    <mergeCell ref="BH100:BJ100"/>
    <mergeCell ref="R64:T64"/>
    <mergeCell ref="X38:Z38"/>
    <mergeCell ref="U118:W118"/>
    <mergeCell ref="AD119:AF119"/>
    <mergeCell ref="O116:Q116"/>
    <mergeCell ref="CL60:CN60"/>
    <mergeCell ref="AS97:AU97"/>
    <mergeCell ref="U103:W103"/>
    <mergeCell ref="X104:Z104"/>
    <mergeCell ref="AY76:BA76"/>
    <mergeCell ref="AM71:AO71"/>
    <mergeCell ref="CU122:CW122"/>
    <mergeCell ref="R29:T29"/>
    <mergeCell ref="DP78:DR78"/>
    <mergeCell ref="CU85:CW85"/>
    <mergeCell ref="AP51:AR51"/>
    <mergeCell ref="DP124:DR124"/>
    <mergeCell ref="DY56:EA56"/>
    <mergeCell ref="DY103:EA103"/>
    <mergeCell ref="CF71:CH71"/>
    <mergeCell ref="DM99:DO99"/>
    <mergeCell ref="AA7:AC7"/>
    <mergeCell ref="CC61:CE61"/>
    <mergeCell ref="AJ126:AL126"/>
    <mergeCell ref="AY121:BA121"/>
    <mergeCell ref="CX7:CZ7"/>
    <mergeCell ref="AD34:AF34"/>
    <mergeCell ref="BN23:BP23"/>
    <mergeCell ref="CC27:CE27"/>
    <mergeCell ref="CX24:CZ24"/>
    <mergeCell ref="BE68:BG68"/>
    <mergeCell ref="BN80:BP80"/>
    <mergeCell ref="AS42:AU42"/>
    <mergeCell ref="BN121:BP121"/>
    <mergeCell ref="CU19:CW19"/>
    <mergeCell ref="CU126:CW126"/>
    <mergeCell ref="DP28:DR28"/>
    <mergeCell ref="DJ23:DL23"/>
    <mergeCell ref="CL24:CN24"/>
    <mergeCell ref="BZ26:CB26"/>
    <mergeCell ref="BH25:BJ25"/>
    <mergeCell ref="AJ28:AL28"/>
    <mergeCell ref="BN50:BP50"/>
    <mergeCell ref="CO65:CQ65"/>
    <mergeCell ref="BQ109:BS109"/>
    <mergeCell ref="DD82:DF82"/>
    <mergeCell ref="CR32:CT32"/>
    <mergeCell ref="DP64:DR64"/>
    <mergeCell ref="X137:Z137"/>
    <mergeCell ref="BB134:BD134"/>
    <mergeCell ref="DP122:DR122"/>
    <mergeCell ref="AA136:AC136"/>
    <mergeCell ref="BK45:BM45"/>
    <mergeCell ref="AA126:AC126"/>
    <mergeCell ref="AS49:AU49"/>
    <mergeCell ref="CO76:CQ76"/>
    <mergeCell ref="BB97:BD97"/>
    <mergeCell ref="BE29:BG29"/>
    <mergeCell ref="CU84:CW84"/>
    <mergeCell ref="BW108:BY108"/>
    <mergeCell ref="BB121:BD121"/>
    <mergeCell ref="CU136:CW136"/>
    <mergeCell ref="BZ130:CB130"/>
    <mergeCell ref="AY129:BA129"/>
    <mergeCell ref="DM133:DO133"/>
    <mergeCell ref="DJ62:DL62"/>
    <mergeCell ref="AY114:BA114"/>
    <mergeCell ref="AJ77:AL77"/>
    <mergeCell ref="AP100:AR100"/>
    <mergeCell ref="CL129:CN129"/>
    <mergeCell ref="CL104:CN104"/>
    <mergeCell ref="BZ43:CB43"/>
    <mergeCell ref="CR55:CT55"/>
    <mergeCell ref="CU56:CW56"/>
    <mergeCell ref="DM43:DO43"/>
    <mergeCell ref="BE126:BG126"/>
    <mergeCell ref="AS111:AU111"/>
    <mergeCell ref="CF43:CH43"/>
    <mergeCell ref="CF122:CH122"/>
    <mergeCell ref="CR54:CT54"/>
    <mergeCell ref="BW24:BY24"/>
    <mergeCell ref="CF49:CH49"/>
    <mergeCell ref="AM45:AO45"/>
    <mergeCell ref="AS27:AU27"/>
    <mergeCell ref="AP30:AR30"/>
    <mergeCell ref="AS23:AU23"/>
    <mergeCell ref="BN24:BP24"/>
    <mergeCell ref="AV38:AX38"/>
    <mergeCell ref="AP23:AR23"/>
    <mergeCell ref="AY23:BA23"/>
    <mergeCell ref="AV49:AX49"/>
    <mergeCell ref="CI39:CK39"/>
    <mergeCell ref="DA42:DC42"/>
    <mergeCell ref="AP80:AR80"/>
    <mergeCell ref="DJ79:DL79"/>
    <mergeCell ref="BW101:BY101"/>
    <mergeCell ref="AY39:BA39"/>
    <mergeCell ref="AV77:AX77"/>
    <mergeCell ref="CR85:CT85"/>
    <mergeCell ref="CI32:CK32"/>
    <mergeCell ref="DJ40:DL40"/>
    <mergeCell ref="CF56:CH56"/>
    <mergeCell ref="AY62:BA62"/>
    <mergeCell ref="BN67:BP67"/>
    <mergeCell ref="BH80:BJ80"/>
    <mergeCell ref="BE80:BG80"/>
    <mergeCell ref="BQ45:BS45"/>
    <mergeCell ref="AS43:AU43"/>
    <mergeCell ref="CR53:CT53"/>
    <mergeCell ref="CC60:CE60"/>
    <mergeCell ref="BT35:BV35"/>
    <mergeCell ref="AS41:AU41"/>
    <mergeCell ref="DA119:DC119"/>
    <mergeCell ref="AJ58:AL58"/>
    <mergeCell ref="BW118:BY118"/>
    <mergeCell ref="BH64:BJ64"/>
    <mergeCell ref="CF137:CH137"/>
    <mergeCell ref="AJ137:AL137"/>
    <mergeCell ref="AA137:AC137"/>
    <mergeCell ref="DM137:DO137"/>
    <mergeCell ref="CI116:CK116"/>
    <mergeCell ref="BB129:BD129"/>
    <mergeCell ref="DD134:DF134"/>
    <mergeCell ref="AD61:AF61"/>
    <mergeCell ref="AA103:AC103"/>
    <mergeCell ref="AJ65:AL65"/>
    <mergeCell ref="BN85:BP85"/>
    <mergeCell ref="AV99:AX99"/>
    <mergeCell ref="AV134:AX134"/>
    <mergeCell ref="DG127:DI127"/>
    <mergeCell ref="DM121:DO121"/>
    <mergeCell ref="DM126:DO126"/>
    <mergeCell ref="DD120:DF120"/>
    <mergeCell ref="DD62:DF62"/>
    <mergeCell ref="DA115:DC115"/>
    <mergeCell ref="DJ108:DL108"/>
    <mergeCell ref="DA61:DC61"/>
    <mergeCell ref="DD95:DF95"/>
    <mergeCell ref="AM102:AO102"/>
    <mergeCell ref="CF102:CH102"/>
    <mergeCell ref="AJ101:AL101"/>
    <mergeCell ref="AM126:AO126"/>
    <mergeCell ref="AG96:AI96"/>
    <mergeCell ref="AG102:AI102"/>
    <mergeCell ref="AY8:BA8"/>
    <mergeCell ref="AA139:AC139"/>
    <mergeCell ref="DM61:DO61"/>
    <mergeCell ref="CR137:CT137"/>
    <mergeCell ref="DM127:DO127"/>
    <mergeCell ref="BQ125:BS125"/>
    <mergeCell ref="AP124:AR124"/>
    <mergeCell ref="BZ58:CB58"/>
    <mergeCell ref="CX125:CZ125"/>
    <mergeCell ref="DG67:DI67"/>
    <mergeCell ref="AY134:BA134"/>
    <mergeCell ref="BW133:BY133"/>
    <mergeCell ref="CF80:CH80"/>
    <mergeCell ref="DG122:DI122"/>
    <mergeCell ref="BB84:BD84"/>
    <mergeCell ref="CF100:CH100"/>
    <mergeCell ref="CO125:CQ125"/>
    <mergeCell ref="BT137:BV137"/>
    <mergeCell ref="AD42:AF42"/>
    <mergeCell ref="AP79:AR79"/>
    <mergeCell ref="AS65:AU65"/>
    <mergeCell ref="BB119:BD119"/>
    <mergeCell ref="BN136:BP136"/>
    <mergeCell ref="DM39:DO39"/>
    <mergeCell ref="DG136:DI136"/>
    <mergeCell ref="AY136:BA136"/>
    <mergeCell ref="BT75:BV75"/>
    <mergeCell ref="DM108:DO108"/>
    <mergeCell ref="CR121:CT121"/>
    <mergeCell ref="AP67:AR67"/>
    <mergeCell ref="AS125:AU125"/>
    <mergeCell ref="BK121:BM121"/>
    <mergeCell ref="DV138:DX138"/>
    <mergeCell ref="BB138:BD138"/>
    <mergeCell ref="BB132:BD132"/>
    <mergeCell ref="CI40:CK40"/>
    <mergeCell ref="BQ54:BS54"/>
    <mergeCell ref="DV29:DX29"/>
    <mergeCell ref="AG77:AI77"/>
    <mergeCell ref="CO48:CQ48"/>
    <mergeCell ref="CR49:CT49"/>
    <mergeCell ref="AD32:AF32"/>
    <mergeCell ref="AD26:AF26"/>
    <mergeCell ref="AD137:AF137"/>
    <mergeCell ref="CR61:CT61"/>
    <mergeCell ref="CX67:CZ67"/>
    <mergeCell ref="DP55:DR55"/>
    <mergeCell ref="DS60:DU60"/>
    <mergeCell ref="DM81:DO81"/>
    <mergeCell ref="DA101:DC101"/>
    <mergeCell ref="CL77:CN77"/>
    <mergeCell ref="DS62:DU62"/>
    <mergeCell ref="DD69:DF69"/>
    <mergeCell ref="DD71:DF71"/>
    <mergeCell ref="DD73:DF73"/>
    <mergeCell ref="AD132:AF132"/>
    <mergeCell ref="BZ132:CB132"/>
    <mergeCell ref="AP126:AR126"/>
    <mergeCell ref="DD137:DF137"/>
    <mergeCell ref="AV55:AX55"/>
    <mergeCell ref="BB39:BD39"/>
    <mergeCell ref="AG65:AI65"/>
    <mergeCell ref="BZ67:CB67"/>
    <mergeCell ref="BN109:BP109"/>
    <mergeCell ref="AG137:AI137"/>
    <mergeCell ref="BQ136:BS136"/>
    <mergeCell ref="CC134:CE134"/>
    <mergeCell ref="DV28:DX28"/>
    <mergeCell ref="DV36:DX36"/>
    <mergeCell ref="CI60:CK60"/>
    <mergeCell ref="BQ68:BS68"/>
    <mergeCell ref="DD136:DF136"/>
    <mergeCell ref="DA129:DC129"/>
    <mergeCell ref="CX119:CZ119"/>
    <mergeCell ref="AG126:AI126"/>
    <mergeCell ref="CX34:CZ34"/>
    <mergeCell ref="DD24:DF24"/>
    <mergeCell ref="AM25:AO25"/>
    <mergeCell ref="AV127:AX127"/>
    <mergeCell ref="BK74:BM74"/>
    <mergeCell ref="AJ59:AL59"/>
    <mergeCell ref="DP126:DR126"/>
    <mergeCell ref="DP101:DR101"/>
    <mergeCell ref="DM56:DO56"/>
    <mergeCell ref="AM134:AO134"/>
    <mergeCell ref="DS133:DU133"/>
    <mergeCell ref="BK76:BM76"/>
    <mergeCell ref="DS107:DU107"/>
    <mergeCell ref="CR39:CT39"/>
    <mergeCell ref="CL50:CN50"/>
    <mergeCell ref="BT84:BV84"/>
    <mergeCell ref="BE97:BG97"/>
    <mergeCell ref="AM101:AO101"/>
    <mergeCell ref="AG119:AI119"/>
    <mergeCell ref="AY35:BA35"/>
    <mergeCell ref="DV40:DX40"/>
    <mergeCell ref="O138:Q138"/>
    <mergeCell ref="CR64:CT64"/>
    <mergeCell ref="BW77:BY77"/>
    <mergeCell ref="BZ78:CB78"/>
    <mergeCell ref="AG115:AI115"/>
    <mergeCell ref="X62:Z62"/>
    <mergeCell ref="CI130:CK130"/>
    <mergeCell ref="AA101:AC101"/>
    <mergeCell ref="AP137:AR137"/>
    <mergeCell ref="BE84:BG84"/>
    <mergeCell ref="BZ80:CB80"/>
    <mergeCell ref="BQ81:BS81"/>
    <mergeCell ref="BQ56:BS56"/>
    <mergeCell ref="AP98:AR98"/>
    <mergeCell ref="BT127:BV127"/>
    <mergeCell ref="BT125:BV125"/>
    <mergeCell ref="AJ134:AL134"/>
    <mergeCell ref="AG133:AI133"/>
    <mergeCell ref="CI138:CK138"/>
    <mergeCell ref="U138:W138"/>
    <mergeCell ref="X132:Z132"/>
    <mergeCell ref="AA138:AC138"/>
    <mergeCell ref="BK81:BM81"/>
    <mergeCell ref="X129:Z129"/>
    <mergeCell ref="X102:Z102"/>
    <mergeCell ref="CC120:CE120"/>
    <mergeCell ref="CL75:CN75"/>
    <mergeCell ref="CR103:CT103"/>
    <mergeCell ref="BT126:BV126"/>
    <mergeCell ref="BQ75:BS75"/>
    <mergeCell ref="BH111:BJ111"/>
    <mergeCell ref="AS129:AU129"/>
    <mergeCell ref="AD4:AF4"/>
    <mergeCell ref="BE19:BG19"/>
    <mergeCell ref="BH30:BJ30"/>
    <mergeCell ref="AP96:AR96"/>
    <mergeCell ref="CR11:CT11"/>
    <mergeCell ref="CR17:CT17"/>
    <mergeCell ref="B124:I124"/>
    <mergeCell ref="R128:T128"/>
    <mergeCell ref="BB122:BD122"/>
    <mergeCell ref="AS59:AU59"/>
    <mergeCell ref="J4:K4"/>
    <mergeCell ref="BW26:BY26"/>
    <mergeCell ref="BQ120:BS120"/>
    <mergeCell ref="U10:W10"/>
    <mergeCell ref="CF103:CH103"/>
    <mergeCell ref="CO79:CQ79"/>
    <mergeCell ref="CI65:CK65"/>
    <mergeCell ref="BQ79:BS79"/>
    <mergeCell ref="AA69:AC69"/>
    <mergeCell ref="L12:N12"/>
    <mergeCell ref="O61:Q61"/>
    <mergeCell ref="O17:Q17"/>
    <mergeCell ref="CL30:CN30"/>
    <mergeCell ref="J9:K9"/>
    <mergeCell ref="BK9:BM9"/>
    <mergeCell ref="U6:W6"/>
    <mergeCell ref="CF62:CH62"/>
    <mergeCell ref="X19:Z19"/>
    <mergeCell ref="BE28:BG28"/>
    <mergeCell ref="BB27:BD27"/>
    <mergeCell ref="L107:N107"/>
    <mergeCell ref="R19:T19"/>
    <mergeCell ref="BE17:BG17"/>
    <mergeCell ref="X56:Z56"/>
    <mergeCell ref="AP20:AR20"/>
    <mergeCell ref="AD36:AF36"/>
    <mergeCell ref="BZ65:CB65"/>
    <mergeCell ref="L11:N11"/>
    <mergeCell ref="AP68:AR68"/>
    <mergeCell ref="AG60:AI60"/>
    <mergeCell ref="AV95:AX95"/>
    <mergeCell ref="R7:T7"/>
    <mergeCell ref="J18:K18"/>
    <mergeCell ref="O68:Q68"/>
    <mergeCell ref="BH13:BJ13"/>
    <mergeCell ref="AG32:AI32"/>
    <mergeCell ref="BT38:BV38"/>
    <mergeCell ref="AA75:AC75"/>
    <mergeCell ref="BN48:BP48"/>
    <mergeCell ref="AJ7:AL7"/>
    <mergeCell ref="BT32:BV32"/>
    <mergeCell ref="BW20:BY20"/>
    <mergeCell ref="BW56:BY56"/>
    <mergeCell ref="BT55:BV55"/>
    <mergeCell ref="BQ17:BS17"/>
    <mergeCell ref="AA35:AC35"/>
    <mergeCell ref="X29:Z29"/>
    <mergeCell ref="AM61:AO61"/>
    <mergeCell ref="L61:N61"/>
    <mergeCell ref="L59:N59"/>
    <mergeCell ref="J94:K94"/>
    <mergeCell ref="AD67:AF67"/>
    <mergeCell ref="AJ76:AL76"/>
    <mergeCell ref="BE73:BG73"/>
    <mergeCell ref="B143:AU143"/>
    <mergeCell ref="BZ73:CB73"/>
    <mergeCell ref="AG116:AI116"/>
    <mergeCell ref="CC118:CE118"/>
    <mergeCell ref="AP139:AR139"/>
    <mergeCell ref="DJ13:DL13"/>
    <mergeCell ref="BE122:BG122"/>
    <mergeCell ref="CI125:CK125"/>
    <mergeCell ref="DS59:DU59"/>
    <mergeCell ref="O64:Q64"/>
    <mergeCell ref="BQ52:BS52"/>
    <mergeCell ref="BN51:BP51"/>
    <mergeCell ref="AG118:AI118"/>
    <mergeCell ref="AD100:AF100"/>
    <mergeCell ref="DS67:DU67"/>
    <mergeCell ref="DJ38:DL38"/>
    <mergeCell ref="BZ104:CB104"/>
    <mergeCell ref="CI127:CK127"/>
    <mergeCell ref="DS61:DU61"/>
    <mergeCell ref="CX74:CZ74"/>
    <mergeCell ref="DA75:DC75"/>
    <mergeCell ref="CI29:CK29"/>
    <mergeCell ref="U79:W79"/>
    <mergeCell ref="BN36:BP36"/>
    <mergeCell ref="R107:T107"/>
    <mergeCell ref="R108:T108"/>
    <mergeCell ref="L120:N120"/>
    <mergeCell ref="CI19:CK19"/>
    <mergeCell ref="BE85:BG85"/>
    <mergeCell ref="L42:N42"/>
    <mergeCell ref="J40:K40"/>
    <mergeCell ref="J125:K125"/>
    <mergeCell ref="DM5:DO5"/>
    <mergeCell ref="L39:N39"/>
    <mergeCell ref="CC30:CE30"/>
    <mergeCell ref="BH43:BJ43"/>
    <mergeCell ref="AG4:AI4"/>
    <mergeCell ref="AV37:AX37"/>
    <mergeCell ref="AS29:AU29"/>
    <mergeCell ref="CC32:CE32"/>
    <mergeCell ref="DG96:DI96"/>
    <mergeCell ref="L51:N51"/>
    <mergeCell ref="O53:Q53"/>
    <mergeCell ref="L30:N30"/>
    <mergeCell ref="X6:Z6"/>
    <mergeCell ref="BZ7:CB7"/>
    <mergeCell ref="BE14:BG14"/>
    <mergeCell ref="CO31:CQ31"/>
    <mergeCell ref="CO27:CQ27"/>
    <mergeCell ref="CR27:CT27"/>
    <mergeCell ref="DG52:DI52"/>
    <mergeCell ref="DD51:DF51"/>
    <mergeCell ref="DG31:DI31"/>
    <mergeCell ref="BQ51:BS51"/>
    <mergeCell ref="AP12:AR12"/>
    <mergeCell ref="R55:T55"/>
    <mergeCell ref="X57:Z57"/>
    <mergeCell ref="AM84:AO84"/>
    <mergeCell ref="AJ80:AL80"/>
    <mergeCell ref="O74:Q74"/>
    <mergeCell ref="BN4:BP4"/>
    <mergeCell ref="BK5:BM5"/>
    <mergeCell ref="DM4:DO4"/>
    <mergeCell ref="BW57:BY57"/>
    <mergeCell ref="DY6:EA6"/>
    <mergeCell ref="CL27:CN27"/>
    <mergeCell ref="DY7:EA7"/>
    <mergeCell ref="CF6:CH6"/>
    <mergeCell ref="CF11:CH11"/>
    <mergeCell ref="DA34:DC34"/>
    <mergeCell ref="BT13:BV13"/>
    <mergeCell ref="DY47:EA47"/>
    <mergeCell ref="DD5:DF5"/>
    <mergeCell ref="DP20:DR20"/>
    <mergeCell ref="O109:Q109"/>
    <mergeCell ref="B17:I17"/>
    <mergeCell ref="AJ4:AL4"/>
    <mergeCell ref="BZ42:CB42"/>
    <mergeCell ref="CF14:CH14"/>
    <mergeCell ref="AV4:AX4"/>
    <mergeCell ref="CO19:CQ19"/>
    <mergeCell ref="DM13:DO13"/>
    <mergeCell ref="CF16:CH16"/>
    <mergeCell ref="AS5:AU5"/>
    <mergeCell ref="AY12:BA12"/>
    <mergeCell ref="AP4:AR4"/>
    <mergeCell ref="CR4:CT4"/>
    <mergeCell ref="CR41:CT41"/>
    <mergeCell ref="AP9:AR9"/>
    <mergeCell ref="AM29:AO29"/>
    <mergeCell ref="AM23:AO23"/>
    <mergeCell ref="CO25:CQ25"/>
    <mergeCell ref="CR24:CT24"/>
    <mergeCell ref="BZ38:CB38"/>
    <mergeCell ref="CL29:CN29"/>
    <mergeCell ref="DG13:DI13"/>
    <mergeCell ref="DY20:EA20"/>
    <mergeCell ref="BH44:BJ44"/>
    <mergeCell ref="BK24:BM24"/>
    <mergeCell ref="BQ16:BS16"/>
    <mergeCell ref="BN45:BP45"/>
    <mergeCell ref="BH36:BJ36"/>
    <mergeCell ref="CO8:CQ8"/>
    <mergeCell ref="BK8:BM8"/>
    <mergeCell ref="DD9:DF9"/>
    <mergeCell ref="DY134:EA134"/>
    <mergeCell ref="DV133:DX133"/>
    <mergeCell ref="DJ69:DL69"/>
    <mergeCell ref="CU110:CW110"/>
    <mergeCell ref="DM125:DO125"/>
    <mergeCell ref="DY129:EA129"/>
    <mergeCell ref="DY84:EA84"/>
    <mergeCell ref="DY71:EA71"/>
    <mergeCell ref="DY114:EA114"/>
    <mergeCell ref="DV39:DX39"/>
    <mergeCell ref="DV42:DX42"/>
    <mergeCell ref="DP39:DR39"/>
    <mergeCell ref="DP76:DR76"/>
    <mergeCell ref="DG116:DI116"/>
    <mergeCell ref="DA56:DC56"/>
    <mergeCell ref="DS71:DU71"/>
    <mergeCell ref="BQ32:BS32"/>
    <mergeCell ref="DG58:DI58"/>
    <mergeCell ref="DV49:DX49"/>
    <mergeCell ref="DS48:DU48"/>
    <mergeCell ref="CU54:CW54"/>
    <mergeCell ref="CF55:CH55"/>
    <mergeCell ref="DA53:DC53"/>
    <mergeCell ref="DP5:DR5"/>
    <mergeCell ref="CX19:CZ19"/>
    <mergeCell ref="DV4:DX4"/>
    <mergeCell ref="CX4:CZ4"/>
    <mergeCell ref="DM26:DO26"/>
    <mergeCell ref="CL38:CN38"/>
    <mergeCell ref="CI5:CK5"/>
    <mergeCell ref="CC14:CE14"/>
    <mergeCell ref="BZ52:CB52"/>
    <mergeCell ref="CO52:CQ52"/>
    <mergeCell ref="CO47:CQ47"/>
    <mergeCell ref="DD47:DF47"/>
    <mergeCell ref="CF51:CH51"/>
    <mergeCell ref="CF4:CH4"/>
    <mergeCell ref="CL5:CN5"/>
    <mergeCell ref="CX6:CZ6"/>
    <mergeCell ref="CI20:CK20"/>
    <mergeCell ref="CC4:CE4"/>
    <mergeCell ref="BZ5:CB5"/>
    <mergeCell ref="BZ4:CB4"/>
    <mergeCell ref="DV52:DX52"/>
    <mergeCell ref="DS51:DU51"/>
    <mergeCell ref="DP16:DR16"/>
    <mergeCell ref="DM42:DO42"/>
    <mergeCell ref="CR52:CT52"/>
    <mergeCell ref="DJ39:DL39"/>
    <mergeCell ref="DP8:DR8"/>
    <mergeCell ref="CX16:CZ16"/>
    <mergeCell ref="DS8:DU8"/>
    <mergeCell ref="DS4:DU4"/>
    <mergeCell ref="DP4:DR4"/>
    <mergeCell ref="DS10:DU10"/>
    <mergeCell ref="U132:W132"/>
    <mergeCell ref="AM127:AO127"/>
    <mergeCell ref="CX132:CZ132"/>
    <mergeCell ref="CX129:CZ129"/>
    <mergeCell ref="BB7:BD7"/>
    <mergeCell ref="DA7:DC7"/>
    <mergeCell ref="DP14:DR14"/>
    <mergeCell ref="DY59:EA59"/>
    <mergeCell ref="DY60:EA60"/>
    <mergeCell ref="DS41:DU41"/>
    <mergeCell ref="DA49:DC49"/>
    <mergeCell ref="CL17:CN17"/>
    <mergeCell ref="DM32:DO32"/>
    <mergeCell ref="BT25:BV25"/>
    <mergeCell ref="DJ36:DL36"/>
    <mergeCell ref="DM37:DO37"/>
    <mergeCell ref="DM14:DO14"/>
    <mergeCell ref="DY37:EA37"/>
    <mergeCell ref="DY31:EA31"/>
    <mergeCell ref="DV8:DX8"/>
    <mergeCell ref="U19:W19"/>
    <mergeCell ref="BH7:BJ7"/>
    <mergeCell ref="BK11:BM11"/>
    <mergeCell ref="BZ20:CB20"/>
    <mergeCell ref="BZ14:CB14"/>
    <mergeCell ref="BT23:BV23"/>
    <mergeCell ref="U13:W13"/>
    <mergeCell ref="AG43:AI43"/>
    <mergeCell ref="AV8:AX8"/>
    <mergeCell ref="DD7:DF7"/>
    <mergeCell ref="AA45:AC45"/>
    <mergeCell ref="DJ50:DL50"/>
    <mergeCell ref="R127:T127"/>
    <mergeCell ref="CX26:CZ26"/>
    <mergeCell ref="CX17:CZ17"/>
    <mergeCell ref="CI23:CK23"/>
    <mergeCell ref="DV38:DX38"/>
    <mergeCell ref="BH110:BJ110"/>
    <mergeCell ref="AG120:AI120"/>
    <mergeCell ref="BZ98:CB98"/>
    <mergeCell ref="L69:N69"/>
    <mergeCell ref="BK116:BM116"/>
    <mergeCell ref="L100:N100"/>
    <mergeCell ref="AV124:AX124"/>
    <mergeCell ref="AG117:AI117"/>
    <mergeCell ref="BN124:BP124"/>
    <mergeCell ref="U117:W117"/>
    <mergeCell ref="L80:N80"/>
    <mergeCell ref="J39:K39"/>
    <mergeCell ref="B55:K55"/>
    <mergeCell ref="BB116:BD116"/>
    <mergeCell ref="R117:T117"/>
    <mergeCell ref="U65:W65"/>
    <mergeCell ref="AY116:BA116"/>
    <mergeCell ref="AM95:AO95"/>
    <mergeCell ref="BE71:BG71"/>
    <mergeCell ref="AP104:AR104"/>
    <mergeCell ref="CX18:CZ18"/>
    <mergeCell ref="AJ25:AL25"/>
    <mergeCell ref="J35:K35"/>
    <mergeCell ref="U34:W34"/>
    <mergeCell ref="J115:K115"/>
    <mergeCell ref="AA100:AC100"/>
    <mergeCell ref="R20:T20"/>
    <mergeCell ref="B128:I128"/>
    <mergeCell ref="B100:I100"/>
    <mergeCell ref="B102:I102"/>
    <mergeCell ref="B120:I120"/>
    <mergeCell ref="AS69:AU69"/>
    <mergeCell ref="AA84:AC84"/>
    <mergeCell ref="AD71:AF71"/>
    <mergeCell ref="L109:N109"/>
    <mergeCell ref="B87:K87"/>
    <mergeCell ref="BB115:BD115"/>
    <mergeCell ref="R49:T49"/>
    <mergeCell ref="H94:I94"/>
    <mergeCell ref="O38:Q38"/>
    <mergeCell ref="U81:W81"/>
    <mergeCell ref="AV129:AX129"/>
    <mergeCell ref="DJ125:DL125"/>
    <mergeCell ref="BH109:BJ109"/>
    <mergeCell ref="AD126:AF126"/>
    <mergeCell ref="J128:K128"/>
    <mergeCell ref="X99:Z99"/>
    <mergeCell ref="BZ115:CB115"/>
    <mergeCell ref="X55:Z55"/>
    <mergeCell ref="AJ85:AL85"/>
    <mergeCell ref="R85:T85"/>
    <mergeCell ref="B77:I77"/>
    <mergeCell ref="R100:T100"/>
    <mergeCell ref="J82:K82"/>
    <mergeCell ref="BW114:BY114"/>
    <mergeCell ref="CX110:CZ110"/>
    <mergeCell ref="B56:K56"/>
    <mergeCell ref="CL76:CN76"/>
    <mergeCell ref="BZ40:CB40"/>
    <mergeCell ref="B2:BP2"/>
    <mergeCell ref="CL8:CN8"/>
    <mergeCell ref="CO9:CQ9"/>
    <mergeCell ref="DJ127:DL127"/>
    <mergeCell ref="DG126:DI126"/>
    <mergeCell ref="BT16:BV16"/>
    <mergeCell ref="DP18:DR18"/>
    <mergeCell ref="BZ97:CB97"/>
    <mergeCell ref="BH138:BJ138"/>
    <mergeCell ref="R36:T36"/>
    <mergeCell ref="U37:W37"/>
    <mergeCell ref="BE102:BG102"/>
    <mergeCell ref="CL10:CN10"/>
    <mergeCell ref="DJ120:DL120"/>
    <mergeCell ref="BT18:BV18"/>
    <mergeCell ref="DA127:DC127"/>
    <mergeCell ref="U47:W47"/>
    <mergeCell ref="DP49:DR49"/>
    <mergeCell ref="AD124:AF124"/>
    <mergeCell ref="AY111:BA111"/>
    <mergeCell ref="AG125:AI125"/>
    <mergeCell ref="L138:N138"/>
    <mergeCell ref="CX98:CZ98"/>
    <mergeCell ref="BN25:BP25"/>
    <mergeCell ref="B104:K104"/>
    <mergeCell ref="B75:K75"/>
    <mergeCell ref="R102:T102"/>
    <mergeCell ref="AA53:AC53"/>
    <mergeCell ref="X25:Z25"/>
    <mergeCell ref="X12:Z12"/>
    <mergeCell ref="AY27:BA27"/>
    <mergeCell ref="L48:N48"/>
    <mergeCell ref="AD139:AF139"/>
    <mergeCell ref="CO117:CQ117"/>
    <mergeCell ref="BH139:BJ139"/>
    <mergeCell ref="BW61:BY61"/>
    <mergeCell ref="AV65:AX65"/>
    <mergeCell ref="AD98:AF98"/>
    <mergeCell ref="AD73:AF73"/>
    <mergeCell ref="BZ102:CB102"/>
    <mergeCell ref="BH137:BJ137"/>
    <mergeCell ref="DG137:DI137"/>
    <mergeCell ref="CR100:CT100"/>
    <mergeCell ref="AY119:BA119"/>
    <mergeCell ref="AG127:AI127"/>
    <mergeCell ref="BQ137:BS137"/>
    <mergeCell ref="AJ69:AL69"/>
    <mergeCell ref="CI110:CK110"/>
    <mergeCell ref="BQ118:BS118"/>
    <mergeCell ref="CF67:CH67"/>
    <mergeCell ref="BN75:BP75"/>
    <mergeCell ref="CC122:CE122"/>
    <mergeCell ref="BT139:BV139"/>
    <mergeCell ref="DG124:DI124"/>
    <mergeCell ref="BK120:BM120"/>
    <mergeCell ref="AJ67:AL67"/>
    <mergeCell ref="BH126:BJ126"/>
    <mergeCell ref="AP133:AR133"/>
    <mergeCell ref="CU132:CW132"/>
    <mergeCell ref="AV115:AX115"/>
    <mergeCell ref="AD69:AF69"/>
    <mergeCell ref="AS75:AU75"/>
    <mergeCell ref="BB65:BD65"/>
    <mergeCell ref="AG107:AI107"/>
    <mergeCell ref="J99:K99"/>
    <mergeCell ref="AD38:AF38"/>
    <mergeCell ref="X61:Z61"/>
    <mergeCell ref="X34:Z34"/>
    <mergeCell ref="J28:K28"/>
    <mergeCell ref="L76:N76"/>
    <mergeCell ref="R60:T60"/>
    <mergeCell ref="R76:T76"/>
    <mergeCell ref="AY78:BA78"/>
    <mergeCell ref="X109:Z109"/>
    <mergeCell ref="J109:K109"/>
    <mergeCell ref="O79:Q79"/>
    <mergeCell ref="B60:K60"/>
    <mergeCell ref="AJ107:AL107"/>
    <mergeCell ref="AV97:AX97"/>
    <mergeCell ref="AP99:AR99"/>
    <mergeCell ref="AY95:BA95"/>
    <mergeCell ref="B57:K57"/>
    <mergeCell ref="J100:K100"/>
    <mergeCell ref="AM96:AO96"/>
    <mergeCell ref="AM81:AO81"/>
    <mergeCell ref="AS80:AU80"/>
    <mergeCell ref="AG109:AI109"/>
    <mergeCell ref="U71:W71"/>
    <mergeCell ref="R62:T62"/>
    <mergeCell ref="X68:Z68"/>
    <mergeCell ref="X67:Z67"/>
    <mergeCell ref="AS54:AU54"/>
    <mergeCell ref="J95:K95"/>
    <mergeCell ref="U31:W31"/>
    <mergeCell ref="B71:K71"/>
    <mergeCell ref="R71:T71"/>
    <mergeCell ref="L129:N129"/>
    <mergeCell ref="R132:T132"/>
    <mergeCell ref="AY21:BA21"/>
    <mergeCell ref="X128:Z128"/>
    <mergeCell ref="AM121:AO121"/>
    <mergeCell ref="CC24:CE24"/>
    <mergeCell ref="DA27:DC27"/>
    <mergeCell ref="CI97:CK97"/>
    <mergeCell ref="CI67:CK67"/>
    <mergeCell ref="DS32:DU32"/>
    <mergeCell ref="DD85:DF85"/>
    <mergeCell ref="DV116:DX116"/>
    <mergeCell ref="DY57:EA57"/>
    <mergeCell ref="DY29:EA29"/>
    <mergeCell ref="DS53:DU53"/>
    <mergeCell ref="DY23:EA23"/>
    <mergeCell ref="DY111:EA111"/>
    <mergeCell ref="DY65:EA65"/>
    <mergeCell ref="DY69:EA69"/>
    <mergeCell ref="DY55:EA55"/>
    <mergeCell ref="CX109:CZ109"/>
    <mergeCell ref="DY110:EA110"/>
    <mergeCell ref="DV117:DX117"/>
    <mergeCell ref="DY36:EA36"/>
    <mergeCell ref="DY38:EA38"/>
    <mergeCell ref="DM35:DO35"/>
    <mergeCell ref="CX53:CZ53"/>
    <mergeCell ref="CX28:CZ28"/>
    <mergeCell ref="DV98:DX98"/>
    <mergeCell ref="X114:Z114"/>
    <mergeCell ref="R44:T44"/>
    <mergeCell ref="BB45:BD45"/>
    <mergeCell ref="DY100:EA100"/>
    <mergeCell ref="DY53:EA53"/>
    <mergeCell ref="DM21:DO21"/>
    <mergeCell ref="DP62:DR62"/>
    <mergeCell ref="DP95:DR95"/>
    <mergeCell ref="AM14:AO14"/>
    <mergeCell ref="BK17:BM17"/>
    <mergeCell ref="DV14:DX14"/>
    <mergeCell ref="X10:Z10"/>
    <mergeCell ref="AP18:AR18"/>
    <mergeCell ref="AD14:AF14"/>
    <mergeCell ref="X13:Z13"/>
    <mergeCell ref="DY40:EA40"/>
    <mergeCell ref="DY27:EA27"/>
    <mergeCell ref="CL23:CN23"/>
    <mergeCell ref="DG51:DI51"/>
    <mergeCell ref="DP23:DR23"/>
    <mergeCell ref="DY28:EA28"/>
    <mergeCell ref="DY79:EA79"/>
    <mergeCell ref="CR79:CT79"/>
    <mergeCell ref="CR73:CT73"/>
    <mergeCell ref="DY34:EA34"/>
    <mergeCell ref="DY49:EA49"/>
    <mergeCell ref="DY75:EA75"/>
    <mergeCell ref="DP99:DR99"/>
    <mergeCell ref="DD67:DF67"/>
    <mergeCell ref="CO62:CQ62"/>
    <mergeCell ref="CU36:CW36"/>
    <mergeCell ref="AA96:AC96"/>
    <mergeCell ref="DD39:DF39"/>
    <mergeCell ref="AA62:AC62"/>
    <mergeCell ref="AD28:AF28"/>
    <mergeCell ref="DV104:DX104"/>
    <mergeCell ref="DM111:DO111"/>
    <mergeCell ref="DA114:DC114"/>
    <mergeCell ref="DD111:DF111"/>
    <mergeCell ref="DA111:DC111"/>
    <mergeCell ref="CR97:CT97"/>
    <mergeCell ref="DD98:DF98"/>
    <mergeCell ref="DJ74:DL74"/>
    <mergeCell ref="DA100:DC100"/>
    <mergeCell ref="DG69:DI69"/>
    <mergeCell ref="DP71:DR71"/>
    <mergeCell ref="DA81:DC81"/>
    <mergeCell ref="DS109:DU109"/>
    <mergeCell ref="DV109:DX109"/>
    <mergeCell ref="DV110:DX110"/>
    <mergeCell ref="DS47:DU47"/>
    <mergeCell ref="DJ54:DL54"/>
    <mergeCell ref="CX62:CZ62"/>
    <mergeCell ref="DA62:DC62"/>
    <mergeCell ref="DA85:DC85"/>
    <mergeCell ref="DM96:DO96"/>
    <mergeCell ref="CR62:CT62"/>
    <mergeCell ref="DG77:DI77"/>
    <mergeCell ref="DJ95:DL95"/>
    <mergeCell ref="CR102:CT102"/>
    <mergeCell ref="CR48:CT48"/>
    <mergeCell ref="DV56:DX56"/>
    <mergeCell ref="DD75:DF75"/>
    <mergeCell ref="DJ52:DL52"/>
    <mergeCell ref="DV69:DX69"/>
    <mergeCell ref="DV67:DX67"/>
    <mergeCell ref="DV61:DX61"/>
    <mergeCell ref="DS122:DU122"/>
    <mergeCell ref="DG60:DI60"/>
    <mergeCell ref="DP74:DR74"/>
    <mergeCell ref="DD80:DF80"/>
    <mergeCell ref="DS77:DU77"/>
    <mergeCell ref="CO54:CQ54"/>
    <mergeCell ref="DD64:DF64"/>
    <mergeCell ref="DS73:DU73"/>
    <mergeCell ref="DM104:DO104"/>
    <mergeCell ref="CR117:CT117"/>
    <mergeCell ref="CX97:CZ97"/>
    <mergeCell ref="CO107:CQ107"/>
    <mergeCell ref="DD116:DF116"/>
    <mergeCell ref="CL59:CN59"/>
    <mergeCell ref="DS99:DU99"/>
    <mergeCell ref="CU99:CW99"/>
    <mergeCell ref="CX115:CZ115"/>
    <mergeCell ref="DD109:DF109"/>
    <mergeCell ref="DM97:DO97"/>
    <mergeCell ref="DP61:DR61"/>
    <mergeCell ref="CR65:CT65"/>
    <mergeCell ref="DS111:DU111"/>
    <mergeCell ref="CU62:CW62"/>
    <mergeCell ref="DD58:DF58"/>
    <mergeCell ref="CX111:CZ111"/>
    <mergeCell ref="CL96:CN96"/>
    <mergeCell ref="DG121:DI121"/>
    <mergeCell ref="DD60:DF60"/>
    <mergeCell ref="DD81:DF81"/>
    <mergeCell ref="DD117:DF117"/>
    <mergeCell ref="DG82:DI82"/>
    <mergeCell ref="DD79:DF79"/>
    <mergeCell ref="CR125:CT125"/>
    <mergeCell ref="BW69:BY69"/>
    <mergeCell ref="CC81:CE81"/>
    <mergeCell ref="DY67:EA67"/>
    <mergeCell ref="BE108:BG108"/>
    <mergeCell ref="BQ82:BS82"/>
    <mergeCell ref="BW71:BY71"/>
    <mergeCell ref="BW97:BY97"/>
    <mergeCell ref="BW64:BY64"/>
    <mergeCell ref="AY97:BA97"/>
    <mergeCell ref="AY65:BA65"/>
    <mergeCell ref="DY125:EA125"/>
    <mergeCell ref="DY121:EA121"/>
    <mergeCell ref="DY127:EA127"/>
    <mergeCell ref="CF124:CH124"/>
    <mergeCell ref="DG118:DI118"/>
    <mergeCell ref="DM103:DO103"/>
    <mergeCell ref="DS100:DU100"/>
    <mergeCell ref="DY108:EA108"/>
    <mergeCell ref="BN107:BP107"/>
    <mergeCell ref="BK85:BM85"/>
    <mergeCell ref="BZ107:CB107"/>
    <mergeCell ref="BE115:BG115"/>
    <mergeCell ref="BW76:BY76"/>
    <mergeCell ref="BB77:BD77"/>
    <mergeCell ref="BH78:BJ78"/>
    <mergeCell ref="BT69:BV69"/>
    <mergeCell ref="BN102:BP102"/>
    <mergeCell ref="DD99:DF99"/>
    <mergeCell ref="BH76:BJ76"/>
    <mergeCell ref="DS69:DU69"/>
    <mergeCell ref="DM82:DO82"/>
    <mergeCell ref="DY119:EA119"/>
    <mergeCell ref="CX107:CZ107"/>
    <mergeCell ref="DJ57:DL57"/>
    <mergeCell ref="CO55:CQ55"/>
    <mergeCell ref="AS53:AU53"/>
    <mergeCell ref="DY118:EA118"/>
    <mergeCell ref="AV100:AX100"/>
    <mergeCell ref="BH61:BJ61"/>
    <mergeCell ref="AV74:AX74"/>
    <mergeCell ref="BB68:BD68"/>
    <mergeCell ref="BT74:BV74"/>
    <mergeCell ref="BK128:BM128"/>
    <mergeCell ref="DM114:DO114"/>
    <mergeCell ref="DY117:EA117"/>
    <mergeCell ref="DY109:EA109"/>
    <mergeCell ref="DV115:DX115"/>
    <mergeCell ref="DS114:DU114"/>
    <mergeCell ref="DY116:EA116"/>
    <mergeCell ref="CU103:CW103"/>
    <mergeCell ref="DV96:DX96"/>
    <mergeCell ref="DG119:DI119"/>
    <mergeCell ref="AV85:AX85"/>
    <mergeCell ref="AY82:BA82"/>
    <mergeCell ref="DD103:DF103"/>
    <mergeCell ref="BH127:BJ127"/>
    <mergeCell ref="DY99:EA99"/>
    <mergeCell ref="DY97:EA97"/>
    <mergeCell ref="DD110:DF110"/>
    <mergeCell ref="DY128:EA128"/>
    <mergeCell ref="DP116:DR116"/>
    <mergeCell ref="DP80:DR80"/>
    <mergeCell ref="BZ126:CB126"/>
    <mergeCell ref="DY115:EA115"/>
    <mergeCell ref="DJ71:DL71"/>
    <mergeCell ref="DJ102:DL102"/>
    <mergeCell ref="BN73:BP73"/>
    <mergeCell ref="BN44:BP44"/>
    <mergeCell ref="BK43:BM43"/>
    <mergeCell ref="DD43:DF43"/>
    <mergeCell ref="BQ64:BS64"/>
    <mergeCell ref="DM109:DO109"/>
    <mergeCell ref="DS45:DU45"/>
    <mergeCell ref="DP48:DR48"/>
    <mergeCell ref="BH71:BJ71"/>
    <mergeCell ref="BW53:BY53"/>
    <mergeCell ref="BW96:BY96"/>
    <mergeCell ref="BQ50:BS50"/>
    <mergeCell ref="CC79:CE79"/>
    <mergeCell ref="BK57:BM57"/>
    <mergeCell ref="CU79:CW79"/>
    <mergeCell ref="DY82:EA82"/>
    <mergeCell ref="DV114:DX114"/>
    <mergeCell ref="DV80:DX80"/>
    <mergeCell ref="DV107:DX107"/>
    <mergeCell ref="DY98:EA98"/>
    <mergeCell ref="DV44:DX44"/>
    <mergeCell ref="BZ69:CB69"/>
    <mergeCell ref="CC49:CE49"/>
    <mergeCell ref="DM78:DO78"/>
    <mergeCell ref="CU82:CW82"/>
    <mergeCell ref="CR56:CT56"/>
    <mergeCell ref="CI58:CK58"/>
    <mergeCell ref="DM48:DO48"/>
    <mergeCell ref="DS50:DU50"/>
    <mergeCell ref="CF136:CH136"/>
    <mergeCell ref="CR127:CT127"/>
    <mergeCell ref="CL132:CN132"/>
    <mergeCell ref="DS65:DU65"/>
    <mergeCell ref="DD118:DF118"/>
    <mergeCell ref="DV100:DX100"/>
    <mergeCell ref="DM115:DO115"/>
    <mergeCell ref="DS119:DU119"/>
    <mergeCell ref="DP117:DR117"/>
    <mergeCell ref="DM124:DO124"/>
    <mergeCell ref="DS84:DU84"/>
    <mergeCell ref="DS78:DU78"/>
    <mergeCell ref="DS101:DU101"/>
    <mergeCell ref="DP104:DR104"/>
    <mergeCell ref="DS76:DU76"/>
    <mergeCell ref="DS121:DU121"/>
    <mergeCell ref="DS115:DU115"/>
    <mergeCell ref="CX126:CZ126"/>
    <mergeCell ref="CX99:CZ99"/>
    <mergeCell ref="DD128:DF128"/>
    <mergeCell ref="DV136:DX136"/>
    <mergeCell ref="DD108:DF108"/>
    <mergeCell ref="DD115:DF115"/>
    <mergeCell ref="DA82:DC82"/>
    <mergeCell ref="DD100:DF100"/>
    <mergeCell ref="DS110:DU110"/>
    <mergeCell ref="CI84:CK84"/>
    <mergeCell ref="CI102:CK102"/>
    <mergeCell ref="CU108:CW108"/>
    <mergeCell ref="CO75:CQ75"/>
    <mergeCell ref="DV77:DX77"/>
    <mergeCell ref="DV108:DX108"/>
    <mergeCell ref="DV134:DX134"/>
    <mergeCell ref="CO129:CQ129"/>
    <mergeCell ref="BK62:BM62"/>
    <mergeCell ref="CX54:CZ54"/>
    <mergeCell ref="AP48:AR48"/>
    <mergeCell ref="AJ110:AL110"/>
    <mergeCell ref="AV121:AX121"/>
    <mergeCell ref="BE128:BG128"/>
    <mergeCell ref="CI117:CK117"/>
    <mergeCell ref="CL74:CN74"/>
    <mergeCell ref="CL65:CN65"/>
    <mergeCell ref="CF65:CH65"/>
    <mergeCell ref="BN79:BP79"/>
    <mergeCell ref="BN104:BP104"/>
    <mergeCell ref="CI104:CK104"/>
    <mergeCell ref="CI122:CK122"/>
    <mergeCell ref="BN118:BP118"/>
    <mergeCell ref="AS61:AU61"/>
    <mergeCell ref="AP59:AR59"/>
    <mergeCell ref="AP54:AR54"/>
    <mergeCell ref="AV118:AX118"/>
    <mergeCell ref="CC67:CE67"/>
    <mergeCell ref="AJ52:AL52"/>
    <mergeCell ref="BQ116:BS116"/>
    <mergeCell ref="BW126:BY126"/>
    <mergeCell ref="CU120:CW120"/>
    <mergeCell ref="DS134:DU134"/>
    <mergeCell ref="BQ60:BS60"/>
    <mergeCell ref="DJ133:DL133"/>
    <mergeCell ref="DV65:DX65"/>
    <mergeCell ref="BQ80:BS80"/>
    <mergeCell ref="BQ99:BS99"/>
    <mergeCell ref="DA139:DC139"/>
    <mergeCell ref="CL45:CN45"/>
    <mergeCell ref="BT59:BV59"/>
    <mergeCell ref="DM16:DO16"/>
    <mergeCell ref="CC82:CE82"/>
    <mergeCell ref="DY138:EA138"/>
    <mergeCell ref="DD23:DF23"/>
    <mergeCell ref="BT61:BV61"/>
    <mergeCell ref="DA13:DC13"/>
    <mergeCell ref="CL85:CN85"/>
    <mergeCell ref="BQ98:BS98"/>
    <mergeCell ref="CF98:CH98"/>
    <mergeCell ref="DD104:DF104"/>
    <mergeCell ref="CU34:CW34"/>
    <mergeCell ref="CF38:CH38"/>
    <mergeCell ref="CC29:CE29"/>
    <mergeCell ref="CR109:CT109"/>
    <mergeCell ref="DA16:DC16"/>
    <mergeCell ref="CF29:CH29"/>
    <mergeCell ref="DJ136:DL136"/>
    <mergeCell ref="CI121:CK121"/>
    <mergeCell ref="DG133:DI133"/>
    <mergeCell ref="BT50:BV50"/>
    <mergeCell ref="BQ41:BS41"/>
    <mergeCell ref="DJ24:DL24"/>
    <mergeCell ref="DS132:DU132"/>
    <mergeCell ref="DV120:DX120"/>
    <mergeCell ref="DJ130:DL130"/>
    <mergeCell ref="DV130:DX130"/>
    <mergeCell ref="DV132:DX132"/>
    <mergeCell ref="DA128:DC128"/>
    <mergeCell ref="CC96:CE96"/>
    <mergeCell ref="J138:K138"/>
    <mergeCell ref="AJ23:AL23"/>
    <mergeCell ref="BT54:BV54"/>
    <mergeCell ref="O36:Q36"/>
    <mergeCell ref="DA137:DC137"/>
    <mergeCell ref="DP134:DR134"/>
    <mergeCell ref="CX136:CZ136"/>
    <mergeCell ref="DY74:EA74"/>
    <mergeCell ref="R121:T121"/>
    <mergeCell ref="CL95:CN95"/>
    <mergeCell ref="BK7:BM7"/>
    <mergeCell ref="BK34:BM34"/>
    <mergeCell ref="DP130:DR130"/>
    <mergeCell ref="AM114:AO114"/>
    <mergeCell ref="AJ44:AL44"/>
    <mergeCell ref="BH17:BJ17"/>
    <mergeCell ref="CO99:CQ99"/>
    <mergeCell ref="DP114:DR114"/>
    <mergeCell ref="AS103:AU103"/>
    <mergeCell ref="BK64:BM64"/>
    <mergeCell ref="O62:Q62"/>
    <mergeCell ref="AJ49:AL49"/>
    <mergeCell ref="O56:Q56"/>
    <mergeCell ref="BH19:BJ19"/>
    <mergeCell ref="CO128:CQ128"/>
    <mergeCell ref="CO100:CQ100"/>
    <mergeCell ref="O85:Q85"/>
    <mergeCell ref="DD77:DF77"/>
    <mergeCell ref="DY122:EA122"/>
    <mergeCell ref="CU53:CW53"/>
    <mergeCell ref="BN120:BP120"/>
    <mergeCell ref="DY120:EA120"/>
    <mergeCell ref="B139:K139"/>
    <mergeCell ref="BB54:BD54"/>
    <mergeCell ref="R139:T139"/>
    <mergeCell ref="AY9:BA9"/>
    <mergeCell ref="CU11:CW11"/>
    <mergeCell ref="BZ18:CB18"/>
    <mergeCell ref="BZ24:CB24"/>
    <mergeCell ref="O75:Q75"/>
    <mergeCell ref="AS126:AU126"/>
    <mergeCell ref="B12:I12"/>
    <mergeCell ref="BB81:BD81"/>
    <mergeCell ref="AY11:BA11"/>
    <mergeCell ref="CU67:CW67"/>
    <mergeCell ref="CF120:CH120"/>
    <mergeCell ref="CI103:CK103"/>
    <mergeCell ref="BW67:BY67"/>
    <mergeCell ref="AP17:AR17"/>
    <mergeCell ref="CL114:CN114"/>
    <mergeCell ref="AY40:BA40"/>
    <mergeCell ref="CI37:CK37"/>
    <mergeCell ref="CO21:CQ21"/>
    <mergeCell ref="AM41:AO41"/>
    <mergeCell ref="BW139:BY139"/>
    <mergeCell ref="CU16:CW16"/>
    <mergeCell ref="CU138:CW138"/>
    <mergeCell ref="BZ23:CB23"/>
    <mergeCell ref="BE34:BG34"/>
    <mergeCell ref="AJ41:AL41"/>
    <mergeCell ref="BQ132:BS132"/>
    <mergeCell ref="CL120:CN120"/>
    <mergeCell ref="BQ127:BS127"/>
    <mergeCell ref="AG108:AI108"/>
    <mergeCell ref="AM4:AO4"/>
    <mergeCell ref="BH6:BJ6"/>
    <mergeCell ref="AP41:AR41"/>
    <mergeCell ref="CU9:CW9"/>
    <mergeCell ref="BK75:BM75"/>
    <mergeCell ref="BT56:BV56"/>
    <mergeCell ref="BZ10:CB10"/>
    <mergeCell ref="CC11:CE11"/>
    <mergeCell ref="DD26:DF26"/>
    <mergeCell ref="DD48:DF48"/>
    <mergeCell ref="BQ69:BS69"/>
    <mergeCell ref="CL56:CN56"/>
    <mergeCell ref="DJ4:DL4"/>
    <mergeCell ref="BK58:BM58"/>
    <mergeCell ref="BN37:BP37"/>
    <mergeCell ref="DA19:DC19"/>
    <mergeCell ref="BH42:BJ42"/>
    <mergeCell ref="DD44:DF44"/>
    <mergeCell ref="CU64:CW64"/>
    <mergeCell ref="BK19:BM19"/>
    <mergeCell ref="CC9:CE9"/>
    <mergeCell ref="BH34:BJ34"/>
    <mergeCell ref="DA25:DC25"/>
    <mergeCell ref="DG5:DI5"/>
    <mergeCell ref="CU74:CW74"/>
    <mergeCell ref="CX75:CZ75"/>
    <mergeCell ref="CX41:CZ41"/>
    <mergeCell ref="BN60:BP60"/>
    <mergeCell ref="DD61:DF61"/>
    <mergeCell ref="DA5:DC5"/>
    <mergeCell ref="BE36:BG36"/>
    <mergeCell ref="AM11:AO11"/>
    <mergeCell ref="CO126:CQ126"/>
    <mergeCell ref="DA116:DC116"/>
    <mergeCell ref="AG124:AI124"/>
    <mergeCell ref="DP125:DR125"/>
    <mergeCell ref="DP75:DR75"/>
    <mergeCell ref="BK124:BM124"/>
    <mergeCell ref="DG128:DI128"/>
    <mergeCell ref="AJ132:AL132"/>
    <mergeCell ref="AY127:BA127"/>
    <mergeCell ref="CR115:CT115"/>
    <mergeCell ref="X7:Z7"/>
    <mergeCell ref="AG59:AI59"/>
    <mergeCell ref="AD108:AF108"/>
    <mergeCell ref="BQ67:BS67"/>
    <mergeCell ref="BT114:BV114"/>
    <mergeCell ref="AY104:BA104"/>
    <mergeCell ref="AP8:AR8"/>
    <mergeCell ref="CR30:CT30"/>
    <mergeCell ref="AP39:AR39"/>
    <mergeCell ref="DA18:DC18"/>
    <mergeCell ref="BZ114:CB114"/>
    <mergeCell ref="BQ122:BS122"/>
    <mergeCell ref="AA43:AC43"/>
    <mergeCell ref="DD25:DF25"/>
    <mergeCell ref="CI107:CK107"/>
    <mergeCell ref="AD49:AF49"/>
    <mergeCell ref="AS130:AU130"/>
    <mergeCell ref="BB128:BD128"/>
    <mergeCell ref="CC127:CE127"/>
    <mergeCell ref="AV111:AX111"/>
    <mergeCell ref="CU130:CW130"/>
    <mergeCell ref="CF127:CH127"/>
    <mergeCell ref="L25:N25"/>
    <mergeCell ref="R26:T26"/>
    <mergeCell ref="AM43:AO43"/>
    <mergeCell ref="AV19:AX19"/>
    <mergeCell ref="L23:N23"/>
    <mergeCell ref="B16:K16"/>
    <mergeCell ref="BN12:BP12"/>
    <mergeCell ref="L17:N17"/>
    <mergeCell ref="B42:I42"/>
    <mergeCell ref="L10:N10"/>
    <mergeCell ref="AY24:BA24"/>
    <mergeCell ref="O13:Q13"/>
    <mergeCell ref="AV62:AX62"/>
    <mergeCell ref="AV45:AX45"/>
    <mergeCell ref="AV56:AX56"/>
    <mergeCell ref="BN61:BP61"/>
    <mergeCell ref="BE32:BG32"/>
    <mergeCell ref="AY47:BA47"/>
    <mergeCell ref="R42:T42"/>
    <mergeCell ref="B19:I19"/>
    <mergeCell ref="R23:T23"/>
    <mergeCell ref="R21:T21"/>
    <mergeCell ref="B31:K31"/>
    <mergeCell ref="J38:K38"/>
    <mergeCell ref="AD37:AF37"/>
    <mergeCell ref="B50:K50"/>
    <mergeCell ref="J36:K36"/>
    <mergeCell ref="B40:I40"/>
    <mergeCell ref="B37:I37"/>
    <mergeCell ref="J30:K30"/>
    <mergeCell ref="BB14:BD14"/>
    <mergeCell ref="O40:Q40"/>
    <mergeCell ref="B18:I18"/>
    <mergeCell ref="AP14:AR14"/>
    <mergeCell ref="BE13:BG13"/>
    <mergeCell ref="U114:W114"/>
    <mergeCell ref="BN30:BP30"/>
    <mergeCell ref="AD111:AF111"/>
    <mergeCell ref="AG100:AI100"/>
    <mergeCell ref="AM79:AO79"/>
    <mergeCell ref="CX71:CZ71"/>
    <mergeCell ref="CU51:CW51"/>
    <mergeCell ref="CC65:CE65"/>
    <mergeCell ref="BB102:BD102"/>
    <mergeCell ref="L19:N19"/>
    <mergeCell ref="J17:K17"/>
    <mergeCell ref="CR26:CT26"/>
    <mergeCell ref="AP10:AR10"/>
    <mergeCell ref="X18:Z18"/>
    <mergeCell ref="L65:N65"/>
    <mergeCell ref="L62:N62"/>
    <mergeCell ref="L28:N28"/>
    <mergeCell ref="L54:N54"/>
    <mergeCell ref="L57:N57"/>
    <mergeCell ref="AG111:AI111"/>
    <mergeCell ref="CO114:CQ114"/>
    <mergeCell ref="CU98:CW98"/>
    <mergeCell ref="X32:Z32"/>
    <mergeCell ref="L41:N41"/>
    <mergeCell ref="AA44:AC44"/>
    <mergeCell ref="B44:K44"/>
    <mergeCell ref="L47:N47"/>
    <mergeCell ref="B30:I30"/>
    <mergeCell ref="J19:K19"/>
    <mergeCell ref="AS9:AU9"/>
    <mergeCell ref="BE37:BG37"/>
    <mergeCell ref="BH20:BJ20"/>
    <mergeCell ref="BW17:BY17"/>
    <mergeCell ref="CF13:CH13"/>
    <mergeCell ref="AM27:AO27"/>
    <mergeCell ref="BH9:BJ9"/>
    <mergeCell ref="AY37:BA37"/>
    <mergeCell ref="BZ47:CB47"/>
    <mergeCell ref="CI76:CK76"/>
    <mergeCell ref="U109:W109"/>
    <mergeCell ref="BH69:BJ69"/>
    <mergeCell ref="AY41:BA41"/>
    <mergeCell ref="BT42:BV42"/>
    <mergeCell ref="BZ32:CB32"/>
    <mergeCell ref="CO13:CQ13"/>
    <mergeCell ref="O71:Q71"/>
    <mergeCell ref="X82:Z82"/>
    <mergeCell ref="BB10:BD10"/>
    <mergeCell ref="BE30:BG30"/>
    <mergeCell ref="CF18:CH18"/>
    <mergeCell ref="BN27:BP27"/>
    <mergeCell ref="CI74:CK74"/>
    <mergeCell ref="BB109:BD109"/>
    <mergeCell ref="BH81:BJ81"/>
    <mergeCell ref="R37:T37"/>
    <mergeCell ref="BE24:BG24"/>
    <mergeCell ref="BB26:BD26"/>
    <mergeCell ref="O101:Q101"/>
    <mergeCell ref="AV16:AX16"/>
    <mergeCell ref="CI95:CK95"/>
    <mergeCell ref="CL99:CN99"/>
    <mergeCell ref="DP32:DR32"/>
    <mergeCell ref="BT82:BV82"/>
    <mergeCell ref="CI35:CK35"/>
    <mergeCell ref="AJ60:AL60"/>
    <mergeCell ref="AA50:AC50"/>
    <mergeCell ref="AG71:AI71"/>
    <mergeCell ref="X45:Z45"/>
    <mergeCell ref="AG62:AI62"/>
    <mergeCell ref="AM57:AO57"/>
    <mergeCell ref="AJ50:AL50"/>
    <mergeCell ref="AD75:AF75"/>
    <mergeCell ref="CU107:CW107"/>
    <mergeCell ref="CR37:CT37"/>
    <mergeCell ref="CU101:CW101"/>
    <mergeCell ref="DM80:DO80"/>
    <mergeCell ref="DM38:DO38"/>
    <mergeCell ref="CC104:CE104"/>
    <mergeCell ref="BT81:BV81"/>
    <mergeCell ref="CO101:CQ101"/>
    <mergeCell ref="BK100:BM100"/>
    <mergeCell ref="BZ77:CB77"/>
    <mergeCell ref="CC97:CE97"/>
    <mergeCell ref="CC69:CE69"/>
    <mergeCell ref="DD84:DF84"/>
    <mergeCell ref="AS57:AU57"/>
    <mergeCell ref="AM103:AO103"/>
    <mergeCell ref="AG35:AI35"/>
    <mergeCell ref="AG67:AI67"/>
    <mergeCell ref="DG104:DI104"/>
    <mergeCell ref="DM65:DO65"/>
    <mergeCell ref="CF107:CH107"/>
    <mergeCell ref="DD101:DF101"/>
    <mergeCell ref="CL128:CN128"/>
    <mergeCell ref="CR19:CT19"/>
    <mergeCell ref="BW32:BY32"/>
    <mergeCell ref="DV37:DX37"/>
    <mergeCell ref="DA44:DC44"/>
    <mergeCell ref="DA50:DC50"/>
    <mergeCell ref="BH85:BJ85"/>
    <mergeCell ref="DD114:DF114"/>
    <mergeCell ref="AY28:BA28"/>
    <mergeCell ref="B121:K121"/>
    <mergeCell ref="AG98:AI98"/>
    <mergeCell ref="AV20:AX20"/>
    <mergeCell ref="X44:Z44"/>
    <mergeCell ref="CX120:CZ120"/>
    <mergeCell ref="AA125:AC125"/>
    <mergeCell ref="BW124:BY124"/>
    <mergeCell ref="AS110:AU110"/>
    <mergeCell ref="AJ128:AL128"/>
    <mergeCell ref="O128:Q128"/>
    <mergeCell ref="AD125:AF125"/>
    <mergeCell ref="X119:Z119"/>
    <mergeCell ref="CC125:CE125"/>
    <mergeCell ref="AV114:AX114"/>
    <mergeCell ref="BQ49:BS49"/>
    <mergeCell ref="CI54:CK54"/>
    <mergeCell ref="DJ32:DL32"/>
    <mergeCell ref="AM75:AO75"/>
    <mergeCell ref="L29:N29"/>
    <mergeCell ref="O78:Q78"/>
    <mergeCell ref="J42:K42"/>
    <mergeCell ref="R77:T77"/>
    <mergeCell ref="U50:W50"/>
    <mergeCell ref="DD133:DF133"/>
    <mergeCell ref="BZ117:CB117"/>
    <mergeCell ref="DD127:DF127"/>
    <mergeCell ref="BB117:BD117"/>
    <mergeCell ref="B45:K45"/>
    <mergeCell ref="J117:K117"/>
    <mergeCell ref="AA133:AC133"/>
    <mergeCell ref="U54:W54"/>
    <mergeCell ref="R53:T53"/>
    <mergeCell ref="B47:K47"/>
    <mergeCell ref="CC115:CE115"/>
    <mergeCell ref="R47:T47"/>
    <mergeCell ref="AD68:AF68"/>
    <mergeCell ref="AJ35:AL35"/>
    <mergeCell ref="O16:Q16"/>
    <mergeCell ref="AD30:AF30"/>
    <mergeCell ref="X79:Z79"/>
    <mergeCell ref="AG21:AI21"/>
    <mergeCell ref="J119:K119"/>
    <mergeCell ref="AP76:AR76"/>
    <mergeCell ref="BT121:BV121"/>
    <mergeCell ref="AJ38:AL38"/>
    <mergeCell ref="AP119:AR119"/>
    <mergeCell ref="CL54:CN54"/>
    <mergeCell ref="L60:N60"/>
    <mergeCell ref="O81:Q81"/>
    <mergeCell ref="R30:T30"/>
    <mergeCell ref="X37:Z37"/>
    <mergeCell ref="AA81:AC81"/>
    <mergeCell ref="AA31:AC31"/>
    <mergeCell ref="L58:N58"/>
    <mergeCell ref="X77:Z77"/>
    <mergeCell ref="A99:A103"/>
    <mergeCell ref="CO10:CQ10"/>
    <mergeCell ref="AV47:AX47"/>
    <mergeCell ref="AY75:BA75"/>
    <mergeCell ref="AM12:AO12"/>
    <mergeCell ref="CI11:CK11"/>
    <mergeCell ref="O14:Q14"/>
    <mergeCell ref="AG79:AI79"/>
    <mergeCell ref="AP95:AR95"/>
    <mergeCell ref="AP85:AR85"/>
    <mergeCell ref="R84:T84"/>
    <mergeCell ref="X95:Z95"/>
    <mergeCell ref="O19:Q19"/>
    <mergeCell ref="AA30:AC30"/>
    <mergeCell ref="L95:N95"/>
    <mergeCell ref="X59:Z59"/>
    <mergeCell ref="R73:T73"/>
    <mergeCell ref="AJ12:AL12"/>
    <mergeCell ref="R17:T17"/>
    <mergeCell ref="B25:I25"/>
    <mergeCell ref="L40:N40"/>
    <mergeCell ref="B74:K74"/>
    <mergeCell ref="J37:K37"/>
    <mergeCell ref="O67:Q67"/>
    <mergeCell ref="L67:N67"/>
    <mergeCell ref="U53:W53"/>
    <mergeCell ref="B24:I24"/>
    <mergeCell ref="B27:I27"/>
    <mergeCell ref="B35:I35"/>
    <mergeCell ref="CI77:CK77"/>
    <mergeCell ref="J79:K79"/>
    <mergeCell ref="BQ103:BS103"/>
    <mergeCell ref="U24:W24"/>
    <mergeCell ref="AA71:AC71"/>
    <mergeCell ref="AD74:AF74"/>
    <mergeCell ref="AA82:AC82"/>
    <mergeCell ref="U48:W48"/>
    <mergeCell ref="O50:Q50"/>
    <mergeCell ref="AA107:AC107"/>
    <mergeCell ref="O114:Q114"/>
    <mergeCell ref="AA37:AC37"/>
    <mergeCell ref="AY25:BA25"/>
    <mergeCell ref="R109:T109"/>
    <mergeCell ref="AA116:AC116"/>
    <mergeCell ref="X80:Z80"/>
    <mergeCell ref="X118:Z118"/>
    <mergeCell ref="U100:W100"/>
    <mergeCell ref="AD52:AF52"/>
    <mergeCell ref="U56:W56"/>
    <mergeCell ref="U73:W73"/>
    <mergeCell ref="O95:Q95"/>
    <mergeCell ref="R57:T57"/>
    <mergeCell ref="AP43:AR43"/>
    <mergeCell ref="AY38:BA38"/>
    <mergeCell ref="R74:T74"/>
    <mergeCell ref="U75:W75"/>
    <mergeCell ref="R65:T65"/>
    <mergeCell ref="O48:Q48"/>
    <mergeCell ref="O31:Q31"/>
    <mergeCell ref="X108:Z108"/>
    <mergeCell ref="AG68:AI68"/>
    <mergeCell ref="X51:Z51"/>
    <mergeCell ref="X78:Z78"/>
    <mergeCell ref="U41:W41"/>
    <mergeCell ref="BW80:BY80"/>
    <mergeCell ref="BB38:BD38"/>
    <mergeCell ref="R68:T68"/>
    <mergeCell ref="L27:N27"/>
    <mergeCell ref="R52:T52"/>
    <mergeCell ref="X36:Z36"/>
    <mergeCell ref="L78:N78"/>
    <mergeCell ref="R32:T32"/>
    <mergeCell ref="R43:T43"/>
    <mergeCell ref="AA29:AC29"/>
    <mergeCell ref="AA111:AC111"/>
    <mergeCell ref="R82:T82"/>
    <mergeCell ref="AD118:AF118"/>
    <mergeCell ref="BK39:BM39"/>
    <mergeCell ref="BB79:BD79"/>
    <mergeCell ref="BB60:BD60"/>
    <mergeCell ref="BN62:BP62"/>
    <mergeCell ref="O84:Q84"/>
    <mergeCell ref="BH75:BJ75"/>
    <mergeCell ref="BE54:BG54"/>
    <mergeCell ref="BE69:BG69"/>
    <mergeCell ref="AG41:AI41"/>
    <mergeCell ref="X53:Z53"/>
    <mergeCell ref="U98:W98"/>
    <mergeCell ref="AM78:AO78"/>
    <mergeCell ref="O103:Q103"/>
    <mergeCell ref="BK27:BM27"/>
    <mergeCell ref="U64:W64"/>
    <mergeCell ref="O115:Q115"/>
    <mergeCell ref="AA65:AC65"/>
    <mergeCell ref="X117:Z117"/>
    <mergeCell ref="AJ115:AL115"/>
    <mergeCell ref="B125:I125"/>
    <mergeCell ref="AD77:AF77"/>
    <mergeCell ref="B73:K73"/>
    <mergeCell ref="U122:W122"/>
    <mergeCell ref="X116:Z116"/>
    <mergeCell ref="R54:T54"/>
    <mergeCell ref="BQ38:BS38"/>
    <mergeCell ref="AD41:AF41"/>
    <mergeCell ref="B68:F68"/>
    <mergeCell ref="AG99:AI99"/>
    <mergeCell ref="R111:T111"/>
    <mergeCell ref="AA74:AC74"/>
    <mergeCell ref="U68:W68"/>
    <mergeCell ref="B99:I99"/>
    <mergeCell ref="AD102:AF102"/>
    <mergeCell ref="AA28:AC28"/>
    <mergeCell ref="AD45:AF45"/>
    <mergeCell ref="L103:N103"/>
    <mergeCell ref="AD58:AF58"/>
    <mergeCell ref="AG48:AI48"/>
    <mergeCell ref="AM67:AO67"/>
    <mergeCell ref="AM38:AO38"/>
    <mergeCell ref="AD82:AF82"/>
    <mergeCell ref="R120:T120"/>
    <mergeCell ref="BQ101:BS101"/>
    <mergeCell ref="BQ107:BS107"/>
    <mergeCell ref="BE81:BG81"/>
    <mergeCell ref="BK44:BM44"/>
    <mergeCell ref="AV41:AX41"/>
    <mergeCell ref="BQ28:BS28"/>
    <mergeCell ref="AG34:AI34"/>
    <mergeCell ref="AY49:BA49"/>
    <mergeCell ref="U4:W4"/>
    <mergeCell ref="DA77:DC77"/>
    <mergeCell ref="L110:N110"/>
    <mergeCell ref="CX32:CZ32"/>
    <mergeCell ref="CI85:CK85"/>
    <mergeCell ref="BN98:BP98"/>
    <mergeCell ref="BT12:BV12"/>
    <mergeCell ref="DG64:DI64"/>
    <mergeCell ref="CR99:CT99"/>
    <mergeCell ref="CU96:CW96"/>
    <mergeCell ref="BT10:BV10"/>
    <mergeCell ref="BE16:BG16"/>
    <mergeCell ref="AG57:AI57"/>
    <mergeCell ref="X73:Z73"/>
    <mergeCell ref="AY85:BA85"/>
    <mergeCell ref="BB34:BD34"/>
    <mergeCell ref="AA25:AC25"/>
    <mergeCell ref="AA40:AC40"/>
    <mergeCell ref="U110:W110"/>
    <mergeCell ref="CC20:CE20"/>
    <mergeCell ref="BH99:BJ99"/>
    <mergeCell ref="DD14:DF14"/>
    <mergeCell ref="DG23:DI23"/>
    <mergeCell ref="DG95:DI95"/>
    <mergeCell ref="DA84:DC84"/>
    <mergeCell ref="DG98:DI98"/>
    <mergeCell ref="L99:N99"/>
    <mergeCell ref="AS81:AU81"/>
    <mergeCell ref="AY79:BA79"/>
    <mergeCell ref="CF79:CH79"/>
    <mergeCell ref="L98:N98"/>
    <mergeCell ref="O80:Q80"/>
    <mergeCell ref="L6:N6"/>
    <mergeCell ref="DP69:DR69"/>
    <mergeCell ref="DG48:DI48"/>
    <mergeCell ref="AA110:AC110"/>
    <mergeCell ref="O11:Q11"/>
    <mergeCell ref="BT96:BV96"/>
    <mergeCell ref="BW40:BY40"/>
    <mergeCell ref="BW65:BY65"/>
    <mergeCell ref="BE79:BG79"/>
    <mergeCell ref="L116:N116"/>
    <mergeCell ref="BH118:BJ118"/>
    <mergeCell ref="BK73:BM73"/>
    <mergeCell ref="CR9:CT9"/>
    <mergeCell ref="U35:W35"/>
    <mergeCell ref="BZ59:CB59"/>
    <mergeCell ref="BW50:BY50"/>
    <mergeCell ref="AP21:AR21"/>
    <mergeCell ref="L8:N8"/>
    <mergeCell ref="AM74:AO74"/>
    <mergeCell ref="CL36:CN36"/>
    <mergeCell ref="CU52:CW52"/>
    <mergeCell ref="CR13:CT13"/>
    <mergeCell ref="BT37:BV37"/>
    <mergeCell ref="DJ21:DL21"/>
    <mergeCell ref="CO34:CQ34"/>
    <mergeCell ref="CC8:CE8"/>
    <mergeCell ref="L118:N118"/>
    <mergeCell ref="CC101:CE101"/>
    <mergeCell ref="AM49:AO49"/>
    <mergeCell ref="BN38:BP38"/>
    <mergeCell ref="CC23:CE23"/>
    <mergeCell ref="X27:Z27"/>
    <mergeCell ref="J5:K5"/>
    <mergeCell ref="B81:I81"/>
    <mergeCell ref="L136:N136"/>
    <mergeCell ref="O137:Q137"/>
    <mergeCell ref="CR34:CT34"/>
    <mergeCell ref="BW41:BY41"/>
    <mergeCell ref="AY71:BA71"/>
    <mergeCell ref="AD84:AF84"/>
    <mergeCell ref="DA59:DC59"/>
    <mergeCell ref="DG81:DI81"/>
    <mergeCell ref="CX58:CZ58"/>
    <mergeCell ref="AM107:AO107"/>
    <mergeCell ref="CI111:CK111"/>
    <mergeCell ref="L102:N102"/>
    <mergeCell ref="BN20:BP20"/>
    <mergeCell ref="AY73:BA73"/>
    <mergeCell ref="BT31:BV31"/>
    <mergeCell ref="AJ124:AL124"/>
    <mergeCell ref="AP47:AR47"/>
    <mergeCell ref="BT134:BV134"/>
    <mergeCell ref="U102:W102"/>
    <mergeCell ref="CO103:CQ103"/>
    <mergeCell ref="O126:Q126"/>
    <mergeCell ref="L81:N81"/>
    <mergeCell ref="L56:N56"/>
    <mergeCell ref="X134:Z134"/>
    <mergeCell ref="U133:W133"/>
    <mergeCell ref="DA69:DC69"/>
    <mergeCell ref="BN96:BP96"/>
    <mergeCell ref="BE120:BG120"/>
    <mergeCell ref="BT97:BV97"/>
    <mergeCell ref="AY110:BA110"/>
    <mergeCell ref="O139:Q139"/>
    <mergeCell ref="AA41:AC41"/>
    <mergeCell ref="AA16:AC16"/>
    <mergeCell ref="CI80:CK80"/>
    <mergeCell ref="O108:Q108"/>
    <mergeCell ref="DJ97:DL97"/>
    <mergeCell ref="CI109:CK109"/>
    <mergeCell ref="BW48:BY48"/>
    <mergeCell ref="CR132:CT132"/>
    <mergeCell ref="AV130:AX130"/>
    <mergeCell ref="DG79:DI79"/>
    <mergeCell ref="BH101:BJ101"/>
    <mergeCell ref="CR51:CT51"/>
    <mergeCell ref="AV43:AX43"/>
    <mergeCell ref="AG51:AI51"/>
    <mergeCell ref="AA99:AC99"/>
    <mergeCell ref="X43:Z43"/>
    <mergeCell ref="DJ116:DL116"/>
    <mergeCell ref="DJ118:DL118"/>
    <mergeCell ref="CF104:CH104"/>
    <mergeCell ref="BT43:BV43"/>
    <mergeCell ref="AS19:AU19"/>
    <mergeCell ref="X26:Z26"/>
    <mergeCell ref="DJ137:DL137"/>
    <mergeCell ref="X24:Z24"/>
    <mergeCell ref="R24:T24"/>
    <mergeCell ref="AJ62:AL62"/>
    <mergeCell ref="AG28:AI28"/>
    <mergeCell ref="AS35:AU35"/>
    <mergeCell ref="AG31:AI31"/>
    <mergeCell ref="AD51:AF51"/>
    <mergeCell ref="BH54:BJ54"/>
    <mergeCell ref="DY139:EA139"/>
    <mergeCell ref="AD99:AF99"/>
    <mergeCell ref="AA98:AC98"/>
    <mergeCell ref="DJ37:DL37"/>
    <mergeCell ref="DP65:DR65"/>
    <mergeCell ref="DM20:DO20"/>
    <mergeCell ref="DP21:DR21"/>
    <mergeCell ref="CX73:CZ73"/>
    <mergeCell ref="BN43:BP43"/>
    <mergeCell ref="AV57:AX57"/>
    <mergeCell ref="DV129:DX129"/>
    <mergeCell ref="AM64:AO64"/>
    <mergeCell ref="CF27:CH27"/>
    <mergeCell ref="BN35:BP35"/>
    <mergeCell ref="AS48:AU48"/>
    <mergeCell ref="AD101:AF101"/>
    <mergeCell ref="DG21:DI21"/>
    <mergeCell ref="CL34:CN34"/>
    <mergeCell ref="BT99:BV99"/>
    <mergeCell ref="DJ122:DL122"/>
    <mergeCell ref="CF39:CH39"/>
    <mergeCell ref="BH56:BJ56"/>
    <mergeCell ref="CU80:CW80"/>
    <mergeCell ref="CC38:CE38"/>
    <mergeCell ref="DG39:DI39"/>
    <mergeCell ref="DA108:DC108"/>
    <mergeCell ref="CX122:CZ122"/>
    <mergeCell ref="DD32:DF32"/>
    <mergeCell ref="BW60:BY60"/>
    <mergeCell ref="CU32:CW32"/>
    <mergeCell ref="DS130:DU130"/>
    <mergeCell ref="DP38:DR38"/>
    <mergeCell ref="CI139:CK139"/>
    <mergeCell ref="CI132:CK132"/>
    <mergeCell ref="BE139:BG139"/>
    <mergeCell ref="BE136:BG136"/>
    <mergeCell ref="BW84:BY84"/>
    <mergeCell ref="CF31:CH31"/>
    <mergeCell ref="BH125:BJ125"/>
    <mergeCell ref="CX60:CZ60"/>
    <mergeCell ref="AM138:AO138"/>
    <mergeCell ref="CF95:CH95"/>
    <mergeCell ref="DD124:DF124"/>
    <mergeCell ref="DA54:DC54"/>
    <mergeCell ref="DG25:DI25"/>
    <mergeCell ref="BH52:BJ52"/>
    <mergeCell ref="BK139:BM139"/>
    <mergeCell ref="DG134:DI134"/>
    <mergeCell ref="BN58:BP58"/>
    <mergeCell ref="AV102:AX102"/>
    <mergeCell ref="CI128:CK128"/>
    <mergeCell ref="CX84:CZ84"/>
    <mergeCell ref="CU137:CW137"/>
    <mergeCell ref="CL138:CN138"/>
    <mergeCell ref="AV139:AX139"/>
    <mergeCell ref="BB99:BD99"/>
    <mergeCell ref="BE75:BG75"/>
    <mergeCell ref="AM104:AO104"/>
    <mergeCell ref="CO118:CQ118"/>
    <mergeCell ref="CL100:CN100"/>
    <mergeCell ref="CF74:CH74"/>
    <mergeCell ref="BB100:BD100"/>
    <mergeCell ref="BH117:BJ117"/>
    <mergeCell ref="BK109:BM109"/>
    <mergeCell ref="AG139:AI139"/>
    <mergeCell ref="CU139:CW139"/>
    <mergeCell ref="AV138:AX138"/>
    <mergeCell ref="BB80:BD80"/>
    <mergeCell ref="CC139:CE139"/>
    <mergeCell ref="AM97:AO97"/>
    <mergeCell ref="BZ129:CB129"/>
    <mergeCell ref="CO45:CQ45"/>
    <mergeCell ref="AS31:AU31"/>
    <mergeCell ref="CX139:CZ139"/>
    <mergeCell ref="BW129:BY129"/>
    <mergeCell ref="AM80:AO80"/>
    <mergeCell ref="AP129:AR129"/>
    <mergeCell ref="BH128:BJ128"/>
    <mergeCell ref="R119:T119"/>
    <mergeCell ref="DG125:DI125"/>
    <mergeCell ref="R136:T136"/>
    <mergeCell ref="R99:T99"/>
    <mergeCell ref="BZ49:CB49"/>
    <mergeCell ref="BE56:BG56"/>
    <mergeCell ref="CF40:CH40"/>
    <mergeCell ref="CL109:CN109"/>
    <mergeCell ref="BW121:BY121"/>
    <mergeCell ref="AS120:AU120"/>
    <mergeCell ref="DD139:DF139"/>
    <mergeCell ref="AJ129:AL129"/>
    <mergeCell ref="AJ97:AL97"/>
    <mergeCell ref="BB101:BD101"/>
    <mergeCell ref="AG114:AI114"/>
    <mergeCell ref="AD96:AF96"/>
    <mergeCell ref="CC133:CE133"/>
    <mergeCell ref="BE35:BG35"/>
    <mergeCell ref="CF138:CH138"/>
    <mergeCell ref="CF132:CH132"/>
    <mergeCell ref="AY109:BA109"/>
    <mergeCell ref="CX137:CZ137"/>
    <mergeCell ref="DP138:DR138"/>
    <mergeCell ref="CX138:CZ138"/>
    <mergeCell ref="DV11:DX11"/>
    <mergeCell ref="DS11:DU11"/>
    <mergeCell ref="BQ14:BS14"/>
    <mergeCell ref="CF9:CH9"/>
    <mergeCell ref="DS27:DU27"/>
    <mergeCell ref="DY25:EA25"/>
    <mergeCell ref="DS23:DU23"/>
    <mergeCell ref="DY18:EA18"/>
    <mergeCell ref="BT27:BV27"/>
    <mergeCell ref="DJ12:DL12"/>
    <mergeCell ref="CL28:CN28"/>
    <mergeCell ref="DA23:DC23"/>
    <mergeCell ref="DM129:DO129"/>
    <mergeCell ref="DD129:DF129"/>
    <mergeCell ref="BT14:BV14"/>
    <mergeCell ref="BK137:BM137"/>
    <mergeCell ref="BZ84:CB84"/>
    <mergeCell ref="BZ133:CB133"/>
    <mergeCell ref="DJ67:DL67"/>
    <mergeCell ref="BQ104:BS104"/>
    <mergeCell ref="BZ127:CB127"/>
    <mergeCell ref="DM29:DO29"/>
    <mergeCell ref="CU81:CW81"/>
    <mergeCell ref="DY10:EA10"/>
    <mergeCell ref="CC10:CE10"/>
    <mergeCell ref="BZ125:CB125"/>
    <mergeCell ref="DY85:EA85"/>
    <mergeCell ref="DJ104:DL104"/>
    <mergeCell ref="AD134:AF134"/>
    <mergeCell ref="L117:N117"/>
    <mergeCell ref="BE110:BG110"/>
    <mergeCell ref="AS17:AU17"/>
    <mergeCell ref="BB40:BD40"/>
    <mergeCell ref="DS127:DU127"/>
    <mergeCell ref="BB37:BD37"/>
    <mergeCell ref="AG50:AI50"/>
    <mergeCell ref="AA134:AC134"/>
    <mergeCell ref="CR133:CT133"/>
    <mergeCell ref="BN126:BP126"/>
    <mergeCell ref="CX35:CZ35"/>
    <mergeCell ref="CC48:CE48"/>
    <mergeCell ref="AA52:AC52"/>
    <mergeCell ref="BZ39:CB39"/>
    <mergeCell ref="CU26:CW26"/>
    <mergeCell ref="CO17:CQ17"/>
    <mergeCell ref="DJ81:DL81"/>
    <mergeCell ref="R18:T18"/>
    <mergeCell ref="U60:W60"/>
    <mergeCell ref="AD127:AF127"/>
    <mergeCell ref="CC57:CE57"/>
    <mergeCell ref="AD20:AF20"/>
    <mergeCell ref="CU124:CW124"/>
    <mergeCell ref="CC132:CE132"/>
    <mergeCell ref="AV53:AX53"/>
    <mergeCell ref="DV21:DX21"/>
    <mergeCell ref="DS75:DU75"/>
    <mergeCell ref="DS98:DU98"/>
    <mergeCell ref="DG65:DI65"/>
    <mergeCell ref="DS5:DU5"/>
    <mergeCell ref="BQ7:BS7"/>
    <mergeCell ref="BN6:BP6"/>
    <mergeCell ref="CL6:CN6"/>
    <mergeCell ref="F140:G140"/>
    <mergeCell ref="BT98:BV98"/>
    <mergeCell ref="DM84:DO84"/>
    <mergeCell ref="CF64:CH64"/>
    <mergeCell ref="BK77:BM77"/>
    <mergeCell ref="CC19:CE19"/>
    <mergeCell ref="BH32:BJ32"/>
    <mergeCell ref="AS85:AU85"/>
    <mergeCell ref="X98:Z98"/>
    <mergeCell ref="CO116:CQ116"/>
    <mergeCell ref="BB137:BD137"/>
    <mergeCell ref="CL71:CN71"/>
    <mergeCell ref="BQ84:BS84"/>
    <mergeCell ref="CU100:CW100"/>
    <mergeCell ref="CF30:CH30"/>
    <mergeCell ref="AS84:AU84"/>
    <mergeCell ref="U108:W108"/>
    <mergeCell ref="B96:I96"/>
    <mergeCell ref="B26:I26"/>
    <mergeCell ref="BE121:BG121"/>
    <mergeCell ref="AV80:AX80"/>
    <mergeCell ref="U139:W139"/>
    <mergeCell ref="L119:N119"/>
    <mergeCell ref="B41:I41"/>
    <mergeCell ref="B78:I78"/>
    <mergeCell ref="B98:I98"/>
    <mergeCell ref="CU24:CW24"/>
    <mergeCell ref="AS119:AU119"/>
    <mergeCell ref="DV10:DX10"/>
    <mergeCell ref="BE45:BG45"/>
    <mergeCell ref="AY17:BA17"/>
    <mergeCell ref="CI31:CK31"/>
    <mergeCell ref="CX42:CZ42"/>
    <mergeCell ref="AS14:AU14"/>
    <mergeCell ref="CO43:CQ43"/>
    <mergeCell ref="AG12:AI12"/>
    <mergeCell ref="DJ48:DL48"/>
    <mergeCell ref="AY19:BA19"/>
    <mergeCell ref="BT20:BV20"/>
    <mergeCell ref="AV39:AX39"/>
    <mergeCell ref="DP45:DR45"/>
    <mergeCell ref="BK35:BM35"/>
    <mergeCell ref="BK51:BM51"/>
    <mergeCell ref="CL42:CN42"/>
    <mergeCell ref="AY34:BA34"/>
    <mergeCell ref="CL31:CN31"/>
    <mergeCell ref="CF35:CH35"/>
    <mergeCell ref="CR36:CT36"/>
    <mergeCell ref="DG12:DI12"/>
    <mergeCell ref="AP49:AR49"/>
    <mergeCell ref="BW12:BY12"/>
    <mergeCell ref="BQ42:BS42"/>
    <mergeCell ref="CC45:CE45"/>
    <mergeCell ref="DD45:DF45"/>
    <mergeCell ref="DA47:DC47"/>
    <mergeCell ref="DG45:DI45"/>
    <mergeCell ref="BN21:BP21"/>
    <mergeCell ref="CX14:CZ14"/>
    <mergeCell ref="DJ31:DL31"/>
    <mergeCell ref="AS11:AU11"/>
    <mergeCell ref="DY13:EA13"/>
    <mergeCell ref="DS37:DU37"/>
    <mergeCell ref="DY17:EA17"/>
    <mergeCell ref="DM17:DO17"/>
    <mergeCell ref="BQ24:BS24"/>
    <mergeCell ref="DY16:EA16"/>
    <mergeCell ref="DY52:EA52"/>
    <mergeCell ref="DY11:EA11"/>
    <mergeCell ref="AY50:BA50"/>
    <mergeCell ref="DP10:DR10"/>
    <mergeCell ref="CL18:CN18"/>
    <mergeCell ref="DP43:DR43"/>
    <mergeCell ref="DY12:EA12"/>
    <mergeCell ref="CF26:CH26"/>
    <mergeCell ref="DY30:EA30"/>
    <mergeCell ref="DV18:DX18"/>
    <mergeCell ref="DA31:DC31"/>
    <mergeCell ref="DJ14:DL14"/>
    <mergeCell ref="CO26:CQ26"/>
    <mergeCell ref="BE50:BG50"/>
    <mergeCell ref="BE52:BG52"/>
    <mergeCell ref="BE26:BG26"/>
    <mergeCell ref="DV27:DX27"/>
    <mergeCell ref="CC21:CE21"/>
    <mergeCell ref="BB47:BD47"/>
    <mergeCell ref="BE27:BG27"/>
    <mergeCell ref="BQ12:BS12"/>
    <mergeCell ref="BQ25:BS25"/>
    <mergeCell ref="CL37:CN37"/>
    <mergeCell ref="DP40:DR40"/>
    <mergeCell ref="DP19:DR19"/>
    <mergeCell ref="CI24:CK24"/>
    <mergeCell ref="DP31:DR31"/>
    <mergeCell ref="BQ26:BS26"/>
    <mergeCell ref="CL73:CN73"/>
    <mergeCell ref="CI57:CK57"/>
    <mergeCell ref="DP77:DR77"/>
    <mergeCell ref="CI69:CK69"/>
    <mergeCell ref="CX64:CZ64"/>
    <mergeCell ref="BK53:BM53"/>
    <mergeCell ref="CF52:CH52"/>
    <mergeCell ref="DG47:DI47"/>
    <mergeCell ref="BZ21:CB21"/>
    <mergeCell ref="CL58:CN58"/>
    <mergeCell ref="DD21:DF21"/>
    <mergeCell ref="BW21:BY21"/>
    <mergeCell ref="DA67:DC67"/>
    <mergeCell ref="CI64:CK64"/>
    <mergeCell ref="DP36:DR36"/>
    <mergeCell ref="DJ29:DL29"/>
    <mergeCell ref="CL47:CN47"/>
    <mergeCell ref="CU69:CW69"/>
    <mergeCell ref="CX44:CZ44"/>
    <mergeCell ref="DD41:DF41"/>
    <mergeCell ref="DA41:DC41"/>
    <mergeCell ref="DM40:DO40"/>
    <mergeCell ref="DD76:DF76"/>
    <mergeCell ref="BW39:BY39"/>
    <mergeCell ref="BT40:BV40"/>
    <mergeCell ref="BZ64:CB64"/>
    <mergeCell ref="DJ53:DL53"/>
    <mergeCell ref="CL52:CN52"/>
    <mergeCell ref="DJ61:DL61"/>
    <mergeCell ref="CO74:CQ74"/>
    <mergeCell ref="CL136:CN136"/>
    <mergeCell ref="CL111:CN111"/>
    <mergeCell ref="AD44:AF44"/>
    <mergeCell ref="DG132:DI132"/>
    <mergeCell ref="BH58:BJ58"/>
    <mergeCell ref="BH122:BJ122"/>
    <mergeCell ref="AV29:AX29"/>
    <mergeCell ref="CL44:CN44"/>
    <mergeCell ref="BE119:BG119"/>
    <mergeCell ref="BE104:BG104"/>
    <mergeCell ref="CX51:CZ51"/>
    <mergeCell ref="BH116:BJ116"/>
    <mergeCell ref="DG103:DI103"/>
    <mergeCell ref="BZ96:CB96"/>
    <mergeCell ref="BT120:BV120"/>
    <mergeCell ref="BB120:BD120"/>
    <mergeCell ref="CR119:CT119"/>
    <mergeCell ref="AS74:AU74"/>
    <mergeCell ref="AV75:AX75"/>
    <mergeCell ref="CO102:CQ102"/>
    <mergeCell ref="DG101:DI101"/>
    <mergeCell ref="DA125:DC125"/>
    <mergeCell ref="AM68:AO68"/>
    <mergeCell ref="BH124:BJ124"/>
    <mergeCell ref="AS115:AU115"/>
    <mergeCell ref="AG121:AI121"/>
    <mergeCell ref="AP136:AR136"/>
    <mergeCell ref="BN39:BP39"/>
    <mergeCell ref="CU111:CW111"/>
    <mergeCell ref="AG69:AI69"/>
    <mergeCell ref="DG84:DI84"/>
    <mergeCell ref="DA43:DC43"/>
    <mergeCell ref="BT138:BV138"/>
    <mergeCell ref="BT133:BV133"/>
    <mergeCell ref="O136:Q136"/>
    <mergeCell ref="R137:T137"/>
    <mergeCell ref="CI119:CK119"/>
    <mergeCell ref="DJ117:DL117"/>
    <mergeCell ref="AM116:AO116"/>
    <mergeCell ref="CR116:CT116"/>
    <mergeCell ref="U136:W136"/>
    <mergeCell ref="CL16:CN16"/>
    <mergeCell ref="AP134:AR134"/>
    <mergeCell ref="BK20:BM20"/>
    <mergeCell ref="DJ103:DL103"/>
    <mergeCell ref="U45:W45"/>
    <mergeCell ref="X81:Z81"/>
    <mergeCell ref="AP120:AR120"/>
    <mergeCell ref="BH120:BJ120"/>
    <mergeCell ref="AJ42:AL42"/>
    <mergeCell ref="AV31:AX31"/>
    <mergeCell ref="AG54:AI54"/>
    <mergeCell ref="R101:T101"/>
    <mergeCell ref="AJ40:AL40"/>
    <mergeCell ref="AD117:AF117"/>
    <mergeCell ref="DA73:DC73"/>
    <mergeCell ref="CO71:CQ71"/>
    <mergeCell ref="BT115:BV115"/>
    <mergeCell ref="AA115:AC115"/>
    <mergeCell ref="AV128:AX128"/>
    <mergeCell ref="CF114:CH114"/>
    <mergeCell ref="BQ114:BS114"/>
    <mergeCell ref="CC110:CE110"/>
    <mergeCell ref="AP97:AR97"/>
    <mergeCell ref="DV121:DX121"/>
    <mergeCell ref="DS42:DU42"/>
    <mergeCell ref="DJ121:DL121"/>
    <mergeCell ref="CF116:CH116"/>
    <mergeCell ref="CU35:CW35"/>
    <mergeCell ref="BZ48:CB48"/>
    <mergeCell ref="BQ35:BS35"/>
    <mergeCell ref="DA96:DC96"/>
    <mergeCell ref="CL130:CN130"/>
    <mergeCell ref="AV68:AX68"/>
    <mergeCell ref="BB133:BD133"/>
    <mergeCell ref="BE118:BG118"/>
    <mergeCell ref="BB75:BD75"/>
    <mergeCell ref="BQ48:BS48"/>
    <mergeCell ref="AS47:AU47"/>
    <mergeCell ref="AS56:AU56"/>
    <mergeCell ref="AP55:AR55"/>
    <mergeCell ref="AP38:AR38"/>
    <mergeCell ref="AV119:AX119"/>
    <mergeCell ref="CU117:CW117"/>
    <mergeCell ref="DA107:DC107"/>
    <mergeCell ref="DD96:DF96"/>
    <mergeCell ref="CR96:CT96"/>
    <mergeCell ref="BW103:BY103"/>
    <mergeCell ref="BN100:BP100"/>
    <mergeCell ref="BW107:BY107"/>
    <mergeCell ref="BZ103:CB103"/>
    <mergeCell ref="CR95:CT95"/>
    <mergeCell ref="BZ111:CB111"/>
    <mergeCell ref="CF111:CH111"/>
    <mergeCell ref="BH35:BJ35"/>
    <mergeCell ref="CR40:CT40"/>
    <mergeCell ref="DY137:EA137"/>
    <mergeCell ref="DY130:EA130"/>
    <mergeCell ref="BB136:BD136"/>
    <mergeCell ref="DY43:EA43"/>
    <mergeCell ref="DY132:EA132"/>
    <mergeCell ref="AV137:AX137"/>
    <mergeCell ref="DP103:DR103"/>
    <mergeCell ref="DP111:DR111"/>
    <mergeCell ref="DM110:DO110"/>
    <mergeCell ref="CU118:CW118"/>
    <mergeCell ref="DP110:DR110"/>
    <mergeCell ref="DM122:DO122"/>
    <mergeCell ref="DJ77:DL77"/>
    <mergeCell ref="DD38:DF38"/>
    <mergeCell ref="BQ59:BS59"/>
    <mergeCell ref="DA58:DC58"/>
    <mergeCell ref="DD97:DF97"/>
    <mergeCell ref="CR130:CT130"/>
    <mergeCell ref="CO130:CQ130"/>
    <mergeCell ref="BE82:BG82"/>
    <mergeCell ref="CF97:CH97"/>
    <mergeCell ref="DD126:DF126"/>
    <mergeCell ref="BZ110:CB110"/>
    <mergeCell ref="DP129:DR129"/>
    <mergeCell ref="BN128:BP128"/>
    <mergeCell ref="BB71:BD71"/>
    <mergeCell ref="BK59:BM59"/>
    <mergeCell ref="DD107:DF107"/>
    <mergeCell ref="CR81:CT81"/>
    <mergeCell ref="BW74:BY74"/>
    <mergeCell ref="BZ75:CB75"/>
    <mergeCell ref="BK125:BM125"/>
    <mergeCell ref="B4:I4"/>
    <mergeCell ref="BB73:BD73"/>
    <mergeCell ref="AG80:AI80"/>
    <mergeCell ref="CU59:CW59"/>
    <mergeCell ref="U18:W18"/>
    <mergeCell ref="U51:W51"/>
    <mergeCell ref="J6:K6"/>
    <mergeCell ref="O6:Q6"/>
    <mergeCell ref="AD80:AF80"/>
    <mergeCell ref="BT80:BV80"/>
    <mergeCell ref="CC85:CE85"/>
    <mergeCell ref="CI81:CK81"/>
    <mergeCell ref="CX82:CZ82"/>
    <mergeCell ref="B79:I79"/>
    <mergeCell ref="AA58:AC58"/>
    <mergeCell ref="G68:K68"/>
    <mergeCell ref="U77:W77"/>
    <mergeCell ref="R38:T38"/>
    <mergeCell ref="AY6:BA6"/>
    <mergeCell ref="BN76:BP76"/>
    <mergeCell ref="AM39:AO39"/>
    <mergeCell ref="O7:Q7"/>
    <mergeCell ref="CF8:CH8"/>
    <mergeCell ref="CI9:CK9"/>
    <mergeCell ref="L77:N77"/>
    <mergeCell ref="L79:N79"/>
    <mergeCell ref="CI47:CK47"/>
    <mergeCell ref="B32:K32"/>
    <mergeCell ref="L45:N45"/>
    <mergeCell ref="L34:N34"/>
    <mergeCell ref="B43:I43"/>
    <mergeCell ref="AD50:AF50"/>
    <mergeCell ref="AA5:AC5"/>
    <mergeCell ref="AY5:BA5"/>
    <mergeCell ref="AG19:AI19"/>
    <mergeCell ref="BN41:BP41"/>
    <mergeCell ref="AY103:BA103"/>
    <mergeCell ref="U16:W16"/>
    <mergeCell ref="BN82:BP82"/>
    <mergeCell ref="O25:Q25"/>
    <mergeCell ref="J27:K27"/>
    <mergeCell ref="L74:N74"/>
    <mergeCell ref="BZ41:CB41"/>
    <mergeCell ref="BH98:BJ98"/>
    <mergeCell ref="CC95:CE95"/>
    <mergeCell ref="AP75:AR75"/>
    <mergeCell ref="AM65:AO65"/>
    <mergeCell ref="B49:K49"/>
    <mergeCell ref="J7:K7"/>
    <mergeCell ref="BH5:BJ5"/>
    <mergeCell ref="AP40:AR40"/>
    <mergeCell ref="BH40:BJ40"/>
    <mergeCell ref="BH51:BJ51"/>
    <mergeCell ref="CC17:CE17"/>
    <mergeCell ref="J77:K77"/>
    <mergeCell ref="X75:Z75"/>
    <mergeCell ref="R28:T28"/>
    <mergeCell ref="AY30:BA30"/>
    <mergeCell ref="L32:N32"/>
    <mergeCell ref="J43:K43"/>
    <mergeCell ref="O41:Q41"/>
    <mergeCell ref="BW47:BY47"/>
    <mergeCell ref="L37:N37"/>
    <mergeCell ref="B48:K48"/>
    <mergeCell ref="DA4:DC4"/>
    <mergeCell ref="R124:T124"/>
    <mergeCell ref="AM111:AO111"/>
    <mergeCell ref="BB58:BD58"/>
    <mergeCell ref="U5:W5"/>
    <mergeCell ref="BK99:BM99"/>
    <mergeCell ref="U124:W124"/>
    <mergeCell ref="AM98:AO98"/>
    <mergeCell ref="CF115:CH115"/>
    <mergeCell ref="X122:Z122"/>
    <mergeCell ref="AY120:BA120"/>
    <mergeCell ref="AM118:AO118"/>
    <mergeCell ref="BK101:BM101"/>
    <mergeCell ref="AA109:AC109"/>
    <mergeCell ref="AJ127:AL127"/>
    <mergeCell ref="BQ128:BS128"/>
    <mergeCell ref="BH107:BJ107"/>
    <mergeCell ref="BH104:BJ104"/>
    <mergeCell ref="BW109:BY109"/>
    <mergeCell ref="BW100:BY100"/>
    <mergeCell ref="CI53:CK53"/>
    <mergeCell ref="R13:T13"/>
    <mergeCell ref="AD25:AF25"/>
    <mergeCell ref="U61:W61"/>
    <mergeCell ref="AA124:AC124"/>
    <mergeCell ref="CC128:CE128"/>
    <mergeCell ref="AS118:AU118"/>
    <mergeCell ref="CO115:CQ115"/>
    <mergeCell ref="CI114:CK114"/>
    <mergeCell ref="BK56:BM56"/>
    <mergeCell ref="BE107:BG107"/>
    <mergeCell ref="CO56:CQ56"/>
    <mergeCell ref="J116:K116"/>
    <mergeCell ref="CI100:CK100"/>
    <mergeCell ref="BT30:BV30"/>
    <mergeCell ref="DJ8:DL8"/>
    <mergeCell ref="CR16:CT16"/>
    <mergeCell ref="DM19:DO19"/>
    <mergeCell ref="AP11:AR11"/>
    <mergeCell ref="DJ10:DL10"/>
    <mergeCell ref="DM119:DO119"/>
    <mergeCell ref="BH108:BJ108"/>
    <mergeCell ref="AP62:AR62"/>
    <mergeCell ref="BK49:BM49"/>
    <mergeCell ref="CI52:CK52"/>
    <mergeCell ref="U14:W14"/>
    <mergeCell ref="BZ8:CB8"/>
    <mergeCell ref="AM99:AO99"/>
    <mergeCell ref="AM108:AO108"/>
    <mergeCell ref="AJ116:AL116"/>
    <mergeCell ref="U104:W104"/>
    <mergeCell ref="AA118:AC118"/>
    <mergeCell ref="AJ109:AL109"/>
    <mergeCell ref="CC80:CE80"/>
    <mergeCell ref="AY77:BA77"/>
    <mergeCell ref="CR76:CT76"/>
    <mergeCell ref="O69:Q69"/>
    <mergeCell ref="AG17:AI17"/>
    <mergeCell ref="B106:K106"/>
    <mergeCell ref="CO95:CQ95"/>
    <mergeCell ref="AG84:AI84"/>
    <mergeCell ref="B118:I118"/>
    <mergeCell ref="BK108:BM108"/>
    <mergeCell ref="O119:Q119"/>
    <mergeCell ref="AP29:AR29"/>
    <mergeCell ref="U57:W57"/>
    <mergeCell ref="U20:W20"/>
    <mergeCell ref="AV18:AX18"/>
    <mergeCell ref="AA13:AC13"/>
    <mergeCell ref="AA18:AC18"/>
    <mergeCell ref="BB76:BD76"/>
    <mergeCell ref="U127:W127"/>
    <mergeCell ref="AP130:AR130"/>
    <mergeCell ref="AM129:AO129"/>
    <mergeCell ref="U111:W111"/>
    <mergeCell ref="AY128:BA128"/>
    <mergeCell ref="AP108:AR108"/>
    <mergeCell ref="AY80:BA80"/>
    <mergeCell ref="U128:W128"/>
    <mergeCell ref="AP78:AR78"/>
    <mergeCell ref="AJ78:AL78"/>
    <mergeCell ref="AS76:AU76"/>
    <mergeCell ref="AA80:AC80"/>
    <mergeCell ref="AD116:AF116"/>
    <mergeCell ref="AD79:AF79"/>
    <mergeCell ref="AS30:AU30"/>
    <mergeCell ref="AP121:AR121"/>
    <mergeCell ref="AD109:AF109"/>
    <mergeCell ref="AP109:AR109"/>
    <mergeCell ref="AP81:AR81"/>
    <mergeCell ref="AJ57:AL57"/>
    <mergeCell ref="AD40:AF40"/>
    <mergeCell ref="AG104:AI104"/>
    <mergeCell ref="X96:Z96"/>
    <mergeCell ref="AG85:AI85"/>
    <mergeCell ref="BB64:BD64"/>
    <mergeCell ref="L132:N132"/>
    <mergeCell ref="CO64:CQ64"/>
    <mergeCell ref="BW59:BY59"/>
    <mergeCell ref="DG61:DI61"/>
    <mergeCell ref="CO35:CQ35"/>
    <mergeCell ref="BZ56:CB56"/>
    <mergeCell ref="BW55:BY55"/>
    <mergeCell ref="DG59:DI59"/>
    <mergeCell ref="L130:N130"/>
    <mergeCell ref="R126:T126"/>
    <mergeCell ref="U119:W119"/>
    <mergeCell ref="AJ74:AL74"/>
    <mergeCell ref="X133:Z133"/>
    <mergeCell ref="O52:Q52"/>
    <mergeCell ref="BB69:BD69"/>
    <mergeCell ref="AP115:AR115"/>
    <mergeCell ref="AJ79:AL79"/>
    <mergeCell ref="BN97:BP97"/>
    <mergeCell ref="BN111:BP111"/>
    <mergeCell ref="O110:Q110"/>
    <mergeCell ref="BK114:BM114"/>
    <mergeCell ref="O73:Q73"/>
    <mergeCell ref="BE42:BG42"/>
    <mergeCell ref="DA124:DC124"/>
    <mergeCell ref="DD125:DF125"/>
    <mergeCell ref="BZ109:CB109"/>
    <mergeCell ref="CX79:CZ79"/>
    <mergeCell ref="CX124:CZ124"/>
    <mergeCell ref="BE44:BG44"/>
    <mergeCell ref="BT49:BV49"/>
    <mergeCell ref="AY53:BA53"/>
    <mergeCell ref="AD95:AF95"/>
    <mergeCell ref="J126:K126"/>
    <mergeCell ref="AY125:BA125"/>
    <mergeCell ref="J108:K108"/>
    <mergeCell ref="J127:K127"/>
    <mergeCell ref="R118:T118"/>
    <mergeCell ref="O99:Q99"/>
    <mergeCell ref="AS124:AU124"/>
    <mergeCell ref="J118:K118"/>
    <mergeCell ref="AS98:AU98"/>
    <mergeCell ref="AV103:AX103"/>
    <mergeCell ref="AP84:AR84"/>
    <mergeCell ref="U84:W84"/>
    <mergeCell ref="DM138:DO138"/>
    <mergeCell ref="DM132:DO132"/>
    <mergeCell ref="CL115:CN115"/>
    <mergeCell ref="BW30:BY30"/>
    <mergeCell ref="L82:N82"/>
    <mergeCell ref="CU133:CW133"/>
    <mergeCell ref="AJ138:AL138"/>
    <mergeCell ref="L75:N75"/>
    <mergeCell ref="BQ133:BS133"/>
    <mergeCell ref="AD59:AF59"/>
    <mergeCell ref="DA103:DC103"/>
    <mergeCell ref="BW111:BY111"/>
    <mergeCell ref="CF110:CH110"/>
    <mergeCell ref="CI137:CK137"/>
    <mergeCell ref="BH136:BJ136"/>
    <mergeCell ref="AP138:AR138"/>
    <mergeCell ref="U126:W126"/>
    <mergeCell ref="AD114:AF114"/>
    <mergeCell ref="AA78:AC78"/>
    <mergeCell ref="L137:N137"/>
    <mergeCell ref="CC121:CE121"/>
    <mergeCell ref="AJ120:AL120"/>
    <mergeCell ref="U95:W95"/>
    <mergeCell ref="O122:Q122"/>
    <mergeCell ref="AS121:AU121"/>
    <mergeCell ref="AP122:AR122"/>
    <mergeCell ref="AA121:AC121"/>
    <mergeCell ref="AA120:AC120"/>
    <mergeCell ref="AA119:AC119"/>
    <mergeCell ref="CF129:CH129"/>
    <mergeCell ref="BW82:BY82"/>
    <mergeCell ref="J81:K81"/>
    <mergeCell ref="L97:N97"/>
    <mergeCell ref="AA127:AC127"/>
    <mergeCell ref="J98:K98"/>
    <mergeCell ref="AM130:AO130"/>
    <mergeCell ref="AY130:BA130"/>
    <mergeCell ref="R130:T130"/>
    <mergeCell ref="AG129:AI129"/>
    <mergeCell ref="AV125:AX125"/>
    <mergeCell ref="BE96:BG96"/>
    <mergeCell ref="AD107:AF107"/>
    <mergeCell ref="R116:T116"/>
    <mergeCell ref="J114:K114"/>
    <mergeCell ref="U107:W107"/>
    <mergeCell ref="L115:N115"/>
    <mergeCell ref="R81:T81"/>
    <mergeCell ref="L85:N85"/>
    <mergeCell ref="AD110:AF110"/>
    <mergeCell ref="BE100:BG100"/>
    <mergeCell ref="O117:Q117"/>
    <mergeCell ref="U96:W96"/>
    <mergeCell ref="B126:I126"/>
    <mergeCell ref="B110:K110"/>
    <mergeCell ref="B116:I116"/>
    <mergeCell ref="E94:F94"/>
    <mergeCell ref="BB96:BD96"/>
    <mergeCell ref="X103:Z103"/>
    <mergeCell ref="AJ81:AL81"/>
    <mergeCell ref="AS104:AU104"/>
    <mergeCell ref="X107:Z107"/>
    <mergeCell ref="O100:Q100"/>
    <mergeCell ref="O102:Q102"/>
    <mergeCell ref="L104:N104"/>
    <mergeCell ref="B89:N89"/>
    <mergeCell ref="O111:Q111"/>
    <mergeCell ref="B97:I97"/>
    <mergeCell ref="J120:K120"/>
    <mergeCell ref="B113:K113"/>
    <mergeCell ref="L114:N114"/>
    <mergeCell ref="U120:W120"/>
    <mergeCell ref="AA85:AC85"/>
    <mergeCell ref="O97:Q97"/>
    <mergeCell ref="B115:I115"/>
    <mergeCell ref="B101:I101"/>
    <mergeCell ref="B108:I108"/>
    <mergeCell ref="J107:K107"/>
    <mergeCell ref="B111:K111"/>
    <mergeCell ref="B114:I114"/>
    <mergeCell ref="B109:I109"/>
    <mergeCell ref="B82:I82"/>
    <mergeCell ref="L111:N111"/>
    <mergeCell ref="B119:I119"/>
    <mergeCell ref="B85:K85"/>
    <mergeCell ref="B117:I117"/>
    <mergeCell ref="U116:W116"/>
    <mergeCell ref="X115:Z115"/>
    <mergeCell ref="BT109:BV109"/>
    <mergeCell ref="AP110:AR110"/>
    <mergeCell ref="CF78:CH78"/>
    <mergeCell ref="BQ96:BS96"/>
    <mergeCell ref="AJ95:AL95"/>
    <mergeCell ref="AD81:AF81"/>
    <mergeCell ref="BQ100:BS100"/>
    <mergeCell ref="B107:I107"/>
    <mergeCell ref="L68:N68"/>
    <mergeCell ref="L49:N49"/>
    <mergeCell ref="B34:K34"/>
    <mergeCell ref="B51:K51"/>
    <mergeCell ref="B38:I38"/>
    <mergeCell ref="BZ54:CB54"/>
    <mergeCell ref="R45:T45"/>
    <mergeCell ref="X40:Z40"/>
    <mergeCell ref="AD60:AF60"/>
    <mergeCell ref="BN56:BP56"/>
    <mergeCell ref="B54:K54"/>
    <mergeCell ref="AP57:AR57"/>
    <mergeCell ref="U97:W97"/>
    <mergeCell ref="L96:N96"/>
    <mergeCell ref="J103:K103"/>
    <mergeCell ref="B76:K76"/>
    <mergeCell ref="J102:K102"/>
    <mergeCell ref="B95:I95"/>
    <mergeCell ref="AJ75:AL75"/>
    <mergeCell ref="L36:N36"/>
    <mergeCell ref="O65:Q65"/>
    <mergeCell ref="O30:Q30"/>
    <mergeCell ref="R48:T48"/>
    <mergeCell ref="DJ49:DL49"/>
    <mergeCell ref="DJ45:DL45"/>
    <mergeCell ref="CC31:CE31"/>
    <mergeCell ref="DG35:DI35"/>
    <mergeCell ref="AG36:AI36"/>
    <mergeCell ref="BW35:BY35"/>
    <mergeCell ref="BB48:BD48"/>
    <mergeCell ref="AG49:AI49"/>
    <mergeCell ref="AJ48:AL48"/>
    <mergeCell ref="BK52:BM52"/>
    <mergeCell ref="AY60:BA60"/>
    <mergeCell ref="DD59:DF59"/>
    <mergeCell ref="BN77:BP77"/>
    <mergeCell ref="DJ51:DL51"/>
    <mergeCell ref="DG78:DI78"/>
    <mergeCell ref="AP65:AR65"/>
    <mergeCell ref="CI49:CK49"/>
    <mergeCell ref="BW54:BY54"/>
    <mergeCell ref="AS73:AU73"/>
    <mergeCell ref="CC59:CE59"/>
    <mergeCell ref="BN49:BP49"/>
    <mergeCell ref="BE53:BG53"/>
    <mergeCell ref="BN78:BP78"/>
    <mergeCell ref="BH67:BJ67"/>
    <mergeCell ref="BE55:BG55"/>
    <mergeCell ref="AV78:AX78"/>
    <mergeCell ref="BE77:BG77"/>
    <mergeCell ref="BK61:BM61"/>
    <mergeCell ref="DG49:DI49"/>
    <mergeCell ref="AV54:AX54"/>
    <mergeCell ref="CC71:CE71"/>
    <mergeCell ref="X71:Z71"/>
    <mergeCell ref="U38:W38"/>
    <mergeCell ref="DM23:DO23"/>
    <mergeCell ref="DM62:DO62"/>
    <mergeCell ref="BZ45:CB45"/>
    <mergeCell ref="AS34:AU34"/>
    <mergeCell ref="BW31:BY31"/>
    <mergeCell ref="AG58:AI58"/>
    <mergeCell ref="AG20:AI20"/>
    <mergeCell ref="AV40:AX40"/>
    <mergeCell ref="DD35:DF35"/>
    <mergeCell ref="AA59:AC59"/>
    <mergeCell ref="DG24:DI24"/>
    <mergeCell ref="AA24:AC24"/>
    <mergeCell ref="U40:W40"/>
    <mergeCell ref="CI27:CK27"/>
    <mergeCell ref="CO24:CQ24"/>
    <mergeCell ref="CU43:CW43"/>
    <mergeCell ref="DD65:DF65"/>
    <mergeCell ref="BZ27:CB27"/>
    <mergeCell ref="DM69:DO69"/>
    <mergeCell ref="DA60:DC60"/>
    <mergeCell ref="BK21:BM21"/>
    <mergeCell ref="BB25:BD25"/>
    <mergeCell ref="CI55:CK55"/>
    <mergeCell ref="AY64:BA64"/>
    <mergeCell ref="AY54:BA54"/>
    <mergeCell ref="AD48:AF48"/>
    <mergeCell ref="BQ57:BS57"/>
    <mergeCell ref="AA49:AC49"/>
    <mergeCell ref="BB52:BD52"/>
    <mergeCell ref="B20:K20"/>
    <mergeCell ref="L7:N7"/>
    <mergeCell ref="DG9:DI9"/>
    <mergeCell ref="CI51:CK51"/>
    <mergeCell ref="U59:W59"/>
    <mergeCell ref="BN16:BP16"/>
    <mergeCell ref="CO58:CQ58"/>
    <mergeCell ref="CR59:CT59"/>
    <mergeCell ref="BH65:BJ65"/>
    <mergeCell ref="AJ8:AL8"/>
    <mergeCell ref="BH31:BJ31"/>
    <mergeCell ref="L64:N64"/>
    <mergeCell ref="DG41:DI41"/>
    <mergeCell ref="AD11:AF11"/>
    <mergeCell ref="CO7:CQ7"/>
    <mergeCell ref="AV44:AX44"/>
    <mergeCell ref="DD40:DF40"/>
    <mergeCell ref="BW14:BY14"/>
    <mergeCell ref="CU13:CW13"/>
    <mergeCell ref="BT58:BV58"/>
    <mergeCell ref="BZ36:CB36"/>
    <mergeCell ref="CI30:CK30"/>
    <mergeCell ref="BK50:BM50"/>
    <mergeCell ref="AY56:BA56"/>
    <mergeCell ref="CR43:CT43"/>
    <mergeCell ref="BZ57:CB57"/>
    <mergeCell ref="DD42:DF42"/>
    <mergeCell ref="AJ10:AL10"/>
    <mergeCell ref="DA55:DC55"/>
    <mergeCell ref="AG56:AI56"/>
    <mergeCell ref="AM40:AO40"/>
    <mergeCell ref="AJ39:AL39"/>
    <mergeCell ref="DG4:DI4"/>
    <mergeCell ref="AG7:AI7"/>
    <mergeCell ref="AV7:AX7"/>
    <mergeCell ref="BN40:BP40"/>
    <mergeCell ref="AA67:AC67"/>
    <mergeCell ref="CO4:CQ4"/>
    <mergeCell ref="BK4:BM4"/>
    <mergeCell ref="O12:Q12"/>
    <mergeCell ref="X42:Z42"/>
    <mergeCell ref="R16:T16"/>
    <mergeCell ref="DJ47:DL47"/>
    <mergeCell ref="DD11:DF11"/>
    <mergeCell ref="O26:Q26"/>
    <mergeCell ref="R12:T12"/>
    <mergeCell ref="R41:T41"/>
    <mergeCell ref="U52:W52"/>
    <mergeCell ref="R9:T9"/>
    <mergeCell ref="X65:Z65"/>
    <mergeCell ref="X58:Z58"/>
    <mergeCell ref="DD4:DF4"/>
    <mergeCell ref="DA17:DC17"/>
    <mergeCell ref="BE7:BG7"/>
    <mergeCell ref="DJ5:DL5"/>
    <mergeCell ref="BE6:BG6"/>
    <mergeCell ref="CR5:CT5"/>
    <mergeCell ref="BB42:BD42"/>
    <mergeCell ref="BQ19:BS19"/>
    <mergeCell ref="BN5:BP5"/>
    <mergeCell ref="BB5:BD5"/>
    <mergeCell ref="CF5:CH5"/>
    <mergeCell ref="CI62:CK62"/>
    <mergeCell ref="BW11:BY11"/>
    <mergeCell ref="DA10:DC10"/>
    <mergeCell ref="AD16:AF16"/>
    <mergeCell ref="CO11:CQ11"/>
    <mergeCell ref="CL13:CN13"/>
    <mergeCell ref="BK14:BM14"/>
    <mergeCell ref="BZ11:CB11"/>
    <mergeCell ref="CR25:CT25"/>
    <mergeCell ref="BK31:BM31"/>
    <mergeCell ref="CX30:CZ30"/>
    <mergeCell ref="DA32:DC32"/>
    <mergeCell ref="CU28:CW28"/>
    <mergeCell ref="CO41:CQ41"/>
    <mergeCell ref="BW37:BY37"/>
    <mergeCell ref="BT41:BV41"/>
    <mergeCell ref="CF28:CH28"/>
    <mergeCell ref="CO28:CQ28"/>
    <mergeCell ref="CR44:CT44"/>
    <mergeCell ref="AD13:AF13"/>
    <mergeCell ref="AD31:AF31"/>
    <mergeCell ref="BB36:BD36"/>
    <mergeCell ref="CX40:CZ40"/>
    <mergeCell ref="AD43:AF43"/>
    <mergeCell ref="AM30:AO30"/>
    <mergeCell ref="CL35:CN35"/>
    <mergeCell ref="BN13:BP13"/>
    <mergeCell ref="AM20:AO20"/>
    <mergeCell ref="AG18:AI18"/>
    <mergeCell ref="CI28:CK28"/>
    <mergeCell ref="AJ20:AL20"/>
    <mergeCell ref="AM21:AO21"/>
    <mergeCell ref="CR18:CT18"/>
    <mergeCell ref="CO37:CQ37"/>
    <mergeCell ref="DS138:DU138"/>
    <mergeCell ref="CX29:CZ29"/>
    <mergeCell ref="CF81:CH81"/>
    <mergeCell ref="CI82:CK82"/>
    <mergeCell ref="CC36:CE36"/>
    <mergeCell ref="AS102:AU102"/>
    <mergeCell ref="AY52:BA52"/>
    <mergeCell ref="AD65:AF65"/>
    <mergeCell ref="AA20:AC20"/>
    <mergeCell ref="DS26:DU26"/>
    <mergeCell ref="CX39:CZ39"/>
    <mergeCell ref="U125:W125"/>
    <mergeCell ref="DP84:DR84"/>
    <mergeCell ref="AD138:AF138"/>
    <mergeCell ref="AG134:AI134"/>
    <mergeCell ref="AD133:AF133"/>
    <mergeCell ref="BT39:BV39"/>
    <mergeCell ref="BE137:BG137"/>
    <mergeCell ref="AY100:BA100"/>
    <mergeCell ref="CX81:CZ81"/>
    <mergeCell ref="AA38:AC38"/>
    <mergeCell ref="AA61:AC61"/>
    <mergeCell ref="BQ30:BS30"/>
    <mergeCell ref="BW38:BY38"/>
    <mergeCell ref="BB24:BD24"/>
    <mergeCell ref="AA60:AC60"/>
    <mergeCell ref="CC62:CE62"/>
    <mergeCell ref="DP30:DR30"/>
    <mergeCell ref="DJ73:DL73"/>
    <mergeCell ref="AS100:AU100"/>
    <mergeCell ref="DA97:DC97"/>
    <mergeCell ref="AY81:BA81"/>
    <mergeCell ref="DA138:DC138"/>
    <mergeCell ref="DP54:DR54"/>
    <mergeCell ref="X126:Z126"/>
    <mergeCell ref="BH82:BJ82"/>
    <mergeCell ref="BQ6:BS6"/>
    <mergeCell ref="DY8:EA8"/>
    <mergeCell ref="CF45:CH45"/>
    <mergeCell ref="DY62:EA62"/>
    <mergeCell ref="DV45:DX45"/>
    <mergeCell ref="DV47:DX47"/>
    <mergeCell ref="DY64:EA64"/>
    <mergeCell ref="CF53:CH53"/>
    <mergeCell ref="DP37:DR37"/>
    <mergeCell ref="CU50:CW50"/>
    <mergeCell ref="DS29:DU29"/>
    <mergeCell ref="DV12:DX12"/>
    <mergeCell ref="DV48:DX48"/>
    <mergeCell ref="DY35:EA35"/>
    <mergeCell ref="DS55:DU55"/>
    <mergeCell ref="DP6:DR6"/>
    <mergeCell ref="BZ6:CB6"/>
    <mergeCell ref="DS34:DU34"/>
    <mergeCell ref="DS9:DU9"/>
    <mergeCell ref="DS36:DU36"/>
    <mergeCell ref="DJ20:DL20"/>
    <mergeCell ref="DG10:DI10"/>
    <mergeCell ref="DA6:DC6"/>
    <mergeCell ref="CR6:CT6"/>
    <mergeCell ref="DV76:DX76"/>
    <mergeCell ref="DP109:DR109"/>
    <mergeCell ref="AP64:AR64"/>
    <mergeCell ref="DY9:EA9"/>
    <mergeCell ref="DY102:EA102"/>
    <mergeCell ref="DS74:DU74"/>
    <mergeCell ref="CR77:CT77"/>
    <mergeCell ref="DY41:EA41"/>
    <mergeCell ref="AJ21:AL21"/>
    <mergeCell ref="CC64:CE64"/>
    <mergeCell ref="DS35:DU35"/>
    <mergeCell ref="DP34:DR34"/>
    <mergeCell ref="DP25:DR25"/>
    <mergeCell ref="BB16:BD16"/>
    <mergeCell ref="DA71:DC71"/>
    <mergeCell ref="AY59:BA59"/>
    <mergeCell ref="BZ76:CB76"/>
    <mergeCell ref="BK16:BM16"/>
    <mergeCell ref="AV109:AX109"/>
    <mergeCell ref="CU41:CW41"/>
    <mergeCell ref="BE51:BG51"/>
    <mergeCell ref="BN32:BP32"/>
    <mergeCell ref="AP27:AR27"/>
    <mergeCell ref="AS28:AU28"/>
    <mergeCell ref="DP56:DR56"/>
    <mergeCell ref="DY19:EA19"/>
    <mergeCell ref="AJ19:AL19"/>
    <mergeCell ref="BE98:BG98"/>
    <mergeCell ref="DM95:DO95"/>
    <mergeCell ref="DY51:EA51"/>
    <mergeCell ref="DY54:EA54"/>
    <mergeCell ref="DV74:DX74"/>
    <mergeCell ref="DM28:DO28"/>
    <mergeCell ref="BN18:BP18"/>
    <mergeCell ref="AV17:AX17"/>
    <mergeCell ref="CI38:CK38"/>
    <mergeCell ref="BW138:BY138"/>
    <mergeCell ref="CI45:CK45"/>
    <mergeCell ref="AJ47:AL47"/>
    <mergeCell ref="AY137:BA137"/>
    <mergeCell ref="CX116:CZ116"/>
    <mergeCell ref="AA108:AC108"/>
    <mergeCell ref="DP102:DR102"/>
    <mergeCell ref="BE124:BG124"/>
    <mergeCell ref="CX134:CZ134"/>
    <mergeCell ref="DJ85:DL85"/>
    <mergeCell ref="AM110:AO110"/>
    <mergeCell ref="AV110:AX110"/>
    <mergeCell ref="DJ82:DL82"/>
    <mergeCell ref="DA122:DC122"/>
    <mergeCell ref="CX118:CZ118"/>
    <mergeCell ref="DG80:DI80"/>
    <mergeCell ref="AV35:AX35"/>
    <mergeCell ref="BE64:BG64"/>
    <mergeCell ref="CX50:CZ50"/>
    <mergeCell ref="DG76:DI76"/>
    <mergeCell ref="DM134:DO134"/>
    <mergeCell ref="CC119:CE119"/>
    <mergeCell ref="BK127:BM127"/>
    <mergeCell ref="CU61:CW61"/>
    <mergeCell ref="BZ74:CB74"/>
    <mergeCell ref="CC75:CE75"/>
    <mergeCell ref="BQ134:BS134"/>
    <mergeCell ref="DM55:DO55"/>
    <mergeCell ref="DA126:DC126"/>
    <mergeCell ref="CX77:CZ77"/>
    <mergeCell ref="CX52:CZ52"/>
    <mergeCell ref="DP100:DR100"/>
    <mergeCell ref="DY136:EA136"/>
    <mergeCell ref="DS108:DU108"/>
    <mergeCell ref="CX121:CZ121"/>
    <mergeCell ref="BZ121:CB121"/>
    <mergeCell ref="BQ129:BS129"/>
    <mergeCell ref="AV136:AX136"/>
    <mergeCell ref="DA133:DC133"/>
    <mergeCell ref="AY126:BA126"/>
    <mergeCell ref="B61:K61"/>
    <mergeCell ref="BE133:BG133"/>
    <mergeCell ref="B69:K69"/>
    <mergeCell ref="AJ17:AL17"/>
    <mergeCell ref="R25:T25"/>
    <mergeCell ref="BK26:BM26"/>
    <mergeCell ref="DG30:DI30"/>
    <mergeCell ref="BK32:BM32"/>
    <mergeCell ref="CO44:CQ44"/>
    <mergeCell ref="L44:N44"/>
    <mergeCell ref="AM132:AO132"/>
    <mergeCell ref="L101:N101"/>
    <mergeCell ref="U99:W99"/>
    <mergeCell ref="L71:N71"/>
    <mergeCell ref="O118:Q118"/>
    <mergeCell ref="L73:N73"/>
    <mergeCell ref="DJ119:DL119"/>
    <mergeCell ref="AG29:AI29"/>
    <mergeCell ref="CX96:CZ96"/>
    <mergeCell ref="AM62:AO62"/>
    <mergeCell ref="CF50:CH50"/>
    <mergeCell ref="DJ134:DL134"/>
    <mergeCell ref="BW122:BY122"/>
    <mergeCell ref="U129:W129"/>
    <mergeCell ref="DV118:DX118"/>
    <mergeCell ref="DV119:DX119"/>
    <mergeCell ref="B84:I84"/>
    <mergeCell ref="B80:I80"/>
    <mergeCell ref="BE60:BG60"/>
    <mergeCell ref="DP128:DR128"/>
    <mergeCell ref="BN84:BP84"/>
    <mergeCell ref="B122:K122"/>
    <mergeCell ref="CF47:CH47"/>
    <mergeCell ref="CO124:CQ124"/>
    <mergeCell ref="O45:Q45"/>
    <mergeCell ref="O32:Q32"/>
    <mergeCell ref="AM56:AO56"/>
    <mergeCell ref="AA77:AC77"/>
    <mergeCell ref="AD78:AF78"/>
    <mergeCell ref="AY61:BA61"/>
    <mergeCell ref="BQ61:BS61"/>
    <mergeCell ref="CU119:CW119"/>
    <mergeCell ref="AS38:AU38"/>
    <mergeCell ref="CO42:CQ42"/>
    <mergeCell ref="DS57:DU57"/>
    <mergeCell ref="R59:T59"/>
    <mergeCell ref="CI75:CK75"/>
    <mergeCell ref="DS117:DU117"/>
    <mergeCell ref="BW98:BY98"/>
    <mergeCell ref="DA104:DC104"/>
    <mergeCell ref="CX108:CZ108"/>
    <mergeCell ref="DV82:DX82"/>
    <mergeCell ref="AA95:AC95"/>
    <mergeCell ref="BH102:BJ102"/>
    <mergeCell ref="AG103:AI103"/>
    <mergeCell ref="BT78:BV78"/>
    <mergeCell ref="DJ132:DL132"/>
    <mergeCell ref="DS7:DU7"/>
    <mergeCell ref="DP17:DR17"/>
    <mergeCell ref="AV117:AX117"/>
    <mergeCell ref="CC7:CE7"/>
    <mergeCell ref="AS45:AU45"/>
    <mergeCell ref="AA97:AC97"/>
    <mergeCell ref="AD8:AF8"/>
    <mergeCell ref="R67:T67"/>
    <mergeCell ref="U101:W101"/>
    <mergeCell ref="R69:T69"/>
    <mergeCell ref="BN99:BP99"/>
    <mergeCell ref="DG8:DI8"/>
    <mergeCell ref="CO60:CQ60"/>
    <mergeCell ref="CR8:CT8"/>
    <mergeCell ref="CL64:CN64"/>
    <mergeCell ref="BQ77:BS77"/>
    <mergeCell ref="BQ95:BS95"/>
    <mergeCell ref="BN8:BP8"/>
    <mergeCell ref="DG74:DI74"/>
    <mergeCell ref="DD20:DF20"/>
    <mergeCell ref="DP115:DR115"/>
    <mergeCell ref="DM12:DO12"/>
    <mergeCell ref="CX13:CZ13"/>
    <mergeCell ref="AP7:AR7"/>
    <mergeCell ref="AA12:AC12"/>
    <mergeCell ref="BN14:BP14"/>
    <mergeCell ref="DM67:DO67"/>
    <mergeCell ref="DD74:DF74"/>
    <mergeCell ref="DP29:DR29"/>
    <mergeCell ref="CO73:CQ73"/>
    <mergeCell ref="DS102:DU102"/>
    <mergeCell ref="X4:Z4"/>
    <mergeCell ref="CC100:CE100"/>
    <mergeCell ref="AJ51:AL51"/>
    <mergeCell ref="AM119:AO119"/>
    <mergeCell ref="CR118:CT118"/>
    <mergeCell ref="AJ103:AL103"/>
    <mergeCell ref="AM6:AO6"/>
    <mergeCell ref="BB6:BD6"/>
    <mergeCell ref="U121:W121"/>
    <mergeCell ref="R6:T6"/>
    <mergeCell ref="AJ6:AL6"/>
    <mergeCell ref="CO16:CQ16"/>
    <mergeCell ref="BT29:BV29"/>
    <mergeCell ref="CO98:CQ98"/>
    <mergeCell ref="AS71:AU71"/>
    <mergeCell ref="AV11:AX11"/>
    <mergeCell ref="X8:Z8"/>
    <mergeCell ref="AA9:AC9"/>
    <mergeCell ref="BB18:BD18"/>
    <mergeCell ref="CO6:CQ6"/>
    <mergeCell ref="BQ4:BS4"/>
    <mergeCell ref="CO5:CQ5"/>
    <mergeCell ref="BQ20:BS20"/>
    <mergeCell ref="AA26:AC26"/>
    <mergeCell ref="AM76:AO76"/>
    <mergeCell ref="CF99:CH99"/>
    <mergeCell ref="AP25:AR25"/>
    <mergeCell ref="BZ85:CB85"/>
    <mergeCell ref="AS68:AU68"/>
    <mergeCell ref="CR98:CT98"/>
    <mergeCell ref="CF101:CH101"/>
    <mergeCell ref="CI26:CK26"/>
  </mergeCells>
  <conditionalFormatting sqref="B58:B61">
    <cfRule type="expression" dxfId="1200" priority="39">
      <formula>ROW(B58)=ActiveRow</formula>
    </cfRule>
  </conditionalFormatting>
  <conditionalFormatting sqref="L57:N57">
    <cfRule type="expression" dxfId="1199" priority="38">
      <formula>ROW(L57)=ActiveRow</formula>
    </cfRule>
  </conditionalFormatting>
  <conditionalFormatting sqref="L58:N58">
    <cfRule type="expression" dxfId="1198" priority="37">
      <formula>ROW(L58)=ActiveRow</formula>
    </cfRule>
  </conditionalFormatting>
  <conditionalFormatting sqref="L59:N59">
    <cfRule type="expression" dxfId="1197" priority="36">
      <formula>ROW(L59)=ActiveRow</formula>
    </cfRule>
  </conditionalFormatting>
  <conditionalFormatting sqref="L60:N61">
    <cfRule type="expression" dxfId="1196" priority="35">
      <formula>ROW(L60)=ActiveRow</formula>
    </cfRule>
  </conditionalFormatting>
  <conditionalFormatting sqref="B10">
    <cfRule type="expression" dxfId="1195" priority="34">
      <formula>ROW(B10)=ActiveRow</formula>
    </cfRule>
  </conditionalFormatting>
  <conditionalFormatting sqref="L8:N8">
    <cfRule type="expression" dxfId="1194" priority="33">
      <formula>ROW(L8)=ActiveRow</formula>
    </cfRule>
  </conditionalFormatting>
  <conditionalFormatting sqref="B67:B69">
    <cfRule type="expression" dxfId="1193" priority="32">
      <formula>ROW(B67)=ActiveRow</formula>
    </cfRule>
  </conditionalFormatting>
  <conditionalFormatting sqref="L95:EA95">
    <cfRule type="expression" dxfId="1192" priority="31">
      <formula>ROW(L95)=ActiveRow</formula>
    </cfRule>
  </conditionalFormatting>
  <conditionalFormatting sqref="B96:I96">
    <cfRule type="expression" dxfId="1191" priority="30">
      <formula>ROW(B96)=ActiveRow</formula>
    </cfRule>
  </conditionalFormatting>
  <conditionalFormatting sqref="J96:K96">
    <cfRule type="expression" dxfId="1190" priority="29">
      <formula>ROW(J96)=ActiveRow</formula>
    </cfRule>
  </conditionalFormatting>
  <conditionalFormatting sqref="L96:EA96">
    <cfRule type="expression" dxfId="1189" priority="26">
      <formula>ROW(L96)=ActiveRow</formula>
    </cfRule>
  </conditionalFormatting>
  <conditionalFormatting sqref="B101">
    <cfRule type="expression" dxfId="1188" priority="23">
      <formula>ROW(B101)=ActiveRow</formula>
    </cfRule>
  </conditionalFormatting>
  <conditionalFormatting sqref="J100:K103">
    <cfRule type="expression" dxfId="1187" priority="22">
      <formula>ROW(J100)=ActiveRow</formula>
    </cfRule>
  </conditionalFormatting>
  <conditionalFormatting sqref="B104:K104">
    <cfRule type="expression" dxfId="1186" priority="19">
      <formula>ROW(B104)=ActiveRow</formula>
    </cfRule>
  </conditionalFormatting>
  <conditionalFormatting sqref="L104:EA104">
    <cfRule type="expression" dxfId="1185" priority="18">
      <formula>ROW(L104)=ActiveRow</formula>
    </cfRule>
  </conditionalFormatting>
  <conditionalFormatting sqref="B107:EA111">
    <cfRule type="expression" dxfId="1184" priority="17">
      <formula>ROW(B107)=ActiveRow</formula>
    </cfRule>
  </conditionalFormatting>
  <conditionalFormatting sqref="B124">
    <cfRule type="expression" dxfId="1183" priority="15">
      <formula>ROW(B124)=ActiveRow</formula>
    </cfRule>
  </conditionalFormatting>
  <conditionalFormatting sqref="B95:K95">
    <cfRule type="expression" dxfId="1182" priority="14">
      <formula>ROW(B95)=ActiveRow</formula>
    </cfRule>
  </conditionalFormatting>
  <conditionalFormatting sqref="B113:K113">
    <cfRule type="expression" dxfId="1181" priority="13">
      <formula>ROW(B113)=ActiveRow</formula>
    </cfRule>
  </conditionalFormatting>
  <conditionalFormatting sqref="B106:K106">
    <cfRule type="expression" dxfId="1180" priority="12">
      <formula>ROW(B106)=ActiveRow</formula>
    </cfRule>
  </conditionalFormatting>
  <conditionalFormatting sqref="J124:K124">
    <cfRule type="expression" dxfId="1179" priority="11">
      <formula>ROW(J124)=ActiveRow</formula>
    </cfRule>
  </conditionalFormatting>
  <conditionalFormatting sqref="L124:EA124">
    <cfRule type="expression" dxfId="1178" priority="10">
      <formula>ROW(L124)=ActiveRow</formula>
    </cfRule>
  </conditionalFormatting>
  <conditionalFormatting sqref="B132:EA132 B134:EA134">
    <cfRule type="expression" dxfId="1177" priority="9">
      <formula>ROW(B132)=ActiveRow</formula>
    </cfRule>
  </conditionalFormatting>
  <conditionalFormatting sqref="B136 L136:EA137 L138 O138 R138 U138 X138 AA138 AD138 AG138 AJ138 AM138 AP138 AS138 AV138 AY138 BB138 BE138 BH138 BK138 BN138 BQ138 BT138 BW138 BZ138 CC138 CF138 CI138 CL138 CO138 CR138 CU138 CX138 DA138 DD138 DG138 DJ138 DM138 DP138 DS138 DV138 DY138">
    <cfRule type="expression" dxfId="1176" priority="3">
      <formula>ROW(B136)=ActiveRow</formula>
    </cfRule>
  </conditionalFormatting>
  <conditionalFormatting sqref="B138:K138 B139">
    <cfRule type="expression" dxfId="1175" priority="2">
      <formula>ROW(B138)=ActiveRow</formula>
    </cfRule>
  </conditionalFormatting>
  <printOptions horizontalCentered="1"/>
  <pageMargins left="0" right="0.25" top="0" bottom="0" header="0.25" footer="0.25"/>
  <pageSetup scale="60" firstPageNumber="26" orientation="landscape" r:id="rId1"/>
  <headerFooter>
    <oddFooter>&amp;L&amp;F&amp;C&amp;P of &amp;N&amp;R &amp;A</oddFooter>
  </headerFooter>
  <rowBreaks count="1" manualBreakCount="1">
    <brk id="72" min="1" max="70" man="1"/>
  </rowBreaks>
  <legacy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VHHPThresholdRequirements">
    <tabColor rgb="FF7030A0"/>
  </sheetPr>
  <dimension ref="A2:AS230"/>
  <sheetViews>
    <sheetView showGridLines="0" topLeftCell="A125" zoomScaleNormal="100" workbookViewId="0">
      <selection activeCell="A136" sqref="A136"/>
    </sheetView>
  </sheetViews>
  <sheetFormatPr defaultColWidth="4.28515625" defaultRowHeight="18" customHeight="1"/>
  <cols>
    <col min="1" max="1" width="8.7109375" style="426" customWidth="1"/>
    <col min="2" max="49" width="4.28515625" style="15" customWidth="1"/>
    <col min="50" max="16384" width="4.28515625" style="15"/>
  </cols>
  <sheetData>
    <row r="2" spans="2:39" ht="18" customHeight="1">
      <c r="B2" s="3000" t="s">
        <v>444</v>
      </c>
      <c r="C2" s="1877"/>
      <c r="D2" s="1877"/>
      <c r="E2" s="1877"/>
      <c r="F2" s="1877"/>
      <c r="G2" s="1877"/>
      <c r="H2" s="1877"/>
      <c r="I2" s="1877"/>
      <c r="J2" s="1877"/>
      <c r="K2" s="1877"/>
      <c r="L2" s="1877"/>
      <c r="M2" s="1877"/>
      <c r="N2" s="1877"/>
      <c r="O2" s="1877"/>
      <c r="P2" s="1877"/>
      <c r="Q2" s="1877"/>
      <c r="R2" s="1877"/>
      <c r="S2" s="1877"/>
      <c r="T2" s="1877"/>
      <c r="U2" s="1877"/>
      <c r="V2" s="1877"/>
      <c r="W2" s="1877"/>
      <c r="X2" s="1877"/>
      <c r="Y2" s="1877"/>
      <c r="Z2" s="1877"/>
      <c r="AA2" s="1877"/>
      <c r="AB2" s="1877"/>
      <c r="AC2" s="1877"/>
      <c r="AD2" s="1877"/>
      <c r="AE2" s="1877"/>
      <c r="AF2" s="1877"/>
      <c r="AG2" s="1877"/>
      <c r="AH2" s="1877"/>
      <c r="AI2" s="1877"/>
      <c r="AJ2" s="1877"/>
      <c r="AK2" s="1877"/>
      <c r="AL2" s="1877"/>
      <c r="AM2" s="1877"/>
    </row>
    <row r="4" spans="2:39" ht="81.75" customHeight="1">
      <c r="B4" s="1802" t="s">
        <v>1964</v>
      </c>
      <c r="C4" s="1798"/>
      <c r="D4" s="1798"/>
      <c r="E4" s="1798"/>
      <c r="F4" s="1798"/>
      <c r="G4" s="1798"/>
      <c r="H4" s="1798"/>
      <c r="I4" s="1798"/>
      <c r="J4" s="1798"/>
      <c r="K4" s="1798"/>
      <c r="L4" s="1798"/>
      <c r="M4" s="1798"/>
      <c r="N4" s="1798"/>
      <c r="O4" s="1798"/>
      <c r="P4" s="1798"/>
      <c r="Q4" s="1798"/>
      <c r="R4" s="1798"/>
      <c r="S4" s="1798"/>
      <c r="T4" s="1798"/>
      <c r="U4" s="1798"/>
      <c r="V4" s="1798"/>
      <c r="W4" s="1798"/>
      <c r="X4" s="1798"/>
      <c r="Y4" s="1798"/>
      <c r="Z4" s="1798"/>
      <c r="AA4" s="1798"/>
      <c r="AB4" s="1798"/>
      <c r="AC4" s="1798"/>
      <c r="AD4" s="1798"/>
      <c r="AE4" s="1798"/>
      <c r="AF4" s="1798"/>
      <c r="AG4" s="1798"/>
      <c r="AH4" s="1798"/>
      <c r="AI4" s="1798"/>
      <c r="AJ4" s="1798"/>
      <c r="AK4" s="1798"/>
      <c r="AL4" s="1798"/>
      <c r="AM4" s="1798"/>
    </row>
    <row r="5" spans="2:39" ht="36" customHeight="1" thickBot="1">
      <c r="B5" s="3007" t="s">
        <v>1965</v>
      </c>
      <c r="C5" s="1796"/>
      <c r="D5" s="1796"/>
      <c r="E5" s="2988" t="s">
        <v>1966</v>
      </c>
      <c r="F5" s="1796"/>
      <c r="G5" s="1796"/>
      <c r="H5" s="1796"/>
      <c r="I5" s="1796"/>
      <c r="J5" s="1796"/>
      <c r="K5" s="1796"/>
      <c r="L5" s="1796"/>
      <c r="M5" s="1796"/>
      <c r="N5" s="1796"/>
      <c r="O5" s="1796"/>
      <c r="P5" s="1796"/>
      <c r="Q5" s="1796"/>
      <c r="R5" s="1796"/>
      <c r="S5" s="1796"/>
      <c r="T5" s="1796"/>
      <c r="U5" s="1796"/>
      <c r="V5" s="1796"/>
      <c r="W5" s="1796"/>
      <c r="X5" s="1796"/>
      <c r="Y5" s="1796"/>
      <c r="Z5" s="1796"/>
      <c r="AA5" s="1796"/>
      <c r="AB5" s="1796"/>
      <c r="AC5" s="1796"/>
      <c r="AD5" s="1796"/>
      <c r="AE5" s="1796"/>
      <c r="AF5" s="1796"/>
      <c r="AG5" s="1796"/>
      <c r="AH5" s="1796"/>
      <c r="AI5" s="1796"/>
      <c r="AJ5" s="1796"/>
      <c r="AK5" s="1796"/>
      <c r="AL5" s="1796"/>
      <c r="AM5" s="1796"/>
    </row>
    <row r="7" spans="2:39" ht="18" customHeight="1">
      <c r="B7" s="244" t="s">
        <v>608</v>
      </c>
      <c r="C7" s="2180" t="s">
        <v>1967</v>
      </c>
      <c r="D7" s="1798"/>
      <c r="E7" s="1798"/>
      <c r="F7" s="1798"/>
      <c r="G7" s="1798"/>
      <c r="H7" s="1798"/>
      <c r="I7" s="1798"/>
      <c r="J7" s="1798"/>
      <c r="K7" s="1798"/>
      <c r="L7" s="1798"/>
      <c r="M7" s="1798"/>
      <c r="N7" s="1798"/>
      <c r="O7" s="1798"/>
      <c r="P7" s="1798"/>
      <c r="Q7" s="1798"/>
      <c r="R7" s="1798"/>
      <c r="S7" s="1798"/>
      <c r="T7" s="1798"/>
      <c r="U7" s="1798"/>
      <c r="V7" s="1798"/>
      <c r="W7" s="1798"/>
      <c r="X7" s="1798"/>
      <c r="Y7" s="1798"/>
      <c r="Z7" s="1798"/>
      <c r="AA7" s="1798"/>
      <c r="AB7" s="1798"/>
      <c r="AC7" s="1798"/>
      <c r="AD7" s="1798"/>
      <c r="AE7" s="1798"/>
      <c r="AF7" s="1798"/>
      <c r="AG7" s="1798"/>
      <c r="AH7" s="1798"/>
      <c r="AI7" s="1798"/>
      <c r="AJ7" s="1798"/>
      <c r="AK7" s="1798"/>
      <c r="AL7" s="1911"/>
      <c r="AM7" s="1862"/>
    </row>
    <row r="8" spans="2:39" ht="18" customHeight="1">
      <c r="B8" s="244"/>
      <c r="C8" s="2994" t="s">
        <v>1968</v>
      </c>
      <c r="D8" s="1798"/>
      <c r="E8" s="1798"/>
      <c r="F8" s="1798"/>
      <c r="G8" s="1798"/>
      <c r="H8" s="1798"/>
      <c r="I8" s="1798"/>
      <c r="J8" s="1798"/>
      <c r="K8" s="1798"/>
      <c r="L8" s="1798"/>
      <c r="M8" s="1798"/>
      <c r="N8" s="1798"/>
      <c r="O8" s="1798"/>
      <c r="P8" s="1798"/>
      <c r="Q8" s="1798"/>
      <c r="R8" s="1798"/>
      <c r="S8" s="1798"/>
      <c r="T8" s="1798"/>
      <c r="U8" s="1798"/>
      <c r="V8" s="1798"/>
      <c r="W8" s="1798"/>
      <c r="X8" s="1798"/>
      <c r="Y8" s="1798"/>
      <c r="Z8" s="1798"/>
      <c r="AA8" s="1798"/>
      <c r="AB8" s="1798"/>
      <c r="AC8" s="1798"/>
      <c r="AD8" s="1798"/>
      <c r="AE8" s="1798"/>
      <c r="AF8" s="1798"/>
      <c r="AG8" s="1798"/>
      <c r="AH8" s="1798"/>
      <c r="AI8" s="1798"/>
      <c r="AJ8" s="1798"/>
      <c r="AK8" s="1798"/>
    </row>
    <row r="9" spans="2:39" ht="18" customHeight="1">
      <c r="C9" s="265" t="s">
        <v>608</v>
      </c>
      <c r="D9" s="2993" t="str">
        <f>IF(AND(IsVhhp,vmProjectDevType&gt;0),"P","O")</f>
        <v>O</v>
      </c>
      <c r="E9" s="1798"/>
      <c r="F9" s="476"/>
    </row>
    <row r="10" spans="2:39" ht="18" customHeight="1">
      <c r="C10" s="476"/>
      <c r="D10" s="270" t="s">
        <v>613</v>
      </c>
      <c r="E10" s="2993" t="str">
        <f>IF(AND(IsVhhp,'Unit Mix'!$D$8&gt;=5),"P","O")</f>
        <v>O</v>
      </c>
      <c r="F10" s="1798"/>
    </row>
    <row r="11" spans="2:39" ht="18" customHeight="1">
      <c r="C11" s="265" t="s">
        <v>611</v>
      </c>
      <c r="D11" s="2993" t="str">
        <f>IF(AND(IsVhhp,'Project Overview'!$AL$154="Yes"),"P","O")</f>
        <v>O</v>
      </c>
      <c r="E11" s="1798"/>
      <c r="F11" s="476"/>
    </row>
    <row r="12" spans="2:39" ht="18" customHeight="1">
      <c r="C12" s="265" t="s">
        <v>619</v>
      </c>
      <c r="D12" s="2993" t="e">
        <f>IF(AND(IsVhhp,'Project Overview'!#REF!="Yes"),"P","O")</f>
        <v>#REF!</v>
      </c>
      <c r="E12" s="1798"/>
      <c r="F12" s="476"/>
    </row>
    <row r="13" spans="2:39" ht="18" customHeight="1">
      <c r="C13" s="265" t="s">
        <v>623</v>
      </c>
      <c r="D13" s="2993" t="str">
        <f>IF(AND(IsVhhp,'Project Overview'!$AL$524="Yes",OR(AL14="Yes",AL15="Yes",AL16="Yes",AL17="Yes")),"P","O")</f>
        <v>O</v>
      </c>
      <c r="E13" s="1798"/>
      <c r="F13" s="476"/>
    </row>
    <row r="14" spans="2:39" s="58" customFormat="1" ht="36" hidden="1" customHeight="1">
      <c r="D14" s="1802" t="s">
        <v>1969</v>
      </c>
      <c r="E14" s="1945"/>
      <c r="F14" s="1945"/>
      <c r="G14" s="1945"/>
      <c r="H14" s="1945"/>
      <c r="I14" s="1945"/>
      <c r="J14" s="1945"/>
      <c r="K14" s="1945"/>
      <c r="L14" s="1945"/>
      <c r="M14" s="1945"/>
      <c r="N14" s="1945"/>
      <c r="O14" s="1945"/>
      <c r="P14" s="1945"/>
      <c r="Q14" s="1945"/>
      <c r="R14" s="1945"/>
      <c r="S14" s="1945"/>
      <c r="T14" s="1945"/>
      <c r="U14" s="1945"/>
      <c r="V14" s="1945"/>
      <c r="W14" s="1945"/>
      <c r="X14" s="1945"/>
      <c r="Y14" s="1945"/>
      <c r="Z14" s="1945"/>
      <c r="AA14" s="1945"/>
      <c r="AB14" s="1945"/>
      <c r="AC14" s="1945"/>
      <c r="AD14" s="1945"/>
      <c r="AE14" s="1945"/>
      <c r="AF14" s="1945"/>
      <c r="AG14" s="1945"/>
      <c r="AH14" s="1945"/>
      <c r="AI14" s="1945"/>
      <c r="AJ14" s="1945"/>
      <c r="AK14" s="1945"/>
      <c r="AL14" s="1911"/>
      <c r="AM14" s="1862"/>
    </row>
    <row r="15" spans="2:39" s="58" customFormat="1" ht="36" hidden="1" customHeight="1">
      <c r="D15" s="1802" t="s">
        <v>1970</v>
      </c>
      <c r="E15" s="1945"/>
      <c r="F15" s="1945"/>
      <c r="G15" s="1945"/>
      <c r="H15" s="1945"/>
      <c r="I15" s="1945"/>
      <c r="J15" s="1945"/>
      <c r="K15" s="1945"/>
      <c r="L15" s="1945"/>
      <c r="M15" s="1945"/>
      <c r="N15" s="1945"/>
      <c r="O15" s="1945"/>
      <c r="P15" s="1945"/>
      <c r="Q15" s="1945"/>
      <c r="R15" s="1945"/>
      <c r="S15" s="1945"/>
      <c r="T15" s="1945"/>
      <c r="U15" s="1945"/>
      <c r="V15" s="1945"/>
      <c r="W15" s="1945"/>
      <c r="X15" s="1945"/>
      <c r="Y15" s="1945"/>
      <c r="Z15" s="1945"/>
      <c r="AA15" s="1945"/>
      <c r="AB15" s="1945"/>
      <c r="AC15" s="1945"/>
      <c r="AD15" s="1945"/>
      <c r="AE15" s="1945"/>
      <c r="AF15" s="1945"/>
      <c r="AG15" s="1945"/>
      <c r="AH15" s="1945"/>
      <c r="AI15" s="1945"/>
      <c r="AJ15" s="1945"/>
      <c r="AK15" s="1945"/>
      <c r="AL15" s="1911"/>
      <c r="AM15" s="1862"/>
    </row>
    <row r="16" spans="2:39" s="58" customFormat="1" ht="36" hidden="1" customHeight="1">
      <c r="D16" s="1802" t="s">
        <v>1971</v>
      </c>
      <c r="E16" s="1945"/>
      <c r="F16" s="1945"/>
      <c r="G16" s="1945"/>
      <c r="H16" s="1945"/>
      <c r="I16" s="1945"/>
      <c r="J16" s="1945"/>
      <c r="K16" s="1945"/>
      <c r="L16" s="1945"/>
      <c r="M16" s="1945"/>
      <c r="N16" s="1945"/>
      <c r="O16" s="1945"/>
      <c r="P16" s="1945"/>
      <c r="Q16" s="1945"/>
      <c r="R16" s="1945"/>
      <c r="S16" s="1945"/>
      <c r="T16" s="1945"/>
      <c r="U16" s="1945"/>
      <c r="V16" s="1945"/>
      <c r="W16" s="1945"/>
      <c r="X16" s="1945"/>
      <c r="Y16" s="1945"/>
      <c r="Z16" s="1945"/>
      <c r="AA16" s="1945"/>
      <c r="AB16" s="1945"/>
      <c r="AC16" s="1945"/>
      <c r="AD16" s="1945"/>
      <c r="AE16" s="1945"/>
      <c r="AF16" s="1945"/>
      <c r="AG16" s="1945"/>
      <c r="AH16" s="1945"/>
      <c r="AI16" s="1945"/>
      <c r="AJ16" s="1945"/>
      <c r="AK16" s="1945"/>
      <c r="AL16" s="1911"/>
      <c r="AM16" s="1862"/>
    </row>
    <row r="17" spans="2:39" s="58" customFormat="1" ht="18" hidden="1" customHeight="1">
      <c r="D17" s="1802" t="s">
        <v>1972</v>
      </c>
      <c r="E17" s="1945"/>
      <c r="F17" s="1945"/>
      <c r="G17" s="1945"/>
      <c r="H17" s="1945"/>
      <c r="I17" s="1945"/>
      <c r="J17" s="1945"/>
      <c r="K17" s="1945"/>
      <c r="L17" s="1945"/>
      <c r="M17" s="1945"/>
      <c r="N17" s="1945"/>
      <c r="O17" s="1945"/>
      <c r="P17" s="1945"/>
      <c r="Q17" s="1945"/>
      <c r="R17" s="1945"/>
      <c r="S17" s="1945"/>
      <c r="T17" s="1945"/>
      <c r="U17" s="1945"/>
      <c r="V17" s="1945"/>
      <c r="W17" s="1945"/>
      <c r="X17" s="1945"/>
      <c r="Y17" s="1945"/>
      <c r="Z17" s="1945"/>
      <c r="AA17" s="1945"/>
      <c r="AB17" s="1945"/>
      <c r="AC17" s="1945"/>
      <c r="AD17" s="1945"/>
      <c r="AE17" s="1945"/>
      <c r="AF17" s="1945"/>
      <c r="AG17" s="1945"/>
      <c r="AH17" s="1945"/>
      <c r="AI17" s="1945"/>
      <c r="AJ17" s="1945"/>
      <c r="AK17" s="1945"/>
      <c r="AL17" s="1911"/>
      <c r="AM17" s="1862"/>
    </row>
    <row r="18" spans="2:39" ht="18" customHeight="1">
      <c r="C18" s="265" t="s">
        <v>627</v>
      </c>
      <c r="D18" s="2993" t="str">
        <f>IF(OR(AND(IsVhhp,vmRural="Yes",'Unit Mix'!$K$8&gt;=MAX(5,'Unit Mix'!$D$8*0.25))),"P",IF(AND(IsVhhp,vmRural="No",'Unit Mix'!$K$8&gt;=MAX(10,'Unit Mix'!$D$8*0.25)),"P","O"))</f>
        <v>O</v>
      </c>
      <c r="E18" s="1798"/>
      <c r="F18" s="382"/>
      <c r="G18" s="382"/>
      <c r="H18" s="382"/>
      <c r="I18" s="382"/>
      <c r="J18" s="382"/>
      <c r="K18" s="382"/>
      <c r="L18" s="382"/>
      <c r="M18" s="382"/>
      <c r="N18" s="382"/>
      <c r="O18" s="382"/>
      <c r="P18" s="382"/>
      <c r="Q18" s="382"/>
      <c r="R18" s="382"/>
      <c r="S18" s="382"/>
      <c r="T18" s="382"/>
      <c r="U18" s="382"/>
      <c r="V18" s="382"/>
      <c r="W18" s="382"/>
      <c r="X18" s="382"/>
      <c r="Y18" s="382"/>
      <c r="Z18" s="382"/>
      <c r="AA18" s="382"/>
      <c r="AB18" s="382"/>
      <c r="AC18" s="382"/>
      <c r="AD18" s="382"/>
      <c r="AE18" s="382"/>
      <c r="AF18" s="382"/>
      <c r="AG18" s="382"/>
      <c r="AH18" s="382"/>
      <c r="AI18" s="382"/>
      <c r="AJ18" s="382"/>
      <c r="AK18" s="382"/>
    </row>
    <row r="19" spans="2:39" ht="18" customHeight="1">
      <c r="C19" s="265" t="s">
        <v>629</v>
      </c>
      <c r="D19" s="2993" t="str">
        <f>IF(AND(IsVhhp,O19&gt;0,$O$19&gt;='Unit Mix'!$K$8*50%),"P","O")</f>
        <v>O</v>
      </c>
      <c r="E19" s="1798"/>
      <c r="F19" s="1973" t="s">
        <v>1973</v>
      </c>
      <c r="G19" s="1777"/>
      <c r="H19" s="1777"/>
      <c r="I19" s="1777"/>
      <c r="J19" s="1777"/>
      <c r="K19" s="1777"/>
      <c r="L19" s="1777"/>
      <c r="M19" s="1777"/>
      <c r="N19" s="1778"/>
      <c r="O19" s="1973">
        <f>SUMIFS(UnitsTbl[VHHP
Assisted],UnitsTbl[Restricted Income Level],15%)+SUMIFS(UnitsTbl[VHHP
Assisted],UnitsTbl[Restricted Income Level],20%)+SUMIFS(UnitsTbl[VHHP
Assisted],UnitsTbl[Restricted Income Level],25%)+SUMIFS(UnitsTbl[VHHP
Assisted],UnitsTbl[Restricted Income Level],30%)</f>
        <v>0</v>
      </c>
      <c r="P19" s="1778"/>
      <c r="Q19" s="58"/>
      <c r="R19" s="58"/>
      <c r="S19" s="58"/>
      <c r="T19" s="58"/>
      <c r="U19" s="58"/>
      <c r="V19" s="58"/>
      <c r="W19" s="58"/>
      <c r="X19" s="58"/>
      <c r="Y19" s="58"/>
      <c r="Z19" s="58"/>
      <c r="AA19" s="58"/>
      <c r="AB19" s="58"/>
      <c r="AC19" s="58"/>
      <c r="AD19" s="58"/>
    </row>
    <row r="20" spans="2:39" ht="18" customHeight="1">
      <c r="C20" s="265" t="s">
        <v>1974</v>
      </c>
      <c r="D20" s="1802" t="s">
        <v>1975</v>
      </c>
      <c r="E20" s="1798"/>
      <c r="F20" s="1798"/>
      <c r="G20" s="1798"/>
      <c r="H20" s="1798"/>
      <c r="I20" s="1798"/>
      <c r="J20" s="1798"/>
      <c r="K20" s="1798"/>
      <c r="L20" s="1798"/>
      <c r="M20" s="1798"/>
      <c r="N20" s="1798"/>
      <c r="O20" s="1798"/>
      <c r="P20" s="1798"/>
      <c r="Q20" s="1798"/>
      <c r="R20" s="1798"/>
      <c r="S20" s="1798"/>
      <c r="T20" s="1798"/>
      <c r="U20" s="1798"/>
      <c r="V20" s="1798"/>
      <c r="W20" s="1798"/>
      <c r="X20" s="1798"/>
      <c r="Y20" s="1798"/>
      <c r="Z20" s="1798"/>
      <c r="AA20" s="1798"/>
      <c r="AB20" s="1798"/>
      <c r="AC20" s="1798"/>
      <c r="AD20" s="1798"/>
      <c r="AE20" s="1798"/>
      <c r="AF20" s="1798"/>
      <c r="AG20" s="1798"/>
      <c r="AH20" s="1798"/>
      <c r="AI20" s="1798"/>
      <c r="AJ20" s="1798"/>
      <c r="AK20" s="1798"/>
    </row>
    <row r="21" spans="2:39" ht="18" customHeight="1">
      <c r="D21" s="270" t="s">
        <v>613</v>
      </c>
      <c r="E21" s="2993" t="str">
        <f>IF(AND(IsVhhp,vmSH="Yes",'Unit Mix'!$U$8&gt;='Unit Mix'!$K$8*25%),"P","O")</f>
        <v>O</v>
      </c>
      <c r="F21" s="1798"/>
      <c r="G21" s="426" t="s">
        <v>1976</v>
      </c>
    </row>
    <row r="22" spans="2:39" ht="18" customHeight="1">
      <c r="D22" s="270" t="s">
        <v>615</v>
      </c>
      <c r="E22" s="2993" t="str">
        <f>IF(AND(IsVhhp,vmSH="Yes",'Unit Mix'!$U$8&gt;='Unit Mix'!$K$8*20%,'Unit Mix'!$V$8&gt;='Unit Mix'!$K$8*10%),"P","O")</f>
        <v>O</v>
      </c>
      <c r="F22" s="1798"/>
      <c r="G22" s="426" t="s">
        <v>1976</v>
      </c>
    </row>
    <row r="23" spans="2:39" ht="18" customHeight="1">
      <c r="D23" s="270" t="s">
        <v>617</v>
      </c>
      <c r="E23" s="2993" t="str">
        <f>IF(AND(IsVhhp,vmSH="Yes",'Unit Mix'!$U$8&gt;='Unit Mix'!$K$8*20%,'Unit Mix'!$W$8&gt;='Unit Mix'!$K$8*15%),"P","O")</f>
        <v>O</v>
      </c>
      <c r="F23" s="1798"/>
      <c r="G23" s="426" t="s">
        <v>1976</v>
      </c>
    </row>
    <row r="24" spans="2:39" ht="18" hidden="1" customHeight="1">
      <c r="D24" s="270" t="s">
        <v>634</v>
      </c>
      <c r="E24" s="2993" t="str">
        <f>IF(AND(IsVhhp,vmSH="Yes",'Unit Mix'!$V$8&gt;='Unit Mix'!$K$8*20%,'Unit Mix'!$W$8&gt;='Unit Mix'!$K$8*30%),"P","O")</f>
        <v>O</v>
      </c>
      <c r="F24" s="1798"/>
    </row>
    <row r="25" spans="2:39" s="58" customFormat="1" ht="75" hidden="1" customHeight="1">
      <c r="C25" s="265" t="s">
        <v>1977</v>
      </c>
      <c r="D25" s="1802" t="s">
        <v>1978</v>
      </c>
      <c r="E25" s="1945"/>
      <c r="F25" s="1945"/>
      <c r="G25" s="1945"/>
      <c r="H25" s="1945"/>
      <c r="I25" s="1945"/>
      <c r="J25" s="1945"/>
      <c r="K25" s="1945"/>
      <c r="L25" s="1945"/>
      <c r="M25" s="1945"/>
      <c r="N25" s="1945"/>
      <c r="O25" s="1945"/>
      <c r="P25" s="1945"/>
      <c r="Q25" s="1945"/>
      <c r="R25" s="1945"/>
      <c r="S25" s="1945"/>
      <c r="T25" s="1945"/>
      <c r="U25" s="1945"/>
      <c r="V25" s="1945"/>
      <c r="W25" s="1945"/>
      <c r="X25" s="1945"/>
      <c r="Y25" s="1945"/>
      <c r="Z25" s="1945"/>
      <c r="AA25" s="1945"/>
      <c r="AB25" s="1945"/>
      <c r="AC25" s="1945"/>
      <c r="AD25" s="1945"/>
      <c r="AE25" s="1945"/>
      <c r="AF25" s="1945"/>
      <c r="AG25" s="1945"/>
      <c r="AH25" s="1945"/>
      <c r="AI25" s="1945"/>
      <c r="AJ25" s="1945"/>
      <c r="AK25" s="1945"/>
      <c r="AL25" s="1911"/>
      <c r="AM25" s="1862"/>
    </row>
    <row r="26" spans="2:39" ht="36" hidden="1" customHeight="1">
      <c r="C26" s="270" t="s">
        <v>648</v>
      </c>
      <c r="D26" s="2989" t="s">
        <v>1979</v>
      </c>
      <c r="E26" s="1798"/>
      <c r="F26" s="1798"/>
      <c r="G26" s="1798"/>
      <c r="H26" s="1798"/>
      <c r="I26" s="1798"/>
      <c r="J26" s="1798"/>
      <c r="K26" s="1798"/>
      <c r="L26" s="1798"/>
      <c r="M26" s="1798"/>
      <c r="N26" s="1798"/>
      <c r="O26" s="1798"/>
      <c r="P26" s="1798"/>
      <c r="Q26" s="1798"/>
      <c r="R26" s="1798"/>
      <c r="S26" s="1798"/>
      <c r="T26" s="1798"/>
      <c r="U26" s="1798"/>
      <c r="V26" s="1798"/>
      <c r="W26" s="1798"/>
      <c r="X26" s="1798"/>
      <c r="Y26" s="1798"/>
      <c r="Z26" s="1798"/>
      <c r="AA26" s="1798"/>
      <c r="AB26" s="1798"/>
      <c r="AC26" s="1798"/>
      <c r="AD26" s="1798"/>
      <c r="AE26" s="1798"/>
      <c r="AF26" s="1798"/>
      <c r="AG26" s="1798"/>
      <c r="AH26" s="1798"/>
      <c r="AI26" s="1798"/>
      <c r="AJ26" s="1798"/>
      <c r="AK26" s="1889"/>
      <c r="AL26" s="1911"/>
      <c r="AM26" s="1862"/>
    </row>
    <row r="27" spans="2:39" s="58" customFormat="1" ht="36" hidden="1" customHeight="1">
      <c r="B27" s="1866" t="s">
        <v>558</v>
      </c>
      <c r="C27" s="1777"/>
      <c r="D27" s="1778"/>
      <c r="E27" s="2991" t="str">
        <f>'Document Checklist-Full List'!$E$120</f>
        <v>50. Tenant Selection &amp; Housing First</v>
      </c>
      <c r="F27" s="1777"/>
      <c r="G27" s="1777"/>
      <c r="H27" s="1777"/>
      <c r="I27" s="1777"/>
      <c r="J27" s="1777"/>
      <c r="K27" s="1777"/>
      <c r="L27" s="1778"/>
      <c r="M27" s="2136" t="str">
        <f>'Document Checklist-Full List'!$N$120</f>
        <v>Provide signed certification for tenant selection and housing first practices.</v>
      </c>
      <c r="N27" s="1777"/>
      <c r="O27" s="1777"/>
      <c r="P27" s="1777"/>
      <c r="Q27" s="1777"/>
      <c r="R27" s="1777"/>
      <c r="S27" s="1777"/>
      <c r="T27" s="1777"/>
      <c r="U27" s="1777"/>
      <c r="V27" s="1777"/>
      <c r="W27" s="1777"/>
      <c r="X27" s="1777"/>
      <c r="Y27" s="1777"/>
      <c r="Z27" s="1777"/>
      <c r="AA27" s="1777"/>
      <c r="AB27" s="1777"/>
      <c r="AC27" s="1777"/>
      <c r="AD27" s="1777"/>
      <c r="AE27" s="1778"/>
      <c r="AF27" s="1886" t="s">
        <v>559</v>
      </c>
      <c r="AG27" s="1777"/>
      <c r="AH27" s="1777"/>
      <c r="AI27" s="1777"/>
      <c r="AJ27" s="1777"/>
      <c r="AK27" s="1778"/>
      <c r="AL27" s="1911"/>
      <c r="AM27" s="1862"/>
    </row>
    <row r="28" spans="2:39" s="58" customFormat="1" ht="18" customHeight="1">
      <c r="C28" s="270" t="s">
        <v>1980</v>
      </c>
      <c r="D28" s="2180" t="s">
        <v>1981</v>
      </c>
      <c r="E28" s="1945"/>
      <c r="F28" s="1945"/>
      <c r="G28" s="1945"/>
      <c r="H28" s="1945"/>
      <c r="I28" s="1945"/>
      <c r="J28" s="1945"/>
      <c r="K28" s="1945"/>
      <c r="L28" s="1945"/>
      <c r="M28" s="1945"/>
      <c r="N28" s="1945"/>
      <c r="O28" s="1945"/>
      <c r="P28" s="1945"/>
      <c r="Q28" s="1945"/>
      <c r="R28" s="1945"/>
      <c r="S28" s="1945"/>
      <c r="T28" s="1945"/>
      <c r="U28" s="1945"/>
      <c r="V28" s="1945"/>
      <c r="W28" s="1945"/>
      <c r="X28" s="1945"/>
      <c r="Y28" s="1945"/>
      <c r="Z28" s="1945"/>
      <c r="AA28" s="1945"/>
      <c r="AB28" s="1945"/>
      <c r="AC28" s="1945"/>
      <c r="AD28" s="1945"/>
      <c r="AE28" s="1945"/>
      <c r="AF28" s="1945"/>
      <c r="AG28" s="1945"/>
      <c r="AH28" s="1945"/>
      <c r="AI28" s="1945"/>
      <c r="AJ28" s="1945"/>
      <c r="AK28" s="1945"/>
      <c r="AL28" s="1911"/>
      <c r="AM28" s="1862"/>
    </row>
    <row r="29" spans="2:39" s="58" customFormat="1" ht="18" customHeight="1">
      <c r="D29" s="270" t="s">
        <v>613</v>
      </c>
      <c r="E29" s="2180" t="s">
        <v>1982</v>
      </c>
      <c r="F29" s="1945"/>
      <c r="G29" s="1945"/>
      <c r="H29" s="1945"/>
      <c r="I29" s="1945"/>
      <c r="J29" s="1945"/>
      <c r="K29" s="1945"/>
      <c r="L29" s="1945"/>
      <c r="M29" s="1945"/>
      <c r="N29" s="1945"/>
      <c r="O29" s="1945"/>
      <c r="P29" s="1945"/>
      <c r="Q29" s="1945"/>
      <c r="R29" s="1945"/>
      <c r="S29" s="1945"/>
      <c r="T29" s="1945"/>
      <c r="U29" s="1945"/>
      <c r="V29" s="1945"/>
      <c r="W29" s="1945"/>
      <c r="X29" s="1945"/>
      <c r="Y29" s="1945"/>
      <c r="Z29" s="1945"/>
      <c r="AA29" s="1945"/>
      <c r="AB29" s="1945"/>
      <c r="AC29" s="1945"/>
      <c r="AD29" s="1945"/>
      <c r="AE29" s="1945"/>
      <c r="AF29" s="1945"/>
      <c r="AG29" s="1945"/>
      <c r="AH29" s="1945"/>
      <c r="AI29" s="1945"/>
      <c r="AJ29" s="1945"/>
      <c r="AK29" s="1945"/>
    </row>
    <row r="30" spans="2:39" s="58" customFormat="1" ht="18" customHeight="1">
      <c r="D30" s="270" t="s">
        <v>615</v>
      </c>
      <c r="E30" s="2180" t="s">
        <v>1983</v>
      </c>
      <c r="F30" s="1945"/>
      <c r="G30" s="1945"/>
      <c r="H30" s="1945"/>
      <c r="I30" s="1945"/>
      <c r="J30" s="1945"/>
      <c r="K30" s="1945"/>
      <c r="L30" s="1945"/>
      <c r="M30" s="1945"/>
      <c r="N30" s="1945"/>
      <c r="O30" s="1945"/>
      <c r="P30" s="1945"/>
      <c r="Q30" s="1945"/>
      <c r="R30" s="1945"/>
      <c r="S30" s="1945"/>
      <c r="T30" s="1945"/>
      <c r="U30" s="1945"/>
      <c r="V30" s="1945"/>
      <c r="W30" s="1945"/>
      <c r="X30" s="1945"/>
      <c r="Y30" s="1945"/>
      <c r="Z30" s="1945"/>
      <c r="AA30" s="1945"/>
      <c r="AB30" s="1945"/>
      <c r="AC30" s="1945"/>
      <c r="AD30" s="1945"/>
      <c r="AE30" s="1945"/>
      <c r="AF30" s="1945"/>
      <c r="AG30" s="1945"/>
      <c r="AH30" s="1945"/>
      <c r="AI30" s="1945"/>
      <c r="AJ30" s="1945"/>
      <c r="AK30" s="1945"/>
    </row>
    <row r="31" spans="2:39" s="58" customFormat="1" ht="18" customHeight="1">
      <c r="D31" s="270" t="s">
        <v>617</v>
      </c>
      <c r="E31" s="2180" t="s">
        <v>1984</v>
      </c>
      <c r="F31" s="1945"/>
      <c r="G31" s="1945"/>
      <c r="H31" s="1945"/>
      <c r="I31" s="1945"/>
      <c r="J31" s="1945"/>
      <c r="K31" s="1945"/>
      <c r="L31" s="1945"/>
      <c r="M31" s="1945"/>
      <c r="N31" s="1945"/>
      <c r="O31" s="1945"/>
      <c r="P31" s="1945"/>
      <c r="Q31" s="1945"/>
      <c r="R31" s="1945"/>
      <c r="S31" s="1945"/>
      <c r="T31" s="1945"/>
      <c r="U31" s="1945"/>
      <c r="V31" s="1945"/>
      <c r="W31" s="1945"/>
      <c r="X31" s="1945"/>
      <c r="Y31" s="1945"/>
      <c r="Z31" s="1945"/>
      <c r="AA31" s="1945"/>
      <c r="AB31" s="1945"/>
      <c r="AC31" s="1945"/>
      <c r="AD31" s="1945"/>
      <c r="AE31" s="1945"/>
      <c r="AF31" s="1945"/>
      <c r="AG31" s="1945"/>
      <c r="AH31" s="1945"/>
      <c r="AI31" s="1945"/>
      <c r="AJ31" s="1945"/>
      <c r="AK31" s="1945"/>
    </row>
    <row r="32" spans="2:39" s="58" customFormat="1" ht="18" customHeight="1">
      <c r="C32" s="270" t="s">
        <v>1985</v>
      </c>
      <c r="D32" s="2180" t="s">
        <v>1986</v>
      </c>
      <c r="E32" s="1945"/>
      <c r="F32" s="1945"/>
      <c r="G32" s="1945"/>
      <c r="H32" s="1945"/>
      <c r="I32" s="1945"/>
      <c r="J32" s="1945"/>
      <c r="K32" s="1945"/>
      <c r="L32" s="1945"/>
      <c r="M32" s="1945"/>
      <c r="N32" s="1945"/>
      <c r="O32" s="1945"/>
      <c r="P32" s="1945"/>
      <c r="Q32" s="1945"/>
      <c r="R32" s="1945"/>
      <c r="S32" s="1945"/>
      <c r="T32" s="1945"/>
      <c r="U32" s="1945"/>
      <c r="V32" s="1945"/>
      <c r="W32" s="1945"/>
      <c r="X32" s="1945"/>
      <c r="Y32" s="1945"/>
      <c r="Z32" s="1945"/>
      <c r="AA32" s="1945"/>
      <c r="AB32" s="1945"/>
      <c r="AC32" s="1945"/>
      <c r="AD32" s="1945"/>
      <c r="AE32" s="1945"/>
      <c r="AF32" s="1945"/>
      <c r="AG32" s="1945"/>
      <c r="AH32" s="1945"/>
      <c r="AI32" s="1945"/>
      <c r="AJ32" s="1945"/>
      <c r="AK32" s="1945"/>
      <c r="AL32" s="1911"/>
      <c r="AM32" s="1862"/>
    </row>
    <row r="33" spans="1:39" ht="18" customHeight="1">
      <c r="A33" s="1629"/>
      <c r="C33" s="265" t="s">
        <v>1987</v>
      </c>
      <c r="D33" s="2180" t="s">
        <v>1988</v>
      </c>
      <c r="E33" s="1798"/>
      <c r="F33" s="1798"/>
      <c r="G33" s="1798"/>
      <c r="H33" s="1798"/>
      <c r="I33" s="1798"/>
      <c r="J33" s="1798"/>
      <c r="K33" s="1798"/>
      <c r="L33" s="1798"/>
      <c r="M33" s="1798"/>
      <c r="N33" s="1798"/>
      <c r="O33" s="1798"/>
      <c r="P33" s="1798"/>
      <c r="Q33" s="1798"/>
      <c r="R33" s="1798"/>
      <c r="S33" s="1798"/>
      <c r="T33" s="1798"/>
      <c r="U33" s="1798"/>
      <c r="V33" s="1798"/>
      <c r="W33" s="1798"/>
      <c r="X33" s="1798"/>
      <c r="Y33" s="1798"/>
      <c r="Z33" s="1798"/>
      <c r="AA33" s="1798"/>
      <c r="AB33" s="1798"/>
      <c r="AC33" s="1798"/>
      <c r="AD33" s="1798"/>
      <c r="AE33" s="1798"/>
      <c r="AF33" s="1798"/>
      <c r="AG33" s="1798"/>
      <c r="AH33" s="1798"/>
      <c r="AI33" s="1798"/>
      <c r="AJ33" s="1798"/>
      <c r="AK33" s="1798"/>
      <c r="AL33" s="1798"/>
      <c r="AM33" s="1798"/>
    </row>
    <row r="34" spans="1:39" ht="18" customHeight="1">
      <c r="D34" s="270" t="s">
        <v>613</v>
      </c>
      <c r="E34" s="2993" t="str">
        <f>IF(AND(OR(IsSH,IsTH),IsVhhp,'VHHP - Supportive Services Plan'!$AG$114&gt;=4),"P","O")</f>
        <v>O</v>
      </c>
      <c r="F34" s="1798"/>
    </row>
    <row r="35" spans="1:39" ht="18" customHeight="1">
      <c r="E35" s="270" t="s">
        <v>1989</v>
      </c>
      <c r="F35" s="2993" t="str">
        <f>IF(AND(OR(IsSH,IsTH),IsVhhp,'VHHP - Supportive Services Plan'!$AG$115&gt;=2,'VHHP - Supportive Services Plan'!$AL$116="Yes"),"P","O")</f>
        <v>O</v>
      </c>
      <c r="G35" s="1798"/>
    </row>
    <row r="36" spans="1:39" ht="18" customHeight="1">
      <c r="E36" s="270" t="s">
        <v>1990</v>
      </c>
      <c r="F36" s="1802" t="s">
        <v>1991</v>
      </c>
      <c r="G36" s="1798"/>
      <c r="H36" s="1798"/>
      <c r="I36" s="1798"/>
      <c r="J36" s="1798"/>
      <c r="K36" s="1798"/>
      <c r="L36" s="1798"/>
      <c r="M36" s="1798"/>
      <c r="N36" s="1798"/>
      <c r="O36" s="1798"/>
      <c r="P36" s="1798"/>
      <c r="Q36" s="1798"/>
      <c r="R36" s="1798"/>
      <c r="S36" s="1798"/>
      <c r="T36" s="1798"/>
      <c r="U36" s="1798"/>
      <c r="V36" s="1798"/>
      <c r="W36" s="1798"/>
      <c r="X36" s="1798"/>
      <c r="Y36" s="1798"/>
      <c r="Z36" s="1798"/>
      <c r="AA36" s="1798"/>
      <c r="AB36" s="1798"/>
      <c r="AC36" s="1798"/>
      <c r="AD36" s="1798"/>
      <c r="AE36" s="1798"/>
      <c r="AF36" s="1798"/>
      <c r="AG36" s="1798"/>
      <c r="AH36" s="1798"/>
      <c r="AI36" s="1798"/>
      <c r="AJ36" s="1798"/>
      <c r="AK36" s="1798"/>
      <c r="AL36" s="1911"/>
      <c r="AM36" s="1862"/>
    </row>
    <row r="37" spans="1:39" s="58" customFormat="1" ht="18" customHeight="1">
      <c r="F37" s="3001" t="s">
        <v>1992</v>
      </c>
      <c r="G37" s="1945"/>
      <c r="H37" s="1945"/>
      <c r="I37" s="1945"/>
      <c r="J37" s="1945"/>
      <c r="K37" s="1945"/>
      <c r="L37" s="1945"/>
      <c r="M37" s="1945"/>
      <c r="N37" s="1945"/>
      <c r="O37" s="1945"/>
      <c r="P37" s="1945"/>
      <c r="Q37" s="1945"/>
      <c r="R37" s="1945"/>
      <c r="S37" s="1945"/>
      <c r="T37" s="1945"/>
      <c r="U37" s="1945"/>
      <c r="V37" s="1945"/>
      <c r="W37" s="1945"/>
      <c r="X37" s="1945"/>
      <c r="Y37" s="1945"/>
      <c r="Z37" s="1945"/>
      <c r="AA37" s="1945"/>
      <c r="AB37" s="1945"/>
      <c r="AC37" s="1945"/>
      <c r="AD37" s="1945"/>
      <c r="AE37" s="1945"/>
      <c r="AF37" s="1945"/>
      <c r="AG37" s="1945"/>
      <c r="AH37" s="1945"/>
      <c r="AI37" s="1945"/>
      <c r="AJ37" s="1945"/>
      <c r="AK37" s="1945"/>
    </row>
    <row r="38" spans="1:39" s="58" customFormat="1" ht="63" customHeight="1">
      <c r="F38" s="270" t="s">
        <v>1993</v>
      </c>
      <c r="G38" s="1802" t="s">
        <v>1994</v>
      </c>
      <c r="H38" s="1945"/>
      <c r="I38" s="1945"/>
      <c r="J38" s="1945"/>
      <c r="K38" s="1945"/>
      <c r="L38" s="1945"/>
      <c r="M38" s="1945"/>
      <c r="N38" s="1945"/>
      <c r="O38" s="1945"/>
      <c r="P38" s="1945"/>
      <c r="Q38" s="1945"/>
      <c r="R38" s="1945"/>
      <c r="S38" s="1945"/>
      <c r="T38" s="1945"/>
      <c r="U38" s="1945"/>
      <c r="V38" s="1945"/>
      <c r="W38" s="1945"/>
      <c r="X38" s="1945"/>
      <c r="Y38" s="1945"/>
      <c r="Z38" s="1945"/>
      <c r="AA38" s="1945"/>
      <c r="AB38" s="1945"/>
      <c r="AC38" s="1945"/>
      <c r="AD38" s="1945"/>
      <c r="AE38" s="1945"/>
      <c r="AF38" s="1945"/>
      <c r="AG38" s="1945"/>
      <c r="AH38" s="1945"/>
      <c r="AI38" s="1945"/>
      <c r="AJ38" s="1945"/>
      <c r="AK38" s="1945"/>
    </row>
    <row r="39" spans="1:39" s="58" customFormat="1" ht="18" customHeight="1">
      <c r="G39" s="2180" t="s">
        <v>1995</v>
      </c>
      <c r="H39" s="1945"/>
      <c r="I39" s="1945"/>
      <c r="J39" s="1945"/>
      <c r="K39" s="1945"/>
      <c r="L39" s="1945"/>
      <c r="M39" s="1945"/>
      <c r="N39" s="1945"/>
      <c r="O39" s="1945"/>
      <c r="P39" s="1945"/>
      <c r="Q39" s="1945"/>
      <c r="R39" s="1945"/>
      <c r="S39" s="1945"/>
      <c r="T39" s="1945"/>
      <c r="U39" s="1945"/>
      <c r="V39" s="1945"/>
      <c r="W39" s="1945"/>
      <c r="X39" s="1945"/>
      <c r="Y39" s="1945"/>
      <c r="Z39" s="1945"/>
      <c r="AA39" s="1945"/>
      <c r="AB39" s="1945"/>
      <c r="AC39" s="1945"/>
      <c r="AD39" s="1945"/>
      <c r="AE39" s="1945"/>
      <c r="AF39" s="1945"/>
      <c r="AG39" s="1945"/>
      <c r="AH39" s="1945"/>
      <c r="AI39" s="1945"/>
      <c r="AJ39" s="1945"/>
      <c r="AK39" s="1945"/>
      <c r="AL39" s="1911"/>
      <c r="AM39" s="1862"/>
    </row>
    <row r="40" spans="1:39" s="58" customFormat="1" ht="36" hidden="1" customHeight="1">
      <c r="B40" s="1866" t="s">
        <v>558</v>
      </c>
      <c r="C40" s="1777"/>
      <c r="D40" s="1778"/>
      <c r="E40" s="2991" t="str">
        <f>'Document Checklist-Full List'!$E$121</f>
        <v>51. LSP Partner Agreement</v>
      </c>
      <c r="F40" s="1777"/>
      <c r="G40" s="1777"/>
      <c r="H40" s="1777"/>
      <c r="I40" s="1777"/>
      <c r="J40" s="1777"/>
      <c r="K40" s="1777"/>
      <c r="L40" s="1778"/>
      <c r="M40" s="2136" t="str">
        <f>'Document Checklist-Full List'!$N$121</f>
        <v>Contract or Agreement (other non-Sponsor/Applicant providers). VHHP §214(b)(1)</v>
      </c>
      <c r="N40" s="1777"/>
      <c r="O40" s="1777"/>
      <c r="P40" s="1777"/>
      <c r="Q40" s="1777"/>
      <c r="R40" s="1777"/>
      <c r="S40" s="1777"/>
      <c r="T40" s="1777"/>
      <c r="U40" s="1777"/>
      <c r="V40" s="1777"/>
      <c r="W40" s="1777"/>
      <c r="X40" s="1777"/>
      <c r="Y40" s="1777"/>
      <c r="Z40" s="1777"/>
      <c r="AA40" s="1777"/>
      <c r="AB40" s="1777"/>
      <c r="AC40" s="1777"/>
      <c r="AD40" s="1777"/>
      <c r="AE40" s="1778"/>
      <c r="AF40" s="1886" t="s">
        <v>559</v>
      </c>
      <c r="AG40" s="1777"/>
      <c r="AH40" s="1777"/>
      <c r="AI40" s="1777"/>
      <c r="AJ40" s="1777"/>
      <c r="AK40" s="1778"/>
      <c r="AL40" s="1911"/>
      <c r="AM40" s="1862"/>
    </row>
    <row r="41" spans="1:39" ht="78" customHeight="1">
      <c r="E41" s="270" t="s">
        <v>1996</v>
      </c>
      <c r="F41" s="1802" t="s">
        <v>1997</v>
      </c>
      <c r="G41" s="1798"/>
      <c r="H41" s="1798"/>
      <c r="I41" s="1798"/>
      <c r="J41" s="1798"/>
      <c r="K41" s="1798"/>
      <c r="L41" s="1798"/>
      <c r="M41" s="1798"/>
      <c r="N41" s="1798"/>
      <c r="O41" s="1798"/>
      <c r="P41" s="1798"/>
      <c r="Q41" s="1798"/>
      <c r="R41" s="1798"/>
      <c r="S41" s="1798"/>
      <c r="T41" s="1798"/>
      <c r="U41" s="1798"/>
      <c r="V41" s="1798"/>
      <c r="W41" s="1798"/>
      <c r="X41" s="1798"/>
      <c r="Y41" s="1798"/>
      <c r="Z41" s="1798"/>
      <c r="AA41" s="1798"/>
      <c r="AB41" s="1798"/>
      <c r="AC41" s="1798"/>
      <c r="AD41" s="1798"/>
      <c r="AE41" s="1798"/>
      <c r="AF41" s="1798"/>
      <c r="AG41" s="1798"/>
      <c r="AH41" s="1798"/>
      <c r="AI41" s="1798"/>
      <c r="AJ41" s="1798"/>
      <c r="AK41" s="1798"/>
    </row>
    <row r="42" spans="1:39" s="58" customFormat="1" ht="18" customHeight="1">
      <c r="F42" s="2180" t="s">
        <v>1998</v>
      </c>
      <c r="G42" s="1945"/>
      <c r="H42" s="1945"/>
      <c r="I42" s="1945"/>
      <c r="J42" s="1945"/>
      <c r="K42" s="1945"/>
      <c r="L42" s="1945"/>
      <c r="M42" s="1945"/>
      <c r="N42" s="1945"/>
      <c r="O42" s="1945"/>
      <c r="P42" s="1945"/>
      <c r="Q42" s="1945"/>
      <c r="R42" s="1945"/>
      <c r="S42" s="1945"/>
      <c r="T42" s="1945"/>
      <c r="U42" s="1945"/>
      <c r="V42" s="1945"/>
      <c r="W42" s="1945"/>
      <c r="X42" s="1945"/>
      <c r="Y42" s="1945"/>
      <c r="Z42" s="1945"/>
      <c r="AA42" s="1945"/>
      <c r="AB42" s="1945"/>
      <c r="AC42" s="1945"/>
      <c r="AD42" s="1945"/>
      <c r="AE42" s="1945"/>
      <c r="AF42" s="1945"/>
      <c r="AG42" s="1945"/>
      <c r="AH42" s="1945"/>
      <c r="AI42" s="1945"/>
      <c r="AJ42" s="1945"/>
      <c r="AK42" s="1945"/>
      <c r="AL42" s="1911"/>
      <c r="AM42" s="1862"/>
    </row>
    <row r="43" spans="1:39" s="58" customFormat="1" ht="36.75" hidden="1" customHeight="1">
      <c r="B43" s="1866" t="s">
        <v>558</v>
      </c>
      <c r="C43" s="1777"/>
      <c r="D43" s="1778"/>
      <c r="E43" s="2991" t="str">
        <f>'Document Checklist-Full List'!$E$122</f>
        <v>52. SSP Agreement</v>
      </c>
      <c r="F43" s="1777"/>
      <c r="G43" s="1777"/>
      <c r="H43" s="1777"/>
      <c r="I43" s="1777"/>
      <c r="J43" s="1777"/>
      <c r="K43" s="1777"/>
      <c r="L43" s="1778"/>
      <c r="M43" s="2136" t="str">
        <f>'Document Checklist-Full List'!$N$122</f>
        <v>Provide an agreement with the LSP to implement the supportive services plan.</v>
      </c>
      <c r="N43" s="1777"/>
      <c r="O43" s="1777"/>
      <c r="P43" s="1777"/>
      <c r="Q43" s="1777"/>
      <c r="R43" s="1777"/>
      <c r="S43" s="1777"/>
      <c r="T43" s="1777"/>
      <c r="U43" s="1777"/>
      <c r="V43" s="1777"/>
      <c r="W43" s="1777"/>
      <c r="X43" s="1777"/>
      <c r="Y43" s="1777"/>
      <c r="Z43" s="1777"/>
      <c r="AA43" s="1777"/>
      <c r="AB43" s="1777"/>
      <c r="AC43" s="1777"/>
      <c r="AD43" s="1777"/>
      <c r="AE43" s="1778"/>
      <c r="AF43" s="1886" t="s">
        <v>559</v>
      </c>
      <c r="AG43" s="1777"/>
      <c r="AH43" s="1777"/>
      <c r="AI43" s="1777"/>
      <c r="AJ43" s="1777"/>
      <c r="AK43" s="1778"/>
      <c r="AL43" s="1911"/>
      <c r="AM43" s="1862"/>
    </row>
    <row r="44" spans="1:39" ht="36" customHeight="1">
      <c r="E44" s="270" t="s">
        <v>1999</v>
      </c>
      <c r="F44" s="1802" t="s">
        <v>2000</v>
      </c>
      <c r="G44" s="1798"/>
      <c r="H44" s="1798"/>
      <c r="I44" s="1798"/>
      <c r="J44" s="1798"/>
      <c r="K44" s="1798"/>
      <c r="L44" s="1798"/>
      <c r="M44" s="1798"/>
      <c r="N44" s="1798"/>
      <c r="O44" s="1798"/>
      <c r="P44" s="1798"/>
      <c r="Q44" s="1798"/>
      <c r="R44" s="1798"/>
      <c r="S44" s="1798"/>
      <c r="T44" s="1798"/>
      <c r="U44" s="1798"/>
      <c r="V44" s="1798"/>
      <c r="W44" s="1798"/>
      <c r="X44" s="1798"/>
      <c r="Y44" s="1798"/>
      <c r="Z44" s="1798"/>
      <c r="AA44" s="1798"/>
      <c r="AB44" s="1798"/>
      <c r="AC44" s="1798"/>
      <c r="AD44" s="1798"/>
      <c r="AE44" s="1798"/>
      <c r="AF44" s="1798"/>
      <c r="AG44" s="1798"/>
      <c r="AH44" s="1798"/>
      <c r="AI44" s="1798"/>
      <c r="AJ44" s="1798"/>
      <c r="AK44" s="1798"/>
      <c r="AL44" s="1911"/>
      <c r="AM44" s="1862"/>
    </row>
    <row r="45" spans="1:39" ht="36" customHeight="1">
      <c r="C45" s="265" t="s">
        <v>2001</v>
      </c>
      <c r="D45" s="1802" t="s">
        <v>2002</v>
      </c>
      <c r="E45" s="1798"/>
      <c r="F45" s="1798"/>
      <c r="G45" s="1798"/>
      <c r="H45" s="1798"/>
      <c r="I45" s="1798"/>
      <c r="J45" s="1798"/>
      <c r="K45" s="1798"/>
      <c r="L45" s="1798"/>
      <c r="M45" s="1798"/>
      <c r="N45" s="1798"/>
      <c r="O45" s="1798"/>
      <c r="P45" s="1798"/>
      <c r="Q45" s="1798"/>
      <c r="R45" s="1798"/>
      <c r="S45" s="1798"/>
      <c r="T45" s="1798"/>
      <c r="U45" s="1798"/>
      <c r="V45" s="1798"/>
      <c r="W45" s="1798"/>
      <c r="X45" s="1798"/>
      <c r="Y45" s="1798"/>
      <c r="Z45" s="1798"/>
      <c r="AA45" s="1798"/>
      <c r="AB45" s="1798"/>
      <c r="AC45" s="1798"/>
      <c r="AD45" s="1798"/>
      <c r="AE45" s="1798"/>
      <c r="AF45" s="1798"/>
      <c r="AG45" s="1798"/>
      <c r="AH45" s="1798"/>
      <c r="AI45" s="1798"/>
      <c r="AJ45" s="1798"/>
      <c r="AK45" s="1798"/>
    </row>
    <row r="46" spans="1:39" ht="18" customHeight="1">
      <c r="D46" s="2180" t="s">
        <v>2003</v>
      </c>
      <c r="E46" s="1798"/>
      <c r="F46" s="1798"/>
      <c r="G46" s="1798"/>
      <c r="H46" s="1798"/>
      <c r="I46" s="1798"/>
      <c r="J46" s="1798"/>
      <c r="K46" s="1798"/>
      <c r="L46" s="1798"/>
      <c r="M46" s="1798"/>
      <c r="N46" s="1798"/>
      <c r="O46" s="1798"/>
      <c r="P46" s="1798"/>
      <c r="Q46" s="1798"/>
      <c r="R46" s="1798"/>
      <c r="S46" s="1798"/>
      <c r="T46" s="1798"/>
      <c r="U46" s="1798"/>
      <c r="V46" s="1798"/>
      <c r="W46" s="1798"/>
      <c r="X46" s="1798"/>
      <c r="Y46" s="1798"/>
      <c r="Z46" s="1798"/>
      <c r="AA46" s="1798"/>
      <c r="AB46" s="1798"/>
      <c r="AC46" s="1798"/>
      <c r="AD46" s="1798"/>
      <c r="AE46" s="1798"/>
      <c r="AF46" s="1798"/>
      <c r="AG46" s="1798"/>
      <c r="AH46" s="1798"/>
      <c r="AI46" s="1798"/>
      <c r="AJ46" s="1798"/>
      <c r="AK46" s="1798"/>
      <c r="AL46" s="1911"/>
      <c r="AM46" s="1862"/>
    </row>
    <row r="47" spans="1:39" s="58" customFormat="1" ht="63" customHeight="1">
      <c r="D47" s="1802" t="s">
        <v>2004</v>
      </c>
      <c r="E47" s="1945"/>
      <c r="F47" s="1945"/>
      <c r="G47" s="1945"/>
      <c r="H47" s="1945"/>
      <c r="I47" s="1945"/>
      <c r="J47" s="1945"/>
      <c r="K47" s="1945"/>
      <c r="L47" s="1945"/>
      <c r="M47" s="1945"/>
      <c r="N47" s="1945"/>
      <c r="O47" s="1945"/>
      <c r="P47" s="1945"/>
      <c r="Q47" s="1945"/>
      <c r="R47" s="1945"/>
      <c r="S47" s="1945"/>
      <c r="T47" s="1945"/>
      <c r="U47" s="1945"/>
      <c r="V47" s="1945"/>
      <c r="W47" s="1945"/>
      <c r="X47" s="1945"/>
      <c r="Y47" s="1945"/>
      <c r="Z47" s="1945"/>
      <c r="AA47" s="1945"/>
      <c r="AB47" s="1945"/>
      <c r="AC47" s="1945"/>
      <c r="AD47" s="1945"/>
      <c r="AE47" s="1945"/>
      <c r="AF47" s="1945"/>
      <c r="AG47" s="1945"/>
      <c r="AH47" s="1945"/>
      <c r="AI47" s="1945"/>
      <c r="AJ47" s="1945"/>
      <c r="AK47" s="1945"/>
    </row>
    <row r="48" spans="1:39" ht="36" customHeight="1">
      <c r="B48" s="1866" t="s">
        <v>558</v>
      </c>
      <c r="C48" s="1777"/>
      <c r="D48" s="1778"/>
      <c r="E48" s="2991" t="str">
        <f>'Document Checklist-Full List'!$E$123</f>
        <v>53. Other Assisted Units</v>
      </c>
      <c r="F48" s="1777"/>
      <c r="G48" s="1777"/>
      <c r="H48" s="1777"/>
      <c r="I48" s="1777"/>
      <c r="J48" s="1777"/>
      <c r="K48" s="1777"/>
      <c r="L48" s="1778"/>
      <c r="M48" s="2136" t="str">
        <f>'Document Checklist-Full List'!$N$123</f>
        <v>Include documentation from organization that has 24 months experience in providing this service in publicly assisted affordable housing.</v>
      </c>
      <c r="N48" s="1777"/>
      <c r="O48" s="1777"/>
      <c r="P48" s="1777"/>
      <c r="Q48" s="1777"/>
      <c r="R48" s="1777"/>
      <c r="S48" s="1777"/>
      <c r="T48" s="1777"/>
      <c r="U48" s="1777"/>
      <c r="V48" s="1777"/>
      <c r="W48" s="1777"/>
      <c r="X48" s="1777"/>
      <c r="Y48" s="1777"/>
      <c r="Z48" s="1777"/>
      <c r="AA48" s="1777"/>
      <c r="AB48" s="1777"/>
      <c r="AC48" s="1777"/>
      <c r="AD48" s="1777"/>
      <c r="AE48" s="1778"/>
      <c r="AF48" s="1886" t="s">
        <v>559</v>
      </c>
      <c r="AG48" s="1777"/>
      <c r="AH48" s="1777"/>
      <c r="AI48" s="1777"/>
      <c r="AJ48" s="1777"/>
      <c r="AK48" s="1778"/>
      <c r="AL48" s="1911"/>
      <c r="AM48" s="1862"/>
    </row>
    <row r="49" spans="1:39" ht="36" customHeight="1">
      <c r="C49" s="265" t="s">
        <v>2005</v>
      </c>
      <c r="D49" s="1802" t="s">
        <v>2006</v>
      </c>
      <c r="E49" s="1798"/>
      <c r="F49" s="1798"/>
      <c r="G49" s="1798"/>
      <c r="H49" s="1798"/>
      <c r="I49" s="1798"/>
      <c r="J49" s="1798"/>
      <c r="K49" s="1798"/>
      <c r="L49" s="1798"/>
      <c r="M49" s="1798"/>
      <c r="N49" s="1798"/>
      <c r="O49" s="1798"/>
      <c r="P49" s="1798"/>
      <c r="Q49" s="1798"/>
      <c r="R49" s="1798"/>
      <c r="S49" s="1798"/>
      <c r="T49" s="1798"/>
      <c r="U49" s="1798"/>
      <c r="V49" s="1798"/>
      <c r="W49" s="1798"/>
      <c r="X49" s="1798"/>
      <c r="Y49" s="1798"/>
      <c r="Z49" s="1798"/>
      <c r="AA49" s="1798"/>
      <c r="AB49" s="1798"/>
      <c r="AC49" s="1798"/>
      <c r="AD49" s="1798"/>
      <c r="AE49" s="1798"/>
      <c r="AF49" s="1798"/>
      <c r="AG49" s="1798"/>
      <c r="AH49" s="1798"/>
      <c r="AI49" s="1798"/>
      <c r="AJ49" s="1798"/>
      <c r="AK49" s="1798"/>
      <c r="AL49" s="1911"/>
      <c r="AM49" s="1862"/>
    </row>
    <row r="50" spans="1:39" s="58" customFormat="1" ht="36" customHeight="1">
      <c r="B50" s="1959" t="s">
        <v>558</v>
      </c>
      <c r="C50" s="1777"/>
      <c r="D50" s="1778"/>
      <c r="E50" s="2140" t="e">
        <f>'Document Checklist-Full List'!#REF!</f>
        <v>#REF!</v>
      </c>
      <c r="F50" s="1777"/>
      <c r="G50" s="1777"/>
      <c r="H50" s="1777"/>
      <c r="I50" s="1777"/>
      <c r="J50" s="1777"/>
      <c r="K50" s="1778"/>
      <c r="L50" s="2136" t="e">
        <f>'Document Checklist-Full List'!#REF!</f>
        <v>#REF!</v>
      </c>
      <c r="M50" s="1777"/>
      <c r="N50" s="1777"/>
      <c r="O50" s="1777"/>
      <c r="P50" s="1777"/>
      <c r="Q50" s="1777"/>
      <c r="R50" s="1777"/>
      <c r="S50" s="1777"/>
      <c r="T50" s="1777"/>
      <c r="U50" s="1777"/>
      <c r="V50" s="1777"/>
      <c r="W50" s="1777"/>
      <c r="X50" s="1777"/>
      <c r="Y50" s="1777"/>
      <c r="Z50" s="1777"/>
      <c r="AA50" s="1777"/>
      <c r="AB50" s="1777"/>
      <c r="AC50" s="1777"/>
      <c r="AD50" s="1777"/>
      <c r="AE50" s="1778"/>
      <c r="AF50" s="2252" t="s">
        <v>559</v>
      </c>
      <c r="AG50" s="1777"/>
      <c r="AH50" s="1777"/>
      <c r="AI50" s="1777"/>
      <c r="AJ50" s="1777"/>
      <c r="AK50" s="1778"/>
      <c r="AL50" s="1911"/>
      <c r="AM50" s="1862"/>
    </row>
    <row r="51" spans="1:39" ht="18" customHeight="1">
      <c r="A51" s="607"/>
      <c r="C51" s="265" t="s">
        <v>2007</v>
      </c>
      <c r="D51" s="2993" t="e">
        <f>IF(AND(IsVhhp,'Project Overview'!#REF!="Yes"),"P","O")</f>
        <v>#REF!</v>
      </c>
      <c r="E51" s="1798"/>
    </row>
    <row r="52" spans="1:39" ht="18" customHeight="1">
      <c r="C52" s="265" t="s">
        <v>2008</v>
      </c>
      <c r="D52" s="2180" t="s">
        <v>2009</v>
      </c>
      <c r="E52" s="1798"/>
      <c r="F52" s="1798"/>
      <c r="G52" s="1798"/>
      <c r="H52" s="1798"/>
      <c r="I52" s="1798"/>
      <c r="J52" s="1798"/>
      <c r="K52" s="1798"/>
      <c r="L52" s="1798"/>
      <c r="M52" s="1798"/>
      <c r="N52" s="1798"/>
      <c r="O52" s="1798"/>
      <c r="P52" s="1798"/>
      <c r="Q52" s="1798"/>
      <c r="R52" s="1798"/>
      <c r="S52" s="1798"/>
      <c r="T52" s="1798"/>
      <c r="U52" s="1798"/>
      <c r="V52" s="1798"/>
      <c r="W52" s="1798"/>
      <c r="X52" s="1798"/>
      <c r="Y52" s="1798"/>
      <c r="Z52" s="1798"/>
      <c r="AA52" s="1798"/>
      <c r="AB52" s="1798"/>
      <c r="AC52" s="1798"/>
      <c r="AD52" s="1798"/>
      <c r="AE52" s="1798"/>
      <c r="AF52" s="1798"/>
      <c r="AG52" s="1798"/>
      <c r="AH52" s="1798"/>
      <c r="AI52" s="1798"/>
      <c r="AJ52" s="1798"/>
      <c r="AK52" s="1798"/>
    </row>
    <row r="53" spans="1:39" ht="18" customHeight="1">
      <c r="D53" s="270" t="s">
        <v>613</v>
      </c>
      <c r="E53" s="2993" t="str">
        <f>IF(AND(IsVhhp,$AL$55="Yes"),"P","O")</f>
        <v>O</v>
      </c>
      <c r="F53" s="1798"/>
      <c r="G53" s="382"/>
      <c r="H53" s="382"/>
      <c r="I53" s="382"/>
      <c r="J53" s="382"/>
      <c r="K53" s="382"/>
      <c r="L53" s="382"/>
      <c r="M53" s="382"/>
      <c r="N53" s="382"/>
      <c r="O53" s="382"/>
      <c r="P53" s="382"/>
      <c r="Q53" s="382"/>
      <c r="R53" s="382"/>
      <c r="S53" s="382"/>
      <c r="T53" s="382"/>
      <c r="U53" s="382"/>
      <c r="V53" s="382"/>
      <c r="W53" s="382"/>
      <c r="X53" s="382"/>
      <c r="Y53" s="382"/>
      <c r="Z53" s="382"/>
      <c r="AA53" s="382"/>
      <c r="AB53" s="382"/>
      <c r="AC53" s="382"/>
      <c r="AD53" s="382"/>
      <c r="AE53" s="382"/>
      <c r="AF53" s="382"/>
      <c r="AG53" s="382"/>
      <c r="AH53" s="382"/>
      <c r="AI53" s="382"/>
      <c r="AJ53" s="382"/>
      <c r="AK53" s="382"/>
    </row>
    <row r="54" spans="1:39" ht="18" customHeight="1">
      <c r="D54" s="270" t="s">
        <v>615</v>
      </c>
      <c r="E54" s="2993" t="str">
        <f>IF(AND(IsVhhp,$AL$56="Yes"),"P","O")</f>
        <v>O</v>
      </c>
      <c r="F54" s="1798"/>
      <c r="G54" s="382"/>
      <c r="H54" s="382"/>
      <c r="I54" s="382"/>
      <c r="J54" s="382"/>
      <c r="K54" s="382"/>
      <c r="L54" s="382"/>
      <c r="M54" s="382"/>
      <c r="N54" s="382"/>
      <c r="O54" s="382"/>
      <c r="P54" s="382"/>
      <c r="Q54" s="382"/>
      <c r="R54" s="382"/>
      <c r="S54" s="382"/>
      <c r="T54" s="382"/>
      <c r="U54" s="382"/>
      <c r="V54" s="382"/>
      <c r="W54" s="382"/>
      <c r="X54" s="382"/>
      <c r="Y54" s="382"/>
      <c r="Z54" s="382"/>
      <c r="AA54" s="382"/>
      <c r="AB54" s="382"/>
      <c r="AC54" s="382"/>
      <c r="AD54" s="382"/>
      <c r="AE54" s="382"/>
      <c r="AF54" s="382"/>
      <c r="AG54" s="382"/>
      <c r="AH54" s="382"/>
      <c r="AI54" s="382"/>
      <c r="AJ54" s="382"/>
      <c r="AK54" s="382"/>
    </row>
    <row r="55" spans="1:39" ht="63" customHeight="1">
      <c r="B55" s="1866" t="s">
        <v>558</v>
      </c>
      <c r="C55" s="1777"/>
      <c r="D55" s="1778"/>
      <c r="E55" s="2991" t="str">
        <f>'Document Checklist-Full List'!$E$124</f>
        <v>54. Local VA Office Letter</v>
      </c>
      <c r="F55" s="1777"/>
      <c r="G55" s="1777"/>
      <c r="H55" s="1777"/>
      <c r="I55" s="1777"/>
      <c r="J55" s="1777"/>
      <c r="K55" s="1777"/>
      <c r="L55" s="1778"/>
      <c r="M55" s="1885" t="str">
        <f>'Document Checklist-Full List'!$N$124</f>
        <v>Provide a letter from the local VA office (Network Homeless Coordinator or similar official) describing the population to be served by the Project, the type of housing to be provided (transitional, permanent supportive, or affordable), and why it will meet a high priority local need.</v>
      </c>
      <c r="N55" s="1777"/>
      <c r="O55" s="1777"/>
      <c r="P55" s="1777"/>
      <c r="Q55" s="1777"/>
      <c r="R55" s="1777"/>
      <c r="S55" s="1777"/>
      <c r="T55" s="1777"/>
      <c r="U55" s="1777"/>
      <c r="V55" s="1777"/>
      <c r="W55" s="1777"/>
      <c r="X55" s="1777"/>
      <c r="Y55" s="1777"/>
      <c r="Z55" s="1777"/>
      <c r="AA55" s="1777"/>
      <c r="AB55" s="1777"/>
      <c r="AC55" s="1777"/>
      <c r="AD55" s="1777"/>
      <c r="AE55" s="1778"/>
      <c r="AF55" s="1886" t="s">
        <v>559</v>
      </c>
      <c r="AG55" s="1777"/>
      <c r="AH55" s="1777"/>
      <c r="AI55" s="1777"/>
      <c r="AJ55" s="1777"/>
      <c r="AK55" s="1778"/>
      <c r="AL55" s="1911"/>
      <c r="AM55" s="1862"/>
    </row>
    <row r="56" spans="1:39" ht="36" customHeight="1">
      <c r="B56" s="1866" t="s">
        <v>558</v>
      </c>
      <c r="C56" s="1777"/>
      <c r="D56" s="1778"/>
      <c r="E56" s="2991" t="str">
        <f>'Document Checklist-Full List'!$E$125</f>
        <v>55. Local Continuum of Care Letter</v>
      </c>
      <c r="F56" s="1777"/>
      <c r="G56" s="1777"/>
      <c r="H56" s="1777"/>
      <c r="I56" s="1777"/>
      <c r="J56" s="1777"/>
      <c r="K56" s="1777"/>
      <c r="L56" s="1778"/>
      <c r="M56" s="1885" t="str">
        <f>'Document Checklist-Full List'!$N$125</f>
        <v>Provide a letter from the local Continuum of Care addressing the same points described in the preceding subsection.</v>
      </c>
      <c r="N56" s="1777"/>
      <c r="O56" s="1777"/>
      <c r="P56" s="1777"/>
      <c r="Q56" s="1777"/>
      <c r="R56" s="1777"/>
      <c r="S56" s="1777"/>
      <c r="T56" s="1777"/>
      <c r="U56" s="1777"/>
      <c r="V56" s="1777"/>
      <c r="W56" s="1777"/>
      <c r="X56" s="1777"/>
      <c r="Y56" s="1777"/>
      <c r="Z56" s="1777"/>
      <c r="AA56" s="1777"/>
      <c r="AB56" s="1777"/>
      <c r="AC56" s="1777"/>
      <c r="AD56" s="1777"/>
      <c r="AE56" s="1778"/>
      <c r="AF56" s="1886" t="s">
        <v>559</v>
      </c>
      <c r="AG56" s="1777"/>
      <c r="AH56" s="1777"/>
      <c r="AI56" s="1777"/>
      <c r="AJ56" s="1777"/>
      <c r="AK56" s="1778"/>
      <c r="AL56" s="1911"/>
      <c r="AM56" s="1862"/>
    </row>
    <row r="57" spans="1:39" ht="18" hidden="1" customHeight="1">
      <c r="C57" s="265" t="s">
        <v>2010</v>
      </c>
      <c r="D57" s="2294" t="s">
        <v>2011</v>
      </c>
      <c r="E57" s="1953"/>
      <c r="F57" s="1953"/>
      <c r="G57" s="1953"/>
      <c r="H57" s="1953"/>
      <c r="I57" s="1953"/>
      <c r="J57" s="1953"/>
      <c r="K57" s="1953"/>
      <c r="L57" s="1953"/>
      <c r="M57" s="1953"/>
      <c r="N57" s="1953"/>
      <c r="O57" s="1953"/>
      <c r="P57" s="1953"/>
      <c r="Q57" s="1953"/>
      <c r="R57" s="1953"/>
      <c r="S57" s="1953"/>
      <c r="T57" s="1953"/>
      <c r="U57" s="1953"/>
      <c r="V57" s="1953"/>
      <c r="W57" s="1953"/>
      <c r="X57" s="1953"/>
      <c r="Y57" s="1953"/>
      <c r="Z57" s="1953"/>
      <c r="AA57" s="1953"/>
      <c r="AB57" s="1953"/>
      <c r="AC57" s="1953"/>
      <c r="AD57" s="1953"/>
      <c r="AE57" s="1953"/>
      <c r="AF57" s="1953"/>
      <c r="AG57" s="1953"/>
      <c r="AH57" s="1953"/>
      <c r="AI57" s="1953"/>
      <c r="AJ57" s="1953"/>
      <c r="AK57" s="1953"/>
      <c r="AL57" s="1911"/>
      <c r="AM57" s="1862"/>
    </row>
    <row r="58" spans="1:39" ht="18" customHeight="1">
      <c r="C58" s="265" t="s">
        <v>2012</v>
      </c>
      <c r="D58" s="2180" t="s">
        <v>2013</v>
      </c>
      <c r="E58" s="1798"/>
      <c r="F58" s="1798"/>
      <c r="G58" s="1798"/>
      <c r="H58" s="1798"/>
      <c r="I58" s="1798"/>
      <c r="J58" s="1798"/>
      <c r="K58" s="1798"/>
      <c r="L58" s="1798"/>
      <c r="M58" s="1798"/>
      <c r="N58" s="1798"/>
      <c r="O58" s="1798"/>
      <c r="P58" s="1798"/>
      <c r="Q58" s="1798"/>
      <c r="R58" s="1798"/>
      <c r="S58" s="1798"/>
      <c r="T58" s="1798"/>
      <c r="U58" s="1798"/>
      <c r="V58" s="1798"/>
      <c r="W58" s="1798"/>
      <c r="X58" s="1798"/>
      <c r="Y58" s="1798"/>
      <c r="Z58" s="1798"/>
      <c r="AA58" s="1798"/>
      <c r="AB58" s="1798"/>
      <c r="AC58" s="1798"/>
      <c r="AD58" s="1798"/>
      <c r="AE58" s="1798"/>
      <c r="AF58" s="1798"/>
      <c r="AG58" s="1798"/>
      <c r="AH58" s="1798"/>
      <c r="AI58" s="1798"/>
      <c r="AJ58" s="1798"/>
      <c r="AK58" s="1798"/>
      <c r="AL58" s="136"/>
      <c r="AM58" s="136"/>
    </row>
    <row r="59" spans="1:39" ht="54" customHeight="1">
      <c r="C59" s="136"/>
      <c r="D59" s="267" t="s">
        <v>613</v>
      </c>
      <c r="E59" s="1802" t="s">
        <v>2014</v>
      </c>
      <c r="F59" s="1798"/>
      <c r="G59" s="1798"/>
      <c r="H59" s="1798"/>
      <c r="I59" s="1798"/>
      <c r="J59" s="1798"/>
      <c r="K59" s="1798"/>
      <c r="L59" s="1798"/>
      <c r="M59" s="1798"/>
      <c r="N59" s="1798"/>
      <c r="O59" s="1798"/>
      <c r="P59" s="1798"/>
      <c r="Q59" s="1798"/>
      <c r="R59" s="1798"/>
      <c r="S59" s="1798"/>
      <c r="T59" s="1798"/>
      <c r="U59" s="1798"/>
      <c r="V59" s="1798"/>
      <c r="W59" s="1798"/>
      <c r="X59" s="1798"/>
      <c r="Y59" s="1798"/>
      <c r="Z59" s="1798"/>
      <c r="AA59" s="1798"/>
      <c r="AB59" s="1798"/>
      <c r="AC59" s="1798"/>
      <c r="AD59" s="1798"/>
      <c r="AE59" s="1798"/>
      <c r="AF59" s="1798"/>
      <c r="AG59" s="1798"/>
      <c r="AH59" s="1798"/>
      <c r="AI59" s="1798"/>
      <c r="AJ59" s="1798"/>
      <c r="AK59" s="1798"/>
      <c r="AL59" s="1911"/>
      <c r="AM59" s="1862"/>
    </row>
    <row r="60" spans="1:39" ht="36" customHeight="1">
      <c r="C60" s="136"/>
      <c r="D60" s="267"/>
      <c r="E60" s="267" t="s">
        <v>1989</v>
      </c>
      <c r="F60" s="1802" t="s">
        <v>2015</v>
      </c>
      <c r="G60" s="1798"/>
      <c r="H60" s="1798"/>
      <c r="I60" s="1798"/>
      <c r="J60" s="1798"/>
      <c r="K60" s="1798"/>
      <c r="L60" s="1798"/>
      <c r="M60" s="1798"/>
      <c r="N60" s="1798"/>
      <c r="O60" s="1798"/>
      <c r="P60" s="1798"/>
      <c r="Q60" s="1798"/>
      <c r="R60" s="1798"/>
      <c r="S60" s="1798"/>
      <c r="T60" s="1798"/>
      <c r="U60" s="1798"/>
      <c r="V60" s="1798"/>
      <c r="W60" s="1798"/>
      <c r="X60" s="1798"/>
      <c r="Y60" s="1798"/>
      <c r="Z60" s="1798"/>
      <c r="AA60" s="1798"/>
      <c r="AB60" s="1798"/>
      <c r="AC60" s="1798"/>
      <c r="AD60" s="1798"/>
      <c r="AE60" s="1798"/>
      <c r="AF60" s="1798"/>
      <c r="AG60" s="1798"/>
      <c r="AH60" s="1798"/>
      <c r="AI60" s="1798"/>
      <c r="AJ60" s="1798"/>
      <c r="AK60" s="1798"/>
      <c r="AL60" s="382"/>
      <c r="AM60" s="382"/>
    </row>
    <row r="61" spans="1:39" ht="18" customHeight="1">
      <c r="C61" s="136"/>
      <c r="D61" s="267" t="s">
        <v>615</v>
      </c>
      <c r="E61" s="2180" t="s">
        <v>2016</v>
      </c>
      <c r="F61" s="1798"/>
      <c r="G61" s="1798"/>
      <c r="H61" s="1798"/>
      <c r="I61" s="1798"/>
      <c r="J61" s="1798"/>
      <c r="K61" s="1798"/>
      <c r="L61" s="1798"/>
      <c r="M61" s="1798"/>
      <c r="N61" s="1798"/>
      <c r="O61" s="1798"/>
      <c r="P61" s="1798"/>
      <c r="Q61" s="1798"/>
      <c r="R61" s="1798"/>
      <c r="S61" s="1798"/>
      <c r="T61" s="1798"/>
      <c r="U61" s="1798"/>
      <c r="V61" s="1798"/>
      <c r="W61" s="1798"/>
      <c r="X61" s="1798"/>
      <c r="Y61" s="1798"/>
      <c r="Z61" s="1798"/>
      <c r="AA61" s="1798"/>
      <c r="AB61" s="1798"/>
      <c r="AC61" s="1798"/>
      <c r="AD61" s="1798"/>
      <c r="AE61" s="1798"/>
      <c r="AF61" s="1798"/>
      <c r="AG61" s="1798"/>
      <c r="AH61" s="1798"/>
      <c r="AI61" s="1798"/>
      <c r="AJ61" s="1798"/>
      <c r="AK61" s="1798"/>
      <c r="AL61" s="1911"/>
      <c r="AM61" s="1862"/>
    </row>
    <row r="62" spans="1:39" ht="18" hidden="1" customHeight="1">
      <c r="C62" s="265" t="s">
        <v>2017</v>
      </c>
      <c r="D62" s="1802" t="s">
        <v>2018</v>
      </c>
      <c r="E62" s="1798"/>
      <c r="F62" s="1798"/>
      <c r="G62" s="1798"/>
      <c r="H62" s="1798"/>
      <c r="I62" s="1798"/>
      <c r="J62" s="1798"/>
      <c r="K62" s="1798"/>
      <c r="L62" s="1798"/>
      <c r="M62" s="1798"/>
      <c r="N62" s="1798"/>
      <c r="O62" s="1798"/>
      <c r="P62" s="1798"/>
      <c r="Q62" s="1798"/>
      <c r="R62" s="1798"/>
      <c r="S62" s="1798"/>
      <c r="T62" s="1798"/>
      <c r="U62" s="1798"/>
      <c r="V62" s="1798"/>
      <c r="W62" s="1798"/>
      <c r="X62" s="1798"/>
      <c r="Y62" s="1798"/>
      <c r="Z62" s="1798"/>
      <c r="AA62" s="1798"/>
      <c r="AB62" s="1798"/>
      <c r="AC62" s="1798"/>
      <c r="AD62" s="1798"/>
      <c r="AE62" s="1798"/>
      <c r="AF62" s="1798"/>
      <c r="AG62" s="1798"/>
      <c r="AH62" s="1798"/>
      <c r="AI62" s="1798"/>
      <c r="AJ62" s="1798"/>
      <c r="AK62" s="136"/>
      <c r="AL62" s="136"/>
      <c r="AM62" s="136"/>
    </row>
    <row r="63" spans="1:39" ht="18" hidden="1" customHeight="1">
      <c r="C63" s="265"/>
      <c r="D63" s="267" t="s">
        <v>613</v>
      </c>
      <c r="E63" s="2997" t="str">
        <f>IF(AND(IsMhp,vmTribalEntity="Yes",vmIndianCountry&gt;0),"P","O")</f>
        <v>O</v>
      </c>
      <c r="F63" s="1798"/>
      <c r="G63" s="58"/>
      <c r="H63" s="58"/>
      <c r="I63" s="58"/>
      <c r="J63" s="58"/>
      <c r="K63" s="58"/>
      <c r="L63" s="58"/>
      <c r="M63" s="58"/>
      <c r="N63" s="58"/>
      <c r="O63" s="58"/>
      <c r="P63" s="58"/>
      <c r="Q63" s="58"/>
      <c r="R63" s="58"/>
      <c r="S63" s="58"/>
      <c r="T63" s="58"/>
      <c r="U63" s="58"/>
      <c r="V63" s="58"/>
      <c r="W63" s="58"/>
      <c r="X63" s="58"/>
      <c r="Y63" s="58"/>
      <c r="Z63" s="58"/>
      <c r="AA63" s="58"/>
      <c r="AB63" s="58"/>
      <c r="AC63" s="58"/>
      <c r="AD63" s="58"/>
      <c r="AE63" s="58"/>
      <c r="AF63" s="58"/>
      <c r="AG63" s="58"/>
      <c r="AH63" s="58"/>
      <c r="AI63" s="58"/>
      <c r="AJ63" s="58"/>
      <c r="AK63" s="58"/>
      <c r="AL63" s="136"/>
      <c r="AM63" s="136"/>
    </row>
    <row r="64" spans="1:39" ht="18" hidden="1" customHeight="1">
      <c r="C64" s="136"/>
      <c r="D64" s="267" t="s">
        <v>615</v>
      </c>
      <c r="E64" s="2997" t="e">
        <f>IF(AND(IsMhp,vmTribalEntity,'Project Overview'!#REF!="Yes"),"P","O")</f>
        <v>#REF!</v>
      </c>
      <c r="F64" s="1798"/>
      <c r="H64" s="136"/>
      <c r="I64" s="136"/>
      <c r="J64" s="136"/>
      <c r="K64" s="136"/>
      <c r="L64" s="136"/>
      <c r="M64" s="136"/>
      <c r="N64" s="136"/>
      <c r="O64" s="136"/>
      <c r="P64" s="136"/>
      <c r="Q64" s="136"/>
      <c r="R64" s="136"/>
      <c r="S64" s="136"/>
      <c r="T64" s="136"/>
      <c r="U64" s="136"/>
      <c r="V64" s="136"/>
      <c r="W64" s="136"/>
      <c r="X64" s="136"/>
      <c r="Y64" s="136"/>
      <c r="Z64" s="136"/>
      <c r="AA64" s="136"/>
      <c r="AB64" s="136"/>
      <c r="AC64" s="136"/>
      <c r="AD64" s="136"/>
      <c r="AE64" s="136"/>
      <c r="AF64" s="136"/>
      <c r="AG64" s="136"/>
      <c r="AH64" s="136"/>
      <c r="AI64" s="136"/>
      <c r="AJ64" s="136"/>
      <c r="AK64" s="136"/>
      <c r="AL64" s="136"/>
      <c r="AM64" s="136"/>
    </row>
    <row r="65" spans="2:39" ht="18" hidden="1" customHeight="1">
      <c r="C65" s="136"/>
      <c r="D65" s="267" t="s">
        <v>617</v>
      </c>
      <c r="E65" s="2997" t="str">
        <f>IF(AND(IsMhp,'Project Overview'!$AL$91="Yes"),"P","O")</f>
        <v>O</v>
      </c>
      <c r="F65" s="1798"/>
      <c r="G65" s="382"/>
      <c r="H65" s="382"/>
      <c r="I65" s="382"/>
      <c r="J65" s="382"/>
      <c r="K65" s="382"/>
      <c r="L65" s="382"/>
      <c r="M65" s="382"/>
      <c r="N65" s="382"/>
      <c r="O65" s="382"/>
      <c r="P65" s="382"/>
      <c r="Q65" s="382"/>
      <c r="R65" s="382"/>
      <c r="S65" s="382"/>
      <c r="T65" s="382"/>
      <c r="U65" s="382"/>
      <c r="V65" s="382"/>
      <c r="W65" s="382"/>
      <c r="X65" s="382"/>
      <c r="Y65" s="382"/>
      <c r="Z65" s="382"/>
      <c r="AA65" s="382"/>
      <c r="AB65" s="382"/>
      <c r="AC65" s="382"/>
      <c r="AD65" s="382"/>
      <c r="AE65" s="382"/>
      <c r="AF65" s="382"/>
      <c r="AG65" s="382"/>
      <c r="AH65" s="382"/>
      <c r="AI65" s="382"/>
      <c r="AJ65" s="382"/>
      <c r="AK65" s="382"/>
      <c r="AL65" s="136"/>
      <c r="AM65" s="136"/>
    </row>
    <row r="66" spans="2:39" ht="18" customHeight="1">
      <c r="C66" s="265" t="s">
        <v>651</v>
      </c>
      <c r="D66" s="2180" t="s">
        <v>2019</v>
      </c>
      <c r="E66" s="1798"/>
      <c r="F66" s="1798"/>
      <c r="G66" s="1798"/>
      <c r="H66" s="1798"/>
      <c r="I66" s="1798"/>
      <c r="J66" s="1798"/>
      <c r="K66" s="1798"/>
      <c r="L66" s="1798"/>
      <c r="M66" s="1798"/>
      <c r="N66" s="1798"/>
      <c r="O66" s="1798"/>
      <c r="P66" s="1798"/>
      <c r="Q66" s="1798"/>
      <c r="R66" s="1798"/>
      <c r="S66" s="1798"/>
      <c r="T66" s="1798"/>
      <c r="U66" s="1798"/>
      <c r="V66" s="1798"/>
      <c r="W66" s="1798"/>
      <c r="X66" s="1798"/>
      <c r="Y66" s="1798"/>
      <c r="Z66" s="1798"/>
      <c r="AA66" s="1798"/>
      <c r="AB66" s="1798"/>
      <c r="AC66" s="1798"/>
      <c r="AD66" s="1798"/>
      <c r="AE66" s="1798"/>
      <c r="AF66" s="1798"/>
      <c r="AG66" s="1798"/>
      <c r="AH66" s="1798"/>
      <c r="AI66" s="1798"/>
      <c r="AJ66" s="1798"/>
      <c r="AK66" s="1798"/>
      <c r="AL66" s="136"/>
      <c r="AM66" s="136"/>
    </row>
    <row r="67" spans="2:39" s="58" customFormat="1" ht="18" customHeight="1">
      <c r="C67" s="136"/>
      <c r="D67" s="267" t="s">
        <v>613</v>
      </c>
      <c r="E67" s="2180" t="s">
        <v>2020</v>
      </c>
      <c r="F67" s="1945"/>
      <c r="G67" s="1945"/>
      <c r="H67" s="1945"/>
      <c r="I67" s="1945"/>
      <c r="J67" s="1945"/>
      <c r="K67" s="1945"/>
      <c r="L67" s="1945"/>
      <c r="M67" s="1945"/>
      <c r="N67" s="1945"/>
      <c r="O67" s="1945"/>
      <c r="P67" s="1945"/>
      <c r="Q67" s="1945"/>
      <c r="R67" s="1945"/>
      <c r="S67" s="1945"/>
      <c r="T67" s="1945"/>
      <c r="U67" s="1945"/>
      <c r="V67" s="1945"/>
      <c r="W67" s="1945"/>
      <c r="X67" s="1945"/>
      <c r="Y67" s="1945"/>
      <c r="Z67" s="1945"/>
      <c r="AA67" s="1945"/>
      <c r="AB67" s="1945"/>
      <c r="AC67" s="1945"/>
      <c r="AD67" s="1945"/>
      <c r="AE67" s="1945"/>
      <c r="AF67" s="1945"/>
      <c r="AG67" s="1945"/>
      <c r="AH67" s="1945"/>
      <c r="AI67" s="1945"/>
      <c r="AJ67" s="1945"/>
      <c r="AK67" s="1945"/>
      <c r="AL67" s="136"/>
      <c r="AM67" s="136"/>
    </row>
    <row r="68" spans="2:39" s="58" customFormat="1" ht="80.25" customHeight="1">
      <c r="C68" s="136"/>
      <c r="D68" s="476"/>
      <c r="E68" s="267" t="s">
        <v>1989</v>
      </c>
      <c r="F68" s="1802" t="s">
        <v>2021</v>
      </c>
      <c r="G68" s="1945"/>
      <c r="H68" s="1945"/>
      <c r="I68" s="1945"/>
      <c r="J68" s="1945"/>
      <c r="K68" s="1945"/>
      <c r="L68" s="1945"/>
      <c r="M68" s="1945"/>
      <c r="N68" s="1945"/>
      <c r="O68" s="1945"/>
      <c r="P68" s="1945"/>
      <c r="Q68" s="1945"/>
      <c r="R68" s="1945"/>
      <c r="S68" s="1945"/>
      <c r="T68" s="1945"/>
      <c r="U68" s="1945"/>
      <c r="V68" s="1945"/>
      <c r="W68" s="1945"/>
      <c r="X68" s="1945"/>
      <c r="Y68" s="1945"/>
      <c r="Z68" s="1945"/>
      <c r="AA68" s="1945"/>
      <c r="AB68" s="1945"/>
      <c r="AC68" s="1945"/>
      <c r="AD68" s="1945"/>
      <c r="AE68" s="1945"/>
      <c r="AF68" s="1945"/>
      <c r="AG68" s="1945"/>
      <c r="AH68" s="1945"/>
      <c r="AI68" s="1945"/>
      <c r="AJ68" s="1945"/>
      <c r="AK68" s="1945"/>
      <c r="AL68" s="1911"/>
      <c r="AM68" s="1862"/>
    </row>
    <row r="69" spans="2:39" s="58" customFormat="1" ht="18" customHeight="1">
      <c r="C69" s="136"/>
      <c r="D69" s="267" t="s">
        <v>615</v>
      </c>
      <c r="E69" s="2180" t="s">
        <v>2022</v>
      </c>
      <c r="F69" s="1945"/>
      <c r="G69" s="1945"/>
      <c r="H69" s="1945"/>
      <c r="I69" s="1945"/>
      <c r="J69" s="1945"/>
      <c r="K69" s="1945"/>
      <c r="L69" s="1945"/>
      <c r="M69" s="1945"/>
      <c r="N69" s="1945"/>
      <c r="O69" s="1945"/>
      <c r="P69" s="1945"/>
      <c r="Q69" s="1945"/>
      <c r="R69" s="1945"/>
      <c r="S69" s="1945"/>
      <c r="T69" s="1945"/>
      <c r="U69" s="1945"/>
      <c r="V69" s="1945"/>
      <c r="W69" s="1945"/>
      <c r="X69" s="1945"/>
      <c r="Y69" s="1945"/>
      <c r="Z69" s="1945"/>
      <c r="AA69" s="1945"/>
      <c r="AB69" s="1945"/>
      <c r="AC69" s="1945"/>
      <c r="AD69" s="1945"/>
      <c r="AE69" s="1945"/>
      <c r="AF69" s="1945"/>
      <c r="AG69" s="1945"/>
      <c r="AH69" s="1945"/>
      <c r="AI69" s="1945"/>
      <c r="AJ69" s="1945"/>
      <c r="AK69" s="1945"/>
      <c r="AL69" s="1911"/>
      <c r="AM69" s="1862"/>
    </row>
    <row r="70" spans="2:39" s="58" customFormat="1" ht="18" customHeight="1">
      <c r="C70" s="136"/>
      <c r="D70" s="476"/>
      <c r="E70" s="267" t="s">
        <v>1989</v>
      </c>
      <c r="F70" s="2180" t="s">
        <v>2023</v>
      </c>
      <c r="G70" s="1945"/>
      <c r="H70" s="1945"/>
      <c r="I70" s="1945"/>
      <c r="J70" s="1945"/>
      <c r="K70" s="1945"/>
      <c r="L70" s="1945"/>
      <c r="M70" s="1945"/>
      <c r="N70" s="1945"/>
      <c r="O70" s="1945"/>
      <c r="P70" s="1945"/>
      <c r="Q70" s="1945"/>
      <c r="R70" s="1945"/>
      <c r="S70" s="1945"/>
      <c r="T70" s="1945"/>
      <c r="U70" s="1945"/>
      <c r="V70" s="1945"/>
      <c r="W70" s="1945"/>
      <c r="X70" s="1945"/>
      <c r="Y70" s="1945"/>
      <c r="Z70" s="1945"/>
      <c r="AA70" s="1945"/>
      <c r="AB70" s="1945"/>
      <c r="AC70" s="1945"/>
      <c r="AD70" s="1945"/>
      <c r="AE70" s="1945"/>
      <c r="AF70" s="1945"/>
      <c r="AG70" s="1945"/>
      <c r="AH70" s="1945"/>
      <c r="AI70" s="1945"/>
      <c r="AJ70" s="1945"/>
      <c r="AK70" s="1945"/>
      <c r="AL70" s="136"/>
      <c r="AM70" s="136"/>
    </row>
    <row r="71" spans="2:39" s="58" customFormat="1" ht="36" customHeight="1">
      <c r="C71" s="136"/>
      <c r="D71" s="476"/>
      <c r="E71" s="267" t="s">
        <v>1990</v>
      </c>
      <c r="F71" s="1806" t="s">
        <v>2024</v>
      </c>
      <c r="G71" s="1945"/>
      <c r="H71" s="1945"/>
      <c r="I71" s="1945"/>
      <c r="J71" s="1945"/>
      <c r="K71" s="1945"/>
      <c r="L71" s="1945"/>
      <c r="M71" s="1945"/>
      <c r="N71" s="1945"/>
      <c r="O71" s="1945"/>
      <c r="P71" s="1945"/>
      <c r="Q71" s="1945"/>
      <c r="R71" s="1945"/>
      <c r="S71" s="1945"/>
      <c r="T71" s="1945"/>
      <c r="U71" s="1945"/>
      <c r="V71" s="1945"/>
      <c r="W71" s="1945"/>
      <c r="X71" s="1945"/>
      <c r="Y71" s="1945"/>
      <c r="Z71" s="1945"/>
      <c r="AA71" s="1945"/>
      <c r="AB71" s="1945"/>
      <c r="AC71" s="1945"/>
      <c r="AD71" s="1945"/>
      <c r="AE71" s="1945"/>
      <c r="AF71" s="1945"/>
      <c r="AG71" s="1945"/>
      <c r="AH71" s="1945"/>
      <c r="AI71" s="1945"/>
      <c r="AJ71" s="1945"/>
      <c r="AK71" s="1945"/>
      <c r="AL71" s="136"/>
      <c r="AM71" s="136"/>
    </row>
    <row r="72" spans="2:39" s="58" customFormat="1" ht="18" customHeight="1">
      <c r="C72" s="136"/>
      <c r="D72" s="267" t="s">
        <v>617</v>
      </c>
      <c r="E72" s="2180" t="s">
        <v>2025</v>
      </c>
      <c r="F72" s="1945"/>
      <c r="G72" s="1945"/>
      <c r="H72" s="1945"/>
      <c r="I72" s="1945"/>
      <c r="J72" s="1945"/>
      <c r="K72" s="1945"/>
      <c r="L72" s="1945"/>
      <c r="M72" s="1945"/>
      <c r="N72" s="1945"/>
      <c r="O72" s="1945"/>
      <c r="P72" s="1945"/>
      <c r="Q72" s="1945"/>
      <c r="R72" s="1945"/>
      <c r="S72" s="1945"/>
      <c r="T72" s="1945"/>
      <c r="U72" s="1945"/>
      <c r="V72" s="1945"/>
      <c r="W72" s="1945"/>
      <c r="X72" s="1945"/>
      <c r="Y72" s="1945"/>
      <c r="Z72" s="1945"/>
      <c r="AA72" s="1945"/>
      <c r="AB72" s="1945"/>
      <c r="AC72" s="1945"/>
      <c r="AD72" s="1945"/>
      <c r="AE72" s="1945"/>
      <c r="AF72" s="1945"/>
      <c r="AG72" s="1945"/>
      <c r="AH72" s="1945"/>
      <c r="AI72" s="1945"/>
      <c r="AJ72" s="1945"/>
      <c r="AK72" s="1945"/>
      <c r="AL72" s="1911"/>
      <c r="AM72" s="1862"/>
    </row>
    <row r="73" spans="2:39" s="58" customFormat="1" ht="36" customHeight="1">
      <c r="C73" s="136"/>
      <c r="D73" s="267" t="s">
        <v>634</v>
      </c>
      <c r="E73" s="1802" t="s">
        <v>2026</v>
      </c>
      <c r="F73" s="1945"/>
      <c r="G73" s="1945"/>
      <c r="H73" s="1945"/>
      <c r="I73" s="1945"/>
      <c r="J73" s="1945"/>
      <c r="K73" s="1945"/>
      <c r="L73" s="1945"/>
      <c r="M73" s="1945"/>
      <c r="N73" s="1945"/>
      <c r="O73" s="1945"/>
      <c r="P73" s="1945"/>
      <c r="Q73" s="1945"/>
      <c r="R73" s="1945"/>
      <c r="S73" s="1945"/>
      <c r="T73" s="1945"/>
      <c r="U73" s="1945"/>
      <c r="V73" s="1945"/>
      <c r="W73" s="1945"/>
      <c r="X73" s="1945"/>
      <c r="Y73" s="1945"/>
      <c r="Z73" s="1945"/>
      <c r="AA73" s="1945"/>
      <c r="AB73" s="1945"/>
      <c r="AC73" s="1945"/>
      <c r="AD73" s="1945"/>
      <c r="AE73" s="1945"/>
      <c r="AF73" s="1945"/>
      <c r="AG73" s="1945"/>
      <c r="AH73" s="1945"/>
      <c r="AI73" s="1945"/>
      <c r="AJ73" s="1945"/>
      <c r="AK73" s="1945"/>
      <c r="AL73" s="1911"/>
      <c r="AM73" s="1862"/>
    </row>
    <row r="74" spans="2:39" ht="18" customHeight="1">
      <c r="C74" s="265" t="s">
        <v>2027</v>
      </c>
      <c r="D74" s="2993" t="str">
        <f>IF(AND(IsVhhp,'Project Overview'!$AL$156="Yes"),"P","O")</f>
        <v>O</v>
      </c>
      <c r="E74" s="1798"/>
      <c r="F74" s="382"/>
      <c r="G74" s="382"/>
      <c r="H74" s="382"/>
      <c r="I74" s="382"/>
      <c r="J74" s="382"/>
      <c r="K74" s="382"/>
      <c r="L74" s="382"/>
      <c r="M74" s="382"/>
      <c r="N74" s="382"/>
      <c r="O74" s="382"/>
      <c r="P74" s="382"/>
      <c r="Q74" s="382"/>
      <c r="R74" s="382"/>
      <c r="S74" s="382"/>
      <c r="T74" s="382"/>
      <c r="U74" s="382"/>
      <c r="V74" s="382"/>
      <c r="W74" s="382"/>
      <c r="X74" s="382"/>
      <c r="Y74" s="382"/>
      <c r="Z74" s="382"/>
      <c r="AA74" s="382"/>
      <c r="AB74" s="382"/>
      <c r="AC74" s="382"/>
      <c r="AD74" s="382"/>
      <c r="AE74" s="382"/>
      <c r="AF74" s="382"/>
      <c r="AG74" s="382"/>
      <c r="AH74" s="382"/>
      <c r="AI74" s="382"/>
      <c r="AJ74" s="382"/>
      <c r="AK74" s="382"/>
      <c r="AL74" s="382"/>
      <c r="AM74" s="382"/>
    </row>
    <row r="75" spans="2:39" ht="18" customHeight="1">
      <c r="B75" s="2180" t="s">
        <v>1954</v>
      </c>
      <c r="C75" s="1798"/>
      <c r="D75" s="1798"/>
      <c r="E75" s="1798"/>
      <c r="F75" s="1798"/>
      <c r="G75" s="1798"/>
      <c r="H75" s="476"/>
      <c r="I75" s="476"/>
      <c r="J75" s="476"/>
      <c r="K75" s="476"/>
      <c r="L75" s="476"/>
      <c r="M75" s="476"/>
      <c r="N75" s="476"/>
      <c r="O75" s="476"/>
      <c r="P75" s="476"/>
      <c r="Q75" s="476"/>
      <c r="R75" s="476"/>
      <c r="S75" s="476"/>
      <c r="T75" s="476"/>
      <c r="U75" s="476"/>
      <c r="V75" s="476"/>
      <c r="W75" s="476"/>
      <c r="X75" s="476"/>
      <c r="Y75" s="476"/>
      <c r="Z75" s="476"/>
      <c r="AA75" s="476"/>
      <c r="AB75" s="476"/>
      <c r="AC75" s="476"/>
      <c r="AD75" s="476"/>
      <c r="AE75" s="476"/>
      <c r="AF75" s="476"/>
      <c r="AG75" s="476"/>
      <c r="AH75" s="476"/>
      <c r="AI75" s="476"/>
      <c r="AJ75" s="476"/>
      <c r="AK75" s="476"/>
      <c r="AL75" s="476"/>
      <c r="AM75" s="476"/>
    </row>
    <row r="76" spans="2:39" ht="81" customHeight="1">
      <c r="B76" s="2990"/>
      <c r="C76" s="1861"/>
      <c r="D76" s="1861"/>
      <c r="E76" s="1861"/>
      <c r="F76" s="1861"/>
      <c r="G76" s="1861"/>
      <c r="H76" s="1861"/>
      <c r="I76" s="1861"/>
      <c r="J76" s="1861"/>
      <c r="K76" s="1861"/>
      <c r="L76" s="1861"/>
      <c r="M76" s="1861"/>
      <c r="N76" s="1861"/>
      <c r="O76" s="1861"/>
      <c r="P76" s="1861"/>
      <c r="Q76" s="1861"/>
      <c r="R76" s="1861"/>
      <c r="S76" s="1861"/>
      <c r="T76" s="1861"/>
      <c r="U76" s="1861"/>
      <c r="V76" s="1861"/>
      <c r="W76" s="1861"/>
      <c r="X76" s="1861"/>
      <c r="Y76" s="1861"/>
      <c r="Z76" s="1861"/>
      <c r="AA76" s="1861"/>
      <c r="AB76" s="1861"/>
      <c r="AC76" s="1861"/>
      <c r="AD76" s="1861"/>
      <c r="AE76" s="1861"/>
      <c r="AF76" s="1861"/>
      <c r="AG76" s="1861"/>
      <c r="AH76" s="1861"/>
      <c r="AI76" s="1861"/>
      <c r="AJ76" s="1861"/>
      <c r="AK76" s="1861"/>
      <c r="AL76" s="1861"/>
      <c r="AM76" s="1862"/>
    </row>
    <row r="77" spans="2:39" s="58" customFormat="1" ht="18" customHeight="1"/>
    <row r="78" spans="2:39" ht="18" customHeight="1">
      <c r="B78" s="244" t="s">
        <v>611</v>
      </c>
      <c r="C78" s="2180" t="s">
        <v>2028</v>
      </c>
      <c r="D78" s="1798"/>
      <c r="E78" s="1798"/>
      <c r="F78" s="1798"/>
      <c r="G78" s="1798"/>
      <c r="H78" s="1798"/>
      <c r="I78" s="1798"/>
      <c r="J78" s="1798"/>
      <c r="K78" s="1798"/>
      <c r="L78" s="1798"/>
      <c r="M78" s="1798"/>
      <c r="N78" s="1798"/>
      <c r="O78" s="1798"/>
      <c r="P78" s="1798"/>
      <c r="Q78" s="1798"/>
      <c r="R78" s="1798"/>
      <c r="S78" s="1798"/>
      <c r="T78" s="1798"/>
      <c r="U78" s="1798"/>
      <c r="V78" s="1798"/>
      <c r="W78" s="1798"/>
      <c r="X78" s="1798"/>
      <c r="Y78" s="1798"/>
      <c r="Z78" s="1798"/>
      <c r="AA78" s="1798"/>
      <c r="AB78" s="1798"/>
      <c r="AC78" s="1798"/>
      <c r="AD78" s="1798"/>
      <c r="AE78" s="1798"/>
      <c r="AF78" s="1798"/>
      <c r="AG78" s="1798"/>
      <c r="AH78" s="1798"/>
      <c r="AI78" s="1798"/>
      <c r="AJ78" s="1798"/>
      <c r="AK78" s="1798"/>
      <c r="AL78" s="1911"/>
      <c r="AM78" s="1862"/>
    </row>
    <row r="79" spans="2:39" ht="18" customHeight="1">
      <c r="B79" s="244"/>
      <c r="C79" s="2994" t="s">
        <v>2029</v>
      </c>
      <c r="D79" s="1798"/>
      <c r="E79" s="1798"/>
      <c r="F79" s="1798"/>
      <c r="G79" s="1798"/>
      <c r="H79" s="1798"/>
      <c r="I79" s="1798"/>
      <c r="J79" s="1798"/>
      <c r="K79" s="1798"/>
      <c r="L79" s="1798"/>
      <c r="M79" s="1798"/>
      <c r="N79" s="1798"/>
      <c r="O79" s="1798"/>
      <c r="P79" s="1798"/>
      <c r="Q79" s="1798"/>
      <c r="R79" s="1798"/>
      <c r="S79" s="1798"/>
      <c r="T79" s="1798"/>
      <c r="U79" s="1798"/>
      <c r="V79" s="1798"/>
      <c r="W79" s="1798"/>
      <c r="X79" s="1798"/>
      <c r="Y79" s="1798"/>
      <c r="Z79" s="1798"/>
      <c r="AA79" s="1798"/>
      <c r="AB79" s="1798"/>
      <c r="AC79" s="1798"/>
      <c r="AD79" s="1798"/>
      <c r="AE79" s="1798"/>
      <c r="AF79" s="1798"/>
      <c r="AG79" s="1798"/>
      <c r="AH79" s="1798"/>
      <c r="AI79" s="1798"/>
      <c r="AJ79" s="1798"/>
      <c r="AK79" s="1798"/>
      <c r="AL79" s="476"/>
      <c r="AM79" s="476"/>
    </row>
    <row r="80" spans="2:39" ht="18" customHeight="1">
      <c r="C80" s="264" t="s">
        <v>608</v>
      </c>
      <c r="D80" s="2993" t="str">
        <f>IF(AND(IsVhhp,'Project Overview'!$J$257&gt;0),"P","O")</f>
        <v>O</v>
      </c>
      <c r="E80" s="1798"/>
      <c r="F80" s="382"/>
      <c r="G80" s="382"/>
      <c r="H80" s="382"/>
      <c r="I80" s="382"/>
      <c r="J80" s="382"/>
      <c r="K80" s="382"/>
      <c r="L80" s="382"/>
      <c r="M80" s="382"/>
      <c r="N80" s="382"/>
      <c r="O80" s="382"/>
      <c r="P80" s="382"/>
      <c r="Q80" s="382"/>
      <c r="R80" s="382"/>
      <c r="S80" s="382"/>
      <c r="T80" s="382"/>
      <c r="U80" s="382"/>
      <c r="V80" s="382"/>
      <c r="W80" s="382"/>
      <c r="X80" s="382"/>
      <c r="Y80" s="382"/>
      <c r="Z80" s="382"/>
      <c r="AA80" s="382"/>
      <c r="AB80" s="382"/>
      <c r="AC80" s="382"/>
      <c r="AD80" s="382"/>
      <c r="AE80" s="382"/>
      <c r="AF80" s="382"/>
      <c r="AG80" s="382"/>
      <c r="AH80" s="382"/>
      <c r="AI80" s="382"/>
      <c r="AJ80" s="382"/>
      <c r="AK80" s="382"/>
    </row>
    <row r="81" spans="3:45" ht="18" customHeight="1">
      <c r="C81" s="264" t="s">
        <v>611</v>
      </c>
      <c r="D81" s="2993" t="str">
        <f>IF(AND(IsVhhp,'Project Overview'!$AL$271="Yes"),"P","O")</f>
        <v>O</v>
      </c>
      <c r="E81" s="1798"/>
    </row>
    <row r="82" spans="3:45" ht="18" customHeight="1">
      <c r="C82" s="264" t="s">
        <v>619</v>
      </c>
      <c r="D82" s="2993" t="str">
        <f>IF(AND(IsVhhp,'Project Overview'!$AL$272="Yes"),"P","O")</f>
        <v>O</v>
      </c>
      <c r="E82" s="1798"/>
    </row>
    <row r="83" spans="3:45" ht="18" customHeight="1">
      <c r="C83" s="264" t="s">
        <v>623</v>
      </c>
      <c r="D83" s="2993" t="str">
        <f>IF(AND(IsVhhp,'Project Overview'!$AL$258="Yes"),"P","O")</f>
        <v>O</v>
      </c>
      <c r="E83" s="1798"/>
      <c r="F83" s="382"/>
      <c r="G83" s="382"/>
      <c r="H83" s="382"/>
      <c r="I83" s="382"/>
      <c r="J83" s="382"/>
      <c r="K83" s="382"/>
      <c r="L83" s="382"/>
      <c r="M83" s="382"/>
      <c r="N83" s="382"/>
      <c r="O83" s="382"/>
      <c r="P83" s="382"/>
      <c r="Q83" s="382"/>
      <c r="R83" s="382"/>
      <c r="S83" s="382"/>
      <c r="T83" s="382"/>
      <c r="U83" s="382"/>
      <c r="V83" s="382"/>
      <c r="W83" s="382"/>
      <c r="X83" s="382"/>
      <c r="Y83" s="382"/>
      <c r="Z83" s="382"/>
      <c r="AA83" s="382"/>
      <c r="AB83" s="382"/>
      <c r="AC83" s="382"/>
      <c r="AD83" s="382"/>
      <c r="AE83" s="382"/>
      <c r="AF83" s="382"/>
      <c r="AG83" s="382"/>
      <c r="AH83" s="382"/>
      <c r="AI83" s="382"/>
      <c r="AJ83" s="382"/>
      <c r="AK83" s="382"/>
    </row>
    <row r="84" spans="3:45" s="58" customFormat="1" ht="18" customHeight="1">
      <c r="D84" s="267" t="s">
        <v>613</v>
      </c>
      <c r="E84" s="2180" t="s">
        <v>2030</v>
      </c>
      <c r="F84" s="1945"/>
      <c r="G84" s="1945"/>
      <c r="H84" s="1945"/>
      <c r="I84" s="1945"/>
      <c r="J84" s="1945"/>
      <c r="K84" s="1945"/>
      <c r="L84" s="1945"/>
      <c r="M84" s="1945"/>
      <c r="N84" s="1945"/>
      <c r="O84" s="1945"/>
      <c r="P84" s="1945"/>
      <c r="Q84" s="1945"/>
      <c r="R84" s="1945"/>
      <c r="S84" s="1945"/>
      <c r="T84" s="1945"/>
      <c r="U84" s="1945"/>
      <c r="V84" s="1945"/>
      <c r="W84" s="1945"/>
      <c r="X84" s="1945"/>
      <c r="Y84" s="1945"/>
      <c r="Z84" s="1945"/>
      <c r="AA84" s="1945"/>
      <c r="AB84" s="1945"/>
      <c r="AC84" s="1945"/>
      <c r="AD84" s="1945"/>
      <c r="AE84" s="1945"/>
      <c r="AF84" s="1945"/>
      <c r="AG84" s="1945"/>
      <c r="AH84" s="1945"/>
      <c r="AI84" s="1945"/>
      <c r="AJ84" s="1945"/>
      <c r="AK84" s="1945"/>
      <c r="AL84" s="1911"/>
      <c r="AM84" s="1862"/>
    </row>
    <row r="85" spans="3:45" s="58" customFormat="1" ht="18" customHeight="1">
      <c r="E85" s="264" t="s">
        <v>1989</v>
      </c>
      <c r="F85" s="2180" t="s">
        <v>2031</v>
      </c>
      <c r="G85" s="1945"/>
      <c r="H85" s="1945"/>
      <c r="I85" s="1945"/>
      <c r="J85" s="1945"/>
      <c r="K85" s="1945"/>
      <c r="L85" s="1945"/>
      <c r="M85" s="1945"/>
      <c r="N85" s="1945"/>
      <c r="O85" s="1945"/>
      <c r="P85" s="1945"/>
      <c r="Q85" s="1945"/>
      <c r="R85" s="1945"/>
      <c r="S85" s="1945"/>
      <c r="T85" s="1945"/>
      <c r="U85" s="1945"/>
      <c r="V85" s="1945"/>
      <c r="W85" s="1945"/>
      <c r="X85" s="1945"/>
      <c r="Y85" s="1945"/>
      <c r="Z85" s="1945"/>
      <c r="AA85" s="1945"/>
      <c r="AB85" s="1945"/>
      <c r="AC85" s="1945"/>
      <c r="AD85" s="1945"/>
      <c r="AE85" s="1945"/>
      <c r="AF85" s="1945"/>
      <c r="AG85" s="1945"/>
      <c r="AH85" s="1945"/>
      <c r="AI85" s="1945"/>
      <c r="AJ85" s="1945"/>
      <c r="AK85" s="1945"/>
    </row>
    <row r="86" spans="3:45" s="58" customFormat="1" ht="54" customHeight="1">
      <c r="E86" s="264" t="s">
        <v>1990</v>
      </c>
      <c r="F86" s="1802" t="s">
        <v>2032</v>
      </c>
      <c r="G86" s="1945"/>
      <c r="H86" s="1945"/>
      <c r="I86" s="1945"/>
      <c r="J86" s="1945"/>
      <c r="K86" s="1945"/>
      <c r="L86" s="1945"/>
      <c r="M86" s="1945"/>
      <c r="N86" s="1945"/>
      <c r="O86" s="1945"/>
      <c r="P86" s="1945"/>
      <c r="Q86" s="1945"/>
      <c r="R86" s="1945"/>
      <c r="S86" s="1945"/>
      <c r="T86" s="1945"/>
      <c r="U86" s="1945"/>
      <c r="V86" s="1945"/>
      <c r="W86" s="1945"/>
      <c r="X86" s="1945"/>
      <c r="Y86" s="1945"/>
      <c r="Z86" s="1945"/>
      <c r="AA86" s="1945"/>
      <c r="AB86" s="1945"/>
      <c r="AC86" s="1945"/>
      <c r="AD86" s="1945"/>
      <c r="AE86" s="1945"/>
      <c r="AF86" s="1945"/>
      <c r="AG86" s="1945"/>
      <c r="AH86" s="1945"/>
      <c r="AI86" s="1945"/>
      <c r="AJ86" s="1945"/>
      <c r="AK86" s="1945"/>
    </row>
    <row r="87" spans="3:45" ht="54.75" customHeight="1">
      <c r="D87" s="267" t="s">
        <v>615</v>
      </c>
      <c r="E87" s="1802" t="s">
        <v>2033</v>
      </c>
      <c r="F87" s="1798"/>
      <c r="G87" s="1798"/>
      <c r="H87" s="1798"/>
      <c r="I87" s="1798"/>
      <c r="J87" s="1798"/>
      <c r="K87" s="1798"/>
      <c r="L87" s="1798"/>
      <c r="M87" s="1798"/>
      <c r="N87" s="1798"/>
      <c r="O87" s="1798"/>
      <c r="P87" s="1798"/>
      <c r="Q87" s="1798"/>
      <c r="R87" s="1798"/>
      <c r="S87" s="1798"/>
      <c r="T87" s="1798"/>
      <c r="U87" s="1798"/>
      <c r="V87" s="1798"/>
      <c r="W87" s="1798"/>
      <c r="X87" s="1798"/>
      <c r="Y87" s="1798"/>
      <c r="Z87" s="1798"/>
      <c r="AA87" s="1798"/>
      <c r="AB87" s="1798"/>
      <c r="AC87" s="1798"/>
      <c r="AD87" s="1798"/>
      <c r="AE87" s="1798"/>
      <c r="AF87" s="1798"/>
      <c r="AG87" s="1798"/>
      <c r="AH87" s="1798"/>
      <c r="AI87" s="1798"/>
      <c r="AJ87" s="1798"/>
      <c r="AK87" s="1798"/>
      <c r="AL87" s="382"/>
      <c r="AM87" s="382"/>
    </row>
    <row r="88" spans="3:45" s="58" customFormat="1" ht="18" customHeight="1">
      <c r="E88" s="2180" t="s">
        <v>2034</v>
      </c>
      <c r="F88" s="1945"/>
      <c r="G88" s="1945"/>
      <c r="H88" s="1945"/>
      <c r="I88" s="1945"/>
      <c r="J88" s="1945"/>
      <c r="K88" s="1945"/>
      <c r="L88" s="1945"/>
      <c r="M88" s="1945"/>
      <c r="N88" s="1945"/>
      <c r="O88" s="1945"/>
      <c r="P88" s="1945"/>
      <c r="Q88" s="1945"/>
      <c r="R88" s="1945"/>
      <c r="S88" s="1945"/>
      <c r="T88" s="1945"/>
      <c r="U88" s="1945"/>
      <c r="V88" s="1945"/>
      <c r="W88" s="1945"/>
      <c r="X88" s="1945"/>
      <c r="Y88" s="1945"/>
      <c r="Z88" s="1945"/>
      <c r="AA88" s="1945"/>
      <c r="AB88" s="1945"/>
      <c r="AC88" s="1945"/>
      <c r="AD88" s="1945"/>
      <c r="AE88" s="1945"/>
      <c r="AF88" s="1945"/>
      <c r="AG88" s="1945"/>
      <c r="AH88" s="1945"/>
      <c r="AI88" s="1945"/>
      <c r="AJ88" s="1945"/>
      <c r="AK88" s="1945"/>
      <c r="AL88" s="1973" t="b">
        <f>IFERROR(IF(SUM('Unit Mix'!$X$7,'Unit Mix'!$X$8)/'Unit Mix'!$K$8&gt;35%,TRUE,FALSE),FALSE)</f>
        <v>0</v>
      </c>
      <c r="AM88" s="1778"/>
    </row>
    <row r="89" spans="3:45" s="58" customFormat="1" ht="18" customHeight="1">
      <c r="E89" s="2180" t="s">
        <v>2035</v>
      </c>
      <c r="F89" s="1945"/>
      <c r="G89" s="1945"/>
      <c r="H89" s="1945"/>
      <c r="I89" s="1945"/>
      <c r="J89" s="1945"/>
      <c r="K89" s="1945"/>
      <c r="L89" s="1945"/>
      <c r="M89" s="1945"/>
      <c r="N89" s="1945"/>
      <c r="O89" s="1945"/>
      <c r="P89" s="1945"/>
      <c r="Q89" s="1945"/>
      <c r="R89" s="1945"/>
      <c r="S89" s="1945"/>
      <c r="T89" s="1945"/>
      <c r="U89" s="1945"/>
      <c r="V89" s="1945"/>
      <c r="W89" s="1945"/>
      <c r="X89" s="1945"/>
      <c r="Y89" s="1945"/>
      <c r="Z89" s="1945"/>
      <c r="AA89" s="1945"/>
      <c r="AB89" s="1945"/>
      <c r="AC89" s="1945"/>
      <c r="AD89" s="1945"/>
      <c r="AE89" s="1945"/>
      <c r="AF89" s="1945"/>
      <c r="AG89" s="1945"/>
      <c r="AH89" s="1945"/>
      <c r="AI89" s="1945"/>
      <c r="AJ89" s="1945"/>
      <c r="AK89" s="1945"/>
    </row>
    <row r="90" spans="3:45" s="58" customFormat="1" ht="18" customHeight="1">
      <c r="E90" s="2180" t="s">
        <v>2036</v>
      </c>
      <c r="F90" s="1945"/>
      <c r="G90" s="1945"/>
      <c r="H90" s="1945"/>
      <c r="I90" s="1945"/>
      <c r="J90" s="1945"/>
      <c r="K90" s="2764"/>
      <c r="L90" s="1861"/>
      <c r="M90" s="1861"/>
      <c r="N90" s="1861"/>
      <c r="O90" s="1861"/>
      <c r="P90" s="1861"/>
      <c r="Q90" s="1861"/>
      <c r="R90" s="1861"/>
      <c r="S90" s="1861"/>
      <c r="T90" s="1861"/>
      <c r="U90" s="1861"/>
      <c r="V90" s="1861"/>
      <c r="W90" s="1861"/>
      <c r="X90" s="1861"/>
      <c r="Y90" s="1861"/>
      <c r="Z90" s="1861"/>
      <c r="AA90" s="1861"/>
      <c r="AB90" s="1861"/>
      <c r="AC90" s="1861"/>
      <c r="AD90" s="1861"/>
      <c r="AE90" s="1861"/>
      <c r="AF90" s="1861"/>
      <c r="AG90" s="1861"/>
      <c r="AH90" s="1861"/>
      <c r="AI90" s="1861"/>
      <c r="AJ90" s="1861"/>
      <c r="AK90" s="1862"/>
    </row>
    <row r="91" spans="3:45" s="58" customFormat="1" ht="18" customHeight="1">
      <c r="E91" s="1973" t="s">
        <v>2037</v>
      </c>
      <c r="F91" s="1777"/>
      <c r="G91" s="1777"/>
      <c r="H91" s="1777"/>
      <c r="I91" s="1777"/>
      <c r="J91" s="1777"/>
      <c r="K91" s="1777"/>
      <c r="L91" s="1777"/>
      <c r="M91" s="1777"/>
      <c r="N91" s="1777"/>
      <c r="O91" s="1777"/>
      <c r="P91" s="1777"/>
      <c r="Q91" s="1777"/>
      <c r="R91" s="1777"/>
      <c r="S91" s="1778"/>
      <c r="T91" s="1973" t="s">
        <v>598</v>
      </c>
      <c r="U91" s="1777"/>
      <c r="V91" s="1777"/>
      <c r="W91" s="1777"/>
      <c r="X91" s="1777"/>
      <c r="Y91" s="1778"/>
      <c r="Z91" s="1973" t="s">
        <v>2038</v>
      </c>
      <c r="AA91" s="1777"/>
      <c r="AB91" s="1777"/>
      <c r="AC91" s="1777"/>
      <c r="AD91" s="1777"/>
      <c r="AE91" s="1777"/>
      <c r="AF91" s="1777"/>
      <c r="AG91" s="1777"/>
      <c r="AH91" s="1777"/>
      <c r="AI91" s="1777"/>
      <c r="AJ91" s="1777"/>
      <c r="AK91" s="1778"/>
    </row>
    <row r="92" spans="3:45" s="58" customFormat="1" ht="36" customHeight="1">
      <c r="E92" s="2764"/>
      <c r="F92" s="1861"/>
      <c r="G92" s="1861"/>
      <c r="H92" s="1861"/>
      <c r="I92" s="1861"/>
      <c r="J92" s="1861"/>
      <c r="K92" s="1861"/>
      <c r="L92" s="1861"/>
      <c r="M92" s="1861"/>
      <c r="N92" s="1861"/>
      <c r="O92" s="1861"/>
      <c r="P92" s="1861"/>
      <c r="Q92" s="1861"/>
      <c r="R92" s="1861"/>
      <c r="S92" s="1862"/>
      <c r="T92" s="1873"/>
      <c r="U92" s="1861"/>
      <c r="V92" s="1861"/>
      <c r="W92" s="1861"/>
      <c r="X92" s="1861"/>
      <c r="Y92" s="1862"/>
      <c r="Z92" s="2764"/>
      <c r="AA92" s="1861"/>
      <c r="AB92" s="1861"/>
      <c r="AC92" s="1861"/>
      <c r="AD92" s="1861"/>
      <c r="AE92" s="1861"/>
      <c r="AF92" s="1861"/>
      <c r="AG92" s="1861"/>
      <c r="AH92" s="1861"/>
      <c r="AI92" s="1861"/>
      <c r="AJ92" s="1861"/>
      <c r="AK92" s="1862"/>
    </row>
    <row r="93" spans="3:45" s="58" customFormat="1" ht="36" customHeight="1">
      <c r="E93" s="2764"/>
      <c r="F93" s="1861"/>
      <c r="G93" s="1861"/>
      <c r="H93" s="1861"/>
      <c r="I93" s="1861"/>
      <c r="J93" s="1861"/>
      <c r="K93" s="1861"/>
      <c r="L93" s="1861"/>
      <c r="M93" s="1861"/>
      <c r="N93" s="1861"/>
      <c r="O93" s="1861"/>
      <c r="P93" s="1861"/>
      <c r="Q93" s="1861"/>
      <c r="R93" s="1861"/>
      <c r="S93" s="1862"/>
      <c r="T93" s="1873"/>
      <c r="U93" s="1861"/>
      <c r="V93" s="1861"/>
      <c r="W93" s="1861"/>
      <c r="X93" s="1861"/>
      <c r="Y93" s="1862"/>
      <c r="Z93" s="2764"/>
      <c r="AA93" s="1861"/>
      <c r="AB93" s="1861"/>
      <c r="AC93" s="1861"/>
      <c r="AD93" s="1861"/>
      <c r="AE93" s="1861"/>
      <c r="AF93" s="1861"/>
      <c r="AG93" s="1861"/>
      <c r="AH93" s="1861"/>
      <c r="AI93" s="1861"/>
      <c r="AJ93" s="1861"/>
      <c r="AK93" s="1862"/>
    </row>
    <row r="94" spans="3:45" s="58" customFormat="1" ht="63" customHeight="1">
      <c r="D94" s="267" t="s">
        <v>617</v>
      </c>
      <c r="E94" s="1802" t="s">
        <v>2039</v>
      </c>
      <c r="F94" s="1945"/>
      <c r="G94" s="1945"/>
      <c r="H94" s="1945"/>
      <c r="I94" s="1945"/>
      <c r="J94" s="1945"/>
      <c r="K94" s="1945"/>
      <c r="L94" s="1945"/>
      <c r="M94" s="1945"/>
      <c r="N94" s="1945"/>
      <c r="O94" s="1945"/>
      <c r="P94" s="1945"/>
      <c r="Q94" s="1945"/>
      <c r="R94" s="1945"/>
      <c r="S94" s="1945"/>
      <c r="T94" s="1945"/>
      <c r="U94" s="1945"/>
      <c r="V94" s="1945"/>
      <c r="W94" s="1945"/>
      <c r="X94" s="1945"/>
      <c r="Y94" s="1945"/>
      <c r="Z94" s="1945"/>
      <c r="AA94" s="1945"/>
      <c r="AB94" s="1945"/>
      <c r="AC94" s="1945"/>
      <c r="AD94" s="1945"/>
      <c r="AE94" s="1945"/>
      <c r="AF94" s="1945"/>
      <c r="AG94" s="1945"/>
      <c r="AH94" s="1945"/>
      <c r="AI94" s="1945"/>
      <c r="AJ94" s="1945"/>
      <c r="AK94" s="1945"/>
      <c r="AO94" s="15"/>
      <c r="AS94" s="15"/>
    </row>
    <row r="95" spans="3:45" s="58" customFormat="1" ht="18" customHeight="1">
      <c r="D95" s="267"/>
      <c r="E95" s="2180" t="s">
        <v>2034</v>
      </c>
      <c r="F95" s="1945"/>
      <c r="G95" s="1945"/>
      <c r="H95" s="1945"/>
      <c r="I95" s="1945"/>
      <c r="J95" s="1945"/>
      <c r="K95" s="1945"/>
      <c r="L95" s="1945"/>
      <c r="M95" s="1945"/>
      <c r="N95" s="1945"/>
      <c r="O95" s="1945"/>
      <c r="P95" s="1945"/>
      <c r="Q95" s="1945"/>
      <c r="R95" s="1945"/>
      <c r="S95" s="1945"/>
      <c r="T95" s="1945"/>
      <c r="U95" s="1945"/>
      <c r="V95" s="1945"/>
      <c r="W95" s="1945"/>
      <c r="X95" s="1945"/>
      <c r="Y95" s="1945"/>
      <c r="Z95" s="1945"/>
      <c r="AA95" s="1945"/>
      <c r="AB95" s="1945"/>
      <c r="AC95" s="1945"/>
      <c r="AD95" s="1945"/>
      <c r="AE95" s="1945"/>
      <c r="AF95" s="1945"/>
      <c r="AG95" s="1945"/>
      <c r="AH95" s="1945"/>
      <c r="AI95" s="1945"/>
      <c r="AJ95" s="1945"/>
      <c r="AK95" s="1945"/>
      <c r="AL95" s="1973" t="b">
        <f>IFERROR(IF(SUM('Unit Mix'!$X$7,'Unit Mix'!$X$8)/'Unit Mix'!$K$8&gt;35%,TRUE,FALSE),FALSE)</f>
        <v>0</v>
      </c>
      <c r="AM95" s="1778"/>
      <c r="AO95" s="15"/>
      <c r="AS95" s="15"/>
    </row>
    <row r="96" spans="3:45" s="58" customFormat="1" ht="18" customHeight="1">
      <c r="D96" s="267"/>
      <c r="E96" s="2180" t="s">
        <v>2040</v>
      </c>
      <c r="F96" s="1945"/>
      <c r="G96" s="1945"/>
      <c r="H96" s="1945"/>
      <c r="I96" s="1945"/>
      <c r="J96" s="1945"/>
      <c r="K96" s="1945"/>
      <c r="L96" s="1945"/>
      <c r="M96" s="1945"/>
      <c r="N96" s="1945"/>
      <c r="O96" s="1945"/>
      <c r="P96" s="1945"/>
      <c r="Q96" s="1945"/>
      <c r="R96" s="1945"/>
      <c r="S96" s="1945"/>
      <c r="T96" s="1945"/>
      <c r="U96" s="1945"/>
      <c r="V96" s="1945"/>
      <c r="W96" s="1945"/>
      <c r="X96" s="1945"/>
      <c r="Y96" s="1945"/>
      <c r="Z96" s="1945"/>
      <c r="AA96" s="1945"/>
      <c r="AB96" s="1945"/>
      <c r="AC96" s="1945"/>
      <c r="AD96" s="1945"/>
      <c r="AE96" s="1945"/>
      <c r="AF96" s="1945"/>
      <c r="AG96" s="1945"/>
      <c r="AH96" s="1945"/>
      <c r="AI96" s="1945"/>
      <c r="AJ96" s="1945"/>
      <c r="AK96" s="1945"/>
      <c r="AL96" s="426"/>
      <c r="AM96" s="426"/>
      <c r="AO96" s="15"/>
      <c r="AS96" s="15"/>
    </row>
    <row r="97" spans="3:45" s="58" customFormat="1" ht="18" customHeight="1">
      <c r="D97" s="267"/>
      <c r="E97" s="2180" t="s">
        <v>2041</v>
      </c>
      <c r="F97" s="1945"/>
      <c r="G97" s="1945"/>
      <c r="H97" s="1945"/>
      <c r="I97" s="1945"/>
      <c r="J97" s="1945"/>
      <c r="K97" s="2764"/>
      <c r="L97" s="1861"/>
      <c r="M97" s="1861"/>
      <c r="N97" s="1861"/>
      <c r="O97" s="1861"/>
      <c r="P97" s="1861"/>
      <c r="Q97" s="1861"/>
      <c r="R97" s="1861"/>
      <c r="S97" s="1861"/>
      <c r="T97" s="1861"/>
      <c r="U97" s="1861"/>
      <c r="V97" s="1861"/>
      <c r="W97" s="1861"/>
      <c r="X97" s="1861"/>
      <c r="Y97" s="1861"/>
      <c r="Z97" s="1861"/>
      <c r="AA97" s="1861"/>
      <c r="AB97" s="1861"/>
      <c r="AC97" s="1861"/>
      <c r="AD97" s="1861"/>
      <c r="AE97" s="1861"/>
      <c r="AF97" s="1861"/>
      <c r="AG97" s="1861"/>
      <c r="AH97" s="1861"/>
      <c r="AI97" s="1861"/>
      <c r="AJ97" s="1861"/>
      <c r="AK97" s="1862"/>
      <c r="AL97" s="426"/>
      <c r="AM97" s="426"/>
      <c r="AO97" s="15"/>
      <c r="AS97" s="15"/>
    </row>
    <row r="98" spans="3:45" s="58" customFormat="1" ht="18" customHeight="1">
      <c r="D98" s="267"/>
      <c r="E98" s="1973" t="s">
        <v>2037</v>
      </c>
      <c r="F98" s="1777"/>
      <c r="G98" s="1777"/>
      <c r="H98" s="1777"/>
      <c r="I98" s="1777"/>
      <c r="J98" s="1777"/>
      <c r="K98" s="1777"/>
      <c r="L98" s="1777"/>
      <c r="M98" s="1777"/>
      <c r="N98" s="1777"/>
      <c r="O98" s="1777"/>
      <c r="P98" s="1777"/>
      <c r="Q98" s="1777"/>
      <c r="R98" s="1777"/>
      <c r="S98" s="1778"/>
      <c r="T98" s="1973" t="s">
        <v>598</v>
      </c>
      <c r="U98" s="1777"/>
      <c r="V98" s="1777"/>
      <c r="W98" s="1777"/>
      <c r="X98" s="1777"/>
      <c r="Y98" s="1778"/>
      <c r="Z98" s="1973" t="s">
        <v>2038</v>
      </c>
      <c r="AA98" s="1777"/>
      <c r="AB98" s="1777"/>
      <c r="AC98" s="1777"/>
      <c r="AD98" s="1777"/>
      <c r="AE98" s="1777"/>
      <c r="AF98" s="1777"/>
      <c r="AG98" s="1777"/>
      <c r="AH98" s="1777"/>
      <c r="AI98" s="1777"/>
      <c r="AJ98" s="1777"/>
      <c r="AK98" s="1778"/>
      <c r="AL98" s="426"/>
      <c r="AM98" s="426"/>
      <c r="AO98" s="15"/>
      <c r="AS98" s="15"/>
    </row>
    <row r="99" spans="3:45" s="58" customFormat="1" ht="35.25" customHeight="1">
      <c r="D99" s="267"/>
      <c r="E99" s="2764"/>
      <c r="F99" s="1861"/>
      <c r="G99" s="1861"/>
      <c r="H99" s="1861"/>
      <c r="I99" s="1861"/>
      <c r="J99" s="1861"/>
      <c r="K99" s="1861"/>
      <c r="L99" s="1861"/>
      <c r="M99" s="1861"/>
      <c r="N99" s="1861"/>
      <c r="O99" s="1861"/>
      <c r="P99" s="1861"/>
      <c r="Q99" s="1861"/>
      <c r="R99" s="1861"/>
      <c r="S99" s="1862"/>
      <c r="T99" s="1873"/>
      <c r="U99" s="1861"/>
      <c r="V99" s="1861"/>
      <c r="W99" s="1861"/>
      <c r="X99" s="1861"/>
      <c r="Y99" s="1862"/>
      <c r="Z99" s="2764"/>
      <c r="AA99" s="1861"/>
      <c r="AB99" s="1861"/>
      <c r="AC99" s="1861"/>
      <c r="AD99" s="1861"/>
      <c r="AE99" s="1861"/>
      <c r="AF99" s="1861"/>
      <c r="AG99" s="1861"/>
      <c r="AH99" s="1861"/>
      <c r="AI99" s="1861"/>
      <c r="AJ99" s="1861"/>
      <c r="AK99" s="1862"/>
      <c r="AL99" s="426"/>
      <c r="AM99" s="426"/>
      <c r="AO99" s="15"/>
      <c r="AS99" s="15"/>
    </row>
    <row r="100" spans="3:45" s="58" customFormat="1" ht="35.25" customHeight="1">
      <c r="D100" s="267"/>
      <c r="E100" s="2764"/>
      <c r="F100" s="1861"/>
      <c r="G100" s="1861"/>
      <c r="H100" s="1861"/>
      <c r="I100" s="1861"/>
      <c r="J100" s="1861"/>
      <c r="K100" s="1861"/>
      <c r="L100" s="1861"/>
      <c r="M100" s="1861"/>
      <c r="N100" s="1861"/>
      <c r="O100" s="1861"/>
      <c r="P100" s="1861"/>
      <c r="Q100" s="1861"/>
      <c r="R100" s="1861"/>
      <c r="S100" s="1862"/>
      <c r="T100" s="1873"/>
      <c r="U100" s="1861"/>
      <c r="V100" s="1861"/>
      <c r="W100" s="1861"/>
      <c r="X100" s="1861"/>
      <c r="Y100" s="1862"/>
      <c r="Z100" s="2764"/>
      <c r="AA100" s="1861"/>
      <c r="AB100" s="1861"/>
      <c r="AC100" s="1861"/>
      <c r="AD100" s="1861"/>
      <c r="AE100" s="1861"/>
      <c r="AF100" s="1861"/>
      <c r="AG100" s="1861"/>
      <c r="AH100" s="1861"/>
      <c r="AI100" s="1861"/>
      <c r="AJ100" s="1861"/>
      <c r="AK100" s="1862"/>
      <c r="AL100" s="426"/>
      <c r="AM100" s="426"/>
      <c r="AO100" s="15"/>
      <c r="AS100" s="15"/>
    </row>
    <row r="101" spans="3:45" ht="18" customHeight="1">
      <c r="C101" s="267" t="s">
        <v>627</v>
      </c>
      <c r="D101" s="2180" t="str">
        <f>IF(vmED2="","N/A",IF(IsVhhp,IF(vmED2="No",CONCATENATE(vmED2,", ","Emerging Developer is NOT the Sponsor"),CONCATENATE(vmED2,", ","Emerging Developer is the Sponsor"))))</f>
        <v>N/A</v>
      </c>
      <c r="E101" s="1798"/>
      <c r="F101" s="1798"/>
      <c r="G101" s="1798"/>
      <c r="H101" s="1798"/>
      <c r="I101" s="1798"/>
      <c r="J101" s="1798"/>
      <c r="K101" s="1798"/>
      <c r="L101" s="1798"/>
      <c r="M101" s="1798"/>
      <c r="N101" s="1798"/>
      <c r="O101" s="1798"/>
      <c r="P101" s="1798"/>
      <c r="Q101" s="1798"/>
      <c r="R101" s="1798"/>
      <c r="S101" s="1798"/>
      <c r="T101" s="1798"/>
      <c r="U101" s="1798"/>
      <c r="V101" s="1798"/>
      <c r="W101" s="1798"/>
      <c r="X101" s="1798"/>
      <c r="Y101" s="1798"/>
      <c r="Z101" s="1798"/>
      <c r="AA101" s="1798"/>
      <c r="AB101" s="1798"/>
      <c r="AC101" s="1798"/>
      <c r="AD101" s="1798"/>
      <c r="AE101" s="1798"/>
      <c r="AF101" s="1798"/>
      <c r="AG101" s="1798"/>
      <c r="AH101" s="1798"/>
      <c r="AI101" s="1798"/>
      <c r="AJ101" s="1798"/>
      <c r="AK101" s="1798"/>
      <c r="AL101" s="58"/>
      <c r="AM101" s="58"/>
    </row>
    <row r="102" spans="3:45" ht="18" customHeight="1">
      <c r="C102" s="267" t="s">
        <v>629</v>
      </c>
      <c r="D102" s="2180" t="str">
        <f>IF(vmCBD2="","N/A",IF(IsVhhp,IF(vmCBD2="No",CONCATENATE(vmCBD2,", ","Community-Based Developer is NOT the Sponsor"),CONCATENATE(vmCBD2,", ","Emerging Developer is the Sponsor"))))</f>
        <v>N/A</v>
      </c>
      <c r="E102" s="1798"/>
      <c r="F102" s="1798"/>
      <c r="G102" s="1798"/>
      <c r="H102" s="1798"/>
      <c r="I102" s="1798"/>
      <c r="J102" s="1798"/>
      <c r="K102" s="1798"/>
      <c r="L102" s="1798"/>
      <c r="M102" s="1798"/>
      <c r="N102" s="1798"/>
      <c r="O102" s="1798"/>
      <c r="P102" s="1798"/>
      <c r="Q102" s="1798"/>
      <c r="R102" s="1798"/>
      <c r="S102" s="1798"/>
      <c r="T102" s="1798"/>
      <c r="U102" s="1798"/>
      <c r="V102" s="1798"/>
      <c r="W102" s="1798"/>
      <c r="X102" s="1798"/>
      <c r="Y102" s="1798"/>
      <c r="Z102" s="1798"/>
      <c r="AA102" s="1798"/>
      <c r="AB102" s="1798"/>
      <c r="AC102" s="1798"/>
      <c r="AD102" s="1798"/>
      <c r="AE102" s="1798"/>
      <c r="AF102" s="1798"/>
      <c r="AG102" s="1798"/>
      <c r="AH102" s="1798"/>
      <c r="AI102" s="1798"/>
      <c r="AJ102" s="1798"/>
      <c r="AK102" s="1798"/>
      <c r="AL102" s="58"/>
      <c r="AM102" s="58"/>
    </row>
    <row r="103" spans="3:45" ht="18" customHeight="1">
      <c r="C103" s="267" t="s">
        <v>1974</v>
      </c>
      <c r="D103" s="2180" t="str">
        <f>IF(OR(vmTribalEntity="Yes",vmED2="No",vmCBD2="No"),"Sponsor is contracting with an entity to meet the experience requirements.","N/A")</f>
        <v>N/A</v>
      </c>
      <c r="E103" s="1798"/>
      <c r="F103" s="1798"/>
      <c r="G103" s="1798"/>
      <c r="H103" s="1798"/>
      <c r="I103" s="1798"/>
      <c r="J103" s="1798"/>
      <c r="K103" s="1798"/>
      <c r="L103" s="1798"/>
      <c r="M103" s="1798"/>
      <c r="N103" s="1798"/>
      <c r="O103" s="1798"/>
      <c r="P103" s="1798"/>
      <c r="Q103" s="1798"/>
      <c r="R103" s="1798"/>
      <c r="S103" s="1798"/>
      <c r="T103" s="1798"/>
      <c r="U103" s="1798"/>
      <c r="V103" s="1798"/>
      <c r="W103" s="1798"/>
      <c r="X103" s="1798"/>
      <c r="Y103" s="1798"/>
      <c r="Z103" s="1798"/>
      <c r="AA103" s="1798"/>
      <c r="AB103" s="1798"/>
      <c r="AC103" s="1798"/>
      <c r="AD103" s="1798"/>
      <c r="AE103" s="1798"/>
      <c r="AF103" s="1798"/>
      <c r="AG103" s="1798"/>
      <c r="AH103" s="1798"/>
      <c r="AI103" s="1798"/>
      <c r="AJ103" s="1798"/>
      <c r="AK103" s="1798"/>
      <c r="AL103" s="58"/>
      <c r="AM103" s="58"/>
    </row>
    <row r="104" spans="3:45" s="58" customFormat="1" ht="36" customHeight="1">
      <c r="D104" s="2080" t="s">
        <v>2042</v>
      </c>
      <c r="E104" s="1945"/>
      <c r="F104" s="1945"/>
      <c r="G104" s="1945"/>
      <c r="H104" s="1945"/>
      <c r="I104" s="1945"/>
      <c r="J104" s="1945"/>
      <c r="K104" s="1945"/>
      <c r="L104" s="1945"/>
      <c r="M104" s="1945"/>
      <c r="N104" s="1945"/>
      <c r="O104" s="1945"/>
      <c r="P104" s="1945"/>
      <c r="Q104" s="1945"/>
      <c r="R104" s="1945"/>
      <c r="S104" s="1945"/>
      <c r="T104" s="1945"/>
      <c r="U104" s="1945"/>
      <c r="V104" s="1945"/>
      <c r="W104" s="1945"/>
      <c r="X104" s="1945"/>
      <c r="Y104" s="1945"/>
      <c r="Z104" s="1945"/>
      <c r="AA104" s="1945"/>
      <c r="AB104" s="1945"/>
      <c r="AC104" s="1945"/>
      <c r="AD104" s="1945"/>
      <c r="AE104" s="1945"/>
      <c r="AF104" s="1945"/>
      <c r="AG104" s="1945"/>
      <c r="AH104" s="1945"/>
      <c r="AI104" s="1945"/>
      <c r="AJ104" s="1945"/>
      <c r="AK104" s="1945"/>
      <c r="AL104" s="1911"/>
      <c r="AM104" s="1862"/>
    </row>
    <row r="105" spans="3:45" s="58" customFormat="1" ht="18" customHeight="1">
      <c r="D105" s="267" t="s">
        <v>613</v>
      </c>
      <c r="E105" s="2080" t="s">
        <v>2031</v>
      </c>
      <c r="F105" s="1945"/>
      <c r="G105" s="1945"/>
      <c r="H105" s="1945"/>
      <c r="I105" s="1945"/>
      <c r="J105" s="1945"/>
      <c r="K105" s="1945"/>
      <c r="L105" s="1945"/>
      <c r="M105" s="1945"/>
      <c r="N105" s="1945"/>
      <c r="O105" s="1945"/>
      <c r="P105" s="1945"/>
      <c r="Q105" s="1945"/>
      <c r="R105" s="1945"/>
      <c r="S105" s="1945"/>
      <c r="T105" s="1945"/>
      <c r="U105" s="1945"/>
      <c r="V105" s="1945"/>
      <c r="W105" s="1945"/>
      <c r="X105" s="1945"/>
      <c r="Y105" s="1945"/>
      <c r="Z105" s="1945"/>
      <c r="AA105" s="1945"/>
      <c r="AB105" s="1945"/>
      <c r="AC105" s="1945"/>
      <c r="AD105" s="1945"/>
      <c r="AE105" s="1945"/>
      <c r="AF105" s="1945"/>
      <c r="AG105" s="1945"/>
      <c r="AH105" s="1945"/>
      <c r="AI105" s="1945"/>
      <c r="AJ105" s="1945"/>
      <c r="AK105" s="1945"/>
    </row>
    <row r="106" spans="3:45" s="58" customFormat="1" ht="54" customHeight="1">
      <c r="D106" s="267" t="s">
        <v>615</v>
      </c>
      <c r="E106" s="2080" t="s">
        <v>2043</v>
      </c>
      <c r="F106" s="1945"/>
      <c r="G106" s="1945"/>
      <c r="H106" s="1945"/>
      <c r="I106" s="1945"/>
      <c r="J106" s="1945"/>
      <c r="K106" s="1945"/>
      <c r="L106" s="1945"/>
      <c r="M106" s="1945"/>
      <c r="N106" s="1945"/>
      <c r="O106" s="1945"/>
      <c r="P106" s="1945"/>
      <c r="Q106" s="1945"/>
      <c r="R106" s="1945"/>
      <c r="S106" s="1945"/>
      <c r="T106" s="1945"/>
      <c r="U106" s="1945"/>
      <c r="V106" s="1945"/>
      <c r="W106" s="1945"/>
      <c r="X106" s="1945"/>
      <c r="Y106" s="1945"/>
      <c r="Z106" s="1945"/>
      <c r="AA106" s="1945"/>
      <c r="AB106" s="1945"/>
      <c r="AC106" s="1945"/>
      <c r="AD106" s="1945"/>
      <c r="AE106" s="1945"/>
      <c r="AF106" s="1945"/>
      <c r="AG106" s="1945"/>
      <c r="AH106" s="1945"/>
      <c r="AI106" s="1945"/>
      <c r="AJ106" s="1945"/>
      <c r="AK106" s="1945"/>
    </row>
    <row r="107" spans="3:45" s="58" customFormat="1" ht="36" customHeight="1">
      <c r="D107" s="267" t="s">
        <v>617</v>
      </c>
      <c r="E107" s="2080" t="s">
        <v>2044</v>
      </c>
      <c r="F107" s="1945"/>
      <c r="G107" s="1945"/>
      <c r="H107" s="1945"/>
      <c r="I107" s="1945"/>
      <c r="J107" s="1945"/>
      <c r="K107" s="1945"/>
      <c r="L107" s="1945"/>
      <c r="M107" s="1945"/>
      <c r="N107" s="1945"/>
      <c r="O107" s="1945"/>
      <c r="P107" s="1945"/>
      <c r="Q107" s="1945"/>
      <c r="R107" s="1945"/>
      <c r="S107" s="1945"/>
      <c r="T107" s="1945"/>
      <c r="U107" s="1945"/>
      <c r="V107" s="1945"/>
      <c r="W107" s="1945"/>
      <c r="X107" s="1945"/>
      <c r="Y107" s="1945"/>
      <c r="Z107" s="1945"/>
      <c r="AA107" s="1945"/>
      <c r="AB107" s="1945"/>
      <c r="AC107" s="1945"/>
      <c r="AD107" s="1945"/>
      <c r="AE107" s="1945"/>
      <c r="AF107" s="1945"/>
      <c r="AG107" s="1945"/>
      <c r="AH107" s="1945"/>
      <c r="AI107" s="1945"/>
      <c r="AJ107" s="1945"/>
      <c r="AK107" s="1945"/>
    </row>
    <row r="108" spans="3:45" s="58" customFormat="1" ht="54" customHeight="1">
      <c r="D108" s="476"/>
      <c r="E108" s="264" t="s">
        <v>1989</v>
      </c>
      <c r="F108" s="2080" t="s">
        <v>2045</v>
      </c>
      <c r="G108" s="1945"/>
      <c r="H108" s="1945"/>
      <c r="I108" s="1945"/>
      <c r="J108" s="1945"/>
      <c r="K108" s="1945"/>
      <c r="L108" s="1945"/>
      <c r="M108" s="1945"/>
      <c r="N108" s="1945"/>
      <c r="O108" s="1945"/>
      <c r="P108" s="1945"/>
      <c r="Q108" s="1945"/>
      <c r="R108" s="1945"/>
      <c r="S108" s="1945"/>
      <c r="T108" s="1945"/>
      <c r="U108" s="1945"/>
      <c r="V108" s="1945"/>
      <c r="W108" s="1945"/>
      <c r="X108" s="1945"/>
      <c r="Y108" s="1945"/>
      <c r="Z108" s="1945"/>
      <c r="AA108" s="1945"/>
      <c r="AB108" s="1945"/>
      <c r="AC108" s="1945"/>
      <c r="AD108" s="1945"/>
      <c r="AE108" s="1945"/>
      <c r="AF108" s="1945"/>
      <c r="AG108" s="1945"/>
      <c r="AH108" s="1945"/>
      <c r="AI108" s="1945"/>
      <c r="AJ108" s="1945"/>
      <c r="AK108" s="1945"/>
    </row>
    <row r="109" spans="3:45" s="58" customFormat="1" ht="54" customHeight="1">
      <c r="E109" s="264" t="s">
        <v>1990</v>
      </c>
      <c r="F109" s="2080" t="s">
        <v>2046</v>
      </c>
      <c r="G109" s="1945"/>
      <c r="H109" s="1945"/>
      <c r="I109" s="1945"/>
      <c r="J109" s="1945"/>
      <c r="K109" s="1945"/>
      <c r="L109" s="1945"/>
      <c r="M109" s="1945"/>
      <c r="N109" s="1945"/>
      <c r="O109" s="1945"/>
      <c r="P109" s="1945"/>
      <c r="Q109" s="1945"/>
      <c r="R109" s="1945"/>
      <c r="S109" s="1945"/>
      <c r="T109" s="1945"/>
      <c r="U109" s="1945"/>
      <c r="V109" s="1945"/>
      <c r="W109" s="1945"/>
      <c r="X109" s="1945"/>
      <c r="Y109" s="1945"/>
      <c r="Z109" s="1945"/>
      <c r="AA109" s="1945"/>
      <c r="AB109" s="1945"/>
      <c r="AC109" s="1945"/>
      <c r="AD109" s="1945"/>
      <c r="AE109" s="1945"/>
      <c r="AF109" s="1945"/>
      <c r="AG109" s="1945"/>
      <c r="AH109" s="1945"/>
      <c r="AI109" s="1945"/>
      <c r="AJ109" s="1945"/>
      <c r="AK109" s="1945"/>
    </row>
    <row r="110" spans="3:45" s="58" customFormat="1" ht="119.25" customHeight="1">
      <c r="C110" s="264" t="s">
        <v>1977</v>
      </c>
      <c r="D110" s="1802" t="s">
        <v>2047</v>
      </c>
      <c r="E110" s="1945"/>
      <c r="F110" s="1945"/>
      <c r="G110" s="1945"/>
      <c r="H110" s="1945"/>
      <c r="I110" s="1945"/>
      <c r="J110" s="1945"/>
      <c r="K110" s="1945"/>
      <c r="L110" s="1945"/>
      <c r="M110" s="1945"/>
      <c r="N110" s="1945"/>
      <c r="O110" s="1945"/>
      <c r="P110" s="1945"/>
      <c r="Q110" s="1945"/>
      <c r="R110" s="1945"/>
      <c r="S110" s="1945"/>
      <c r="T110" s="1945"/>
      <c r="U110" s="1945"/>
      <c r="V110" s="1945"/>
      <c r="W110" s="1945"/>
      <c r="X110" s="1945"/>
      <c r="Y110" s="1945"/>
      <c r="Z110" s="1945"/>
      <c r="AA110" s="1945"/>
      <c r="AB110" s="1945"/>
      <c r="AC110" s="1945"/>
      <c r="AD110" s="1945"/>
      <c r="AE110" s="1945"/>
      <c r="AF110" s="1945"/>
      <c r="AG110" s="1945"/>
      <c r="AH110" s="1945"/>
      <c r="AI110" s="1945"/>
      <c r="AJ110" s="1945"/>
      <c r="AK110" s="1945"/>
      <c r="AM110" s="476"/>
    </row>
    <row r="111" spans="3:45" s="58" customFormat="1" ht="18" customHeight="1">
      <c r="C111" s="426"/>
      <c r="D111" s="267" t="s">
        <v>613</v>
      </c>
      <c r="E111" s="2180" t="s">
        <v>2048</v>
      </c>
      <c r="F111" s="1945"/>
      <c r="G111" s="1945"/>
      <c r="H111" s="1945"/>
      <c r="I111" s="1945"/>
      <c r="J111" s="1945"/>
      <c r="K111" s="1945"/>
      <c r="L111" s="1945"/>
      <c r="M111" s="1945"/>
      <c r="N111" s="1945"/>
      <c r="O111" s="1945"/>
      <c r="P111" s="1945"/>
      <c r="Q111" s="1945"/>
      <c r="R111" s="1945"/>
      <c r="S111" s="1945"/>
      <c r="T111" s="1945"/>
      <c r="U111" s="1945"/>
      <c r="V111" s="1945"/>
      <c r="W111" s="1945"/>
      <c r="X111" s="1945"/>
      <c r="Y111" s="1945"/>
      <c r="Z111" s="1945"/>
      <c r="AA111" s="1945"/>
      <c r="AB111" s="1945"/>
      <c r="AC111" s="1945"/>
      <c r="AD111" s="1945"/>
      <c r="AE111" s="1945"/>
      <c r="AF111" s="1945"/>
      <c r="AG111" s="1945"/>
      <c r="AH111" s="1945"/>
      <c r="AI111" s="1945"/>
      <c r="AJ111" s="1945"/>
      <c r="AK111" s="1945"/>
      <c r="AL111" s="476"/>
      <c r="AM111" s="476"/>
    </row>
    <row r="112" spans="3:45" s="58" customFormat="1" ht="18" customHeight="1">
      <c r="D112" s="267" t="s">
        <v>615</v>
      </c>
      <c r="E112" s="2180" t="s">
        <v>2049</v>
      </c>
      <c r="F112" s="1945"/>
      <c r="G112" s="1945"/>
      <c r="H112" s="1945"/>
      <c r="I112" s="1945"/>
      <c r="J112" s="1945"/>
      <c r="K112" s="1945"/>
      <c r="L112" s="1945"/>
      <c r="M112" s="1945"/>
      <c r="N112" s="1945"/>
      <c r="O112" s="1945"/>
      <c r="P112" s="1945"/>
      <c r="Q112" s="1945"/>
      <c r="R112" s="1945"/>
      <c r="S112" s="1945"/>
      <c r="T112" s="1945"/>
      <c r="U112" s="1945"/>
      <c r="V112" s="1945"/>
      <c r="W112" s="1945"/>
      <c r="X112" s="1945"/>
      <c r="Y112" s="1945"/>
      <c r="Z112" s="1945"/>
      <c r="AA112" s="1945"/>
      <c r="AB112" s="1945"/>
      <c r="AC112" s="1945"/>
      <c r="AD112" s="1945"/>
      <c r="AE112" s="1945"/>
      <c r="AF112" s="1945"/>
      <c r="AG112" s="1945"/>
      <c r="AH112" s="1945"/>
      <c r="AI112" s="1945"/>
      <c r="AJ112" s="1945"/>
      <c r="AK112" s="1945"/>
    </row>
    <row r="113" spans="2:39" s="58" customFormat="1" ht="36" customHeight="1">
      <c r="D113" s="267" t="s">
        <v>617</v>
      </c>
      <c r="E113" s="1806" t="s">
        <v>2050</v>
      </c>
      <c r="F113" s="1945"/>
      <c r="G113" s="1945"/>
      <c r="H113" s="1945"/>
      <c r="I113" s="1945"/>
      <c r="J113" s="1945"/>
      <c r="K113" s="1945"/>
      <c r="L113" s="1945"/>
      <c r="M113" s="1945"/>
      <c r="N113" s="1945"/>
      <c r="O113" s="1945"/>
      <c r="P113" s="1945"/>
      <c r="Q113" s="1945"/>
      <c r="R113" s="1945"/>
      <c r="S113" s="1945"/>
      <c r="T113" s="1945"/>
      <c r="U113" s="1945"/>
      <c r="V113" s="1945"/>
      <c r="W113" s="1945"/>
      <c r="X113" s="1945"/>
      <c r="Y113" s="1945"/>
      <c r="Z113" s="1945"/>
      <c r="AA113" s="1945"/>
      <c r="AB113" s="1945"/>
      <c r="AC113" s="1945"/>
      <c r="AD113" s="1945"/>
      <c r="AE113" s="1945"/>
      <c r="AF113" s="1945"/>
      <c r="AG113" s="1945"/>
      <c r="AH113" s="1945"/>
      <c r="AI113" s="1945"/>
      <c r="AJ113" s="1945"/>
      <c r="AK113" s="1945"/>
    </row>
    <row r="114" spans="2:39" s="58" customFormat="1" ht="18" customHeight="1">
      <c r="D114" s="267" t="s">
        <v>634</v>
      </c>
      <c r="E114" s="1802" t="s">
        <v>2051</v>
      </c>
      <c r="F114" s="1945"/>
      <c r="G114" s="1945"/>
      <c r="H114" s="1945"/>
      <c r="I114" s="1945"/>
      <c r="J114" s="1945"/>
      <c r="K114" s="1945"/>
      <c r="L114" s="1945"/>
      <c r="M114" s="1945"/>
      <c r="N114" s="1945"/>
      <c r="O114" s="1945"/>
      <c r="P114" s="1945"/>
      <c r="Q114" s="1945"/>
      <c r="R114" s="1945"/>
      <c r="S114" s="1945"/>
      <c r="T114" s="1945"/>
      <c r="U114" s="1945"/>
      <c r="V114" s="1945"/>
      <c r="W114" s="1945"/>
      <c r="X114" s="1945"/>
      <c r="Y114" s="1945"/>
      <c r="Z114" s="1945"/>
      <c r="AA114" s="1945"/>
      <c r="AB114" s="1945"/>
      <c r="AC114" s="1945"/>
      <c r="AD114" s="1945"/>
      <c r="AE114" s="1945"/>
      <c r="AF114" s="1945"/>
      <c r="AG114" s="1945"/>
      <c r="AH114" s="1945"/>
      <c r="AI114" s="1945"/>
      <c r="AJ114" s="1945"/>
      <c r="AK114" s="1945"/>
    </row>
    <row r="115" spans="2:39" s="246" customFormat="1" ht="18" customHeight="1">
      <c r="D115" s="3002" t="s">
        <v>2052</v>
      </c>
      <c r="E115" s="3003"/>
      <c r="F115" s="3003"/>
      <c r="G115" s="3003"/>
      <c r="H115" s="3003"/>
      <c r="I115" s="3003"/>
      <c r="J115" s="3003"/>
      <c r="K115" s="3003"/>
      <c r="L115" s="3003"/>
      <c r="M115" s="3003"/>
      <c r="N115" s="3003"/>
      <c r="O115" s="3003"/>
      <c r="P115" s="3003"/>
      <c r="Q115" s="3003"/>
      <c r="R115" s="3003"/>
      <c r="S115" s="3003"/>
      <c r="T115" s="3003"/>
      <c r="U115" s="3003"/>
      <c r="V115" s="3003"/>
      <c r="W115" s="3003"/>
      <c r="X115" s="3003"/>
      <c r="Y115" s="3003"/>
      <c r="Z115" s="3003"/>
      <c r="AA115" s="3003"/>
      <c r="AB115" s="3003"/>
      <c r="AC115" s="3003"/>
      <c r="AD115" s="3003"/>
      <c r="AE115" s="3003"/>
      <c r="AF115" s="3003"/>
      <c r="AG115" s="3003"/>
      <c r="AH115" s="3003"/>
      <c r="AI115" s="3003"/>
      <c r="AJ115" s="3003"/>
      <c r="AK115" s="1889"/>
      <c r="AL115" s="1911"/>
      <c r="AM115" s="1862"/>
    </row>
    <row r="116" spans="2:39" s="58" customFormat="1" ht="120" customHeight="1">
      <c r="C116" s="264" t="s">
        <v>648</v>
      </c>
      <c r="D116" s="1802" t="s">
        <v>2053</v>
      </c>
      <c r="E116" s="1945"/>
      <c r="F116" s="1945"/>
      <c r="G116" s="1945"/>
      <c r="H116" s="1945"/>
      <c r="I116" s="1945"/>
      <c r="J116" s="1945"/>
      <c r="K116" s="1945"/>
      <c r="L116" s="1945"/>
      <c r="M116" s="1945"/>
      <c r="N116" s="1945"/>
      <c r="O116" s="1945"/>
      <c r="P116" s="1945"/>
      <c r="Q116" s="1945"/>
      <c r="R116" s="1945"/>
      <c r="S116" s="1945"/>
      <c r="T116" s="1945"/>
      <c r="U116" s="1945"/>
      <c r="V116" s="1945"/>
      <c r="W116" s="1945"/>
      <c r="X116" s="1945"/>
      <c r="Y116" s="1945"/>
      <c r="Z116" s="1945"/>
      <c r="AA116" s="1945"/>
      <c r="AB116" s="1945"/>
      <c r="AC116" s="1945"/>
      <c r="AD116" s="1945"/>
      <c r="AE116" s="1945"/>
      <c r="AF116" s="1945"/>
      <c r="AG116" s="1945"/>
      <c r="AH116" s="1945"/>
      <c r="AI116" s="1945"/>
      <c r="AJ116" s="1945"/>
      <c r="AK116" s="1945"/>
      <c r="AM116" s="476"/>
    </row>
    <row r="117" spans="2:39" s="58" customFormat="1" ht="36" customHeight="1">
      <c r="C117" s="426"/>
      <c r="D117" s="1802" t="s">
        <v>2054</v>
      </c>
      <c r="E117" s="1945"/>
      <c r="F117" s="1945"/>
      <c r="G117" s="1945"/>
      <c r="H117" s="1945"/>
      <c r="I117" s="1945"/>
      <c r="J117" s="1945"/>
      <c r="K117" s="1945"/>
      <c r="L117" s="1945"/>
      <c r="M117" s="1945"/>
      <c r="N117" s="1945"/>
      <c r="O117" s="1945"/>
      <c r="P117" s="1945"/>
      <c r="Q117" s="1945"/>
      <c r="R117" s="1945"/>
      <c r="S117" s="1945"/>
      <c r="T117" s="1945"/>
      <c r="U117" s="1945"/>
      <c r="V117" s="1945"/>
      <c r="W117" s="1945"/>
      <c r="X117" s="1945"/>
      <c r="Y117" s="1945"/>
      <c r="Z117" s="1945"/>
      <c r="AA117" s="1945"/>
      <c r="AB117" s="1945"/>
      <c r="AC117" s="1945"/>
      <c r="AD117" s="1945"/>
      <c r="AE117" s="1945"/>
      <c r="AF117" s="1945"/>
      <c r="AG117" s="1945"/>
      <c r="AH117" s="1945"/>
      <c r="AI117" s="1945"/>
      <c r="AJ117" s="1945"/>
      <c r="AK117" s="1945"/>
      <c r="AL117" s="1911"/>
      <c r="AM117" s="1862"/>
    </row>
    <row r="118" spans="2:39" ht="18" customHeight="1">
      <c r="B118" s="2180" t="s">
        <v>1954</v>
      </c>
      <c r="C118" s="1798"/>
      <c r="D118" s="1798"/>
      <c r="E118" s="1798"/>
      <c r="F118" s="1798"/>
      <c r="G118" s="1798"/>
      <c r="H118" s="476"/>
      <c r="I118" s="476"/>
      <c r="J118" s="476"/>
      <c r="K118" s="476"/>
      <c r="L118" s="476"/>
      <c r="M118" s="476"/>
      <c r="N118" s="476"/>
      <c r="O118" s="476"/>
      <c r="P118" s="476"/>
      <c r="Q118" s="476"/>
      <c r="R118" s="476"/>
      <c r="S118" s="476"/>
      <c r="T118" s="476"/>
      <c r="U118" s="476"/>
      <c r="V118" s="476"/>
      <c r="W118" s="476"/>
      <c r="X118" s="476"/>
      <c r="Y118" s="476"/>
      <c r="Z118" s="476"/>
      <c r="AA118" s="476"/>
      <c r="AB118" s="476"/>
      <c r="AC118" s="476"/>
      <c r="AD118" s="476"/>
      <c r="AE118" s="476"/>
      <c r="AF118" s="476"/>
      <c r="AG118" s="476"/>
      <c r="AH118" s="476"/>
      <c r="AI118" s="476"/>
      <c r="AJ118" s="476"/>
      <c r="AK118" s="476"/>
      <c r="AL118" s="476"/>
      <c r="AM118" s="476"/>
    </row>
    <row r="119" spans="2:39" ht="81" customHeight="1">
      <c r="B119" s="2990"/>
      <c r="C119" s="1861"/>
      <c r="D119" s="1861"/>
      <c r="E119" s="1861"/>
      <c r="F119" s="1861"/>
      <c r="G119" s="1861"/>
      <c r="H119" s="1861"/>
      <c r="I119" s="1861"/>
      <c r="J119" s="1861"/>
      <c r="K119" s="1861"/>
      <c r="L119" s="1861"/>
      <c r="M119" s="1861"/>
      <c r="N119" s="1861"/>
      <c r="O119" s="1861"/>
      <c r="P119" s="1861"/>
      <c r="Q119" s="1861"/>
      <c r="R119" s="1861"/>
      <c r="S119" s="1861"/>
      <c r="T119" s="1861"/>
      <c r="U119" s="1861"/>
      <c r="V119" s="1861"/>
      <c r="W119" s="1861"/>
      <c r="X119" s="1861"/>
      <c r="Y119" s="1861"/>
      <c r="Z119" s="1861"/>
      <c r="AA119" s="1861"/>
      <c r="AB119" s="1861"/>
      <c r="AC119" s="1861"/>
      <c r="AD119" s="1861"/>
      <c r="AE119" s="1861"/>
      <c r="AF119" s="1861"/>
      <c r="AG119" s="1861"/>
      <c r="AH119" s="1861"/>
      <c r="AI119" s="1861"/>
      <c r="AJ119" s="1861"/>
      <c r="AK119" s="1861"/>
      <c r="AL119" s="1861"/>
      <c r="AM119" s="1862"/>
    </row>
    <row r="121" spans="2:39" ht="18" customHeight="1">
      <c r="B121" s="244" t="s">
        <v>619</v>
      </c>
      <c r="C121" s="2180" t="s">
        <v>2055</v>
      </c>
      <c r="D121" s="1798"/>
      <c r="E121" s="1798"/>
      <c r="F121" s="1798"/>
      <c r="G121" s="1798"/>
      <c r="H121" s="1798"/>
      <c r="I121" s="1798"/>
      <c r="J121" s="1798"/>
      <c r="K121" s="1798"/>
      <c r="L121" s="1798"/>
      <c r="M121" s="1798"/>
      <c r="N121" s="1798"/>
      <c r="O121" s="1798"/>
      <c r="P121" s="1798"/>
      <c r="Q121" s="1798"/>
      <c r="R121" s="1798"/>
      <c r="S121" s="1798"/>
      <c r="T121" s="1798"/>
      <c r="U121" s="1798"/>
      <c r="V121" s="1798"/>
      <c r="W121" s="1798"/>
      <c r="X121" s="1798"/>
      <c r="Y121" s="1798"/>
      <c r="Z121" s="1798"/>
      <c r="AA121" s="1798"/>
      <c r="AB121" s="1798"/>
      <c r="AC121" s="1798"/>
      <c r="AD121" s="1798"/>
      <c r="AE121" s="1798"/>
      <c r="AF121" s="1798"/>
      <c r="AG121" s="1798"/>
      <c r="AH121" s="1798"/>
      <c r="AI121" s="1798"/>
      <c r="AJ121" s="1798"/>
      <c r="AK121" s="1798"/>
    </row>
    <row r="122" spans="2:39" ht="18" customHeight="1">
      <c r="B122" s="244"/>
      <c r="C122" s="2994" t="s">
        <v>2056</v>
      </c>
      <c r="D122" s="1798"/>
      <c r="E122" s="1798"/>
      <c r="F122" s="1798"/>
      <c r="G122" s="1798"/>
      <c r="H122" s="1798"/>
      <c r="I122" s="1798"/>
      <c r="J122" s="1798"/>
      <c r="K122" s="1798"/>
      <c r="L122" s="1798"/>
      <c r="M122" s="1798"/>
      <c r="N122" s="1798"/>
      <c r="O122" s="1798"/>
      <c r="P122" s="1798"/>
      <c r="Q122" s="1798"/>
      <c r="R122" s="1798"/>
      <c r="S122" s="1798"/>
      <c r="T122" s="1798"/>
      <c r="U122" s="1798"/>
      <c r="V122" s="1798"/>
      <c r="W122" s="1798"/>
      <c r="X122" s="1798"/>
      <c r="Y122" s="1798"/>
      <c r="Z122" s="1798"/>
      <c r="AA122" s="1798"/>
      <c r="AB122" s="1798"/>
      <c r="AC122" s="1798"/>
      <c r="AD122" s="1798"/>
      <c r="AE122" s="1798"/>
      <c r="AF122" s="1798"/>
      <c r="AG122" s="1798"/>
      <c r="AH122" s="1798"/>
      <c r="AI122" s="1798"/>
      <c r="AJ122" s="1798"/>
      <c r="AK122" s="1798"/>
    </row>
    <row r="123" spans="2:39" ht="54" customHeight="1">
      <c r="B123" s="244"/>
      <c r="C123" s="1802" t="s">
        <v>2057</v>
      </c>
      <c r="D123" s="1798"/>
      <c r="E123" s="1798"/>
      <c r="F123" s="1798"/>
      <c r="G123" s="1798"/>
      <c r="H123" s="1798"/>
      <c r="I123" s="1798"/>
      <c r="J123" s="1798"/>
      <c r="K123" s="1798"/>
      <c r="L123" s="1798"/>
      <c r="M123" s="1798"/>
      <c r="N123" s="1798"/>
      <c r="O123" s="1798"/>
      <c r="P123" s="1798"/>
      <c r="Q123" s="1798"/>
      <c r="R123" s="1798"/>
      <c r="S123" s="1798"/>
      <c r="T123" s="1798"/>
      <c r="U123" s="1798"/>
      <c r="V123" s="1798"/>
      <c r="W123" s="1798"/>
      <c r="X123" s="1798"/>
      <c r="Y123" s="1798"/>
      <c r="Z123" s="1798"/>
      <c r="AA123" s="1798"/>
      <c r="AB123" s="1798"/>
      <c r="AC123" s="1798"/>
      <c r="AD123" s="1798"/>
      <c r="AE123" s="1798"/>
      <c r="AF123" s="1798"/>
      <c r="AG123" s="1798"/>
      <c r="AH123" s="1798"/>
      <c r="AI123" s="1798"/>
      <c r="AJ123" s="1798"/>
      <c r="AK123" s="1798"/>
      <c r="AL123" s="136"/>
      <c r="AM123" s="136"/>
    </row>
    <row r="124" spans="2:39" ht="18" customHeight="1">
      <c r="B124" s="136"/>
      <c r="C124" s="265" t="s">
        <v>608</v>
      </c>
      <c r="D124" s="2180" t="s">
        <v>2058</v>
      </c>
      <c r="E124" s="1798"/>
      <c r="F124" s="1798"/>
      <c r="G124" s="1798"/>
      <c r="H124" s="1798"/>
      <c r="I124" s="1798"/>
      <c r="J124" s="1798"/>
      <c r="K124" s="1798"/>
      <c r="L124" s="1798"/>
      <c r="M124" s="1798"/>
      <c r="N124" s="1798"/>
      <c r="O124" s="1798"/>
      <c r="P124" s="1798"/>
      <c r="Q124" s="1798"/>
      <c r="R124" s="1798"/>
      <c r="S124" s="1798"/>
      <c r="T124" s="1798"/>
      <c r="U124" s="1798"/>
      <c r="V124" s="1798"/>
      <c r="W124" s="1798"/>
      <c r="X124" s="1798"/>
      <c r="Y124" s="1798"/>
      <c r="Z124" s="1798"/>
      <c r="AA124" s="1798"/>
      <c r="AB124" s="1798"/>
      <c r="AC124" s="1798"/>
      <c r="AD124" s="1798"/>
      <c r="AE124" s="1798"/>
      <c r="AF124" s="1798"/>
      <c r="AG124" s="1798"/>
      <c r="AH124" s="1798"/>
      <c r="AI124" s="1798"/>
      <c r="AJ124" s="1798"/>
      <c r="AK124" s="1798"/>
      <c r="AL124" s="1911"/>
      <c r="AM124" s="1862"/>
    </row>
    <row r="125" spans="2:39" ht="18" customHeight="1">
      <c r="B125" s="136"/>
      <c r="C125" s="265" t="s">
        <v>611</v>
      </c>
      <c r="D125" s="2995" t="s">
        <v>2059</v>
      </c>
      <c r="E125" s="1798"/>
      <c r="F125" s="1798"/>
      <c r="G125" s="1798"/>
      <c r="H125" s="1798"/>
      <c r="I125" s="1798"/>
      <c r="J125" s="1798"/>
      <c r="K125" s="1798"/>
      <c r="L125" s="1798"/>
      <c r="M125" s="1798"/>
      <c r="N125" s="1798"/>
      <c r="O125" s="1798"/>
      <c r="P125" s="1798"/>
      <c r="Q125" s="1798"/>
      <c r="R125" s="1798"/>
      <c r="S125" s="1798"/>
      <c r="T125" s="1798"/>
      <c r="U125" s="1798"/>
      <c r="V125" s="1798"/>
      <c r="W125" s="1798"/>
      <c r="X125" s="1798"/>
      <c r="Y125" s="1798"/>
      <c r="Z125" s="1798"/>
      <c r="AA125" s="1798"/>
      <c r="AB125" s="1798"/>
      <c r="AC125" s="1798"/>
      <c r="AD125" s="1798"/>
      <c r="AE125" s="1798"/>
      <c r="AF125" s="1798"/>
      <c r="AG125" s="1798"/>
      <c r="AH125" s="1798"/>
      <c r="AI125" s="1798"/>
      <c r="AJ125" s="1798"/>
      <c r="AK125" s="1798"/>
      <c r="AL125" s="1911"/>
      <c r="AM125" s="1862"/>
    </row>
    <row r="126" spans="2:39" ht="63" customHeight="1">
      <c r="B126" s="136"/>
      <c r="C126" s="265" t="s">
        <v>619</v>
      </c>
      <c r="D126" s="2525" t="s">
        <v>2060</v>
      </c>
      <c r="E126" s="1798"/>
      <c r="F126" s="1798"/>
      <c r="G126" s="1798"/>
      <c r="H126" s="1798"/>
      <c r="I126" s="1798"/>
      <c r="J126" s="1798"/>
      <c r="K126" s="1798"/>
      <c r="L126" s="1798"/>
      <c r="M126" s="1798"/>
      <c r="N126" s="1798"/>
      <c r="O126" s="1798"/>
      <c r="P126" s="1798"/>
      <c r="Q126" s="1798"/>
      <c r="R126" s="1798"/>
      <c r="S126" s="1798"/>
      <c r="T126" s="1798"/>
      <c r="U126" s="1798"/>
      <c r="V126" s="1798"/>
      <c r="W126" s="1798"/>
      <c r="X126" s="1798"/>
      <c r="Y126" s="1798"/>
      <c r="Z126" s="1798"/>
      <c r="AA126" s="1798"/>
      <c r="AB126" s="1798"/>
      <c r="AC126" s="1798"/>
      <c r="AD126" s="1798"/>
      <c r="AE126" s="1798"/>
      <c r="AF126" s="1798"/>
      <c r="AG126" s="1798"/>
      <c r="AH126" s="1798"/>
      <c r="AI126" s="1798"/>
      <c r="AJ126" s="1798"/>
      <c r="AK126" s="1798"/>
      <c r="AL126" s="1911"/>
      <c r="AM126" s="1862"/>
    </row>
    <row r="127" spans="2:39" ht="18" customHeight="1">
      <c r="B127" s="2180" t="s">
        <v>1954</v>
      </c>
      <c r="C127" s="1798"/>
      <c r="D127" s="1798"/>
      <c r="E127" s="1798"/>
      <c r="F127" s="1798"/>
      <c r="G127" s="1798"/>
      <c r="H127" s="476"/>
      <c r="I127" s="476"/>
      <c r="J127" s="476"/>
      <c r="K127" s="476"/>
      <c r="L127" s="476"/>
      <c r="M127" s="476"/>
      <c r="N127" s="476"/>
      <c r="O127" s="476"/>
      <c r="P127" s="476"/>
      <c r="Q127" s="476"/>
      <c r="R127" s="476"/>
      <c r="S127" s="476"/>
      <c r="T127" s="476"/>
      <c r="U127" s="476"/>
      <c r="V127" s="476"/>
      <c r="W127" s="476"/>
      <c r="X127" s="476"/>
      <c r="Y127" s="476"/>
      <c r="Z127" s="476"/>
      <c r="AA127" s="476"/>
      <c r="AB127" s="476"/>
      <c r="AC127" s="476"/>
      <c r="AD127" s="476"/>
      <c r="AE127" s="476"/>
      <c r="AF127" s="476"/>
      <c r="AG127" s="476"/>
      <c r="AH127" s="476"/>
      <c r="AI127" s="476"/>
      <c r="AJ127" s="476"/>
      <c r="AK127" s="476"/>
      <c r="AL127" s="476"/>
      <c r="AM127" s="476"/>
    </row>
    <row r="128" spans="2:39" ht="81" customHeight="1">
      <c r="B128" s="2990"/>
      <c r="C128" s="1861"/>
      <c r="D128" s="1861"/>
      <c r="E128" s="1861"/>
      <c r="F128" s="1861"/>
      <c r="G128" s="1861"/>
      <c r="H128" s="1861"/>
      <c r="I128" s="1861"/>
      <c r="J128" s="1861"/>
      <c r="K128" s="1861"/>
      <c r="L128" s="1861"/>
      <c r="M128" s="1861"/>
      <c r="N128" s="1861"/>
      <c r="O128" s="1861"/>
      <c r="P128" s="1861"/>
      <c r="Q128" s="1861"/>
      <c r="R128" s="1861"/>
      <c r="S128" s="1861"/>
      <c r="T128" s="1861"/>
      <c r="U128" s="1861"/>
      <c r="V128" s="1861"/>
      <c r="W128" s="1861"/>
      <c r="X128" s="1861"/>
      <c r="Y128" s="1861"/>
      <c r="Z128" s="1861"/>
      <c r="AA128" s="1861"/>
      <c r="AB128" s="1861"/>
      <c r="AC128" s="1861"/>
      <c r="AD128" s="1861"/>
      <c r="AE128" s="1861"/>
      <c r="AF128" s="1861"/>
      <c r="AG128" s="1861"/>
      <c r="AH128" s="1861"/>
      <c r="AI128" s="1861"/>
      <c r="AJ128" s="1861"/>
      <c r="AK128" s="1861"/>
      <c r="AL128" s="1861"/>
      <c r="AM128" s="1862"/>
    </row>
    <row r="130" spans="1:41" ht="18" customHeight="1">
      <c r="B130" s="244" t="s">
        <v>623</v>
      </c>
      <c r="C130" s="2180" t="s">
        <v>2061</v>
      </c>
      <c r="D130" s="1798"/>
      <c r="E130" s="1798"/>
      <c r="F130" s="1798"/>
      <c r="G130" s="1798"/>
      <c r="H130" s="1798"/>
      <c r="I130" s="1798"/>
      <c r="J130" s="1798"/>
      <c r="K130" s="1798"/>
      <c r="L130" s="1798"/>
      <c r="M130" s="1798"/>
      <c r="N130" s="1798"/>
      <c r="O130" s="1798"/>
      <c r="P130" s="1798"/>
      <c r="Q130" s="1798"/>
      <c r="R130" s="1798"/>
      <c r="S130" s="1798"/>
      <c r="T130" s="1798"/>
      <c r="U130" s="1798"/>
      <c r="V130" s="1798"/>
      <c r="W130" s="1798"/>
      <c r="X130" s="1798"/>
      <c r="Y130" s="1798"/>
      <c r="Z130" s="1798"/>
      <c r="AA130" s="1798"/>
      <c r="AB130" s="1798"/>
      <c r="AC130" s="1798"/>
      <c r="AD130" s="1798"/>
      <c r="AE130" s="1798"/>
      <c r="AF130" s="1798"/>
      <c r="AG130" s="1798"/>
      <c r="AH130" s="1798"/>
      <c r="AI130" s="1798"/>
      <c r="AJ130" s="1798"/>
      <c r="AK130" s="1798"/>
    </row>
    <row r="131" spans="1:41" s="58" customFormat="1" ht="18" customHeight="1">
      <c r="C131" s="2994" t="s">
        <v>2062</v>
      </c>
      <c r="D131" s="1945"/>
      <c r="E131" s="1945"/>
      <c r="F131" s="1945"/>
      <c r="G131" s="1945"/>
      <c r="H131" s="1945"/>
      <c r="I131" s="1945"/>
      <c r="J131" s="1945"/>
      <c r="K131" s="1945"/>
      <c r="L131" s="1945"/>
      <c r="M131" s="1945"/>
      <c r="N131" s="1945"/>
      <c r="O131" s="1945"/>
      <c r="P131" s="1945"/>
      <c r="Q131" s="1945"/>
      <c r="R131" s="1945"/>
      <c r="S131" s="1945"/>
      <c r="T131" s="1945"/>
      <c r="U131" s="1945"/>
      <c r="V131" s="1945"/>
      <c r="W131" s="1945"/>
      <c r="X131" s="1945"/>
      <c r="Y131" s="1945"/>
      <c r="Z131" s="1945"/>
      <c r="AA131" s="1945"/>
      <c r="AB131" s="1945"/>
      <c r="AC131" s="1945"/>
      <c r="AD131" s="1945"/>
      <c r="AE131" s="1945"/>
      <c r="AF131" s="1945"/>
      <c r="AG131" s="1945"/>
      <c r="AH131" s="1945"/>
      <c r="AI131" s="1945"/>
      <c r="AJ131" s="1945"/>
      <c r="AK131" s="1945"/>
    </row>
    <row r="132" spans="1:41" ht="18" customHeight="1">
      <c r="B132" s="244"/>
      <c r="C132" s="2180" t="s">
        <v>2063</v>
      </c>
      <c r="D132" s="1798"/>
      <c r="E132" s="1798"/>
      <c r="F132" s="1798"/>
      <c r="G132" s="1798"/>
      <c r="H132" s="1798"/>
      <c r="I132" s="1798"/>
      <c r="J132" s="1798"/>
      <c r="K132" s="1798"/>
      <c r="L132" s="1798"/>
      <c r="M132" s="1798"/>
      <c r="N132" s="1798"/>
      <c r="O132" s="1798"/>
      <c r="P132" s="1798"/>
      <c r="Q132" s="476"/>
      <c r="R132" s="476"/>
      <c r="S132" s="476"/>
      <c r="T132" s="476"/>
      <c r="U132" s="476"/>
      <c r="V132" s="476"/>
      <c r="W132" s="476"/>
      <c r="X132" s="476"/>
      <c r="Y132" s="476"/>
      <c r="Z132" s="476"/>
      <c r="AA132" s="476"/>
      <c r="AB132" s="476"/>
      <c r="AC132" s="476"/>
      <c r="AD132" s="476"/>
      <c r="AE132" s="476"/>
      <c r="AF132" s="476"/>
      <c r="AG132" s="476"/>
      <c r="AH132" s="476"/>
      <c r="AI132" s="476"/>
      <c r="AJ132" s="476"/>
      <c r="AK132" s="476"/>
      <c r="AL132" s="1911"/>
      <c r="AM132" s="1862"/>
    </row>
    <row r="133" spans="1:41" s="58" customFormat="1" ht="18" customHeight="1">
      <c r="C133" s="2994" t="s">
        <v>2064</v>
      </c>
      <c r="D133" s="1945"/>
      <c r="E133" s="1945"/>
      <c r="F133" s="1945"/>
      <c r="G133" s="1945"/>
      <c r="H133" s="1945"/>
      <c r="I133" s="1945"/>
      <c r="J133" s="1945"/>
      <c r="K133" s="1945"/>
      <c r="L133" s="1945"/>
      <c r="M133" s="1945"/>
      <c r="N133" s="1945"/>
      <c r="O133" s="1945"/>
      <c r="P133" s="1945"/>
      <c r="Q133" s="1945"/>
      <c r="R133" s="1945"/>
      <c r="S133" s="1945"/>
      <c r="T133" s="1945"/>
      <c r="U133" s="1945"/>
      <c r="V133" s="1945"/>
      <c r="W133" s="1945"/>
      <c r="X133" s="1945"/>
      <c r="Y133" s="1945"/>
      <c r="Z133" s="1945"/>
      <c r="AA133" s="1945"/>
      <c r="AB133" s="1945"/>
      <c r="AC133" s="1945"/>
      <c r="AD133" s="1945"/>
      <c r="AE133" s="1945"/>
      <c r="AF133" s="1945"/>
      <c r="AG133" s="1945"/>
      <c r="AH133" s="1945"/>
      <c r="AI133" s="1945"/>
      <c r="AJ133" s="1945"/>
      <c r="AK133" s="1945"/>
    </row>
    <row r="134" spans="1:41" ht="18" customHeight="1">
      <c r="B134" s="426"/>
      <c r="C134" s="264" t="s">
        <v>608</v>
      </c>
      <c r="D134" s="2180" t="s">
        <v>2065</v>
      </c>
      <c r="E134" s="1798"/>
      <c r="F134" s="1798"/>
      <c r="G134" s="1798"/>
      <c r="H134" s="1798"/>
      <c r="I134" s="1798"/>
      <c r="J134" s="1798"/>
      <c r="K134" s="1798"/>
      <c r="L134" s="1798"/>
      <c r="M134" s="1798"/>
      <c r="N134" s="1798"/>
      <c r="O134" s="1798"/>
      <c r="P134" s="1798"/>
      <c r="Q134" s="1798"/>
      <c r="R134" s="1798"/>
      <c r="S134" s="1798"/>
      <c r="T134" s="476"/>
      <c r="U134" s="476"/>
      <c r="V134" s="476"/>
      <c r="W134" s="476"/>
      <c r="X134" s="476"/>
      <c r="Y134" s="476"/>
      <c r="Z134" s="476"/>
      <c r="AA134" s="476"/>
      <c r="AB134" s="476"/>
      <c r="AC134" s="476"/>
      <c r="AD134" s="476"/>
      <c r="AE134" s="476"/>
      <c r="AF134" s="476"/>
      <c r="AG134" s="476"/>
      <c r="AH134" s="476"/>
      <c r="AI134" s="476"/>
      <c r="AJ134" s="476"/>
      <c r="AK134" s="476"/>
      <c r="AL134" s="1911"/>
      <c r="AM134" s="1862"/>
    </row>
    <row r="135" spans="1:41" ht="18" customHeight="1">
      <c r="B135" s="426"/>
      <c r="C135" s="264" t="s">
        <v>611</v>
      </c>
      <c r="D135" s="2180" t="s">
        <v>2066</v>
      </c>
      <c r="E135" s="1798"/>
      <c r="F135" s="1798"/>
      <c r="G135" s="1798"/>
      <c r="H135" s="1798"/>
      <c r="I135" s="1798"/>
      <c r="J135" s="1798"/>
      <c r="K135" s="1798"/>
      <c r="L135" s="1798"/>
      <c r="M135" s="1798"/>
      <c r="N135" s="1798"/>
      <c r="O135" s="1798"/>
      <c r="P135" s="1798"/>
      <c r="Q135" s="1798"/>
      <c r="R135" s="1798"/>
      <c r="S135" s="1798"/>
      <c r="T135" s="1798"/>
      <c r="U135" s="1798"/>
      <c r="V135" s="1798"/>
      <c r="W135" s="1798"/>
      <c r="X135" s="1798"/>
      <c r="Y135" s="1798"/>
      <c r="Z135" s="1798"/>
      <c r="AA135" s="1798"/>
      <c r="AB135" s="1798"/>
      <c r="AC135" s="1798"/>
      <c r="AD135" s="1798"/>
      <c r="AE135" s="1798"/>
      <c r="AF135" s="1798"/>
      <c r="AG135" s="1798"/>
      <c r="AH135" s="1798"/>
      <c r="AI135" s="1798"/>
      <c r="AJ135" s="1798"/>
      <c r="AK135" s="1798"/>
    </row>
    <row r="136" spans="1:41" ht="18" customHeight="1">
      <c r="A136" s="607"/>
      <c r="B136" s="426"/>
      <c r="C136" s="476"/>
      <c r="D136" s="267" t="s">
        <v>613</v>
      </c>
      <c r="E136" s="2993" t="str">
        <f>IF(AND(IsVhhp,'Document Checklist-Full List'!$AJ$24="Included"),"P","O")</f>
        <v>O</v>
      </c>
      <c r="F136" s="1798"/>
      <c r="G136" s="574"/>
      <c r="H136" s="574"/>
      <c r="I136" s="574"/>
      <c r="J136" s="574"/>
      <c r="K136" s="574"/>
      <c r="L136" s="574"/>
      <c r="M136" s="574"/>
      <c r="N136" s="574"/>
      <c r="O136" s="574"/>
      <c r="P136" s="574"/>
      <c r="Q136" s="574"/>
      <c r="R136" s="574"/>
      <c r="S136" s="574"/>
      <c r="T136" s="574"/>
      <c r="U136" s="574"/>
      <c r="V136" s="574"/>
      <c r="W136" s="574"/>
      <c r="X136" s="574"/>
      <c r="Y136" s="574"/>
      <c r="Z136" s="574"/>
      <c r="AA136" s="574"/>
      <c r="AB136" s="574"/>
      <c r="AC136" s="574"/>
      <c r="AD136" s="574"/>
      <c r="AE136" s="574"/>
      <c r="AF136" s="574"/>
      <c r="AG136" s="574"/>
      <c r="AH136" s="574"/>
      <c r="AI136" s="574"/>
      <c r="AJ136" s="574"/>
      <c r="AK136" s="574"/>
      <c r="AL136" s="476"/>
      <c r="AM136" s="476"/>
      <c r="AN136" s="263"/>
      <c r="AO136" s="15" t="s">
        <v>2067</v>
      </c>
    </row>
    <row r="137" spans="1:41" ht="36" customHeight="1">
      <c r="B137" s="426"/>
      <c r="C137" s="426"/>
      <c r="D137" s="267" t="s">
        <v>615</v>
      </c>
      <c r="E137" s="2989" t="s">
        <v>2068</v>
      </c>
      <c r="F137" s="1798"/>
      <c r="G137" s="1798"/>
      <c r="H137" s="1798"/>
      <c r="I137" s="1798"/>
      <c r="J137" s="1798"/>
      <c r="K137" s="1798"/>
      <c r="L137" s="1798"/>
      <c r="M137" s="1798"/>
      <c r="N137" s="1798"/>
      <c r="O137" s="1798"/>
      <c r="P137" s="1798"/>
      <c r="Q137" s="1798"/>
      <c r="R137" s="1798"/>
      <c r="S137" s="1798"/>
      <c r="T137" s="1798"/>
      <c r="U137" s="1798"/>
      <c r="V137" s="1798"/>
      <c r="W137" s="1798"/>
      <c r="X137" s="1798"/>
      <c r="Y137" s="1798"/>
      <c r="Z137" s="1798"/>
      <c r="AA137" s="1798"/>
      <c r="AB137" s="1798"/>
      <c r="AC137" s="1798"/>
      <c r="AD137" s="1798"/>
      <c r="AE137" s="1798"/>
      <c r="AF137" s="1798"/>
      <c r="AG137" s="1798"/>
      <c r="AH137" s="1798"/>
      <c r="AI137" s="1798"/>
      <c r="AJ137" s="1798"/>
      <c r="AK137" s="1889"/>
      <c r="AL137" s="1911"/>
      <c r="AM137" s="1862"/>
    </row>
    <row r="138" spans="1:41" ht="36" customHeight="1">
      <c r="B138" s="426"/>
      <c r="C138" s="426"/>
      <c r="D138" s="267" t="s">
        <v>617</v>
      </c>
      <c r="E138" s="1802" t="s">
        <v>2069</v>
      </c>
      <c r="F138" s="1798"/>
      <c r="G138" s="1798"/>
      <c r="H138" s="1798"/>
      <c r="I138" s="1798"/>
      <c r="J138" s="1798"/>
      <c r="K138" s="1798"/>
      <c r="L138" s="1798"/>
      <c r="M138" s="1798"/>
      <c r="N138" s="1798"/>
      <c r="O138" s="1798"/>
      <c r="P138" s="1798"/>
      <c r="Q138" s="1798"/>
      <c r="R138" s="1798"/>
      <c r="S138" s="1798"/>
      <c r="T138" s="1798"/>
      <c r="U138" s="1798"/>
      <c r="V138" s="1798"/>
      <c r="W138" s="1798"/>
      <c r="X138" s="1798"/>
      <c r="Y138" s="1798"/>
      <c r="Z138" s="1798"/>
      <c r="AA138" s="1798"/>
      <c r="AB138" s="1798"/>
      <c r="AC138" s="1798"/>
      <c r="AD138" s="1798"/>
      <c r="AE138" s="1798"/>
      <c r="AF138" s="1798"/>
      <c r="AG138" s="1798"/>
      <c r="AH138" s="1798"/>
      <c r="AI138" s="1798"/>
      <c r="AJ138" s="1798"/>
      <c r="AK138" s="1798"/>
      <c r="AL138" s="1911"/>
      <c r="AM138" s="1862"/>
    </row>
    <row r="139" spans="1:41" ht="18" customHeight="1">
      <c r="B139" s="426"/>
      <c r="C139" s="426"/>
      <c r="D139" s="267" t="s">
        <v>634</v>
      </c>
      <c r="E139" s="1802" t="s">
        <v>2070</v>
      </c>
      <c r="F139" s="1798"/>
      <c r="G139" s="1798"/>
      <c r="H139" s="1798"/>
      <c r="I139" s="1798"/>
      <c r="J139" s="1798"/>
      <c r="K139" s="1798"/>
      <c r="L139" s="1798"/>
      <c r="M139" s="1798"/>
      <c r="N139" s="1798"/>
      <c r="O139" s="1798"/>
      <c r="P139" s="1798"/>
      <c r="Q139" s="1798"/>
      <c r="R139" s="1798"/>
      <c r="S139" s="1798"/>
      <c r="T139" s="1798"/>
      <c r="U139" s="1798"/>
      <c r="V139" s="1798"/>
      <c r="W139" s="1798"/>
      <c r="X139" s="1798"/>
      <c r="Y139" s="1798"/>
      <c r="Z139" s="1798"/>
      <c r="AA139" s="1798"/>
      <c r="AB139" s="1798"/>
      <c r="AC139" s="1798"/>
      <c r="AD139" s="1798"/>
      <c r="AE139" s="1798"/>
      <c r="AF139" s="1798"/>
      <c r="AG139" s="1798"/>
      <c r="AH139" s="1798"/>
      <c r="AI139" s="1798"/>
      <c r="AJ139" s="1798"/>
      <c r="AK139" s="1798"/>
      <c r="AL139" s="1911"/>
      <c r="AM139" s="1862"/>
    </row>
    <row r="140" spans="1:41" s="58" customFormat="1" ht="54" customHeight="1">
      <c r="E140" s="1802" t="s">
        <v>2071</v>
      </c>
      <c r="F140" s="1945"/>
      <c r="G140" s="1945"/>
      <c r="H140" s="1945"/>
      <c r="I140" s="1945"/>
      <c r="J140" s="1945"/>
      <c r="K140" s="1945"/>
      <c r="L140" s="1945"/>
      <c r="M140" s="1945"/>
      <c r="N140" s="1945"/>
      <c r="O140" s="1945"/>
      <c r="P140" s="1945"/>
      <c r="Q140" s="1945"/>
      <c r="R140" s="1945"/>
      <c r="S140" s="1945"/>
      <c r="T140" s="1945"/>
      <c r="U140" s="1945"/>
      <c r="V140" s="1945"/>
      <c r="W140" s="1945"/>
      <c r="X140" s="1945"/>
      <c r="Y140" s="1945"/>
      <c r="Z140" s="1945"/>
      <c r="AA140" s="1945"/>
      <c r="AB140" s="1945"/>
      <c r="AC140" s="1945"/>
      <c r="AD140" s="1945"/>
      <c r="AE140" s="1945"/>
      <c r="AF140" s="1945"/>
      <c r="AG140" s="1945"/>
      <c r="AH140" s="1945"/>
      <c r="AI140" s="1945"/>
      <c r="AJ140" s="1945"/>
      <c r="AK140" s="1945"/>
    </row>
    <row r="141" spans="1:41" s="58" customFormat="1" ht="36" customHeight="1">
      <c r="E141" s="1802" t="s">
        <v>2072</v>
      </c>
      <c r="F141" s="1945"/>
      <c r="G141" s="1945"/>
      <c r="H141" s="1945"/>
      <c r="I141" s="1945"/>
      <c r="J141" s="1945"/>
      <c r="K141" s="1945"/>
      <c r="L141" s="1945"/>
      <c r="M141" s="1945"/>
      <c r="N141" s="1945"/>
      <c r="O141" s="1945"/>
      <c r="P141" s="1945"/>
      <c r="Q141" s="1945"/>
      <c r="R141" s="1945"/>
      <c r="S141" s="1945"/>
      <c r="T141" s="1945"/>
      <c r="U141" s="1945"/>
      <c r="V141" s="1945"/>
      <c r="W141" s="1945"/>
      <c r="X141" s="1945"/>
      <c r="Y141" s="1945"/>
      <c r="Z141" s="1945"/>
      <c r="AA141" s="1945"/>
      <c r="AB141" s="1945"/>
      <c r="AC141" s="1945"/>
      <c r="AD141" s="1945"/>
      <c r="AE141" s="1945"/>
      <c r="AF141" s="1945"/>
      <c r="AG141" s="1945"/>
      <c r="AH141" s="1945"/>
      <c r="AI141" s="1945"/>
      <c r="AJ141" s="1945"/>
      <c r="AK141" s="1945"/>
    </row>
    <row r="142" spans="1:41" s="58" customFormat="1" ht="36" customHeight="1">
      <c r="E142" s="2992" t="s">
        <v>2073</v>
      </c>
      <c r="F142" s="1945"/>
      <c r="G142" s="1945"/>
      <c r="H142" s="1945"/>
      <c r="I142" s="1945"/>
      <c r="K142" s="2992" t="s">
        <v>2074</v>
      </c>
      <c r="L142" s="1945"/>
      <c r="M142" s="1945"/>
      <c r="N142" s="1945"/>
      <c r="P142" s="2992" t="s">
        <v>2075</v>
      </c>
      <c r="Q142" s="1945"/>
      <c r="R142" s="1945"/>
      <c r="S142" s="1945"/>
      <c r="T142" s="1945"/>
      <c r="U142" s="1945"/>
      <c r="V142" s="1945"/>
      <c r="W142" s="1945"/>
      <c r="X142" s="1945"/>
      <c r="Y142" s="1945"/>
      <c r="Z142" s="1905" t="s">
        <v>2076</v>
      </c>
      <c r="AA142" s="1945"/>
      <c r="AB142" s="1945"/>
      <c r="AC142" s="1945"/>
      <c r="AD142" s="1945"/>
      <c r="AE142" s="1945"/>
      <c r="AF142" s="1945"/>
      <c r="AG142" s="1945"/>
      <c r="AH142" s="1945"/>
      <c r="AI142" s="1945"/>
      <c r="AJ142" s="1945"/>
      <c r="AK142" s="1945"/>
      <c r="AL142" s="1945"/>
      <c r="AM142" s="1945"/>
    </row>
    <row r="143" spans="1:41" s="58" customFormat="1" ht="18" customHeight="1">
      <c r="E143" s="2992" t="s">
        <v>2077</v>
      </c>
      <c r="F143" s="1945"/>
      <c r="G143" s="1945"/>
      <c r="H143" s="1945"/>
      <c r="I143" s="1945"/>
      <c r="J143" s="1945"/>
      <c r="L143" s="2992" t="s">
        <v>2078</v>
      </c>
      <c r="M143" s="1945"/>
      <c r="N143" s="1945"/>
      <c r="O143" s="1945"/>
      <c r="P143" s="1945"/>
      <c r="Q143" s="1945"/>
    </row>
    <row r="144" spans="1:41" s="58" customFormat="1" ht="54" customHeight="1">
      <c r="B144" s="2268" t="s">
        <v>558</v>
      </c>
      <c r="C144" s="1777"/>
      <c r="D144" s="1778"/>
      <c r="E144" s="2179" t="str">
        <f>'Document Checklist-Full List'!$E$212</f>
        <v>110. "Entity Name" - Resolution</v>
      </c>
      <c r="F144" s="1777"/>
      <c r="G144" s="1777"/>
      <c r="H144" s="1777"/>
      <c r="I144" s="1777"/>
      <c r="J144" s="1777"/>
      <c r="K144" s="1777"/>
      <c r="L144" s="1777"/>
      <c r="M144" s="1778"/>
      <c r="N144" s="2179" t="str">
        <f>'Document Checklist-Full List'!$N$212</f>
        <v xml:space="preserve">Resolutions may be submitted with this application but are not required at the time of application. Resolutions must be submitted within sixty calendar days of a conditional award notification. </v>
      </c>
      <c r="O144" s="1777"/>
      <c r="P144" s="1777"/>
      <c r="Q144" s="1777"/>
      <c r="R144" s="1777"/>
      <c r="S144" s="1777"/>
      <c r="T144" s="1777"/>
      <c r="U144" s="1777"/>
      <c r="V144" s="1777"/>
      <c r="W144" s="1777"/>
      <c r="X144" s="1777"/>
      <c r="Y144" s="1777"/>
      <c r="Z144" s="1777"/>
      <c r="AA144" s="1777"/>
      <c r="AB144" s="1777"/>
      <c r="AC144" s="1777"/>
      <c r="AD144" s="1777"/>
      <c r="AE144" s="1778"/>
      <c r="AF144" s="1886" t="s">
        <v>559</v>
      </c>
      <c r="AG144" s="1777"/>
      <c r="AH144" s="1777"/>
      <c r="AI144" s="1777"/>
      <c r="AJ144" s="1777"/>
      <c r="AK144" s="1778"/>
      <c r="AL144" s="1911"/>
      <c r="AM144" s="1862"/>
    </row>
    <row r="145" spans="2:41" ht="18" customHeight="1">
      <c r="B145" s="426"/>
      <c r="C145" s="267" t="s">
        <v>619</v>
      </c>
      <c r="D145" s="2989" t="s">
        <v>2079</v>
      </c>
      <c r="E145" s="1798"/>
      <c r="F145" s="1798"/>
      <c r="G145" s="1798"/>
      <c r="H145" s="1798"/>
      <c r="I145" s="1798"/>
      <c r="J145" s="1798"/>
      <c r="K145" s="1798"/>
      <c r="L145" s="1798"/>
      <c r="M145" s="1798"/>
      <c r="N145" s="1798"/>
      <c r="O145" s="1798"/>
      <c r="P145" s="1798"/>
      <c r="Q145" s="1798"/>
      <c r="R145" s="1798"/>
      <c r="S145" s="1798"/>
      <c r="T145" s="1798"/>
      <c r="U145" s="1798"/>
      <c r="V145" s="1798"/>
      <c r="W145" s="1798"/>
      <c r="X145" s="1798"/>
      <c r="Y145" s="1798"/>
      <c r="Z145" s="1798"/>
      <c r="AA145" s="1798"/>
      <c r="AB145" s="1798"/>
      <c r="AC145" s="1798"/>
      <c r="AD145" s="1798"/>
      <c r="AE145" s="1798"/>
      <c r="AF145" s="1798"/>
      <c r="AG145" s="1798"/>
      <c r="AH145" s="1798"/>
      <c r="AI145" s="1798"/>
      <c r="AJ145" s="1798"/>
      <c r="AK145" s="1889"/>
      <c r="AL145" s="1911"/>
      <c r="AM145" s="1862"/>
    </row>
    <row r="146" spans="2:41" ht="63" customHeight="1">
      <c r="B146" s="426"/>
      <c r="C146" s="264" t="s">
        <v>623</v>
      </c>
      <c r="D146" s="2081" t="s">
        <v>2080</v>
      </c>
      <c r="E146" s="1798"/>
      <c r="F146" s="1798"/>
      <c r="G146" s="1798"/>
      <c r="H146" s="1798"/>
      <c r="I146" s="1798"/>
      <c r="J146" s="1798"/>
      <c r="K146" s="1798"/>
      <c r="L146" s="1798"/>
      <c r="M146" s="1798"/>
      <c r="N146" s="1798"/>
      <c r="O146" s="1798"/>
      <c r="P146" s="1798"/>
      <c r="Q146" s="1798"/>
      <c r="R146" s="1798"/>
      <c r="S146" s="1798"/>
      <c r="T146" s="1798"/>
      <c r="U146" s="1798"/>
      <c r="V146" s="1798"/>
      <c r="W146" s="1798"/>
      <c r="X146" s="1798"/>
      <c r="Y146" s="1798"/>
      <c r="Z146" s="1798"/>
      <c r="AA146" s="1798"/>
      <c r="AB146" s="1798"/>
      <c r="AC146" s="1798"/>
      <c r="AD146" s="1798"/>
      <c r="AE146" s="1798"/>
      <c r="AF146" s="1798"/>
      <c r="AG146" s="1798"/>
      <c r="AH146" s="1798"/>
      <c r="AI146" s="1798"/>
      <c r="AJ146" s="1798"/>
      <c r="AK146" s="1798"/>
      <c r="AL146" s="1911"/>
      <c r="AM146" s="1862"/>
    </row>
    <row r="147" spans="2:41" s="58" customFormat="1" ht="54" customHeight="1">
      <c r="C147" s="264" t="s">
        <v>627</v>
      </c>
      <c r="D147" s="1802" t="s">
        <v>2081</v>
      </c>
      <c r="E147" s="1945"/>
      <c r="F147" s="1945"/>
      <c r="G147" s="1945"/>
      <c r="H147" s="1945"/>
      <c r="I147" s="1945"/>
      <c r="J147" s="1945"/>
      <c r="K147" s="1945"/>
      <c r="L147" s="1945"/>
      <c r="M147" s="1945"/>
      <c r="N147" s="1945"/>
      <c r="O147" s="1945"/>
      <c r="P147" s="1945"/>
      <c r="Q147" s="1945"/>
      <c r="R147" s="1945"/>
      <c r="S147" s="1945"/>
      <c r="T147" s="1945"/>
      <c r="U147" s="1945"/>
      <c r="V147" s="1945"/>
      <c r="W147" s="1945"/>
      <c r="X147" s="1945"/>
      <c r="Y147" s="1945"/>
      <c r="Z147" s="1945"/>
      <c r="AA147" s="1945"/>
      <c r="AB147" s="1945"/>
      <c r="AC147" s="1945"/>
      <c r="AD147" s="1945"/>
      <c r="AE147" s="1945"/>
      <c r="AF147" s="1945"/>
      <c r="AG147" s="1945"/>
      <c r="AH147" s="1945"/>
      <c r="AI147" s="1945"/>
      <c r="AJ147" s="1945"/>
      <c r="AK147" s="1945"/>
      <c r="AN147" s="15"/>
      <c r="AO147" s="15"/>
    </row>
    <row r="148" spans="2:41" ht="18" customHeight="1">
      <c r="B148" s="58"/>
      <c r="D148" s="2996" t="s">
        <v>2082</v>
      </c>
      <c r="E148" s="1798"/>
      <c r="F148" s="1798"/>
      <c r="G148" s="1798"/>
      <c r="H148" s="1798"/>
      <c r="I148" s="1798"/>
      <c r="J148" s="1798"/>
      <c r="K148" s="1798"/>
      <c r="L148" s="1798"/>
      <c r="M148" s="1798"/>
      <c r="N148" s="1889"/>
      <c r="O148" s="1973" t="b">
        <f>Taxcredit="Hybrid"</f>
        <v>0</v>
      </c>
      <c r="P148" s="1778"/>
      <c r="Q148" s="58"/>
      <c r="R148" s="58"/>
      <c r="S148" s="58"/>
      <c r="T148" s="58"/>
      <c r="U148" s="58"/>
      <c r="V148" s="58"/>
      <c r="W148" s="58"/>
      <c r="X148" s="58"/>
      <c r="Y148" s="58"/>
      <c r="Z148" s="58"/>
      <c r="AA148" s="58"/>
      <c r="AB148" s="58"/>
      <c r="AC148" s="58"/>
      <c r="AD148" s="58"/>
      <c r="AE148" s="58"/>
      <c r="AF148" s="58"/>
      <c r="AG148" s="58"/>
      <c r="AH148" s="58"/>
      <c r="AI148" s="58"/>
      <c r="AJ148" s="58"/>
      <c r="AK148" s="58"/>
      <c r="AL148" s="58"/>
      <c r="AM148" s="58"/>
    </row>
    <row r="149" spans="2:41" ht="36" hidden="1" customHeight="1">
      <c r="B149" s="58"/>
      <c r="C149" s="264"/>
      <c r="D149" s="1802" t="s">
        <v>2083</v>
      </c>
      <c r="E149" s="1798"/>
      <c r="F149" s="1798"/>
      <c r="G149" s="1798"/>
      <c r="H149" s="1798"/>
      <c r="I149" s="1798"/>
      <c r="J149" s="1798"/>
      <c r="K149" s="1798"/>
      <c r="L149" s="1798"/>
      <c r="M149" s="1798"/>
      <c r="N149" s="1798"/>
      <c r="O149" s="1798"/>
      <c r="P149" s="1798"/>
      <c r="Q149" s="1798"/>
      <c r="R149" s="1798"/>
      <c r="S149" s="1798"/>
      <c r="T149" s="1798"/>
      <c r="U149" s="1798"/>
      <c r="V149" s="1798"/>
      <c r="W149" s="1798"/>
      <c r="X149" s="1798"/>
      <c r="Y149" s="1798"/>
      <c r="Z149" s="1798"/>
      <c r="AA149" s="1798"/>
      <c r="AB149" s="1798"/>
      <c r="AC149" s="1798"/>
      <c r="AD149" s="1798"/>
      <c r="AE149" s="1798"/>
      <c r="AF149" s="1798"/>
      <c r="AG149" s="1798"/>
      <c r="AH149" s="1798"/>
      <c r="AI149" s="1798"/>
      <c r="AJ149" s="1798"/>
      <c r="AK149" s="1798"/>
      <c r="AL149" s="1911"/>
      <c r="AM149" s="1862"/>
    </row>
    <row r="150" spans="2:41" ht="18" customHeight="1">
      <c r="B150" s="2180" t="s">
        <v>1954</v>
      </c>
      <c r="C150" s="1798"/>
      <c r="D150" s="1798"/>
      <c r="E150" s="1798"/>
      <c r="F150" s="1798"/>
      <c r="G150" s="1798"/>
      <c r="H150" s="476"/>
      <c r="I150" s="476"/>
      <c r="J150" s="476"/>
      <c r="K150" s="476"/>
      <c r="L150" s="476"/>
      <c r="M150" s="476"/>
      <c r="N150" s="476"/>
      <c r="O150" s="476"/>
      <c r="P150" s="476"/>
      <c r="Q150" s="476"/>
      <c r="R150" s="476"/>
      <c r="S150" s="476"/>
      <c r="T150" s="476"/>
      <c r="U150" s="476"/>
      <c r="V150" s="476"/>
      <c r="W150" s="476"/>
      <c r="X150" s="476"/>
      <c r="Y150" s="476"/>
      <c r="Z150" s="476"/>
      <c r="AA150" s="476"/>
      <c r="AB150" s="476"/>
      <c r="AC150" s="476"/>
      <c r="AD150" s="476"/>
      <c r="AE150" s="476"/>
      <c r="AF150" s="476"/>
      <c r="AG150" s="476"/>
      <c r="AH150" s="476"/>
      <c r="AI150" s="476"/>
      <c r="AJ150" s="476"/>
      <c r="AK150" s="476"/>
      <c r="AL150" s="476"/>
      <c r="AM150" s="476"/>
    </row>
    <row r="151" spans="2:41" ht="81" customHeight="1">
      <c r="B151" s="2003"/>
      <c r="C151" s="1861"/>
      <c r="D151" s="1861"/>
      <c r="E151" s="1861"/>
      <c r="F151" s="1861"/>
      <c r="G151" s="1861"/>
      <c r="H151" s="1861"/>
      <c r="I151" s="1861"/>
      <c r="J151" s="1861"/>
      <c r="K151" s="1861"/>
      <c r="L151" s="1861"/>
      <c r="M151" s="1861"/>
      <c r="N151" s="1861"/>
      <c r="O151" s="1861"/>
      <c r="P151" s="1861"/>
      <c r="Q151" s="1861"/>
      <c r="R151" s="1861"/>
      <c r="S151" s="1861"/>
      <c r="T151" s="1861"/>
      <c r="U151" s="1861"/>
      <c r="V151" s="1861"/>
      <c r="W151" s="1861"/>
      <c r="X151" s="1861"/>
      <c r="Y151" s="1861"/>
      <c r="Z151" s="1861"/>
      <c r="AA151" s="1861"/>
      <c r="AB151" s="1861"/>
      <c r="AC151" s="1861"/>
      <c r="AD151" s="1861"/>
      <c r="AE151" s="1861"/>
      <c r="AF151" s="1861"/>
      <c r="AG151" s="1861"/>
      <c r="AH151" s="1861"/>
      <c r="AI151" s="1861"/>
      <c r="AJ151" s="1861"/>
      <c r="AK151" s="1861"/>
      <c r="AL151" s="1861"/>
      <c r="AM151" s="1862"/>
    </row>
    <row r="153" spans="2:41" ht="18" customHeight="1">
      <c r="B153" s="244" t="s">
        <v>627</v>
      </c>
      <c r="C153" s="2993" t="str">
        <f>IF(AND(IsVhhp,Scoring!$AK$3&gt;=85),"P","O")</f>
        <v>O</v>
      </c>
      <c r="D153" s="1798"/>
    </row>
    <row r="154" spans="2:41" ht="54" customHeight="1">
      <c r="B154" s="244" t="s">
        <v>629</v>
      </c>
      <c r="C154" s="2989" t="s">
        <v>2084</v>
      </c>
      <c r="D154" s="1798"/>
      <c r="E154" s="1798"/>
      <c r="F154" s="1798"/>
      <c r="G154" s="1798"/>
      <c r="H154" s="1798"/>
      <c r="I154" s="1798"/>
      <c r="J154" s="1798"/>
      <c r="K154" s="1798"/>
      <c r="L154" s="1798"/>
      <c r="M154" s="1798"/>
      <c r="N154" s="1798"/>
      <c r="O154" s="1798"/>
      <c r="P154" s="1798"/>
      <c r="Q154" s="1798"/>
      <c r="R154" s="1798"/>
      <c r="S154" s="1798"/>
      <c r="T154" s="1798"/>
      <c r="U154" s="1798"/>
      <c r="V154" s="1798"/>
      <c r="W154" s="1798"/>
      <c r="X154" s="1798"/>
      <c r="Y154" s="1798"/>
      <c r="Z154" s="1798"/>
      <c r="AA154" s="1798"/>
      <c r="AB154" s="1798"/>
      <c r="AC154" s="1798"/>
      <c r="AD154" s="1798"/>
      <c r="AE154" s="1798"/>
      <c r="AF154" s="1798"/>
      <c r="AG154" s="1798"/>
      <c r="AH154" s="1798"/>
      <c r="AI154" s="1798"/>
      <c r="AJ154" s="1798"/>
      <c r="AK154" s="1889"/>
      <c r="AL154" s="1911"/>
      <c r="AM154" s="1862"/>
    </row>
    <row r="155" spans="2:41" ht="36" customHeight="1">
      <c r="B155" s="244" t="s">
        <v>1974</v>
      </c>
      <c r="C155" s="2989" t="s">
        <v>2085</v>
      </c>
      <c r="D155" s="1798"/>
      <c r="E155" s="1798"/>
      <c r="F155" s="1798"/>
      <c r="G155" s="1798"/>
      <c r="H155" s="1798"/>
      <c r="I155" s="1798"/>
      <c r="J155" s="1798"/>
      <c r="K155" s="1798"/>
      <c r="L155" s="1798"/>
      <c r="M155" s="1798"/>
      <c r="N155" s="1798"/>
      <c r="O155" s="1798"/>
      <c r="P155" s="1798"/>
      <c r="Q155" s="1798"/>
      <c r="R155" s="1798"/>
      <c r="S155" s="1798"/>
      <c r="T155" s="1798"/>
      <c r="U155" s="1798"/>
      <c r="V155" s="1798"/>
      <c r="W155" s="1798"/>
      <c r="X155" s="1798"/>
      <c r="Y155" s="1798"/>
      <c r="Z155" s="1798"/>
      <c r="AA155" s="1798"/>
      <c r="AB155" s="1798"/>
      <c r="AC155" s="1798"/>
      <c r="AD155" s="1798"/>
      <c r="AE155" s="1798"/>
      <c r="AF155" s="1798"/>
      <c r="AG155" s="1798"/>
      <c r="AH155" s="1798"/>
      <c r="AI155" s="1798"/>
      <c r="AJ155" s="1798"/>
      <c r="AK155" s="1889"/>
      <c r="AL155" s="1911"/>
      <c r="AM155" s="1862"/>
    </row>
    <row r="156" spans="2:41" ht="18" customHeight="1">
      <c r="B156" s="244" t="s">
        <v>1977</v>
      </c>
      <c r="C156" s="2993" t="str">
        <f>IF(AND(IsVhhp,'Project Overview'!$AL$499="Yes"),"P","O")</f>
        <v>O</v>
      </c>
      <c r="D156" s="1798"/>
      <c r="E156" s="382"/>
      <c r="F156" s="382"/>
      <c r="G156" s="382"/>
      <c r="H156" s="382"/>
      <c r="I156" s="382"/>
      <c r="J156" s="382"/>
      <c r="K156" s="382"/>
      <c r="L156" s="382"/>
      <c r="M156" s="382"/>
      <c r="N156" s="382"/>
      <c r="O156" s="382"/>
      <c r="P156" s="382"/>
      <c r="Q156" s="382"/>
      <c r="R156" s="382"/>
      <c r="S156" s="382"/>
      <c r="T156" s="382"/>
      <c r="U156" s="382"/>
      <c r="V156" s="382"/>
      <c r="W156" s="382"/>
      <c r="X156" s="382"/>
      <c r="Y156" s="382"/>
      <c r="Z156" s="382"/>
      <c r="AA156" s="382"/>
      <c r="AB156" s="382"/>
      <c r="AC156" s="382"/>
      <c r="AD156" s="382"/>
      <c r="AE156" s="382"/>
      <c r="AF156" s="382"/>
      <c r="AG156" s="382"/>
      <c r="AH156" s="382"/>
      <c r="AI156" s="382"/>
      <c r="AJ156" s="382"/>
      <c r="AK156" s="382"/>
      <c r="AL156" s="382"/>
      <c r="AM156" s="382"/>
    </row>
    <row r="157" spans="2:41" ht="18" customHeight="1">
      <c r="B157" s="244" t="s">
        <v>648</v>
      </c>
      <c r="C157" s="2993" t="str">
        <f>IF(AND(IsVhhp,'Project Overview'!$AL$505="Yes"),"P","O")</f>
        <v>O</v>
      </c>
      <c r="D157" s="1798"/>
      <c r="E157" s="382"/>
      <c r="F157" s="382"/>
      <c r="G157" s="382"/>
      <c r="H157" s="382"/>
      <c r="I157" s="382"/>
      <c r="J157" s="382"/>
      <c r="K157" s="382"/>
      <c r="L157" s="382"/>
      <c r="M157" s="382"/>
      <c r="N157" s="382"/>
      <c r="O157" s="382"/>
      <c r="P157" s="382"/>
      <c r="Q157" s="382"/>
      <c r="R157" s="382"/>
      <c r="S157" s="382"/>
      <c r="T157" s="382"/>
      <c r="U157" s="382"/>
      <c r="V157" s="382"/>
      <c r="W157" s="382"/>
      <c r="X157" s="382"/>
      <c r="Y157" s="382"/>
      <c r="Z157" s="382"/>
      <c r="AA157" s="382"/>
      <c r="AB157" s="382"/>
      <c r="AC157" s="382"/>
      <c r="AD157" s="382"/>
      <c r="AE157" s="382"/>
      <c r="AF157" s="382"/>
      <c r="AG157" s="382"/>
      <c r="AH157" s="382"/>
      <c r="AI157" s="382"/>
      <c r="AJ157" s="382"/>
      <c r="AK157" s="382"/>
      <c r="AL157" s="382"/>
      <c r="AM157" s="382"/>
    </row>
    <row r="158" spans="2:41" ht="36" customHeight="1">
      <c r="B158" s="244" t="s">
        <v>1980</v>
      </c>
      <c r="C158" s="1802" t="s">
        <v>2086</v>
      </c>
      <c r="D158" s="1798"/>
      <c r="E158" s="1798"/>
      <c r="F158" s="1798"/>
      <c r="G158" s="1798"/>
      <c r="H158" s="1798"/>
      <c r="I158" s="1798"/>
      <c r="J158" s="1798"/>
      <c r="K158" s="1798"/>
      <c r="L158" s="1798"/>
      <c r="M158" s="1798"/>
      <c r="N158" s="1798"/>
      <c r="O158" s="1798"/>
      <c r="P158" s="1798"/>
      <c r="Q158" s="1798"/>
      <c r="R158" s="1798"/>
      <c r="S158" s="1798"/>
      <c r="T158" s="1798"/>
      <c r="U158" s="1798"/>
      <c r="V158" s="1798"/>
      <c r="W158" s="1798"/>
      <c r="X158" s="1798"/>
      <c r="Y158" s="1798"/>
      <c r="Z158" s="1798"/>
      <c r="AA158" s="1798"/>
      <c r="AB158" s="1798"/>
      <c r="AC158" s="1798"/>
      <c r="AD158" s="1798"/>
      <c r="AE158" s="1798"/>
      <c r="AF158" s="1798"/>
      <c r="AG158" s="1798"/>
      <c r="AH158" s="1798"/>
      <c r="AI158" s="1798"/>
      <c r="AJ158" s="1798"/>
      <c r="AK158" s="1798"/>
      <c r="AL158" s="1911"/>
      <c r="AM158" s="1862"/>
    </row>
    <row r="159" spans="2:41" ht="18" customHeight="1">
      <c r="B159" s="244" t="s">
        <v>1985</v>
      </c>
      <c r="C159" s="2993" t="str">
        <f>IF(AND(IsVhhp,'Project Overview'!$AL$152="Yes"),"P","O")</f>
        <v>O</v>
      </c>
      <c r="D159" s="1798"/>
      <c r="E159" s="382"/>
      <c r="F159" s="382"/>
      <c r="G159" s="382"/>
      <c r="H159" s="382"/>
      <c r="I159" s="382"/>
      <c r="J159" s="382"/>
      <c r="K159" s="382"/>
      <c r="L159" s="382"/>
      <c r="M159" s="382"/>
      <c r="N159" s="382"/>
      <c r="O159" s="382"/>
      <c r="P159" s="382"/>
      <c r="Q159" s="382"/>
      <c r="R159" s="382"/>
      <c r="S159" s="382"/>
      <c r="T159" s="382"/>
      <c r="U159" s="382"/>
      <c r="V159" s="382"/>
      <c r="W159" s="382"/>
      <c r="X159" s="382"/>
      <c r="Y159" s="382"/>
      <c r="Z159" s="382"/>
      <c r="AA159" s="382"/>
      <c r="AB159" s="382"/>
      <c r="AC159" s="382"/>
      <c r="AD159" s="382"/>
      <c r="AE159" s="382"/>
      <c r="AF159" s="382"/>
      <c r="AG159" s="382"/>
      <c r="AH159" s="382"/>
      <c r="AI159" s="382"/>
      <c r="AJ159" s="382"/>
      <c r="AK159" s="382"/>
      <c r="AL159" s="382"/>
      <c r="AM159" s="382"/>
    </row>
    <row r="160" spans="2:41" ht="54" customHeight="1">
      <c r="B160" s="244" t="s">
        <v>1985</v>
      </c>
      <c r="C160" s="1802" t="s">
        <v>2087</v>
      </c>
      <c r="D160" s="1798"/>
      <c r="E160" s="1798"/>
      <c r="F160" s="1798"/>
      <c r="G160" s="1798"/>
      <c r="H160" s="1798"/>
      <c r="I160" s="1798"/>
      <c r="J160" s="1798"/>
      <c r="K160" s="1798"/>
      <c r="L160" s="1798"/>
      <c r="M160" s="1798"/>
      <c r="N160" s="1798"/>
      <c r="O160" s="1798"/>
      <c r="P160" s="1798"/>
      <c r="Q160" s="1798"/>
      <c r="R160" s="1798"/>
      <c r="S160" s="1798"/>
      <c r="T160" s="1798"/>
      <c r="U160" s="1798"/>
      <c r="V160" s="1798"/>
      <c r="W160" s="1798"/>
      <c r="X160" s="1798"/>
      <c r="Y160" s="1798"/>
      <c r="Z160" s="1798"/>
      <c r="AA160" s="1798"/>
      <c r="AB160" s="1798"/>
      <c r="AC160" s="1798"/>
      <c r="AD160" s="1798"/>
      <c r="AE160" s="1798"/>
      <c r="AF160" s="1798"/>
      <c r="AG160" s="1798"/>
      <c r="AH160" s="1798"/>
      <c r="AI160" s="1798"/>
      <c r="AJ160" s="1798"/>
      <c r="AK160" s="1798"/>
      <c r="AL160" s="1911"/>
      <c r="AM160" s="1862"/>
    </row>
    <row r="161" spans="2:42" ht="54" customHeight="1">
      <c r="B161" s="244" t="s">
        <v>1987</v>
      </c>
      <c r="C161" s="2989" t="s">
        <v>2088</v>
      </c>
      <c r="D161" s="1798"/>
      <c r="E161" s="1798"/>
      <c r="F161" s="1798"/>
      <c r="G161" s="1798"/>
      <c r="H161" s="1798"/>
      <c r="I161" s="1798"/>
      <c r="J161" s="1798"/>
      <c r="K161" s="1798"/>
      <c r="L161" s="1798"/>
      <c r="M161" s="1798"/>
      <c r="N161" s="1798"/>
      <c r="O161" s="1798"/>
      <c r="P161" s="1798"/>
      <c r="Q161" s="1798"/>
      <c r="R161" s="1798"/>
      <c r="S161" s="1798"/>
      <c r="T161" s="1798"/>
      <c r="U161" s="1798"/>
      <c r="V161" s="1798"/>
      <c r="W161" s="1798"/>
      <c r="X161" s="1798"/>
      <c r="Y161" s="1798"/>
      <c r="Z161" s="1798"/>
      <c r="AA161" s="1798"/>
      <c r="AB161" s="1798"/>
      <c r="AC161" s="1798"/>
      <c r="AD161" s="1798"/>
      <c r="AE161" s="1798"/>
      <c r="AF161" s="1798"/>
      <c r="AG161" s="1798"/>
      <c r="AH161" s="1798"/>
      <c r="AI161" s="1798"/>
      <c r="AJ161" s="1798"/>
      <c r="AK161" s="1889"/>
      <c r="AL161" s="1911"/>
      <c r="AM161" s="1862"/>
    </row>
    <row r="162" spans="2:42" ht="36" customHeight="1">
      <c r="B162" s="244" t="s">
        <v>2001</v>
      </c>
      <c r="C162" s="2989" t="s">
        <v>2089</v>
      </c>
      <c r="D162" s="1798"/>
      <c r="E162" s="1798"/>
      <c r="F162" s="1798"/>
      <c r="G162" s="1798"/>
      <c r="H162" s="1798"/>
      <c r="I162" s="1798"/>
      <c r="J162" s="1798"/>
      <c r="K162" s="1798"/>
      <c r="L162" s="1798"/>
      <c r="M162" s="1798"/>
      <c r="N162" s="1798"/>
      <c r="O162" s="1798"/>
      <c r="P162" s="1798"/>
      <c r="Q162" s="1798"/>
      <c r="R162" s="1798"/>
      <c r="S162" s="1798"/>
      <c r="T162" s="1798"/>
      <c r="U162" s="1798"/>
      <c r="V162" s="1798"/>
      <c r="W162" s="1798"/>
      <c r="X162" s="1798"/>
      <c r="Y162" s="1798"/>
      <c r="Z162" s="1798"/>
      <c r="AA162" s="1798"/>
      <c r="AB162" s="1798"/>
      <c r="AC162" s="1798"/>
      <c r="AD162" s="1798"/>
      <c r="AE162" s="1798"/>
      <c r="AF162" s="1798"/>
      <c r="AG162" s="1798"/>
      <c r="AH162" s="1798"/>
      <c r="AI162" s="1798"/>
      <c r="AJ162" s="1798"/>
      <c r="AK162" s="1889"/>
      <c r="AL162" s="1911"/>
      <c r="AM162" s="1862"/>
    </row>
    <row r="163" spans="2:42" ht="76.5" customHeight="1">
      <c r="B163" s="2268" t="s">
        <v>558</v>
      </c>
      <c r="C163" s="1777"/>
      <c r="D163" s="1778"/>
      <c r="E163" s="2179" t="str">
        <f>'Document Checklist-Full List'!$E$215</f>
        <v>113. Service Amenity List</v>
      </c>
      <c r="F163" s="1777"/>
      <c r="G163" s="1777"/>
      <c r="H163" s="1777"/>
      <c r="I163" s="1777"/>
      <c r="J163" s="1777"/>
      <c r="K163" s="1777"/>
      <c r="L163" s="1777"/>
      <c r="M163" s="1778"/>
      <c r="N163" s="2179" t="str">
        <f>'Document Checklist-Full List'!$N$215</f>
        <v xml:space="preserve">Projects that do not include Special Needs Units shall provide service amenities sufficient to achieve a minimum score of 7 points pursuant to TCAC Regulations, as set forth in CCR Title 4 §10325(c)(4)(B)List of service amenities qualifying for TCAC points, include service amenity name, number of service hours, and amount of TCAC points earned. </v>
      </c>
      <c r="O163" s="1777"/>
      <c r="P163" s="1777"/>
      <c r="Q163" s="1777"/>
      <c r="R163" s="1777"/>
      <c r="S163" s="1777"/>
      <c r="T163" s="1777"/>
      <c r="U163" s="1777"/>
      <c r="V163" s="1777"/>
      <c r="W163" s="1777"/>
      <c r="X163" s="1777"/>
      <c r="Y163" s="1777"/>
      <c r="Z163" s="1777"/>
      <c r="AA163" s="1777"/>
      <c r="AB163" s="1777"/>
      <c r="AC163" s="1777"/>
      <c r="AD163" s="1777"/>
      <c r="AE163" s="1778"/>
      <c r="AF163" s="1886" t="s">
        <v>559</v>
      </c>
      <c r="AG163" s="1777"/>
      <c r="AH163" s="1777"/>
      <c r="AI163" s="1777"/>
      <c r="AJ163" s="1777"/>
      <c r="AK163" s="1778"/>
      <c r="AL163" s="1911"/>
      <c r="AM163" s="1862"/>
    </row>
    <row r="164" spans="2:42" ht="18" customHeight="1">
      <c r="B164" s="244" t="s">
        <v>2005</v>
      </c>
      <c r="C164" s="2180" t="s">
        <v>2090</v>
      </c>
      <c r="D164" s="1798"/>
      <c r="E164" s="1798"/>
      <c r="F164" s="1798"/>
      <c r="G164" s="1798"/>
      <c r="H164" s="1798"/>
      <c r="I164" s="1798"/>
      <c r="J164" s="1798"/>
      <c r="K164" s="1798"/>
      <c r="L164" s="1798"/>
      <c r="M164" s="1798"/>
      <c r="N164" s="1798"/>
      <c r="O164" s="1798"/>
      <c r="P164" s="1798"/>
      <c r="Q164" s="1798"/>
      <c r="R164" s="1798"/>
      <c r="S164" s="1798"/>
      <c r="T164" s="1798"/>
      <c r="U164" s="1798"/>
      <c r="V164" s="1798"/>
      <c r="W164" s="1798"/>
      <c r="X164" s="1798"/>
      <c r="Y164" s="1798"/>
      <c r="Z164" s="1798"/>
      <c r="AA164" s="476"/>
      <c r="AB164" s="476"/>
      <c r="AC164" s="58"/>
      <c r="AD164" s="476"/>
      <c r="AE164" s="476"/>
      <c r="AF164" s="382"/>
      <c r="AG164" s="382"/>
      <c r="AH164" s="382"/>
      <c r="AI164" s="382"/>
      <c r="AJ164" s="382"/>
      <c r="AK164" s="382"/>
      <c r="AL164" s="1911"/>
      <c r="AM164" s="1862"/>
    </row>
    <row r="165" spans="2:42" ht="36" customHeight="1">
      <c r="B165" s="244" t="s">
        <v>2007</v>
      </c>
      <c r="C165" s="1802" t="s">
        <v>2091</v>
      </c>
      <c r="D165" s="1798"/>
      <c r="E165" s="1798"/>
      <c r="F165" s="1798"/>
      <c r="G165" s="1798"/>
      <c r="H165" s="1798"/>
      <c r="I165" s="1798"/>
      <c r="J165" s="1798"/>
      <c r="K165" s="1798"/>
      <c r="L165" s="1798"/>
      <c r="M165" s="1798"/>
      <c r="N165" s="1798"/>
      <c r="O165" s="1798"/>
      <c r="P165" s="1798"/>
      <c r="Q165" s="1798"/>
      <c r="R165" s="1798"/>
      <c r="S165" s="1798"/>
      <c r="T165" s="1798"/>
      <c r="U165" s="1798"/>
      <c r="V165" s="1798"/>
      <c r="W165" s="1798"/>
      <c r="X165" s="1798"/>
      <c r="Y165" s="1798"/>
      <c r="Z165" s="1798"/>
      <c r="AA165" s="1798"/>
      <c r="AB165" s="1798"/>
      <c r="AC165" s="1798"/>
      <c r="AD165" s="1798"/>
      <c r="AE165" s="1798"/>
      <c r="AF165" s="1798"/>
      <c r="AG165" s="1798"/>
      <c r="AH165" s="1798"/>
      <c r="AI165" s="1798"/>
      <c r="AJ165" s="1798"/>
      <c r="AK165" s="476"/>
      <c r="AL165" s="1911"/>
      <c r="AM165" s="1862"/>
    </row>
    <row r="166" spans="2:42" ht="77.25" hidden="1" customHeight="1">
      <c r="B166" s="244"/>
      <c r="C166" s="269" t="s">
        <v>613</v>
      </c>
      <c r="D166" s="1802" t="s">
        <v>2092</v>
      </c>
      <c r="E166" s="1798"/>
      <c r="F166" s="1798"/>
      <c r="G166" s="1798"/>
      <c r="H166" s="1798"/>
      <c r="I166" s="1798"/>
      <c r="J166" s="1798"/>
      <c r="K166" s="1798"/>
      <c r="L166" s="1798"/>
      <c r="M166" s="1798"/>
      <c r="N166" s="1798"/>
      <c r="O166" s="1798"/>
      <c r="P166" s="1798"/>
      <c r="Q166" s="1798"/>
      <c r="R166" s="1798"/>
      <c r="S166" s="1798"/>
      <c r="T166" s="1798"/>
      <c r="U166" s="1798"/>
      <c r="V166" s="1798"/>
      <c r="W166" s="1798"/>
      <c r="X166" s="1798"/>
      <c r="Y166" s="1798"/>
      <c r="Z166" s="1798"/>
      <c r="AA166" s="1798"/>
      <c r="AB166" s="1798"/>
      <c r="AC166" s="1798"/>
      <c r="AD166" s="1798"/>
      <c r="AE166" s="1798"/>
      <c r="AF166" s="1798"/>
      <c r="AG166" s="1798"/>
      <c r="AH166" s="1798"/>
      <c r="AI166" s="1798"/>
      <c r="AJ166" s="1798"/>
      <c r="AK166" s="1798"/>
      <c r="AL166" s="382"/>
      <c r="AM166" s="382"/>
    </row>
    <row r="167" spans="2:42" ht="63" hidden="1" customHeight="1">
      <c r="B167" s="244"/>
      <c r="C167" s="269" t="s">
        <v>615</v>
      </c>
      <c r="D167" s="1802" t="s">
        <v>2093</v>
      </c>
      <c r="E167" s="1798"/>
      <c r="F167" s="1798"/>
      <c r="G167" s="1798"/>
      <c r="H167" s="1798"/>
      <c r="I167" s="1798"/>
      <c r="J167" s="1798"/>
      <c r="K167" s="1798"/>
      <c r="L167" s="1798"/>
      <c r="M167" s="1798"/>
      <c r="N167" s="1798"/>
      <c r="O167" s="1798"/>
      <c r="P167" s="1798"/>
      <c r="Q167" s="1798"/>
      <c r="R167" s="1798"/>
      <c r="S167" s="1798"/>
      <c r="T167" s="1798"/>
      <c r="U167" s="1798"/>
      <c r="V167" s="1798"/>
      <c r="W167" s="1798"/>
      <c r="X167" s="1798"/>
      <c r="Y167" s="1798"/>
      <c r="Z167" s="1798"/>
      <c r="AA167" s="1798"/>
      <c r="AB167" s="1798"/>
      <c r="AC167" s="1798"/>
      <c r="AD167" s="1798"/>
      <c r="AE167" s="1798"/>
      <c r="AF167" s="1798"/>
      <c r="AG167" s="1798"/>
      <c r="AH167" s="1798"/>
      <c r="AI167" s="1798"/>
      <c r="AJ167" s="1798"/>
      <c r="AK167" s="1798"/>
      <c r="AL167" s="382"/>
      <c r="AM167" s="382"/>
    </row>
    <row r="168" spans="2:42" ht="18" hidden="1" customHeight="1">
      <c r="B168" s="244"/>
      <c r="C168" s="269" t="s">
        <v>617</v>
      </c>
      <c r="D168" s="2989" t="s">
        <v>2094</v>
      </c>
      <c r="E168" s="1798"/>
      <c r="F168" s="1798"/>
      <c r="G168" s="1798"/>
      <c r="H168" s="1798"/>
      <c r="I168" s="1798"/>
      <c r="J168" s="1798"/>
      <c r="K168" s="1798"/>
      <c r="L168" s="1798"/>
      <c r="M168" s="1798"/>
      <c r="N168" s="1798"/>
      <c r="O168" s="1798"/>
      <c r="P168" s="1798"/>
      <c r="Q168" s="1798"/>
      <c r="R168" s="1798"/>
      <c r="S168" s="1798"/>
      <c r="T168" s="1798"/>
      <c r="U168" s="1798"/>
      <c r="V168" s="1798"/>
      <c r="W168" s="1798"/>
      <c r="X168" s="1798"/>
      <c r="Y168" s="1798"/>
      <c r="Z168" s="1798"/>
      <c r="AA168" s="1798"/>
      <c r="AB168" s="1798"/>
      <c r="AC168" s="1798"/>
      <c r="AD168" s="1798"/>
      <c r="AE168" s="1798"/>
      <c r="AF168" s="1798"/>
      <c r="AG168" s="1798"/>
      <c r="AH168" s="1798"/>
      <c r="AI168" s="1798"/>
      <c r="AJ168" s="1798"/>
      <c r="AK168" s="1889"/>
      <c r="AL168" s="1911"/>
      <c r="AM168" s="1862"/>
    </row>
    <row r="169" spans="2:42" ht="36" hidden="1" customHeight="1">
      <c r="B169" s="271"/>
      <c r="C169" s="267"/>
      <c r="D169" s="267" t="s">
        <v>1989</v>
      </c>
      <c r="E169" s="1802" t="s">
        <v>2095</v>
      </c>
      <c r="F169" s="1798"/>
      <c r="G169" s="1798"/>
      <c r="H169" s="1798"/>
      <c r="I169" s="1798"/>
      <c r="J169" s="1798"/>
      <c r="K169" s="1798"/>
      <c r="L169" s="1798"/>
      <c r="M169" s="1798"/>
      <c r="N169" s="1798"/>
      <c r="O169" s="1798"/>
      <c r="P169" s="1798"/>
      <c r="Q169" s="1798"/>
      <c r="R169" s="1798"/>
      <c r="S169" s="1798"/>
      <c r="T169" s="1798"/>
      <c r="U169" s="1798"/>
      <c r="V169" s="1798"/>
      <c r="W169" s="1798"/>
      <c r="X169" s="1798"/>
      <c r="Y169" s="1798"/>
      <c r="Z169" s="1798"/>
      <c r="AA169" s="1798"/>
      <c r="AB169" s="1798"/>
      <c r="AC169" s="1798"/>
      <c r="AD169" s="1798"/>
      <c r="AE169" s="1798"/>
      <c r="AF169" s="1798"/>
      <c r="AG169" s="1798"/>
      <c r="AH169" s="1798"/>
      <c r="AI169" s="1798"/>
      <c r="AJ169" s="1798"/>
      <c r="AK169" s="1798"/>
      <c r="AL169" s="476"/>
      <c r="AM169" s="476"/>
    </row>
    <row r="170" spans="2:42" ht="18" hidden="1" customHeight="1">
      <c r="B170" s="271"/>
      <c r="C170" s="267"/>
      <c r="D170" s="267" t="s">
        <v>1990</v>
      </c>
      <c r="E170" s="2180" t="s">
        <v>2096</v>
      </c>
      <c r="F170" s="1798"/>
      <c r="G170" s="1798"/>
      <c r="H170" s="1798"/>
      <c r="I170" s="1798"/>
      <c r="J170" s="1798"/>
      <c r="K170" s="1798"/>
      <c r="L170" s="1798"/>
      <c r="M170" s="1798"/>
      <c r="N170" s="1798"/>
      <c r="O170" s="1798"/>
      <c r="P170" s="1798"/>
      <c r="Q170" s="1798"/>
      <c r="R170" s="1798"/>
      <c r="S170" s="1798"/>
      <c r="T170" s="1798"/>
      <c r="U170" s="1798"/>
      <c r="V170" s="1798"/>
      <c r="W170" s="1798"/>
      <c r="X170" s="1798"/>
      <c r="Y170" s="1798"/>
      <c r="Z170" s="1798"/>
      <c r="AA170" s="1798"/>
      <c r="AB170" s="1798"/>
      <c r="AC170" s="1798"/>
      <c r="AD170" s="1798"/>
      <c r="AE170" s="1798"/>
      <c r="AF170" s="1798"/>
      <c r="AG170" s="1798"/>
      <c r="AH170" s="1798"/>
      <c r="AI170" s="1798"/>
      <c r="AJ170" s="1798"/>
      <c r="AK170" s="1798"/>
      <c r="AL170" s="476"/>
      <c r="AM170" s="476"/>
    </row>
    <row r="171" spans="2:42" ht="76.5" hidden="1" customHeight="1">
      <c r="B171" s="58"/>
      <c r="C171" s="269" t="s">
        <v>634</v>
      </c>
      <c r="D171" s="1802" t="s">
        <v>2097</v>
      </c>
      <c r="E171" s="1798"/>
      <c r="F171" s="1798"/>
      <c r="G171" s="1798"/>
      <c r="H171" s="1798"/>
      <c r="I171" s="1798"/>
      <c r="J171" s="1798"/>
      <c r="K171" s="1798"/>
      <c r="L171" s="1798"/>
      <c r="M171" s="1798"/>
      <c r="N171" s="1798"/>
      <c r="O171" s="1798"/>
      <c r="P171" s="1798"/>
      <c r="Q171" s="1798"/>
      <c r="R171" s="1798"/>
      <c r="S171" s="1798"/>
      <c r="T171" s="1798"/>
      <c r="U171" s="1798"/>
      <c r="V171" s="1798"/>
      <c r="W171" s="1798"/>
      <c r="X171" s="1798"/>
      <c r="Y171" s="1798"/>
      <c r="Z171" s="1798"/>
      <c r="AA171" s="1798"/>
      <c r="AB171" s="1798"/>
      <c r="AC171" s="1798"/>
      <c r="AD171" s="1798"/>
      <c r="AE171" s="1798"/>
      <c r="AF171" s="1798"/>
      <c r="AG171" s="1798"/>
      <c r="AH171" s="1798"/>
      <c r="AI171" s="1798"/>
      <c r="AJ171" s="1798"/>
      <c r="AK171" s="1798"/>
      <c r="AL171" s="1911"/>
      <c r="AM171" s="1862"/>
    </row>
    <row r="172" spans="2:42" ht="18" customHeight="1">
      <c r="B172" s="244" t="s">
        <v>2008</v>
      </c>
      <c r="C172" s="2180" t="s">
        <v>2098</v>
      </c>
      <c r="D172" s="1798"/>
      <c r="E172" s="1798"/>
      <c r="F172" s="1798"/>
      <c r="G172" s="1798"/>
      <c r="H172" s="1798"/>
      <c r="I172" s="1798"/>
      <c r="J172" s="1798"/>
      <c r="K172" s="1798"/>
      <c r="L172" s="1798"/>
      <c r="M172" s="1798"/>
      <c r="N172" s="1798"/>
      <c r="O172" s="1798"/>
      <c r="P172" s="1798"/>
      <c r="Q172" s="1798"/>
      <c r="R172" s="1798"/>
      <c r="S172" s="1798"/>
      <c r="T172" s="1798"/>
      <c r="U172" s="1798"/>
      <c r="V172" s="1798"/>
      <c r="W172" s="1798"/>
      <c r="X172" s="1798"/>
      <c r="Y172" s="1798"/>
      <c r="Z172" s="1798"/>
      <c r="AA172" s="1798"/>
      <c r="AB172" s="1798"/>
      <c r="AC172" s="1798"/>
      <c r="AD172" s="1798"/>
      <c r="AE172" s="1798"/>
      <c r="AF172" s="1798"/>
      <c r="AG172" s="1798"/>
      <c r="AH172" s="1798"/>
      <c r="AI172" s="1798"/>
      <c r="AJ172" s="1798"/>
      <c r="AK172" s="1798"/>
      <c r="AL172" s="1911"/>
      <c r="AM172" s="1862"/>
    </row>
    <row r="173" spans="2:42" s="58" customFormat="1" ht="54" customHeight="1">
      <c r="B173" s="244" t="s">
        <v>2010</v>
      </c>
      <c r="C173" s="1806" t="s">
        <v>2099</v>
      </c>
      <c r="D173" s="1945"/>
      <c r="E173" s="1945"/>
      <c r="F173" s="1945"/>
      <c r="G173" s="1945"/>
      <c r="H173" s="1945"/>
      <c r="I173" s="1945"/>
      <c r="J173" s="1945"/>
      <c r="K173" s="1945"/>
      <c r="L173" s="1945"/>
      <c r="M173" s="1945"/>
      <c r="N173" s="1945"/>
      <c r="O173" s="1945"/>
      <c r="P173" s="1945"/>
      <c r="Q173" s="1945"/>
      <c r="R173" s="1945"/>
      <c r="S173" s="1945"/>
      <c r="T173" s="1945"/>
      <c r="U173" s="1945"/>
      <c r="V173" s="1945"/>
      <c r="W173" s="1945"/>
      <c r="X173" s="1945"/>
      <c r="Y173" s="1945"/>
      <c r="Z173" s="1945"/>
      <c r="AA173" s="1945"/>
      <c r="AB173" s="1945"/>
      <c r="AC173" s="1945"/>
      <c r="AD173" s="1945"/>
      <c r="AE173" s="1945"/>
      <c r="AF173" s="1945"/>
      <c r="AG173" s="1945"/>
      <c r="AH173" s="1945"/>
      <c r="AI173" s="1945"/>
      <c r="AJ173" s="1945"/>
      <c r="AK173" s="1945"/>
      <c r="AL173" s="1911"/>
      <c r="AM173" s="1862"/>
      <c r="AP173" s="15"/>
    </row>
    <row r="174" spans="2:42" s="58" customFormat="1" ht="36" customHeight="1">
      <c r="B174" s="2268" t="s">
        <v>558</v>
      </c>
      <c r="C174" s="1777"/>
      <c r="D174" s="1778"/>
      <c r="E174" s="2179" t="str">
        <f>'Document Checklist-Full List'!$E$216</f>
        <v>114. Preference Policy for Occupancy</v>
      </c>
      <c r="F174" s="1777"/>
      <c r="G174" s="1777"/>
      <c r="H174" s="1777"/>
      <c r="I174" s="1777"/>
      <c r="J174" s="1777"/>
      <c r="K174" s="1777"/>
      <c r="L174" s="1777"/>
      <c r="M174" s="1778"/>
      <c r="N174" s="2179" t="str">
        <f>'Document Checklist-Full List'!$N$216</f>
        <v>Provide a written analysis of how the project complies with all applicable state and federal law with respect to any preference policies for occupancy.</v>
      </c>
      <c r="O174" s="1777"/>
      <c r="P174" s="1777"/>
      <c r="Q174" s="1777"/>
      <c r="R174" s="1777"/>
      <c r="S174" s="1777"/>
      <c r="T174" s="1777"/>
      <c r="U174" s="1777"/>
      <c r="V174" s="1777"/>
      <c r="W174" s="1777"/>
      <c r="X174" s="1777"/>
      <c r="Y174" s="1777"/>
      <c r="Z174" s="1777"/>
      <c r="AA174" s="1777"/>
      <c r="AB174" s="1777"/>
      <c r="AC174" s="1777"/>
      <c r="AD174" s="1777"/>
      <c r="AE174" s="1778"/>
      <c r="AF174" s="1886" t="s">
        <v>559</v>
      </c>
      <c r="AG174" s="1777"/>
      <c r="AH174" s="1777"/>
      <c r="AI174" s="1777"/>
      <c r="AJ174" s="1777"/>
      <c r="AK174" s="1778"/>
      <c r="AL174" s="1911"/>
      <c r="AM174" s="1862"/>
    </row>
    <row r="175" spans="2:42" s="58" customFormat="1" ht="18" customHeight="1"/>
    <row r="176" spans="2:42" s="58" customFormat="1" ht="18" customHeight="1">
      <c r="C176" s="2998" t="s">
        <v>2100</v>
      </c>
      <c r="D176" s="1945"/>
      <c r="E176" s="1945"/>
      <c r="F176" s="1945"/>
      <c r="G176" s="1945"/>
      <c r="H176" s="1945"/>
      <c r="I176" s="1945"/>
      <c r="J176" s="1945"/>
      <c r="K176" s="1945"/>
      <c r="L176" s="1945"/>
      <c r="M176" s="1945"/>
      <c r="N176" s="1945"/>
      <c r="O176" s="1945"/>
      <c r="P176" s="1945"/>
      <c r="Q176" s="1945"/>
      <c r="R176" s="1945"/>
      <c r="S176" s="1945"/>
      <c r="T176" s="1945"/>
      <c r="U176" s="1945"/>
      <c r="V176" s="1945"/>
      <c r="W176" s="1945"/>
      <c r="X176" s="1945"/>
      <c r="Y176" s="1945"/>
      <c r="Z176" s="1945"/>
      <c r="AA176" s="1945"/>
      <c r="AB176" s="1945"/>
      <c r="AC176" s="1945"/>
      <c r="AD176" s="1945"/>
      <c r="AE176" s="1945"/>
      <c r="AF176" s="1945"/>
      <c r="AG176" s="1945"/>
      <c r="AH176" s="1945"/>
      <c r="AI176" s="1945"/>
      <c r="AJ176" s="1945"/>
      <c r="AK176" s="1945"/>
    </row>
    <row r="177" spans="3:39" s="58" customFormat="1" ht="36" customHeight="1">
      <c r="C177" s="426" t="s">
        <v>608</v>
      </c>
      <c r="D177" s="1802" t="s">
        <v>2101</v>
      </c>
      <c r="E177" s="1945"/>
      <c r="F177" s="1945"/>
      <c r="G177" s="1945"/>
      <c r="H177" s="1945"/>
      <c r="I177" s="1945"/>
      <c r="J177" s="1945"/>
      <c r="K177" s="1945"/>
      <c r="L177" s="1945"/>
      <c r="M177" s="1945"/>
      <c r="N177" s="1945"/>
      <c r="O177" s="1945"/>
      <c r="P177" s="1945"/>
      <c r="Q177" s="1945"/>
      <c r="R177" s="1945"/>
      <c r="S177" s="1945"/>
      <c r="T177" s="1945"/>
      <c r="U177" s="1945"/>
      <c r="V177" s="1945"/>
      <c r="W177" s="1945"/>
      <c r="X177" s="1945"/>
      <c r="Y177" s="1945"/>
      <c r="Z177" s="1945"/>
      <c r="AA177" s="1945"/>
      <c r="AB177" s="1945"/>
      <c r="AC177" s="1945"/>
      <c r="AD177" s="1945"/>
      <c r="AE177" s="1945"/>
      <c r="AF177" s="1945"/>
      <c r="AG177" s="1945"/>
      <c r="AH177" s="1945"/>
      <c r="AI177" s="1945"/>
      <c r="AJ177" s="1945"/>
      <c r="AK177" s="1945"/>
    </row>
    <row r="178" spans="3:39" s="58" customFormat="1" ht="36" customHeight="1">
      <c r="D178" s="561" t="s">
        <v>613</v>
      </c>
      <c r="E178" s="1802" t="s">
        <v>2102</v>
      </c>
      <c r="F178" s="1945"/>
      <c r="G178" s="1945"/>
      <c r="H178" s="1945"/>
      <c r="I178" s="1945"/>
      <c r="J178" s="1945"/>
      <c r="K178" s="1945"/>
      <c r="L178" s="1945"/>
      <c r="M178" s="1945"/>
      <c r="N178" s="1945"/>
      <c r="O178" s="1945"/>
      <c r="P178" s="1945"/>
      <c r="Q178" s="1945"/>
      <c r="R178" s="1945"/>
      <c r="S178" s="1945"/>
      <c r="T178" s="1945"/>
      <c r="U178" s="1945"/>
      <c r="V178" s="1945"/>
      <c r="W178" s="1945"/>
      <c r="X178" s="1945"/>
      <c r="Y178" s="1945"/>
      <c r="Z178" s="1945"/>
      <c r="AA178" s="1945"/>
      <c r="AB178" s="1945"/>
      <c r="AC178" s="1945"/>
      <c r="AD178" s="1945"/>
      <c r="AE178" s="1945"/>
      <c r="AF178" s="1945"/>
      <c r="AG178" s="1945"/>
      <c r="AH178" s="1945"/>
      <c r="AI178" s="1945"/>
      <c r="AJ178" s="1945"/>
      <c r="AK178" s="1945"/>
    </row>
    <row r="179" spans="3:39" s="58" customFormat="1" ht="18" customHeight="1">
      <c r="E179" s="561" t="s">
        <v>1989</v>
      </c>
      <c r="F179" s="2999" t="s">
        <v>2103</v>
      </c>
      <c r="G179" s="1945"/>
      <c r="H179" s="1945"/>
      <c r="I179" s="1945"/>
      <c r="J179" s="1945"/>
      <c r="K179" s="1945"/>
      <c r="L179" s="1945"/>
      <c r="M179" s="1945"/>
      <c r="N179" s="1945"/>
      <c r="O179" s="1945"/>
      <c r="P179" s="1945"/>
      <c r="Q179" s="1945"/>
      <c r="R179" s="1945"/>
      <c r="S179" s="1945"/>
      <c r="T179" s="1945"/>
      <c r="U179" s="1945"/>
      <c r="V179" s="1945"/>
      <c r="W179" s="1945"/>
      <c r="X179" s="1945"/>
      <c r="Y179" s="1945"/>
      <c r="Z179" s="1945"/>
      <c r="AA179" s="1945"/>
      <c r="AB179" s="1945"/>
      <c r="AC179" s="1945"/>
      <c r="AD179" s="1945"/>
      <c r="AE179" s="1945"/>
      <c r="AF179" s="1945"/>
      <c r="AG179" s="1945"/>
      <c r="AH179" s="1945"/>
      <c r="AI179" s="1945"/>
      <c r="AJ179" s="1945"/>
      <c r="AK179" s="1945"/>
    </row>
    <row r="180" spans="3:39" s="58" customFormat="1" ht="18" customHeight="1">
      <c r="F180" s="2180" t="s">
        <v>2104</v>
      </c>
      <c r="G180" s="1945"/>
      <c r="H180" s="1945"/>
      <c r="I180" s="1945"/>
      <c r="J180" s="1945"/>
      <c r="K180" s="1945"/>
      <c r="L180" s="1945"/>
      <c r="M180" s="2764"/>
      <c r="N180" s="1861"/>
      <c r="O180" s="1861"/>
      <c r="P180" s="1861"/>
      <c r="Q180" s="1861"/>
      <c r="R180" s="1861"/>
      <c r="S180" s="1861"/>
      <c r="T180" s="1861"/>
      <c r="U180" s="1861"/>
      <c r="V180" s="1862"/>
      <c r="X180" s="1929" t="s">
        <v>2105</v>
      </c>
      <c r="Y180" s="1945"/>
      <c r="Z180" s="2764"/>
      <c r="AA180" s="1861"/>
      <c r="AB180" s="1861"/>
      <c r="AC180" s="1861"/>
      <c r="AD180" s="1861"/>
      <c r="AE180" s="1861"/>
      <c r="AF180" s="1861"/>
      <c r="AG180" s="1861"/>
      <c r="AH180" s="1861"/>
      <c r="AI180" s="1861"/>
      <c r="AJ180" s="1861"/>
      <c r="AK180" s="1862"/>
    </row>
    <row r="181" spans="3:39" s="58" customFormat="1" ht="18" customHeight="1">
      <c r="F181" s="2180" t="s">
        <v>2106</v>
      </c>
      <c r="G181" s="1945"/>
      <c r="H181" s="1945"/>
      <c r="I181" s="1945"/>
      <c r="J181" s="1945"/>
      <c r="K181" s="1945"/>
      <c r="L181" s="1945"/>
      <c r="M181" s="2764"/>
      <c r="N181" s="1861"/>
      <c r="O181" s="1861"/>
      <c r="P181" s="1861"/>
      <c r="Q181" s="1861"/>
      <c r="R181" s="1861"/>
      <c r="S181" s="1861"/>
      <c r="T181" s="1861"/>
      <c r="U181" s="1861"/>
      <c r="V181" s="1862"/>
      <c r="X181" s="1929" t="s">
        <v>2107</v>
      </c>
      <c r="Y181" s="1945"/>
      <c r="Z181" s="3004"/>
      <c r="AA181" s="1864"/>
      <c r="AB181" s="1864"/>
      <c r="AC181" s="1865"/>
      <c r="AD181" s="3009" t="s">
        <v>2108</v>
      </c>
      <c r="AE181" s="1953"/>
      <c r="AF181" s="2100"/>
      <c r="AG181" s="1864"/>
      <c r="AH181" s="1864"/>
      <c r="AI181" s="1864"/>
      <c r="AJ181" s="1864"/>
      <c r="AK181" s="1865"/>
    </row>
    <row r="182" spans="3:39" s="58" customFormat="1" ht="36" customHeight="1">
      <c r="F182" s="2180" t="s">
        <v>2109</v>
      </c>
      <c r="G182" s="1945"/>
      <c r="H182" s="1945"/>
      <c r="I182" s="1945"/>
      <c r="J182" s="1945"/>
      <c r="K182" s="1945"/>
      <c r="L182" s="1945"/>
      <c r="M182" s="1945"/>
      <c r="N182" s="2183"/>
      <c r="O182" s="1861"/>
      <c r="P182" s="1861"/>
      <c r="Q182" s="1861"/>
      <c r="R182" s="1861"/>
      <c r="S182" s="1861"/>
      <c r="T182" s="1861"/>
      <c r="U182" s="1861"/>
      <c r="V182" s="1861"/>
      <c r="W182" s="1861"/>
      <c r="X182" s="1861"/>
      <c r="Y182" s="1861"/>
      <c r="Z182" s="1861"/>
      <c r="AA182" s="1861"/>
      <c r="AB182" s="1861"/>
      <c r="AC182" s="1861"/>
      <c r="AD182" s="1861"/>
      <c r="AE182" s="1861"/>
      <c r="AF182" s="1861"/>
      <c r="AG182" s="1861"/>
      <c r="AH182" s="1861"/>
      <c r="AI182" s="1861"/>
      <c r="AJ182" s="1861"/>
      <c r="AK182" s="1862"/>
    </row>
    <row r="183" spans="3:39" s="58" customFormat="1" ht="36" customHeight="1">
      <c r="E183" s="561" t="s">
        <v>1990</v>
      </c>
      <c r="F183" s="1802" t="s">
        <v>2110</v>
      </c>
      <c r="G183" s="1945"/>
      <c r="H183" s="1945"/>
      <c r="I183" s="1945"/>
      <c r="J183" s="1945"/>
      <c r="K183" s="1945"/>
      <c r="L183" s="1945"/>
      <c r="M183" s="1945"/>
      <c r="N183" s="1945"/>
      <c r="O183" s="1945"/>
      <c r="P183" s="1945"/>
      <c r="Q183" s="1945"/>
      <c r="R183" s="1945"/>
      <c r="S183" s="1945"/>
      <c r="T183" s="1945"/>
      <c r="U183" s="1945"/>
      <c r="V183" s="1945"/>
      <c r="W183" s="1945"/>
      <c r="X183" s="1945"/>
      <c r="Y183" s="1945"/>
      <c r="Z183" s="1945"/>
      <c r="AA183" s="1945"/>
      <c r="AB183" s="1945"/>
      <c r="AC183" s="1945"/>
      <c r="AD183" s="1945"/>
      <c r="AE183" s="1945"/>
      <c r="AF183" s="1945"/>
      <c r="AG183" s="1945"/>
      <c r="AH183" s="1945"/>
      <c r="AI183" s="1945"/>
      <c r="AJ183" s="1945"/>
      <c r="AK183" s="1945"/>
    </row>
    <row r="184" spans="3:39" s="58" customFormat="1" ht="83.1" customHeight="1">
      <c r="F184" s="2003"/>
      <c r="G184" s="1861"/>
      <c r="H184" s="1861"/>
      <c r="I184" s="1861"/>
      <c r="J184" s="1861"/>
      <c r="K184" s="1861"/>
      <c r="L184" s="1861"/>
      <c r="M184" s="1861"/>
      <c r="N184" s="1861"/>
      <c r="O184" s="1861"/>
      <c r="P184" s="1861"/>
      <c r="Q184" s="1861"/>
      <c r="R184" s="1861"/>
      <c r="S184" s="1861"/>
      <c r="T184" s="1861"/>
      <c r="U184" s="1861"/>
      <c r="V184" s="1861"/>
      <c r="W184" s="1861"/>
      <c r="X184" s="1861"/>
      <c r="Y184" s="1861"/>
      <c r="Z184" s="1861"/>
      <c r="AA184" s="1861"/>
      <c r="AB184" s="1861"/>
      <c r="AC184" s="1861"/>
      <c r="AD184" s="1861"/>
      <c r="AE184" s="1861"/>
      <c r="AF184" s="1861"/>
      <c r="AG184" s="1861"/>
      <c r="AH184" s="1861"/>
      <c r="AI184" s="1861"/>
      <c r="AJ184" s="1861"/>
      <c r="AK184" s="1862"/>
    </row>
    <row r="185" spans="3:39" s="58" customFormat="1" ht="36" customHeight="1">
      <c r="D185" s="561" t="s">
        <v>615</v>
      </c>
      <c r="E185" s="1802" t="s">
        <v>2111</v>
      </c>
      <c r="F185" s="1945"/>
      <c r="G185" s="1945"/>
      <c r="H185" s="1945"/>
      <c r="I185" s="1945"/>
      <c r="J185" s="1945"/>
      <c r="K185" s="1945"/>
      <c r="L185" s="1945"/>
      <c r="M185" s="1945"/>
      <c r="N185" s="1945"/>
      <c r="O185" s="1945"/>
      <c r="P185" s="1945"/>
      <c r="Q185" s="1945"/>
      <c r="R185" s="1945"/>
      <c r="S185" s="1945"/>
      <c r="T185" s="1945"/>
      <c r="U185" s="1945"/>
      <c r="V185" s="1945"/>
      <c r="W185" s="1945"/>
      <c r="X185" s="1945"/>
      <c r="Y185" s="1945"/>
      <c r="Z185" s="1945"/>
      <c r="AA185" s="1945"/>
      <c r="AB185" s="1945"/>
      <c r="AC185" s="1945"/>
      <c r="AD185" s="1945"/>
      <c r="AE185" s="1945"/>
      <c r="AF185" s="1945"/>
      <c r="AG185" s="1945"/>
      <c r="AH185" s="1945"/>
      <c r="AI185" s="1945"/>
      <c r="AJ185" s="1945"/>
      <c r="AK185" s="1945"/>
      <c r="AL185" s="1911"/>
      <c r="AM185" s="1862"/>
    </row>
    <row r="186" spans="3:39" s="58" customFormat="1" ht="18" customHeight="1">
      <c r="E186" s="561" t="s">
        <v>1989</v>
      </c>
      <c r="F186" s="2180" t="s">
        <v>2112</v>
      </c>
      <c r="G186" s="1945"/>
      <c r="H186" s="1945"/>
      <c r="I186" s="1945"/>
      <c r="J186" s="1945"/>
      <c r="K186" s="1945"/>
      <c r="L186" s="1945"/>
      <c r="M186" s="1945"/>
      <c r="N186" s="1945"/>
      <c r="O186" s="1945"/>
      <c r="P186" s="1945"/>
      <c r="Q186" s="1945"/>
      <c r="R186" s="1945"/>
      <c r="S186" s="1945"/>
      <c r="T186" s="1945"/>
      <c r="U186" s="1945"/>
      <c r="V186" s="1945"/>
      <c r="W186" s="1945"/>
      <c r="X186" s="1945"/>
      <c r="Y186" s="1945"/>
      <c r="Z186" s="1945"/>
      <c r="AA186" s="1945"/>
      <c r="AB186" s="1945"/>
      <c r="AC186" s="1945"/>
      <c r="AD186" s="1945"/>
      <c r="AE186" s="1945"/>
      <c r="AF186" s="1945"/>
      <c r="AG186" s="1945"/>
      <c r="AH186" s="1945"/>
      <c r="AI186" s="1945"/>
      <c r="AJ186" s="1945"/>
      <c r="AK186" s="1945"/>
    </row>
    <row r="187" spans="3:39" s="58" customFormat="1" ht="36" customHeight="1">
      <c r="E187" s="561" t="s">
        <v>1990</v>
      </c>
      <c r="F187" s="1802" t="s">
        <v>2113</v>
      </c>
      <c r="G187" s="1945"/>
      <c r="H187" s="1945"/>
      <c r="I187" s="1945"/>
      <c r="J187" s="1945"/>
      <c r="K187" s="1945"/>
      <c r="L187" s="1945"/>
      <c r="M187" s="1945"/>
      <c r="N187" s="1945"/>
      <c r="O187" s="1945"/>
      <c r="P187" s="1945"/>
      <c r="Q187" s="1945"/>
      <c r="R187" s="1945"/>
      <c r="S187" s="1945"/>
      <c r="T187" s="1945"/>
      <c r="U187" s="1945"/>
      <c r="V187" s="1945"/>
      <c r="W187" s="1945"/>
      <c r="X187" s="1945"/>
      <c r="Y187" s="1945"/>
      <c r="Z187" s="1945"/>
      <c r="AA187" s="1945"/>
      <c r="AB187" s="1945"/>
      <c r="AC187" s="1945"/>
      <c r="AD187" s="1945"/>
      <c r="AE187" s="1945"/>
      <c r="AF187" s="1945"/>
      <c r="AG187" s="1945"/>
      <c r="AH187" s="1945"/>
      <c r="AI187" s="1945"/>
      <c r="AJ187" s="1945"/>
      <c r="AK187" s="1945"/>
    </row>
    <row r="188" spans="3:39" s="58" customFormat="1" ht="36" customHeight="1">
      <c r="E188" s="561" t="s">
        <v>1996</v>
      </c>
      <c r="F188" s="1802" t="s">
        <v>2114</v>
      </c>
      <c r="G188" s="1945"/>
      <c r="H188" s="1945"/>
      <c r="I188" s="1945"/>
      <c r="J188" s="1945"/>
      <c r="K188" s="1945"/>
      <c r="L188" s="1945"/>
      <c r="M188" s="1945"/>
      <c r="N188" s="1945"/>
      <c r="O188" s="1945"/>
      <c r="P188" s="1945"/>
      <c r="Q188" s="1945"/>
      <c r="R188" s="1945"/>
      <c r="S188" s="1945"/>
      <c r="T188" s="1945"/>
      <c r="U188" s="1945"/>
      <c r="V188" s="1945"/>
      <c r="W188" s="1945"/>
      <c r="X188" s="1945"/>
      <c r="Y188" s="1945"/>
      <c r="Z188" s="1945"/>
      <c r="AA188" s="1945"/>
      <c r="AB188" s="1945"/>
      <c r="AC188" s="1945"/>
      <c r="AD188" s="1945"/>
      <c r="AE188" s="1945"/>
      <c r="AF188" s="1945"/>
      <c r="AG188" s="1945"/>
      <c r="AH188" s="1945"/>
      <c r="AI188" s="1945"/>
      <c r="AJ188" s="1945"/>
      <c r="AK188" s="1945"/>
    </row>
    <row r="189" spans="3:39" s="58" customFormat="1" ht="54" customHeight="1">
      <c r="E189" s="561" t="s">
        <v>1999</v>
      </c>
      <c r="F189" s="1802" t="s">
        <v>2115</v>
      </c>
      <c r="G189" s="1945"/>
      <c r="H189" s="1945"/>
      <c r="I189" s="1945"/>
      <c r="J189" s="1945"/>
      <c r="K189" s="1945"/>
      <c r="L189" s="1945"/>
      <c r="M189" s="1945"/>
      <c r="N189" s="1945"/>
      <c r="O189" s="1945"/>
      <c r="P189" s="1945"/>
      <c r="Q189" s="1945"/>
      <c r="R189" s="1945"/>
      <c r="S189" s="1945"/>
      <c r="T189" s="1945"/>
      <c r="U189" s="1945"/>
      <c r="V189" s="1945"/>
      <c r="W189" s="1945"/>
      <c r="X189" s="1945"/>
      <c r="Y189" s="1945"/>
      <c r="Z189" s="1945"/>
      <c r="AA189" s="1945"/>
      <c r="AB189" s="1945"/>
      <c r="AC189" s="1945"/>
      <c r="AD189" s="1945"/>
      <c r="AE189" s="1945"/>
      <c r="AF189" s="1945"/>
      <c r="AG189" s="1945"/>
      <c r="AH189" s="1945"/>
      <c r="AI189" s="1945"/>
      <c r="AJ189" s="1945"/>
      <c r="AK189" s="1945"/>
    </row>
    <row r="190" spans="3:39" s="58" customFormat="1" ht="63" customHeight="1">
      <c r="D190" s="561" t="s">
        <v>617</v>
      </c>
      <c r="E190" s="1802" t="s">
        <v>2116</v>
      </c>
      <c r="F190" s="1945"/>
      <c r="G190" s="1945"/>
      <c r="H190" s="1945"/>
      <c r="I190" s="1945"/>
      <c r="J190" s="1945"/>
      <c r="K190" s="1945"/>
      <c r="L190" s="1945"/>
      <c r="M190" s="1945"/>
      <c r="N190" s="1945"/>
      <c r="O190" s="1945"/>
      <c r="P190" s="1945"/>
      <c r="Q190" s="1945"/>
      <c r="R190" s="1945"/>
      <c r="S190" s="1945"/>
      <c r="T190" s="1945"/>
      <c r="U190" s="1945"/>
      <c r="V190" s="1945"/>
      <c r="W190" s="1945"/>
      <c r="X190" s="1945"/>
      <c r="Y190" s="1945"/>
      <c r="Z190" s="1945"/>
      <c r="AA190" s="1945"/>
      <c r="AB190" s="1945"/>
      <c r="AC190" s="1945"/>
      <c r="AD190" s="1945"/>
      <c r="AE190" s="1945"/>
      <c r="AF190" s="1945"/>
      <c r="AG190" s="1945"/>
      <c r="AH190" s="1945"/>
      <c r="AI190" s="1945"/>
      <c r="AJ190" s="1945"/>
      <c r="AK190" s="1945"/>
      <c r="AL190" s="1911"/>
      <c r="AM190" s="1862"/>
    </row>
    <row r="191" spans="3:39" s="58" customFormat="1" ht="18" customHeight="1">
      <c r="C191" s="426" t="s">
        <v>611</v>
      </c>
      <c r="D191" s="2180" t="s">
        <v>2117</v>
      </c>
      <c r="E191" s="1945"/>
      <c r="F191" s="1945"/>
      <c r="G191" s="1945"/>
      <c r="H191" s="1945"/>
      <c r="I191" s="1945"/>
      <c r="J191" s="1945"/>
      <c r="K191" s="1945"/>
      <c r="L191" s="1945"/>
      <c r="M191" s="1945"/>
      <c r="N191" s="1945"/>
      <c r="O191" s="1945"/>
      <c r="P191" s="1945"/>
      <c r="Q191" s="1945"/>
      <c r="R191" s="1945"/>
      <c r="S191" s="1945"/>
      <c r="T191" s="1945"/>
      <c r="U191" s="1945"/>
      <c r="V191" s="1945"/>
      <c r="W191" s="1945"/>
      <c r="X191" s="1945"/>
      <c r="Y191" s="1945"/>
      <c r="Z191" s="1945"/>
      <c r="AA191" s="1945"/>
      <c r="AB191" s="1945"/>
      <c r="AC191" s="1945"/>
      <c r="AD191" s="1945"/>
      <c r="AE191" s="1945"/>
      <c r="AF191" s="1945"/>
      <c r="AG191" s="1945"/>
      <c r="AH191" s="1945"/>
      <c r="AI191" s="1945"/>
      <c r="AJ191" s="1945"/>
      <c r="AK191" s="1945"/>
    </row>
    <row r="192" spans="3:39" s="58" customFormat="1" ht="63" customHeight="1">
      <c r="D192" s="561" t="s">
        <v>613</v>
      </c>
      <c r="E192" s="1806" t="s">
        <v>2118</v>
      </c>
      <c r="F192" s="1945"/>
      <c r="G192" s="1945"/>
      <c r="H192" s="1945"/>
      <c r="I192" s="1945"/>
      <c r="J192" s="1945"/>
      <c r="K192" s="1945"/>
      <c r="L192" s="1945"/>
      <c r="M192" s="1945"/>
      <c r="N192" s="1945"/>
      <c r="O192" s="1945"/>
      <c r="P192" s="1945"/>
      <c r="Q192" s="1945"/>
      <c r="R192" s="1945"/>
      <c r="S192" s="1945"/>
      <c r="T192" s="1945"/>
      <c r="U192" s="1945"/>
      <c r="V192" s="1945"/>
      <c r="W192" s="1945"/>
      <c r="X192" s="1945"/>
      <c r="Y192" s="1945"/>
      <c r="Z192" s="1945"/>
      <c r="AA192" s="1945"/>
      <c r="AB192" s="1945"/>
      <c r="AC192" s="1945"/>
      <c r="AD192" s="1945"/>
      <c r="AE192" s="1945"/>
      <c r="AF192" s="1945"/>
      <c r="AG192" s="1945"/>
      <c r="AH192" s="1945"/>
      <c r="AI192" s="1945"/>
      <c r="AJ192" s="1945"/>
      <c r="AK192" s="1945"/>
    </row>
    <row r="193" spans="2:39" s="58" customFormat="1" ht="83.1" customHeight="1">
      <c r="E193" s="2003"/>
      <c r="F193" s="1861"/>
      <c r="G193" s="1861"/>
      <c r="H193" s="1861"/>
      <c r="I193" s="1861"/>
      <c r="J193" s="1861"/>
      <c r="K193" s="1861"/>
      <c r="L193" s="1861"/>
      <c r="M193" s="1861"/>
      <c r="N193" s="1861"/>
      <c r="O193" s="1861"/>
      <c r="P193" s="1861"/>
      <c r="Q193" s="1861"/>
      <c r="R193" s="1861"/>
      <c r="S193" s="1861"/>
      <c r="T193" s="1861"/>
      <c r="U193" s="1861"/>
      <c r="V193" s="1861"/>
      <c r="W193" s="1861"/>
      <c r="X193" s="1861"/>
      <c r="Y193" s="1861"/>
      <c r="Z193" s="1861"/>
      <c r="AA193" s="1861"/>
      <c r="AB193" s="1861"/>
      <c r="AC193" s="1861"/>
      <c r="AD193" s="1861"/>
      <c r="AE193" s="1861"/>
      <c r="AF193" s="1861"/>
      <c r="AG193" s="1861"/>
      <c r="AH193" s="1861"/>
      <c r="AI193" s="1861"/>
      <c r="AJ193" s="1861"/>
      <c r="AK193" s="1862"/>
    </row>
    <row r="194" spans="2:39" s="58" customFormat="1" ht="36" customHeight="1">
      <c r="D194" s="561" t="s">
        <v>615</v>
      </c>
      <c r="E194" s="1977" t="s">
        <v>2119</v>
      </c>
      <c r="F194" s="1953"/>
      <c r="G194" s="1953"/>
      <c r="H194" s="1953"/>
      <c r="I194" s="1953"/>
      <c r="J194" s="1953"/>
      <c r="K194" s="1953"/>
      <c r="L194" s="1953"/>
      <c r="M194" s="1953"/>
      <c r="N194" s="1953"/>
      <c r="O194" s="1953"/>
      <c r="P194" s="1953"/>
      <c r="Q194" s="1953"/>
      <c r="R194" s="1953"/>
      <c r="S194" s="1953"/>
      <c r="T194" s="1953"/>
      <c r="U194" s="1953"/>
      <c r="V194" s="1953"/>
      <c r="W194" s="1953"/>
      <c r="X194" s="1953"/>
      <c r="Y194" s="1953"/>
      <c r="Z194" s="1953"/>
      <c r="AA194" s="1953"/>
      <c r="AB194" s="1953"/>
      <c r="AC194" s="1953"/>
      <c r="AD194" s="1953"/>
      <c r="AE194" s="1953"/>
      <c r="AF194" s="1953"/>
      <c r="AG194" s="1953"/>
      <c r="AH194" s="1953"/>
      <c r="AI194" s="1953"/>
      <c r="AJ194" s="1953"/>
      <c r="AK194" s="1953"/>
      <c r="AL194" s="1911"/>
      <c r="AM194" s="1862"/>
    </row>
    <row r="195" spans="2:39" ht="18" customHeight="1">
      <c r="B195" s="2180" t="s">
        <v>1954</v>
      </c>
      <c r="C195" s="1798"/>
      <c r="D195" s="1798"/>
      <c r="E195" s="1798"/>
      <c r="F195" s="1798"/>
      <c r="G195" s="1798"/>
      <c r="H195" s="476"/>
      <c r="I195" s="476"/>
      <c r="J195" s="476"/>
      <c r="K195" s="476"/>
      <c r="L195" s="476"/>
      <c r="M195" s="476"/>
      <c r="N195" s="476"/>
      <c r="O195" s="476"/>
      <c r="P195" s="476"/>
      <c r="Q195" s="476"/>
      <c r="R195" s="476"/>
      <c r="S195" s="476"/>
      <c r="T195" s="476"/>
      <c r="U195" s="476"/>
      <c r="V195" s="476"/>
      <c r="W195" s="476"/>
      <c r="X195" s="476"/>
      <c r="Y195" s="476"/>
      <c r="Z195" s="476"/>
      <c r="AA195" s="476"/>
      <c r="AB195" s="476"/>
      <c r="AC195" s="476"/>
      <c r="AD195" s="476"/>
      <c r="AE195" s="476"/>
      <c r="AF195" s="476"/>
      <c r="AG195" s="476"/>
      <c r="AH195" s="476"/>
      <c r="AI195" s="476"/>
      <c r="AJ195" s="476"/>
      <c r="AK195" s="476"/>
      <c r="AL195" s="476"/>
      <c r="AM195" s="476"/>
    </row>
    <row r="196" spans="2:39" ht="81" customHeight="1">
      <c r="B196" s="2003"/>
      <c r="C196" s="1861"/>
      <c r="D196" s="1861"/>
      <c r="E196" s="1861"/>
      <c r="F196" s="1861"/>
      <c r="G196" s="1861"/>
      <c r="H196" s="1861"/>
      <c r="I196" s="1861"/>
      <c r="J196" s="1861"/>
      <c r="K196" s="1861"/>
      <c r="L196" s="1861"/>
      <c r="M196" s="1861"/>
      <c r="N196" s="1861"/>
      <c r="O196" s="1861"/>
      <c r="P196" s="1861"/>
      <c r="Q196" s="1861"/>
      <c r="R196" s="1861"/>
      <c r="S196" s="1861"/>
      <c r="T196" s="1861"/>
      <c r="U196" s="1861"/>
      <c r="V196" s="1861"/>
      <c r="W196" s="1861"/>
      <c r="X196" s="1861"/>
      <c r="Y196" s="1861"/>
      <c r="Z196" s="1861"/>
      <c r="AA196" s="1861"/>
      <c r="AB196" s="1861"/>
      <c r="AC196" s="1861"/>
      <c r="AD196" s="1861"/>
      <c r="AE196" s="1861"/>
      <c r="AF196" s="1861"/>
      <c r="AG196" s="1861"/>
      <c r="AH196" s="1861"/>
      <c r="AI196" s="1861"/>
      <c r="AJ196" s="1861"/>
      <c r="AK196" s="1861"/>
      <c r="AL196" s="1861"/>
      <c r="AM196" s="1862"/>
    </row>
    <row r="198" spans="2:39" ht="36" customHeight="1">
      <c r="B198" s="3006" t="s">
        <v>2120</v>
      </c>
      <c r="C198" s="1877"/>
      <c r="D198" s="1877"/>
      <c r="E198" s="1877"/>
      <c r="F198" s="1877"/>
      <c r="G198" s="1877"/>
      <c r="H198" s="1877"/>
      <c r="I198" s="1877"/>
      <c r="J198" s="1877"/>
      <c r="K198" s="1877"/>
      <c r="L198" s="1877"/>
      <c r="M198" s="1877"/>
      <c r="N198" s="1877"/>
      <c r="O198" s="1877"/>
      <c r="P198" s="1877"/>
      <c r="Q198" s="1877"/>
      <c r="R198" s="1877"/>
      <c r="S198" s="1877"/>
      <c r="T198" s="1877"/>
      <c r="U198" s="1877"/>
      <c r="V198" s="1877"/>
      <c r="W198" s="1877"/>
      <c r="X198" s="1877"/>
      <c r="Y198" s="1877"/>
      <c r="Z198" s="1877"/>
      <c r="AA198" s="1877"/>
      <c r="AB198" s="1877"/>
      <c r="AC198" s="1877"/>
      <c r="AD198" s="1877"/>
      <c r="AE198" s="1877"/>
      <c r="AF198" s="1877"/>
      <c r="AG198" s="1877"/>
      <c r="AH198" s="1877"/>
      <c r="AI198" s="1877"/>
      <c r="AJ198" s="1877"/>
      <c r="AK198" s="1877"/>
      <c r="AL198" s="1877"/>
      <c r="AM198" s="1877"/>
    </row>
    <row r="200" spans="2:39" ht="18" customHeight="1">
      <c r="B200" s="2989" t="s">
        <v>2121</v>
      </c>
      <c r="C200" s="1798"/>
      <c r="D200" s="1798"/>
      <c r="E200" s="1798"/>
      <c r="F200" s="1798"/>
      <c r="G200" s="1798"/>
      <c r="H200" s="1798"/>
      <c r="I200" s="1798"/>
      <c r="J200" s="1798"/>
      <c r="K200" s="1798"/>
      <c r="L200" s="1798"/>
      <c r="M200" s="1798"/>
      <c r="N200" s="1798"/>
      <c r="O200" s="1798"/>
      <c r="P200" s="1798"/>
      <c r="Q200" s="1889"/>
      <c r="R200" s="1911"/>
      <c r="S200" s="1862"/>
    </row>
    <row r="201" spans="2:39" ht="18" customHeight="1">
      <c r="B201" s="2989" t="s">
        <v>2122</v>
      </c>
      <c r="C201" s="1798"/>
      <c r="D201" s="1798"/>
      <c r="E201" s="1798"/>
      <c r="F201" s="1798"/>
      <c r="G201" s="1798"/>
      <c r="H201" s="1798"/>
      <c r="I201" s="1798"/>
      <c r="J201" s="1798"/>
      <c r="K201" s="1798"/>
      <c r="L201" s="1798"/>
      <c r="M201" s="1798"/>
      <c r="N201" s="1798"/>
      <c r="O201" s="1798"/>
      <c r="P201" s="1798"/>
      <c r="Q201" s="1889"/>
      <c r="R201" s="1911"/>
      <c r="S201" s="1862"/>
    </row>
    <row r="202" spans="2:39" ht="18" customHeight="1">
      <c r="B202" s="2989" t="s">
        <v>2123</v>
      </c>
      <c r="C202" s="1798"/>
      <c r="D202" s="1798"/>
      <c r="E202" s="1798"/>
      <c r="F202" s="1798"/>
      <c r="G202" s="1798"/>
      <c r="H202" s="1798"/>
      <c r="I202" s="1798"/>
      <c r="J202" s="1798"/>
      <c r="K202" s="1798"/>
      <c r="L202" s="1798"/>
      <c r="M202" s="1798"/>
      <c r="N202" s="1798"/>
      <c r="O202" s="1798"/>
      <c r="P202" s="1798"/>
      <c r="Q202" s="1889"/>
      <c r="R202" s="1911"/>
      <c r="S202" s="1862"/>
    </row>
    <row r="203" spans="2:39" ht="18" customHeight="1">
      <c r="B203" s="2989" t="s">
        <v>2124</v>
      </c>
      <c r="C203" s="1798"/>
      <c r="D203" s="1798"/>
      <c r="E203" s="1798"/>
      <c r="F203" s="1798"/>
      <c r="G203" s="1798"/>
      <c r="H203" s="1798"/>
      <c r="I203" s="1798"/>
      <c r="J203" s="1798"/>
      <c r="K203" s="1798"/>
      <c r="L203" s="1798"/>
      <c r="M203" s="1798"/>
      <c r="N203" s="1798"/>
      <c r="O203" s="1798"/>
      <c r="P203" s="1798"/>
      <c r="Q203" s="1889"/>
      <c r="R203" s="1911"/>
      <c r="S203" s="1862"/>
    </row>
    <row r="204" spans="2:39" ht="18" customHeight="1">
      <c r="B204" s="2989" t="s">
        <v>2125</v>
      </c>
      <c r="C204" s="1798"/>
      <c r="D204" s="1798"/>
      <c r="E204" s="1798"/>
      <c r="F204" s="1798"/>
      <c r="G204" s="1798"/>
      <c r="H204" s="1798"/>
      <c r="I204" s="1798"/>
      <c r="J204" s="1798"/>
      <c r="K204" s="1798"/>
      <c r="L204" s="1798"/>
      <c r="M204" s="1798"/>
      <c r="N204" s="1798"/>
      <c r="O204" s="1798"/>
      <c r="P204" s="1798"/>
      <c r="Q204" s="1889"/>
      <c r="R204" s="1911"/>
      <c r="S204" s="1862"/>
    </row>
    <row r="205" spans="2:39" ht="18" customHeight="1">
      <c r="B205" s="2989" t="s">
        <v>2126</v>
      </c>
      <c r="C205" s="1798"/>
      <c r="D205" s="1798"/>
      <c r="E205" s="1798"/>
      <c r="F205" s="1798"/>
      <c r="G205" s="1798"/>
      <c r="H205" s="1798"/>
      <c r="I205" s="1798"/>
      <c r="J205" s="1798"/>
      <c r="K205" s="1798"/>
      <c r="L205" s="1798"/>
      <c r="M205" s="1798"/>
      <c r="N205" s="1798"/>
      <c r="O205" s="1798"/>
      <c r="P205" s="1798"/>
      <c r="Q205" s="1889"/>
      <c r="R205" s="1911"/>
      <c r="S205" s="1862"/>
    </row>
    <row r="206" spans="2:39" ht="18" customHeight="1">
      <c r="B206" s="2989" t="s">
        <v>2127</v>
      </c>
      <c r="C206" s="1798"/>
      <c r="D206" s="1798"/>
      <c r="E206" s="1798"/>
      <c r="F206" s="1798"/>
      <c r="G206" s="1798"/>
      <c r="H206" s="1798"/>
      <c r="I206" s="1798"/>
      <c r="J206" s="1798"/>
      <c r="K206" s="1798"/>
      <c r="L206" s="1798"/>
      <c r="M206" s="1798"/>
      <c r="N206" s="1798"/>
      <c r="O206" s="1798"/>
      <c r="P206" s="1798"/>
      <c r="Q206" s="1889"/>
      <c r="R206" s="1911"/>
      <c r="S206" s="1862"/>
    </row>
    <row r="207" spans="2:39" ht="18" customHeight="1">
      <c r="B207" s="2989" t="s">
        <v>2128</v>
      </c>
      <c r="C207" s="1798"/>
      <c r="D207" s="1798"/>
      <c r="E207" s="1798"/>
      <c r="F207" s="1798"/>
      <c r="G207" s="1798"/>
      <c r="H207" s="1798"/>
      <c r="I207" s="1798"/>
      <c r="J207" s="1798"/>
      <c r="K207" s="1798"/>
      <c r="L207" s="1798"/>
      <c r="M207" s="1798"/>
      <c r="N207" s="1798"/>
      <c r="O207" s="1798"/>
      <c r="P207" s="1798"/>
      <c r="Q207" s="1889"/>
      <c r="R207" s="1911"/>
      <c r="S207" s="1862"/>
    </row>
    <row r="208" spans="2:39" ht="18" customHeight="1">
      <c r="B208" s="2989" t="s">
        <v>2129</v>
      </c>
      <c r="C208" s="1798"/>
      <c r="D208" s="1798"/>
      <c r="E208" s="1798"/>
      <c r="F208" s="1798"/>
      <c r="G208" s="1798"/>
      <c r="H208" s="1798"/>
      <c r="I208" s="1798"/>
      <c r="J208" s="1798"/>
      <c r="K208" s="1798"/>
      <c r="L208" s="1798"/>
      <c r="M208" s="1798"/>
      <c r="N208" s="1798"/>
      <c r="O208" s="1798"/>
      <c r="P208" s="1798"/>
      <c r="Q208" s="1889"/>
      <c r="R208" s="1911"/>
      <c r="S208" s="1862"/>
      <c r="T208" s="476"/>
      <c r="U208" s="476"/>
      <c r="V208" s="476"/>
      <c r="W208" s="476"/>
      <c r="X208" s="476"/>
      <c r="Y208" s="476"/>
      <c r="Z208" s="476"/>
      <c r="AA208" s="476"/>
      <c r="AB208" s="476"/>
      <c r="AC208" s="476"/>
      <c r="AD208" s="476"/>
      <c r="AE208" s="476"/>
      <c r="AF208" s="476"/>
      <c r="AG208" s="476"/>
      <c r="AH208" s="476"/>
      <c r="AI208" s="476"/>
      <c r="AJ208" s="476"/>
      <c r="AK208" s="476"/>
      <c r="AL208" s="476"/>
      <c r="AM208" s="476"/>
    </row>
    <row r="209" spans="2:39" ht="18" customHeight="1">
      <c r="B209" s="2989" t="s">
        <v>2130</v>
      </c>
      <c r="C209" s="1798"/>
      <c r="D209" s="1798"/>
      <c r="E209" s="1798"/>
      <c r="F209" s="1798"/>
      <c r="G209" s="1798"/>
      <c r="H209" s="1798"/>
      <c r="I209" s="1798"/>
      <c r="J209" s="1798"/>
      <c r="K209" s="1798"/>
      <c r="L209" s="1798"/>
      <c r="M209" s="1798"/>
      <c r="N209" s="1798"/>
      <c r="O209" s="1798"/>
      <c r="P209" s="1798"/>
      <c r="Q209" s="1889"/>
      <c r="R209" s="1911"/>
      <c r="S209" s="1862"/>
      <c r="T209" s="476"/>
      <c r="U209" s="476"/>
      <c r="V209" s="476"/>
      <c r="W209" s="476"/>
      <c r="X209" s="476"/>
      <c r="Y209" s="476"/>
      <c r="Z209" s="476"/>
      <c r="AA209" s="476"/>
      <c r="AB209" s="476"/>
      <c r="AC209" s="476"/>
      <c r="AD209" s="476"/>
      <c r="AE209" s="476"/>
      <c r="AF209" s="476"/>
      <c r="AG209" s="476"/>
      <c r="AH209" s="476"/>
      <c r="AI209" s="476"/>
      <c r="AJ209" s="476"/>
      <c r="AK209" s="476"/>
      <c r="AL209" s="476"/>
      <c r="AM209" s="476"/>
    </row>
    <row r="210" spans="2:39" ht="18" customHeight="1">
      <c r="B210" s="2989" t="s">
        <v>2131</v>
      </c>
      <c r="C210" s="1798"/>
      <c r="D210" s="1798"/>
      <c r="E210" s="1798"/>
      <c r="F210" s="1798"/>
      <c r="G210" s="1798"/>
      <c r="H210" s="1798"/>
      <c r="I210" s="1798"/>
      <c r="J210" s="1798"/>
      <c r="K210" s="1798"/>
      <c r="L210" s="1798"/>
      <c r="M210" s="1798"/>
      <c r="N210" s="1798"/>
      <c r="O210" s="1798"/>
      <c r="P210" s="1798"/>
      <c r="Q210" s="1889"/>
      <c r="R210" s="1911"/>
      <c r="S210" s="1862"/>
      <c r="T210" s="476"/>
      <c r="U210" s="476"/>
      <c r="V210" s="476"/>
      <c r="W210" s="476"/>
      <c r="X210" s="476"/>
      <c r="Y210" s="476"/>
      <c r="Z210" s="476"/>
      <c r="AA210" s="476"/>
      <c r="AB210" s="476"/>
      <c r="AC210" s="476"/>
      <c r="AD210" s="476"/>
      <c r="AE210" s="476"/>
      <c r="AF210" s="476"/>
      <c r="AG210" s="476"/>
      <c r="AH210" s="476"/>
      <c r="AI210" s="476"/>
      <c r="AJ210" s="476"/>
      <c r="AK210" s="476"/>
      <c r="AL210" s="476"/>
      <c r="AM210" s="476"/>
    </row>
    <row r="211" spans="2:39" ht="18" customHeight="1">
      <c r="B211" s="2989" t="s">
        <v>2132</v>
      </c>
      <c r="C211" s="1798"/>
      <c r="D211" s="1798"/>
      <c r="E211" s="1798"/>
      <c r="F211" s="1798"/>
      <c r="G211" s="1798"/>
      <c r="H211" s="1798"/>
      <c r="I211" s="1798"/>
      <c r="J211" s="1798"/>
      <c r="K211" s="1798"/>
      <c r="L211" s="1798"/>
      <c r="M211" s="1798"/>
      <c r="N211" s="1798"/>
      <c r="O211" s="1798"/>
      <c r="P211" s="1798"/>
      <c r="Q211" s="1889"/>
      <c r="R211" s="1911"/>
      <c r="S211" s="1862"/>
      <c r="T211" s="476"/>
      <c r="U211" s="476"/>
      <c r="V211" s="476"/>
      <c r="W211" s="476"/>
      <c r="X211" s="476"/>
      <c r="Y211" s="476"/>
      <c r="Z211" s="476"/>
      <c r="AA211" s="476"/>
      <c r="AB211" s="476"/>
      <c r="AC211" s="476"/>
      <c r="AD211" s="476"/>
      <c r="AE211" s="476"/>
      <c r="AF211" s="476"/>
      <c r="AG211" s="476"/>
      <c r="AH211" s="476"/>
      <c r="AI211" s="476"/>
      <c r="AJ211" s="476"/>
      <c r="AK211" s="476"/>
      <c r="AL211" s="476"/>
      <c r="AM211" s="476"/>
    </row>
    <row r="212" spans="2:39" ht="36" customHeight="1">
      <c r="B212" s="2989" t="s">
        <v>2133</v>
      </c>
      <c r="C212" s="1798"/>
      <c r="D212" s="1798"/>
      <c r="E212" s="1798"/>
      <c r="F212" s="1798"/>
      <c r="G212" s="1798"/>
      <c r="H212" s="1798"/>
      <c r="I212" s="1798"/>
      <c r="J212" s="1798"/>
      <c r="K212" s="1798"/>
      <c r="L212" s="1798"/>
      <c r="M212" s="1798"/>
      <c r="N212" s="1798"/>
      <c r="O212" s="1798"/>
      <c r="P212" s="1798"/>
      <c r="Q212" s="1889"/>
      <c r="R212" s="1911"/>
      <c r="S212" s="1862"/>
      <c r="T212" s="476"/>
      <c r="U212" s="476"/>
      <c r="V212" s="476"/>
      <c r="W212" s="476"/>
      <c r="X212" s="476"/>
      <c r="Y212" s="476"/>
      <c r="Z212" s="476"/>
      <c r="AA212" s="476"/>
      <c r="AB212" s="476"/>
      <c r="AC212" s="476"/>
      <c r="AD212" s="476"/>
      <c r="AE212" s="476"/>
      <c r="AF212" s="476"/>
      <c r="AG212" s="476"/>
      <c r="AH212" s="476"/>
      <c r="AI212" s="476"/>
      <c r="AJ212" s="476"/>
      <c r="AK212" s="476"/>
      <c r="AL212" s="476"/>
      <c r="AM212" s="476"/>
    </row>
    <row r="213" spans="2:39" ht="18" customHeight="1">
      <c r="B213" s="2989" t="s">
        <v>2134</v>
      </c>
      <c r="C213" s="1798"/>
      <c r="D213" s="1798"/>
      <c r="E213" s="1798"/>
      <c r="F213" s="1798"/>
      <c r="G213" s="1798"/>
      <c r="H213" s="1798"/>
      <c r="I213" s="1798"/>
      <c r="J213" s="1798"/>
      <c r="K213" s="1798"/>
      <c r="L213" s="1798"/>
      <c r="M213" s="1798"/>
      <c r="N213" s="1798"/>
      <c r="O213" s="1798"/>
      <c r="P213" s="1798"/>
      <c r="Q213" s="1889"/>
      <c r="R213" s="1911"/>
      <c r="S213" s="1862"/>
      <c r="T213" s="476"/>
      <c r="U213" s="476"/>
      <c r="V213" s="476"/>
      <c r="W213" s="476"/>
      <c r="X213" s="476"/>
      <c r="Y213" s="476"/>
      <c r="Z213" s="476"/>
      <c r="AA213" s="476"/>
      <c r="AB213" s="476"/>
      <c r="AC213" s="476"/>
      <c r="AD213" s="476"/>
      <c r="AE213" s="476"/>
      <c r="AF213" s="476"/>
      <c r="AG213" s="476"/>
      <c r="AH213" s="476"/>
      <c r="AI213" s="476"/>
      <c r="AJ213" s="476"/>
      <c r="AK213" s="476"/>
      <c r="AL213" s="476"/>
      <c r="AM213" s="476"/>
    </row>
    <row r="214" spans="2:39" ht="18" customHeight="1">
      <c r="B214" s="2989" t="s">
        <v>2135</v>
      </c>
      <c r="C214" s="1798"/>
      <c r="D214" s="1798"/>
      <c r="E214" s="1798"/>
      <c r="F214" s="1798"/>
      <c r="G214" s="1798"/>
      <c r="H214" s="1798"/>
      <c r="I214" s="1798"/>
      <c r="J214" s="1798"/>
      <c r="K214" s="1798"/>
      <c r="L214" s="1798"/>
      <c r="M214" s="1798"/>
      <c r="N214" s="1798"/>
      <c r="O214" s="1798"/>
      <c r="P214" s="1798"/>
      <c r="Q214" s="1889"/>
      <c r="R214" s="1911"/>
      <c r="S214" s="1862"/>
      <c r="T214" s="476"/>
      <c r="U214" s="476"/>
      <c r="V214" s="476"/>
      <c r="W214" s="476"/>
      <c r="X214" s="476"/>
      <c r="Y214" s="476"/>
      <c r="Z214" s="476"/>
      <c r="AA214" s="476"/>
      <c r="AB214" s="476"/>
      <c r="AC214" s="476"/>
      <c r="AD214" s="476"/>
      <c r="AE214" s="476"/>
      <c r="AF214" s="476"/>
      <c r="AG214" s="476"/>
      <c r="AH214" s="476"/>
      <c r="AI214" s="476"/>
      <c r="AJ214" s="476"/>
      <c r="AK214" s="476"/>
      <c r="AL214" s="476"/>
      <c r="AM214" s="476"/>
    </row>
    <row r="215" spans="2:39" ht="18" customHeight="1">
      <c r="B215" s="2989" t="s">
        <v>2136</v>
      </c>
      <c r="C215" s="1798"/>
      <c r="D215" s="1798"/>
      <c r="E215" s="1798"/>
      <c r="F215" s="1798"/>
      <c r="G215" s="1798"/>
      <c r="H215" s="1798"/>
      <c r="I215" s="1798"/>
      <c r="J215" s="1798"/>
      <c r="K215" s="1798"/>
      <c r="L215" s="1798"/>
      <c r="M215" s="1798"/>
      <c r="N215" s="1798"/>
      <c r="O215" s="1798"/>
      <c r="P215" s="1798"/>
      <c r="Q215" s="1889"/>
      <c r="R215" s="1911"/>
      <c r="S215" s="1862"/>
      <c r="T215" s="476"/>
      <c r="U215" s="476"/>
      <c r="V215" s="476"/>
      <c r="W215" s="476"/>
      <c r="X215" s="476"/>
      <c r="Y215" s="476"/>
      <c r="Z215" s="476"/>
      <c r="AA215" s="476"/>
      <c r="AB215" s="476"/>
      <c r="AC215" s="476"/>
      <c r="AD215" s="476"/>
      <c r="AE215" s="476"/>
      <c r="AF215" s="476"/>
      <c r="AG215" s="476"/>
      <c r="AH215" s="476"/>
      <c r="AI215" s="476"/>
      <c r="AJ215" s="476"/>
      <c r="AK215" s="476"/>
      <c r="AL215" s="476"/>
      <c r="AM215" s="476"/>
    </row>
    <row r="216" spans="2:39" ht="18" customHeight="1">
      <c r="B216" s="2989" t="s">
        <v>2137</v>
      </c>
      <c r="C216" s="1798"/>
      <c r="D216" s="1798"/>
      <c r="E216" s="1798"/>
      <c r="F216" s="1798"/>
      <c r="G216" s="1798"/>
      <c r="H216" s="1798"/>
      <c r="I216" s="1798"/>
      <c r="J216" s="1798"/>
      <c r="K216" s="1798"/>
      <c r="L216" s="1798"/>
      <c r="M216" s="1798"/>
      <c r="N216" s="1798"/>
      <c r="O216" s="1798"/>
      <c r="P216" s="1798"/>
      <c r="Q216" s="1889"/>
      <c r="R216" s="1911"/>
      <c r="S216" s="1862"/>
      <c r="T216" s="476"/>
      <c r="U216" s="476"/>
      <c r="V216" s="476"/>
      <c r="W216" s="476"/>
      <c r="X216" s="476"/>
      <c r="Y216" s="476"/>
      <c r="Z216" s="476"/>
      <c r="AA216" s="476"/>
      <c r="AB216" s="476"/>
      <c r="AC216" s="476"/>
      <c r="AD216" s="476"/>
      <c r="AE216" s="476"/>
      <c r="AF216" s="476"/>
      <c r="AG216" s="476"/>
      <c r="AH216" s="476"/>
      <c r="AI216" s="476"/>
      <c r="AJ216" s="476"/>
      <c r="AK216" s="476"/>
      <c r="AL216" s="476"/>
      <c r="AM216" s="476"/>
    </row>
    <row r="217" spans="2:39" ht="18" customHeight="1">
      <c r="B217" s="2989" t="s">
        <v>2138</v>
      </c>
      <c r="C217" s="1798"/>
      <c r="D217" s="1798"/>
      <c r="E217" s="1798"/>
      <c r="F217" s="1798"/>
      <c r="G217" s="1798"/>
      <c r="H217" s="1798"/>
      <c r="I217" s="1798"/>
      <c r="J217" s="1798"/>
      <c r="K217" s="1798"/>
      <c r="L217" s="1798"/>
      <c r="M217" s="1798"/>
      <c r="N217" s="1798"/>
      <c r="O217" s="1798"/>
      <c r="P217" s="1798"/>
      <c r="Q217" s="1889"/>
      <c r="R217" s="1911"/>
      <c r="S217" s="1862"/>
    </row>
    <row r="218" spans="2:39" ht="18" customHeight="1">
      <c r="B218" s="2989" t="s">
        <v>2139</v>
      </c>
      <c r="C218" s="1798"/>
      <c r="D218" s="1798"/>
      <c r="E218" s="1798"/>
      <c r="F218" s="1798"/>
      <c r="G218" s="1798"/>
      <c r="H218" s="1798"/>
      <c r="I218" s="1798"/>
      <c r="J218" s="1798"/>
      <c r="K218" s="1798"/>
      <c r="L218" s="1798"/>
      <c r="M218" s="1798"/>
      <c r="N218" s="1798"/>
      <c r="O218" s="1798"/>
      <c r="P218" s="1798"/>
      <c r="Q218" s="1889"/>
      <c r="R218" s="1911"/>
      <c r="S218" s="1862"/>
      <c r="T218" s="476"/>
      <c r="U218" s="476"/>
      <c r="V218" s="476"/>
      <c r="W218" s="476"/>
      <c r="X218" s="476"/>
      <c r="Y218" s="476"/>
      <c r="Z218" s="476"/>
      <c r="AA218" s="476"/>
      <c r="AB218" s="476"/>
      <c r="AC218" s="476"/>
      <c r="AD218" s="476"/>
      <c r="AE218" s="476"/>
      <c r="AF218" s="476"/>
      <c r="AG218" s="476"/>
      <c r="AH218" s="476"/>
      <c r="AI218" s="476"/>
      <c r="AJ218" s="476"/>
      <c r="AK218" s="476"/>
      <c r="AL218" s="476"/>
      <c r="AM218" s="476"/>
    </row>
    <row r="219" spans="2:39" ht="18" customHeight="1">
      <c r="B219" s="2989" t="s">
        <v>2140</v>
      </c>
      <c r="C219" s="1798"/>
      <c r="D219" s="1798"/>
      <c r="E219" s="1798"/>
      <c r="F219" s="1798"/>
      <c r="G219" s="1798"/>
      <c r="H219" s="1798"/>
      <c r="I219" s="1798"/>
      <c r="J219" s="1798"/>
      <c r="K219" s="1798"/>
      <c r="L219" s="1798"/>
      <c r="M219" s="1798"/>
      <c r="N219" s="1798"/>
      <c r="O219" s="1798"/>
      <c r="P219" s="1798"/>
      <c r="Q219" s="1889"/>
      <c r="R219" s="1911"/>
      <c r="S219" s="1862"/>
      <c r="T219" s="476"/>
      <c r="U219" s="476"/>
      <c r="V219" s="476"/>
      <c r="W219" s="476"/>
      <c r="X219" s="476"/>
      <c r="Y219" s="476"/>
      <c r="Z219" s="476"/>
      <c r="AA219" s="476"/>
      <c r="AB219" s="476"/>
      <c r="AC219" s="476"/>
      <c r="AD219" s="476"/>
      <c r="AE219" s="476"/>
      <c r="AF219" s="476"/>
      <c r="AG219" s="476"/>
      <c r="AH219" s="476"/>
      <c r="AI219" s="476"/>
      <c r="AJ219" s="476"/>
      <c r="AK219" s="476"/>
      <c r="AL219" s="476"/>
      <c r="AM219" s="476"/>
    </row>
    <row r="220" spans="2:39" ht="18" customHeight="1">
      <c r="B220" s="2989" t="s">
        <v>2141</v>
      </c>
      <c r="C220" s="1798"/>
      <c r="D220" s="1798"/>
      <c r="E220" s="1798"/>
      <c r="F220" s="1798"/>
      <c r="G220" s="1798"/>
      <c r="H220" s="1798"/>
      <c r="I220" s="1798"/>
      <c r="J220" s="1798"/>
      <c r="K220" s="1798"/>
      <c r="L220" s="1798"/>
      <c r="M220" s="1798"/>
      <c r="N220" s="1798"/>
      <c r="O220" s="1798"/>
      <c r="P220" s="1798"/>
      <c r="Q220" s="1889"/>
      <c r="R220" s="1911"/>
      <c r="S220" s="1862"/>
      <c r="T220" s="476"/>
      <c r="U220" s="476"/>
      <c r="V220" s="476"/>
      <c r="W220" s="476"/>
      <c r="X220" s="476"/>
      <c r="Y220" s="476"/>
      <c r="Z220" s="476"/>
      <c r="AA220" s="476"/>
      <c r="AB220" s="476"/>
      <c r="AC220" s="476"/>
      <c r="AD220" s="476"/>
      <c r="AE220" s="476"/>
      <c r="AF220" s="476"/>
      <c r="AG220" s="476"/>
      <c r="AH220" s="476"/>
      <c r="AI220" s="476"/>
      <c r="AJ220" s="476"/>
      <c r="AK220" s="476"/>
      <c r="AL220" s="476"/>
      <c r="AM220" s="476"/>
    </row>
    <row r="221" spans="2:39" ht="18" customHeight="1">
      <c r="B221" s="2989" t="s">
        <v>2142</v>
      </c>
      <c r="C221" s="1798"/>
      <c r="D221" s="1798"/>
      <c r="E221" s="1798"/>
      <c r="F221" s="1798"/>
      <c r="G221" s="1798"/>
      <c r="H221" s="1798"/>
      <c r="I221" s="1798"/>
      <c r="J221" s="1798"/>
      <c r="K221" s="1798"/>
      <c r="L221" s="1798"/>
      <c r="M221" s="1798"/>
      <c r="N221" s="1798"/>
      <c r="O221" s="1798"/>
      <c r="P221" s="1798"/>
      <c r="Q221" s="1889"/>
      <c r="R221" s="1911"/>
      <c r="S221" s="1862"/>
      <c r="T221" s="476"/>
      <c r="U221" s="476"/>
      <c r="V221" s="476"/>
      <c r="W221" s="476"/>
      <c r="X221" s="476"/>
      <c r="Y221" s="476"/>
      <c r="Z221" s="476"/>
      <c r="AA221" s="476"/>
      <c r="AB221" s="476"/>
      <c r="AC221" s="476"/>
      <c r="AD221" s="476"/>
      <c r="AE221" s="476"/>
      <c r="AF221" s="476"/>
      <c r="AG221" s="476"/>
      <c r="AH221" s="476"/>
      <c r="AI221" s="476"/>
      <c r="AJ221" s="476"/>
      <c r="AK221" s="476"/>
      <c r="AL221" s="476"/>
      <c r="AM221" s="476"/>
    </row>
    <row r="222" spans="2:39" ht="18" customHeight="1">
      <c r="B222" s="2989" t="s">
        <v>2143</v>
      </c>
      <c r="C222" s="1798"/>
      <c r="D222" s="1798"/>
      <c r="E222" s="1798"/>
      <c r="F222" s="1798"/>
      <c r="G222" s="1798"/>
      <c r="H222" s="1798"/>
      <c r="I222" s="1798"/>
      <c r="J222" s="1798"/>
      <c r="K222" s="1798"/>
      <c r="L222" s="1798"/>
      <c r="M222" s="1798"/>
      <c r="N222" s="1798"/>
      <c r="O222" s="1798"/>
      <c r="P222" s="1798"/>
      <c r="Q222" s="1889"/>
      <c r="R222" s="1911"/>
      <c r="S222" s="1862"/>
      <c r="T222" s="58"/>
      <c r="U222" s="476"/>
      <c r="V222" s="476"/>
      <c r="W222" s="476"/>
      <c r="X222" s="476"/>
      <c r="Y222" s="476"/>
      <c r="Z222" s="476"/>
      <c r="AA222" s="476"/>
      <c r="AB222" s="476"/>
      <c r="AC222" s="476"/>
      <c r="AD222" s="476"/>
      <c r="AE222" s="476"/>
      <c r="AF222" s="476"/>
      <c r="AG222" s="476"/>
      <c r="AH222" s="476"/>
      <c r="AI222" s="476"/>
      <c r="AJ222" s="476"/>
      <c r="AK222" s="476"/>
      <c r="AL222" s="476"/>
      <c r="AM222" s="476"/>
    </row>
    <row r="223" spans="2:39" ht="18" customHeight="1">
      <c r="B223" s="2989" t="s">
        <v>2144</v>
      </c>
      <c r="C223" s="1798"/>
      <c r="D223" s="1798"/>
      <c r="E223" s="1798"/>
      <c r="F223" s="1798"/>
      <c r="G223" s="1798"/>
      <c r="H223" s="1798"/>
      <c r="I223" s="1798"/>
      <c r="J223" s="1798"/>
      <c r="K223" s="1798"/>
      <c r="L223" s="1798"/>
      <c r="M223" s="1798"/>
      <c r="N223" s="1798"/>
      <c r="O223" s="1798"/>
      <c r="P223" s="1798"/>
      <c r="Q223" s="1889"/>
      <c r="R223" s="1911"/>
      <c r="S223" s="1862"/>
      <c r="T223" s="476"/>
      <c r="U223" s="476"/>
      <c r="V223" s="476"/>
      <c r="W223" s="476"/>
      <c r="X223" s="476"/>
      <c r="Y223" s="476"/>
      <c r="Z223" s="476"/>
      <c r="AA223" s="476"/>
      <c r="AB223" s="476"/>
      <c r="AC223" s="476"/>
      <c r="AD223" s="476"/>
      <c r="AE223" s="476"/>
      <c r="AF223" s="476"/>
      <c r="AG223" s="476"/>
      <c r="AH223" s="476"/>
      <c r="AI223" s="476"/>
      <c r="AJ223" s="476"/>
      <c r="AK223" s="476"/>
      <c r="AL223" s="476"/>
      <c r="AM223" s="476"/>
    </row>
    <row r="224" spans="2:39" ht="18" customHeight="1">
      <c r="B224" s="2989" t="s">
        <v>2145</v>
      </c>
      <c r="C224" s="1798"/>
      <c r="D224" s="1798"/>
      <c r="E224" s="1798"/>
      <c r="F224" s="1798"/>
      <c r="G224" s="1798"/>
      <c r="H224" s="1798"/>
      <c r="I224" s="1798"/>
      <c r="J224" s="1798"/>
      <c r="K224" s="1798"/>
      <c r="L224" s="1798"/>
      <c r="M224" s="1798"/>
      <c r="N224" s="1798"/>
      <c r="O224" s="1798"/>
      <c r="P224" s="1798"/>
      <c r="Q224" s="1889"/>
      <c r="R224" s="1911"/>
      <c r="S224" s="1862"/>
      <c r="T224" s="476"/>
      <c r="U224" s="476"/>
      <c r="V224" s="476"/>
      <c r="W224" s="476"/>
      <c r="X224" s="476"/>
      <c r="Y224" s="476"/>
      <c r="Z224" s="476"/>
      <c r="AA224" s="476"/>
      <c r="AB224" s="476"/>
      <c r="AC224" s="476"/>
      <c r="AD224" s="476"/>
      <c r="AE224" s="476"/>
      <c r="AF224" s="476"/>
      <c r="AG224" s="476"/>
      <c r="AH224" s="476"/>
      <c r="AI224" s="476"/>
      <c r="AJ224" s="476"/>
      <c r="AK224" s="476"/>
      <c r="AL224" s="476"/>
      <c r="AM224" s="476"/>
    </row>
    <row r="225" spans="2:39" ht="18" customHeight="1">
      <c r="B225" s="2996" t="s">
        <v>2146</v>
      </c>
      <c r="C225" s="1798"/>
      <c r="D225" s="1798"/>
      <c r="E225" s="1798"/>
      <c r="F225" s="1798"/>
      <c r="G225" s="1798"/>
      <c r="H225" s="1798"/>
      <c r="I225" s="1798"/>
      <c r="J225" s="1798"/>
      <c r="K225" s="1798"/>
      <c r="L225" s="1798"/>
      <c r="M225" s="1798"/>
      <c r="N225" s="1798"/>
      <c r="O225" s="1798"/>
      <c r="P225" s="1798"/>
      <c r="Q225" s="1889"/>
      <c r="R225" s="1911"/>
      <c r="S225" s="1862"/>
      <c r="T225" s="3005" t="s">
        <v>2147</v>
      </c>
      <c r="U225" s="1798"/>
      <c r="V225" s="1798"/>
      <c r="W225" s="1798"/>
      <c r="X225" s="1798"/>
      <c r="Y225" s="1798"/>
      <c r="Z225" s="1798"/>
      <c r="AA225" s="1798"/>
      <c r="AB225" s="1798"/>
      <c r="AC225" s="1798"/>
      <c r="AD225" s="1798"/>
      <c r="AE225" s="1798"/>
      <c r="AF225" s="1798"/>
      <c r="AG225" s="1798"/>
      <c r="AH225" s="1798"/>
      <c r="AI225" s="476"/>
      <c r="AJ225" s="476"/>
      <c r="AK225" s="476"/>
      <c r="AL225" s="476"/>
      <c r="AM225" s="476"/>
    </row>
    <row r="226" spans="2:39" s="58" customFormat="1" ht="18" customHeight="1"/>
    <row r="227" spans="2:39" ht="18" customHeight="1">
      <c r="B227" s="3008" t="s">
        <v>2148</v>
      </c>
      <c r="C227" s="1877"/>
      <c r="D227" s="1877"/>
      <c r="E227" s="1877"/>
      <c r="F227" s="1877"/>
      <c r="G227" s="476"/>
      <c r="H227" s="476"/>
      <c r="I227" s="476"/>
      <c r="J227" s="476"/>
      <c r="K227" s="476"/>
      <c r="L227" s="476"/>
      <c r="M227" s="476"/>
      <c r="N227" s="476"/>
      <c r="O227" s="476"/>
      <c r="P227" s="476"/>
      <c r="Q227" s="476"/>
      <c r="R227" s="476"/>
      <c r="S227" s="476"/>
      <c r="T227" s="476"/>
      <c r="U227" s="476"/>
      <c r="V227" s="476"/>
      <c r="W227" s="476"/>
      <c r="X227" s="476"/>
      <c r="Y227" s="476"/>
      <c r="Z227" s="476"/>
      <c r="AA227" s="476"/>
      <c r="AB227" s="476"/>
      <c r="AC227" s="476"/>
      <c r="AD227" s="476"/>
      <c r="AE227" s="476"/>
      <c r="AF227" s="476"/>
      <c r="AG227" s="476"/>
      <c r="AH227" s="476"/>
      <c r="AI227" s="476"/>
      <c r="AJ227" s="476"/>
      <c r="AK227" s="476"/>
      <c r="AL227" s="476"/>
      <c r="AM227" s="476"/>
    </row>
    <row r="228" spans="2:39" ht="63" customHeight="1">
      <c r="B228" s="2990"/>
      <c r="C228" s="1861"/>
      <c r="D228" s="1861"/>
      <c r="E228" s="1861"/>
      <c r="F228" s="1861"/>
      <c r="G228" s="1861"/>
      <c r="H228" s="1861"/>
      <c r="I228" s="1861"/>
      <c r="J228" s="1861"/>
      <c r="K228" s="1861"/>
      <c r="L228" s="1861"/>
      <c r="M228" s="1861"/>
      <c r="N228" s="1861"/>
      <c r="O228" s="1861"/>
      <c r="P228" s="1861"/>
      <c r="Q228" s="1861"/>
      <c r="R228" s="1861"/>
      <c r="S228" s="1861"/>
      <c r="T228" s="1861"/>
      <c r="U228" s="1861"/>
      <c r="V228" s="1861"/>
      <c r="W228" s="1861"/>
      <c r="X228" s="1861"/>
      <c r="Y228" s="1861"/>
      <c r="Z228" s="1861"/>
      <c r="AA228" s="1861"/>
      <c r="AB228" s="1861"/>
      <c r="AC228" s="1861"/>
      <c r="AD228" s="1861"/>
      <c r="AE228" s="1861"/>
      <c r="AF228" s="1861"/>
      <c r="AG228" s="1861"/>
      <c r="AH228" s="1861"/>
      <c r="AI228" s="1861"/>
      <c r="AJ228" s="1861"/>
      <c r="AK228" s="1861"/>
      <c r="AL228" s="1861"/>
      <c r="AM228" s="1862"/>
    </row>
    <row r="230" spans="2:39" ht="18" customHeight="1">
      <c r="B230" s="2529" t="s">
        <v>461</v>
      </c>
      <c r="C230" s="1798"/>
      <c r="D230" s="1798"/>
      <c r="E230" s="1798"/>
      <c r="F230" s="1798"/>
      <c r="G230" s="1798"/>
      <c r="H230" s="1798"/>
      <c r="I230" s="1798"/>
      <c r="J230" s="1798"/>
      <c r="K230" s="1798"/>
      <c r="L230" s="1798"/>
      <c r="M230" s="1798"/>
      <c r="N230" s="1798"/>
      <c r="O230" s="1798"/>
      <c r="P230" s="1798"/>
      <c r="Q230" s="1798"/>
      <c r="R230" s="1798"/>
      <c r="S230" s="1798"/>
      <c r="T230" s="1798"/>
      <c r="U230" s="1798"/>
      <c r="V230" s="1798"/>
      <c r="W230" s="1798"/>
      <c r="X230" s="1798"/>
      <c r="Y230" s="1798"/>
      <c r="Z230" s="1798"/>
      <c r="AA230" s="1798"/>
      <c r="AB230" s="1798"/>
      <c r="AC230" s="1798"/>
      <c r="AD230" s="1798"/>
      <c r="AE230" s="1798"/>
      <c r="AF230" s="1798"/>
      <c r="AG230" s="1798"/>
      <c r="AH230" s="1798"/>
      <c r="AI230" s="1798"/>
      <c r="AJ230" s="1798"/>
      <c r="AK230" s="1798"/>
      <c r="AL230" s="1798"/>
      <c r="AM230" s="1798"/>
    </row>
  </sheetData>
  <sheetProtection algorithmName="SHA-512" hashValue="oziFigL41UrdHUgV3gW54L1gLe+HjnKc/jbstQ/2Cj859OmIWX8B53X/ViDguvJ4lLxNdLXeonSJwMATdIUsfw==" saltValue="hJfn7urXXgOLyqEmDPHERw==" spinCount="100000" sheet="1" objects="1" scenarios="1"/>
  <mergeCells count="371">
    <mergeCell ref="M27:AE27"/>
    <mergeCell ref="K90:AK90"/>
    <mergeCell ref="D58:AK58"/>
    <mergeCell ref="E84:AK84"/>
    <mergeCell ref="E114:AK114"/>
    <mergeCell ref="L143:Q143"/>
    <mergeCell ref="E178:AK178"/>
    <mergeCell ref="F36:AK36"/>
    <mergeCell ref="Z99:AK99"/>
    <mergeCell ref="E30:AK30"/>
    <mergeCell ref="B40:D40"/>
    <mergeCell ref="D46:AK46"/>
    <mergeCell ref="AF48:AK48"/>
    <mergeCell ref="D57:AK57"/>
    <mergeCell ref="F68:AK68"/>
    <mergeCell ref="B56:D56"/>
    <mergeCell ref="D177:AK177"/>
    <mergeCell ref="F108:AK108"/>
    <mergeCell ref="C161:AK161"/>
    <mergeCell ref="E90:J90"/>
    <mergeCell ref="C165:AJ165"/>
    <mergeCell ref="E91:S91"/>
    <mergeCell ref="T99:Y99"/>
    <mergeCell ref="B43:D43"/>
    <mergeCell ref="B223:Q223"/>
    <mergeCell ref="B220:Q220"/>
    <mergeCell ref="B144:D144"/>
    <mergeCell ref="AL14:AM14"/>
    <mergeCell ref="AL185:AM185"/>
    <mergeCell ref="D149:AK149"/>
    <mergeCell ref="D124:AK124"/>
    <mergeCell ref="E53:F53"/>
    <mergeCell ref="M40:AE40"/>
    <mergeCell ref="F180:L180"/>
    <mergeCell ref="R211:S211"/>
    <mergeCell ref="D126:AK126"/>
    <mergeCell ref="O148:P148"/>
    <mergeCell ref="AL61:AM61"/>
    <mergeCell ref="E31:AK31"/>
    <mergeCell ref="D25:AK25"/>
    <mergeCell ref="B207:Q207"/>
    <mergeCell ref="AL125:AM125"/>
    <mergeCell ref="E95:AK95"/>
    <mergeCell ref="F86:AK86"/>
    <mergeCell ref="E40:L40"/>
    <mergeCell ref="AL56:AM56"/>
    <mergeCell ref="AL194:AM194"/>
    <mergeCell ref="E43:L43"/>
    <mergeCell ref="B227:F227"/>
    <mergeCell ref="C131:AK131"/>
    <mergeCell ref="AL27:AM27"/>
    <mergeCell ref="AL154:AM154"/>
    <mergeCell ref="B213:Q213"/>
    <mergeCell ref="AL104:AM104"/>
    <mergeCell ref="D15:AK15"/>
    <mergeCell ref="AL25:AM25"/>
    <mergeCell ref="B208:Q208"/>
    <mergeCell ref="AF56:AK56"/>
    <mergeCell ref="E27:L27"/>
    <mergeCell ref="AL43:AM43"/>
    <mergeCell ref="AF43:AK43"/>
    <mergeCell ref="G38:AK38"/>
    <mergeCell ref="AD181:AE181"/>
    <mergeCell ref="D145:AK145"/>
    <mergeCell ref="X180:Y180"/>
    <mergeCell ref="E92:S92"/>
    <mergeCell ref="C158:AK158"/>
    <mergeCell ref="D147:AK147"/>
    <mergeCell ref="E24:F24"/>
    <mergeCell ref="R207:S207"/>
    <mergeCell ref="AL59:AM59"/>
    <mergeCell ref="AL46:AM46"/>
    <mergeCell ref="B5:D5"/>
    <mergeCell ref="B151:AM151"/>
    <mergeCell ref="B210:Q210"/>
    <mergeCell ref="R224:S224"/>
    <mergeCell ref="E192:AK192"/>
    <mergeCell ref="AL84:AM84"/>
    <mergeCell ref="B195:G195"/>
    <mergeCell ref="AL78:AM78"/>
    <mergeCell ref="E194:AK194"/>
    <mergeCell ref="AL40:AM40"/>
    <mergeCell ref="AL15:AM15"/>
    <mergeCell ref="D81:E81"/>
    <mergeCell ref="D28:AK28"/>
    <mergeCell ref="E87:AK87"/>
    <mergeCell ref="X181:Y181"/>
    <mergeCell ref="E99:S99"/>
    <mergeCell ref="E105:AK105"/>
    <mergeCell ref="M56:AE56"/>
    <mergeCell ref="E144:M144"/>
    <mergeCell ref="M43:AE43"/>
    <mergeCell ref="R214:S214"/>
    <mergeCell ref="E113:AK113"/>
    <mergeCell ref="B163:D163"/>
    <mergeCell ref="AL155:AM155"/>
    <mergeCell ref="D19:E19"/>
    <mergeCell ref="D18:E18"/>
    <mergeCell ref="AF174:AK174"/>
    <mergeCell ref="D82:E82"/>
    <mergeCell ref="B27:D27"/>
    <mergeCell ref="T225:AH225"/>
    <mergeCell ref="C8:AK8"/>
    <mergeCell ref="R220:S220"/>
    <mergeCell ref="D32:AK32"/>
    <mergeCell ref="Z91:AK91"/>
    <mergeCell ref="R222:S222"/>
    <mergeCell ref="B198:AM198"/>
    <mergeCell ref="AL49:AM49"/>
    <mergeCell ref="R221:S221"/>
    <mergeCell ref="Z93:AK93"/>
    <mergeCell ref="D103:AK103"/>
    <mergeCell ref="D168:AK168"/>
    <mergeCell ref="C154:AK154"/>
    <mergeCell ref="D167:AK167"/>
    <mergeCell ref="AF55:AK55"/>
    <mergeCell ref="AL57:AM57"/>
    <mergeCell ref="R223:S223"/>
    <mergeCell ref="B200:Q200"/>
    <mergeCell ref="AL146:AM146"/>
    <mergeCell ref="B4:AM4"/>
    <mergeCell ref="AL36:AM36"/>
    <mergeCell ref="B222:Q222"/>
    <mergeCell ref="C160:AK160"/>
    <mergeCell ref="E63:F63"/>
    <mergeCell ref="E163:M163"/>
    <mergeCell ref="AF50:AK50"/>
    <mergeCell ref="M181:V181"/>
    <mergeCell ref="AF181:AK181"/>
    <mergeCell ref="D115:AK115"/>
    <mergeCell ref="E97:J97"/>
    <mergeCell ref="D45:AK45"/>
    <mergeCell ref="E96:AK96"/>
    <mergeCell ref="B128:AM128"/>
    <mergeCell ref="AL162:AM162"/>
    <mergeCell ref="E98:S98"/>
    <mergeCell ref="E111:AK111"/>
    <mergeCell ref="E22:F22"/>
    <mergeCell ref="D166:AK166"/>
    <mergeCell ref="D148:N148"/>
    <mergeCell ref="E56:L56"/>
    <mergeCell ref="Z181:AC181"/>
    <mergeCell ref="E140:AK140"/>
    <mergeCell ref="AL73:AM73"/>
    <mergeCell ref="B2:AM2"/>
    <mergeCell ref="R204:S204"/>
    <mergeCell ref="F35:G35"/>
    <mergeCell ref="AL144:AM144"/>
    <mergeCell ref="AL171:AM171"/>
    <mergeCell ref="F71:AK71"/>
    <mergeCell ref="AL137:AM137"/>
    <mergeCell ref="F37:AK37"/>
    <mergeCell ref="AL173:AM173"/>
    <mergeCell ref="F60:AK60"/>
    <mergeCell ref="B76:AM76"/>
    <mergeCell ref="D16:AK16"/>
    <mergeCell ref="AL139:AM139"/>
    <mergeCell ref="E29:AK29"/>
    <mergeCell ref="E94:AK94"/>
    <mergeCell ref="E64:F64"/>
    <mergeCell ref="E193:AK193"/>
    <mergeCell ref="D9:E9"/>
    <mergeCell ref="AL39:AM39"/>
    <mergeCell ref="D52:AK52"/>
    <mergeCell ref="N144:AE144"/>
    <mergeCell ref="D116:AK116"/>
    <mergeCell ref="B48:D48"/>
    <mergeCell ref="D66:AK66"/>
    <mergeCell ref="B216:Q216"/>
    <mergeCell ref="AL7:AM7"/>
    <mergeCell ref="B118:G118"/>
    <mergeCell ref="AL172:AM172"/>
    <mergeCell ref="AL134:AM134"/>
    <mergeCell ref="C162:AK162"/>
    <mergeCell ref="B218:Q218"/>
    <mergeCell ref="AF144:AK144"/>
    <mergeCell ref="D47:AK47"/>
    <mergeCell ref="O19:P19"/>
    <mergeCell ref="E73:AK73"/>
    <mergeCell ref="E137:AK137"/>
    <mergeCell ref="E69:AK69"/>
    <mergeCell ref="AL160:AM160"/>
    <mergeCell ref="D11:E11"/>
    <mergeCell ref="AL174:AM174"/>
    <mergeCell ref="D14:AK14"/>
    <mergeCell ref="E93:S93"/>
    <mergeCell ref="AL17:AM17"/>
    <mergeCell ref="D12:E12"/>
    <mergeCell ref="AL126:AM126"/>
    <mergeCell ref="D83:E83"/>
    <mergeCell ref="E10:F10"/>
    <mergeCell ref="AL145:AM145"/>
    <mergeCell ref="B219:Q219"/>
    <mergeCell ref="G39:AK39"/>
    <mergeCell ref="R206:S206"/>
    <mergeCell ref="E54:F54"/>
    <mergeCell ref="E67:AK67"/>
    <mergeCell ref="Z100:AK100"/>
    <mergeCell ref="AL149:AM149"/>
    <mergeCell ref="F179:AK179"/>
    <mergeCell ref="AL124:AM124"/>
    <mergeCell ref="C156:D156"/>
    <mergeCell ref="E142:I142"/>
    <mergeCell ref="B201:Q201"/>
    <mergeCell ref="F187:AK187"/>
    <mergeCell ref="D117:AK117"/>
    <mergeCell ref="B203:Q203"/>
    <mergeCell ref="AL168:AM168"/>
    <mergeCell ref="R217:S217"/>
    <mergeCell ref="B215:Q215"/>
    <mergeCell ref="F70:AK70"/>
    <mergeCell ref="Z142:AM142"/>
    <mergeCell ref="N163:AE163"/>
    <mergeCell ref="L50:AE50"/>
    <mergeCell ref="D74:E74"/>
    <mergeCell ref="AL42:AM42"/>
    <mergeCell ref="AL163:AM163"/>
    <mergeCell ref="AF163:AK163"/>
    <mergeCell ref="AL28:AM28"/>
    <mergeCell ref="B209:Q209"/>
    <mergeCell ref="E169:AK169"/>
    <mergeCell ref="E89:AK89"/>
    <mergeCell ref="E65:F65"/>
    <mergeCell ref="F189:AK189"/>
    <mergeCell ref="F42:AK42"/>
    <mergeCell ref="AL165:AM165"/>
    <mergeCell ref="C133:AK133"/>
    <mergeCell ref="F188:AK188"/>
    <mergeCell ref="C176:AK176"/>
    <mergeCell ref="E72:AK72"/>
    <mergeCell ref="R200:S200"/>
    <mergeCell ref="B150:G150"/>
    <mergeCell ref="D51:E51"/>
    <mergeCell ref="R202:S202"/>
    <mergeCell ref="D135:AK135"/>
    <mergeCell ref="E88:AK88"/>
    <mergeCell ref="E190:AK190"/>
    <mergeCell ref="M180:V180"/>
    <mergeCell ref="AL72:AM72"/>
    <mergeCell ref="F182:M182"/>
    <mergeCell ref="B230:AM230"/>
    <mergeCell ref="B225:Q225"/>
    <mergeCell ref="AL190:AM190"/>
    <mergeCell ref="R216:S216"/>
    <mergeCell ref="T92:Y92"/>
    <mergeCell ref="D80:E80"/>
    <mergeCell ref="Z92:AK92"/>
    <mergeCell ref="R218:S218"/>
    <mergeCell ref="T100:Y100"/>
    <mergeCell ref="B212:Q212"/>
    <mergeCell ref="AL117:AM117"/>
    <mergeCell ref="AL161:AM161"/>
    <mergeCell ref="B217:Q217"/>
    <mergeCell ref="B224:Q224"/>
    <mergeCell ref="E174:M174"/>
    <mergeCell ref="R213:S213"/>
    <mergeCell ref="R215:S215"/>
    <mergeCell ref="C130:AK130"/>
    <mergeCell ref="F181:L181"/>
    <mergeCell ref="E139:AK139"/>
    <mergeCell ref="C122:AK122"/>
    <mergeCell ref="E185:AK185"/>
    <mergeCell ref="R210:S210"/>
    <mergeCell ref="AL158:AM158"/>
    <mergeCell ref="R205:S205"/>
    <mergeCell ref="C159:D159"/>
    <mergeCell ref="C153:D153"/>
    <mergeCell ref="D104:AK104"/>
    <mergeCell ref="F184:AK184"/>
    <mergeCell ref="E106:AK106"/>
    <mergeCell ref="E141:AK141"/>
    <mergeCell ref="E143:J143"/>
    <mergeCell ref="C155:AK155"/>
    <mergeCell ref="E136:F136"/>
    <mergeCell ref="N174:AE174"/>
    <mergeCell ref="AL32:AM32"/>
    <mergeCell ref="B50:D50"/>
    <mergeCell ref="C7:AK7"/>
    <mergeCell ref="D125:AK125"/>
    <mergeCell ref="E138:AK138"/>
    <mergeCell ref="E50:K50"/>
    <mergeCell ref="K142:N142"/>
    <mergeCell ref="E100:S100"/>
    <mergeCell ref="AL68:AM68"/>
    <mergeCell ref="T98:Y98"/>
    <mergeCell ref="B119:AM119"/>
    <mergeCell ref="F109:AK109"/>
    <mergeCell ref="AL132:AM132"/>
    <mergeCell ref="T91:Y91"/>
    <mergeCell ref="D49:AK49"/>
    <mergeCell ref="T93:Y93"/>
    <mergeCell ref="D13:E13"/>
    <mergeCell ref="E59:AK59"/>
    <mergeCell ref="E34:F34"/>
    <mergeCell ref="E61:AK61"/>
    <mergeCell ref="M55:AE55"/>
    <mergeCell ref="F85:AK85"/>
    <mergeCell ref="M48:AE48"/>
    <mergeCell ref="C132:P132"/>
    <mergeCell ref="R225:S225"/>
    <mergeCell ref="E112:AK112"/>
    <mergeCell ref="D101:AK101"/>
    <mergeCell ref="D171:AK171"/>
    <mergeCell ref="C157:D157"/>
    <mergeCell ref="C78:AK78"/>
    <mergeCell ref="D102:AK102"/>
    <mergeCell ref="Z180:AK180"/>
    <mergeCell ref="C164:Z164"/>
    <mergeCell ref="B204:Q204"/>
    <mergeCell ref="C172:AK172"/>
    <mergeCell ref="Z98:AK98"/>
    <mergeCell ref="N182:AK182"/>
    <mergeCell ref="C79:AK79"/>
    <mergeCell ref="B127:G127"/>
    <mergeCell ref="B214:Q214"/>
    <mergeCell ref="B196:AM196"/>
    <mergeCell ref="B206:Q206"/>
    <mergeCell ref="R219:S219"/>
    <mergeCell ref="AL138:AM138"/>
    <mergeCell ref="B211:Q211"/>
    <mergeCell ref="E107:AK107"/>
    <mergeCell ref="R212:S212"/>
    <mergeCell ref="F183:AK183"/>
    <mergeCell ref="D17:AK17"/>
    <mergeCell ref="AL69:AM69"/>
    <mergeCell ref="E55:L55"/>
    <mergeCell ref="D146:AK146"/>
    <mergeCell ref="E170:AK170"/>
    <mergeCell ref="B174:D174"/>
    <mergeCell ref="E48:L48"/>
    <mergeCell ref="P142:Y142"/>
    <mergeCell ref="D20:AK20"/>
    <mergeCell ref="AL50:AM50"/>
    <mergeCell ref="E21:F21"/>
    <mergeCell ref="E23:F23"/>
    <mergeCell ref="F44:AK44"/>
    <mergeCell ref="D26:AK26"/>
    <mergeCell ref="AF27:AK27"/>
    <mergeCell ref="D33:AM33"/>
    <mergeCell ref="AL44:AM44"/>
    <mergeCell ref="AL95:AM95"/>
    <mergeCell ref="AL26:AM26"/>
    <mergeCell ref="AF40:AK40"/>
    <mergeCell ref="AL115:AM115"/>
    <mergeCell ref="AL55:AM55"/>
    <mergeCell ref="F19:N19"/>
    <mergeCell ref="AL48:AM48"/>
    <mergeCell ref="E5:AM5"/>
    <mergeCell ref="B221:Q221"/>
    <mergeCell ref="R208:S208"/>
    <mergeCell ref="D110:AK110"/>
    <mergeCell ref="B55:D55"/>
    <mergeCell ref="B228:AM228"/>
    <mergeCell ref="AL164:AM164"/>
    <mergeCell ref="R201:S201"/>
    <mergeCell ref="K97:AK97"/>
    <mergeCell ref="R209:S209"/>
    <mergeCell ref="R203:S203"/>
    <mergeCell ref="B75:G75"/>
    <mergeCell ref="AL88:AM88"/>
    <mergeCell ref="C123:AK123"/>
    <mergeCell ref="B205:Q205"/>
    <mergeCell ref="D134:S134"/>
    <mergeCell ref="F186:AK186"/>
    <mergeCell ref="AL16:AM16"/>
    <mergeCell ref="D62:AJ62"/>
    <mergeCell ref="C121:AK121"/>
    <mergeCell ref="D191:AK191"/>
    <mergeCell ref="B202:Q202"/>
    <mergeCell ref="C173:AK173"/>
    <mergeCell ref="F41:AK41"/>
  </mergeCells>
  <conditionalFormatting sqref="D80">
    <cfRule type="cellIs" dxfId="1174" priority="241" operator="equal">
      <formula>"O"</formula>
    </cfRule>
  </conditionalFormatting>
  <conditionalFormatting sqref="D81">
    <cfRule type="cellIs" dxfId="1173" priority="240" operator="equal">
      <formula>"O"</formula>
    </cfRule>
  </conditionalFormatting>
  <conditionalFormatting sqref="D82">
    <cfRule type="cellIs" dxfId="1172" priority="239" operator="equal">
      <formula>"O"</formula>
    </cfRule>
  </conditionalFormatting>
  <conditionalFormatting sqref="R200:S200 AL137:AM138 AL145:AM146">
    <cfRule type="cellIs" dxfId="1171" priority="229" operator="equal">
      <formula>"No"</formula>
    </cfRule>
    <cfRule type="cellIs" dxfId="1170" priority="230" operator="equal">
      <formula>"Yes"</formula>
    </cfRule>
  </conditionalFormatting>
  <conditionalFormatting sqref="E10">
    <cfRule type="cellIs" dxfId="1169" priority="226" operator="equal">
      <formula>"O"</formula>
    </cfRule>
  </conditionalFormatting>
  <conditionalFormatting sqref="D9">
    <cfRule type="cellIs" dxfId="1168" priority="225" operator="equal">
      <formula>"O"</formula>
    </cfRule>
  </conditionalFormatting>
  <conditionalFormatting sqref="D12">
    <cfRule type="cellIs" dxfId="1167" priority="224" operator="equal">
      <formula>"O"</formula>
    </cfRule>
  </conditionalFormatting>
  <conditionalFormatting sqref="D11">
    <cfRule type="cellIs" dxfId="1166" priority="223" operator="equal">
      <formula>"O"</formula>
    </cfRule>
  </conditionalFormatting>
  <conditionalFormatting sqref="D13">
    <cfRule type="cellIs" dxfId="1165" priority="222" operator="equal">
      <formula>"O"</formula>
    </cfRule>
  </conditionalFormatting>
  <conditionalFormatting sqref="D18">
    <cfRule type="cellIs" dxfId="1164" priority="219" operator="equal">
      <formula>"O"</formula>
    </cfRule>
  </conditionalFormatting>
  <conditionalFormatting sqref="D19">
    <cfRule type="cellIs" dxfId="1163" priority="218" operator="equal">
      <formula>"O"</formula>
    </cfRule>
  </conditionalFormatting>
  <conditionalFormatting sqref="E21">
    <cfRule type="cellIs" dxfId="1162" priority="217" operator="equal">
      <formula>"O"</formula>
    </cfRule>
  </conditionalFormatting>
  <conditionalFormatting sqref="E22">
    <cfRule type="cellIs" dxfId="1161" priority="215" operator="equal">
      <formula>"O"</formula>
    </cfRule>
  </conditionalFormatting>
  <conditionalFormatting sqref="E24">
    <cfRule type="cellIs" dxfId="1160" priority="212" operator="equal">
      <formula>"O"</formula>
    </cfRule>
  </conditionalFormatting>
  <conditionalFormatting sqref="E23">
    <cfRule type="cellIs" dxfId="1159" priority="213" operator="equal">
      <formula>"O"</formula>
    </cfRule>
  </conditionalFormatting>
  <conditionalFormatting sqref="E34">
    <cfRule type="cellIs" dxfId="1158" priority="211" operator="equal">
      <formula>"O"</formula>
    </cfRule>
  </conditionalFormatting>
  <conditionalFormatting sqref="AL36:AM36">
    <cfRule type="cellIs" dxfId="1157" priority="206" operator="equal">
      <formula>"No"</formula>
    </cfRule>
    <cfRule type="cellIs" dxfId="1156" priority="207" operator="equal">
      <formula>"Yes"</formula>
    </cfRule>
  </conditionalFormatting>
  <conditionalFormatting sqref="AL44:AM44">
    <cfRule type="cellIs" dxfId="1155" priority="202" operator="equal">
      <formula>"No"</formula>
    </cfRule>
    <cfRule type="cellIs" dxfId="1154" priority="203" operator="equal">
      <formula>"Yes"</formula>
    </cfRule>
  </conditionalFormatting>
  <conditionalFormatting sqref="AL26:AM26">
    <cfRule type="cellIs" dxfId="1153" priority="200" operator="equal">
      <formula>"No"</formula>
    </cfRule>
    <cfRule type="cellIs" dxfId="1152" priority="201" operator="equal">
      <formula>"Yes"</formula>
    </cfRule>
  </conditionalFormatting>
  <conditionalFormatting sqref="D51">
    <cfRule type="cellIs" dxfId="1151" priority="191" operator="equal">
      <formula>"O"</formula>
    </cfRule>
  </conditionalFormatting>
  <conditionalFormatting sqref="E53">
    <cfRule type="cellIs" dxfId="1150" priority="190" operator="equal">
      <formula>"O"</formula>
    </cfRule>
  </conditionalFormatting>
  <conditionalFormatting sqref="E54">
    <cfRule type="cellIs" dxfId="1149" priority="189" operator="equal">
      <formula>"O"</formula>
    </cfRule>
  </conditionalFormatting>
  <conditionalFormatting sqref="AL57:AM57">
    <cfRule type="cellIs" dxfId="1148" priority="184" operator="equal">
      <formula>"No"</formula>
    </cfRule>
    <cfRule type="cellIs" dxfId="1147" priority="185" operator="equal">
      <formula>"Yes"</formula>
    </cfRule>
  </conditionalFormatting>
  <conditionalFormatting sqref="D74">
    <cfRule type="cellIs" dxfId="1146" priority="182" operator="equal">
      <formula>"O"</formula>
    </cfRule>
  </conditionalFormatting>
  <conditionalFormatting sqref="AL124:AM126">
    <cfRule type="cellIs" dxfId="1145" priority="173" operator="equal">
      <formula>"No"</formula>
    </cfRule>
    <cfRule type="cellIs" dxfId="1144" priority="174" operator="equal">
      <formula>"Yes"</formula>
    </cfRule>
  </conditionalFormatting>
  <conditionalFormatting sqref="AL132:AM132 AL134:AM134">
    <cfRule type="cellIs" dxfId="1143" priority="168" operator="equal">
      <formula>"No"</formula>
    </cfRule>
    <cfRule type="cellIs" dxfId="1142" priority="169" operator="equal">
      <formula>"Yes"</formula>
    </cfRule>
  </conditionalFormatting>
  <conditionalFormatting sqref="AL149:AM149">
    <cfRule type="cellIs" dxfId="1141" priority="164" operator="equal">
      <formula>"No"</formula>
    </cfRule>
    <cfRule type="cellIs" dxfId="1140" priority="165" operator="equal">
      <formula>"Yes"</formula>
    </cfRule>
  </conditionalFormatting>
  <conditionalFormatting sqref="C153">
    <cfRule type="cellIs" dxfId="1139" priority="163" operator="equal">
      <formula>"O"</formula>
    </cfRule>
  </conditionalFormatting>
  <conditionalFormatting sqref="C156">
    <cfRule type="cellIs" dxfId="1138" priority="161" operator="equal">
      <formula>"O"</formula>
    </cfRule>
  </conditionalFormatting>
  <conditionalFormatting sqref="C159">
    <cfRule type="cellIs" dxfId="1137" priority="162" operator="equal">
      <formula>"O"</formula>
    </cfRule>
  </conditionalFormatting>
  <conditionalFormatting sqref="AL154:AM155">
    <cfRule type="cellIs" dxfId="1136" priority="159" operator="equal">
      <formula>"No"</formula>
    </cfRule>
    <cfRule type="cellIs" dxfId="1135" priority="160" operator="equal">
      <formula>"Yes"</formula>
    </cfRule>
  </conditionalFormatting>
  <conditionalFormatting sqref="AL160:AM161 AL162">
    <cfRule type="cellIs" dxfId="1134" priority="155" operator="equal">
      <formula>"No"</formula>
    </cfRule>
    <cfRule type="cellIs" dxfId="1133" priority="156" operator="equal">
      <formula>"Yes"</formula>
    </cfRule>
  </conditionalFormatting>
  <conditionalFormatting sqref="AL164:AM164">
    <cfRule type="cellIs" dxfId="1132" priority="153" operator="equal">
      <formula>"No"</formula>
    </cfRule>
    <cfRule type="cellIs" dxfId="1131" priority="154" operator="equal">
      <formula>"Yes"</formula>
    </cfRule>
  </conditionalFormatting>
  <conditionalFormatting sqref="AL25:AM26">
    <cfRule type="cellIs" dxfId="1130" priority="130" operator="equal">
      <formula>"No"</formula>
    </cfRule>
    <cfRule type="cellIs" dxfId="1129" priority="131" operator="equal">
      <formula>"Yes"</formula>
    </cfRule>
  </conditionalFormatting>
  <conditionalFormatting sqref="AL28:AM28">
    <cfRule type="cellIs" dxfId="1128" priority="126" operator="equal">
      <formula>"No"</formula>
    </cfRule>
    <cfRule type="cellIs" dxfId="1127" priority="127" operator="equal">
      <formula>"Yes"</formula>
    </cfRule>
    <cfRule type="cellIs" dxfId="1126" priority="128" operator="equal">
      <formula>"No"</formula>
    </cfRule>
    <cfRule type="cellIs" dxfId="1125" priority="129" operator="equal">
      <formula>"Yes"</formula>
    </cfRule>
  </conditionalFormatting>
  <conditionalFormatting sqref="AL32:AM32">
    <cfRule type="cellIs" dxfId="1124" priority="122" operator="equal">
      <formula>"No"</formula>
    </cfRule>
    <cfRule type="cellIs" dxfId="1123" priority="123" operator="equal">
      <formula>"Yes"</formula>
    </cfRule>
    <cfRule type="cellIs" dxfId="1122" priority="124" operator="equal">
      <formula>"No"</formula>
    </cfRule>
    <cfRule type="cellIs" dxfId="1121" priority="125" operator="equal">
      <formula>"Yes"</formula>
    </cfRule>
  </conditionalFormatting>
  <conditionalFormatting sqref="F35">
    <cfRule type="cellIs" dxfId="1120" priority="121" operator="equal">
      <formula>"O"</formula>
    </cfRule>
  </conditionalFormatting>
  <conditionalFormatting sqref="AL39:AM39">
    <cfRule type="cellIs" dxfId="1119" priority="120" operator="equal">
      <formula>"Yes"</formula>
    </cfRule>
  </conditionalFormatting>
  <conditionalFormatting sqref="AL7:AM7">
    <cfRule type="cellIs" dxfId="1118" priority="91" operator="equal">
      <formula>"No"</formula>
    </cfRule>
    <cfRule type="cellIs" dxfId="1117" priority="92" operator="equal">
      <formula>"Yes"</formula>
    </cfRule>
  </conditionalFormatting>
  <conditionalFormatting sqref="AL14:AM14">
    <cfRule type="cellIs" dxfId="1116" priority="89" operator="equal">
      <formula>"No"</formula>
    </cfRule>
    <cfRule type="cellIs" dxfId="1115" priority="90" operator="equal">
      <formula>"Yes"</formula>
    </cfRule>
  </conditionalFormatting>
  <conditionalFormatting sqref="AL15:AM17">
    <cfRule type="cellIs" dxfId="1114" priority="87" operator="equal">
      <formula>"No"</formula>
    </cfRule>
    <cfRule type="cellIs" dxfId="1113" priority="88" operator="equal">
      <formula>"Yes"</formula>
    </cfRule>
  </conditionalFormatting>
  <conditionalFormatting sqref="E64">
    <cfRule type="cellIs" dxfId="1112" priority="86" operator="equal">
      <formula>"O"</formula>
    </cfRule>
  </conditionalFormatting>
  <conditionalFormatting sqref="E63">
    <cfRule type="cellIs" dxfId="1111" priority="85" operator="equal">
      <formula>"O"</formula>
    </cfRule>
  </conditionalFormatting>
  <conditionalFormatting sqref="E65">
    <cfRule type="cellIs" dxfId="1110" priority="84" operator="equal">
      <formula>"O"</formula>
    </cfRule>
  </conditionalFormatting>
  <conditionalFormatting sqref="AL78:AM78">
    <cfRule type="cellIs" dxfId="1109" priority="82" operator="equal">
      <formula>"No"</formula>
    </cfRule>
    <cfRule type="cellIs" dxfId="1108" priority="83" operator="equal">
      <formula>"Yes"</formula>
    </cfRule>
  </conditionalFormatting>
  <conditionalFormatting sqref="D83">
    <cfRule type="cellIs" dxfId="1107" priority="81" operator="equal">
      <formula>"O"</formula>
    </cfRule>
  </conditionalFormatting>
  <conditionalFormatting sqref="D101">
    <cfRule type="cellIs" dxfId="1106" priority="78" operator="equal">
      <formula>0</formula>
    </cfRule>
    <cfRule type="cellIs" dxfId="1105" priority="80" operator="equal">
      <formula>"O"</formula>
    </cfRule>
  </conditionalFormatting>
  <conditionalFormatting sqref="AL185:AM185">
    <cfRule type="cellIs" dxfId="1104" priority="71" operator="equal">
      <formula>"No"</formula>
    </cfRule>
    <cfRule type="cellIs" dxfId="1103" priority="72" operator="equal">
      <formula>"Yes"</formula>
    </cfRule>
  </conditionalFormatting>
  <conditionalFormatting sqref="AL190:AM190">
    <cfRule type="cellIs" dxfId="1102" priority="69" operator="equal">
      <formula>"No"</formula>
    </cfRule>
    <cfRule type="cellIs" dxfId="1101" priority="70" operator="equal">
      <formula>"Yes"</formula>
    </cfRule>
  </conditionalFormatting>
  <conditionalFormatting sqref="AL194:AM194">
    <cfRule type="cellIs" dxfId="1100" priority="67" operator="equal">
      <formula>"No"</formula>
    </cfRule>
    <cfRule type="cellIs" dxfId="1099" priority="68" operator="equal">
      <formula>"Yes"</formula>
    </cfRule>
  </conditionalFormatting>
  <conditionalFormatting sqref="AL61:AM61">
    <cfRule type="cellIs" dxfId="1098" priority="65" operator="equal">
      <formula>"No"</formula>
    </cfRule>
    <cfRule type="cellIs" dxfId="1097" priority="66" operator="equal">
      <formula>"Yes"</formula>
    </cfRule>
  </conditionalFormatting>
  <conditionalFormatting sqref="AL59:AM59">
    <cfRule type="cellIs" dxfId="1096" priority="63" operator="equal">
      <formula>"No"</formula>
    </cfRule>
    <cfRule type="cellIs" dxfId="1095" priority="64" operator="equal">
      <formula>"Yes"</formula>
    </cfRule>
  </conditionalFormatting>
  <conditionalFormatting sqref="AL68:AM68">
    <cfRule type="cellIs" dxfId="1094" priority="61" operator="equal">
      <formula>"No"</formula>
    </cfRule>
    <cfRule type="cellIs" dxfId="1093" priority="62" operator="equal">
      <formula>"Yes"</formula>
    </cfRule>
  </conditionalFormatting>
  <conditionalFormatting sqref="AL69:AM69">
    <cfRule type="cellIs" dxfId="1092" priority="59" operator="equal">
      <formula>"No"</formula>
    </cfRule>
    <cfRule type="cellIs" dxfId="1091" priority="60" operator="equal">
      <formula>"Yes"</formula>
    </cfRule>
  </conditionalFormatting>
  <conditionalFormatting sqref="AL72:AM72">
    <cfRule type="cellIs" dxfId="1090" priority="57" operator="equal">
      <formula>"No"</formula>
    </cfRule>
    <cfRule type="cellIs" dxfId="1089" priority="58" operator="equal">
      <formula>"Yes"</formula>
    </cfRule>
  </conditionalFormatting>
  <conditionalFormatting sqref="AL73:AM73">
    <cfRule type="cellIs" dxfId="1088" priority="55" operator="equal">
      <formula>"No"</formula>
    </cfRule>
    <cfRule type="cellIs" dxfId="1087" priority="56" operator="equal">
      <formula>"Yes"</formula>
    </cfRule>
  </conditionalFormatting>
  <conditionalFormatting sqref="AL84:AM84">
    <cfRule type="cellIs" dxfId="1086" priority="53" operator="equal">
      <formula>"No"</formula>
    </cfRule>
    <cfRule type="cellIs" dxfId="1085" priority="54" operator="equal">
      <formula>"Yes"</formula>
    </cfRule>
  </conditionalFormatting>
  <conditionalFormatting sqref="D102:D103">
    <cfRule type="cellIs" dxfId="1084" priority="51" operator="equal">
      <formula>0</formula>
    </cfRule>
    <cfRule type="cellIs" dxfId="1083" priority="52" operator="equal">
      <formula>"O"</formula>
    </cfRule>
  </conditionalFormatting>
  <conditionalFormatting sqref="AL117:AM117">
    <cfRule type="cellIs" dxfId="1082" priority="49" operator="equal">
      <formula>"No"</formula>
    </cfRule>
    <cfRule type="cellIs" dxfId="1081" priority="50" operator="equal">
      <formula>"Yes"</formula>
    </cfRule>
  </conditionalFormatting>
  <conditionalFormatting sqref="E136">
    <cfRule type="cellIs" dxfId="1080" priority="48" operator="equal">
      <formula>"O"</formula>
    </cfRule>
  </conditionalFormatting>
  <conditionalFormatting sqref="AL139:AM139">
    <cfRule type="cellIs" dxfId="1079" priority="46" operator="equal">
      <formula>"No"</formula>
    </cfRule>
    <cfRule type="cellIs" dxfId="1078" priority="47" operator="equal">
      <formula>"Yes"</formula>
    </cfRule>
  </conditionalFormatting>
  <conditionalFormatting sqref="C157">
    <cfRule type="cellIs" dxfId="1077" priority="45" operator="equal">
      <formula>"O"</formula>
    </cfRule>
  </conditionalFormatting>
  <conditionalFormatting sqref="AL158:AM158">
    <cfRule type="cellIs" dxfId="1076" priority="43" operator="equal">
      <formula>"No"</formula>
    </cfRule>
    <cfRule type="cellIs" dxfId="1075" priority="44" operator="equal">
      <formula>"Yes"</formula>
    </cfRule>
  </conditionalFormatting>
  <conditionalFormatting sqref="AL165:AM165">
    <cfRule type="cellIs" dxfId="1074" priority="41" operator="equal">
      <formula>"No"</formula>
    </cfRule>
    <cfRule type="cellIs" dxfId="1073" priority="42" operator="equal">
      <formula>"Yes"</formula>
    </cfRule>
  </conditionalFormatting>
  <conditionalFormatting sqref="AL168:AM168">
    <cfRule type="cellIs" dxfId="1072" priority="39" operator="equal">
      <formula>"No"</formula>
    </cfRule>
    <cfRule type="cellIs" dxfId="1071" priority="40" operator="equal">
      <formula>"Yes"</formula>
    </cfRule>
  </conditionalFormatting>
  <conditionalFormatting sqref="AL171:AM171">
    <cfRule type="cellIs" dxfId="1070" priority="37" operator="equal">
      <formula>"No"</formula>
    </cfRule>
    <cfRule type="cellIs" dxfId="1069" priority="38" operator="equal">
      <formula>"Yes"</formula>
    </cfRule>
  </conditionalFormatting>
  <conditionalFormatting sqref="AL172:AM172">
    <cfRule type="cellIs" dxfId="1068" priority="35" operator="equal">
      <formula>"No"</formula>
    </cfRule>
    <cfRule type="cellIs" dxfId="1067" priority="36" operator="equal">
      <formula>"Yes"</formula>
    </cfRule>
  </conditionalFormatting>
  <conditionalFormatting sqref="AL173:AM173">
    <cfRule type="cellIs" dxfId="1066" priority="33" operator="equal">
      <formula>"No"</formula>
    </cfRule>
    <cfRule type="cellIs" dxfId="1065" priority="34" operator="equal">
      <formula>"Yes"</formula>
    </cfRule>
  </conditionalFormatting>
  <conditionalFormatting sqref="AL104:AM104">
    <cfRule type="cellIs" dxfId="1064" priority="27" operator="equal">
      <formula>"No"</formula>
    </cfRule>
    <cfRule type="cellIs" dxfId="1063" priority="28" operator="equal">
      <formula>"Yes"</formula>
    </cfRule>
  </conditionalFormatting>
  <conditionalFormatting sqref="AL27:AM27">
    <cfRule type="cellIs" dxfId="1062" priority="23" operator="equal">
      <formula>"No"</formula>
    </cfRule>
    <cfRule type="cellIs" dxfId="1061" priority="24" operator="equal">
      <formula>"Yes"</formula>
    </cfRule>
    <cfRule type="cellIs" dxfId="1060" priority="25" operator="equal">
      <formula>"No"</formula>
    </cfRule>
    <cfRule type="cellIs" dxfId="1059" priority="26" operator="equal">
      <formula>"Yes"</formula>
    </cfRule>
  </conditionalFormatting>
  <conditionalFormatting sqref="AL40:AM40">
    <cfRule type="cellIs" dxfId="1058" priority="22" operator="equal">
      <formula>"Yes"</formula>
    </cfRule>
  </conditionalFormatting>
  <conditionalFormatting sqref="AL43:AM43">
    <cfRule type="cellIs" dxfId="1057" priority="21" operator="equal">
      <formula>"Yes"</formula>
    </cfRule>
  </conditionalFormatting>
  <conditionalFormatting sqref="AL48:AM48">
    <cfRule type="cellIs" dxfId="1056" priority="19" operator="equal">
      <formula>"No"</formula>
    </cfRule>
    <cfRule type="cellIs" dxfId="1055" priority="20" operator="equal">
      <formula>"Yes"</formula>
    </cfRule>
  </conditionalFormatting>
  <conditionalFormatting sqref="AL49:AM49">
    <cfRule type="cellIs" dxfId="1054" priority="17" operator="equal">
      <formula>"No"</formula>
    </cfRule>
    <cfRule type="cellIs" dxfId="1053" priority="18" operator="equal">
      <formula>"Yes"</formula>
    </cfRule>
  </conditionalFormatting>
  <conditionalFormatting sqref="AL50:AM50">
    <cfRule type="cellIs" dxfId="1052" priority="15" operator="equal">
      <formula>"No"</formula>
    </cfRule>
    <cfRule type="cellIs" dxfId="1051" priority="16" operator="equal">
      <formula>"Yes"</formula>
    </cfRule>
  </conditionalFormatting>
  <conditionalFormatting sqref="AL55:AM56">
    <cfRule type="cellIs" dxfId="1050" priority="13" operator="equal">
      <formula>"No"</formula>
    </cfRule>
    <cfRule type="cellIs" dxfId="1049" priority="14" operator="equal">
      <formula>"Yes"</formula>
    </cfRule>
  </conditionalFormatting>
  <conditionalFormatting sqref="AL144:AM144">
    <cfRule type="cellIs" dxfId="1048" priority="9" operator="equal">
      <formula>"No"</formula>
    </cfRule>
    <cfRule type="cellIs" dxfId="1047" priority="10" operator="equal">
      <formula>"Yes"</formula>
    </cfRule>
  </conditionalFormatting>
  <conditionalFormatting sqref="AL163">
    <cfRule type="cellIs" dxfId="1046" priority="7" operator="equal">
      <formula>"No"</formula>
    </cfRule>
    <cfRule type="cellIs" dxfId="1045" priority="8" operator="equal">
      <formula>"Yes"</formula>
    </cfRule>
  </conditionalFormatting>
  <conditionalFormatting sqref="R201:S225">
    <cfRule type="cellIs" dxfId="1044" priority="5" operator="equal">
      <formula>"No"</formula>
    </cfRule>
    <cfRule type="cellIs" dxfId="1043" priority="6" operator="equal">
      <formula>"Yes"</formula>
    </cfRule>
  </conditionalFormatting>
  <conditionalFormatting sqref="AL115:AM115">
    <cfRule type="cellIs" dxfId="1042" priority="3" operator="equal">
      <formula>"No"</formula>
    </cfRule>
    <cfRule type="cellIs" dxfId="1041" priority="4" operator="equal">
      <formula>"Yes"</formula>
    </cfRule>
  </conditionalFormatting>
  <conditionalFormatting sqref="AL174:AM174">
    <cfRule type="cellIs" dxfId="1040" priority="1" operator="equal">
      <formula>"No"</formula>
    </cfRule>
    <cfRule type="cellIs" dxfId="1039" priority="2" operator="equal">
      <formula>"Yes"</formula>
    </cfRule>
  </conditionalFormatting>
  <dataValidations count="5">
    <dataValidation type="list" allowBlank="1" showInputMessage="1" showErrorMessage="1" sqref="R200:S225 AL7:AM7 AL25:AM26 AL27 AL28:AM28 AL32:AM32 AL36:AM36 AL39:AM39 AL40 AL42:AM42 AL43 AL44:AM44 AL46:AM46 AL48 AL49:AM49 AL55:AL56 AL57:AM57 AL59:AM59 AL61:AM61 AL68:AM69 AL72:AM73 AL78:AM78 AL84:AM84 AL104:AM104 AL115:AM115 AL117:AM117 AL124:AM126 AL132:AM132 AL134:AM134 AL137:AM139 AL144 AL145:AM146 AL149:AM149 AL154:AM155 AL158:AM158 AL160:AL164 AL165:AM165 AL168:AM168 AL172:AM173 AL174 AL185:AM185 AL190:AM190 AL194:AM194 AM160:AM161 AM164" xr:uid="{00000000-0002-0000-1300-000000000000}">
      <formula1>"Yes,No,N/A"</formula1>
    </dataValidation>
    <dataValidation type="list" allowBlank="1" showInputMessage="1" showErrorMessage="1" sqref="AL27:AM27 AL40:AM40 AL43:AM43 AL48:AM48 AL50:AM50 AL55:AM56" xr:uid="{00000000-0002-0000-1300-000001000000}">
      <formula1>"Yes, No, N/A"</formula1>
    </dataValidation>
    <dataValidation type="list" allowBlank="1" showInputMessage="1" showErrorMessage="1" sqref="AL50" xr:uid="{00000000-0002-0000-1300-000002000000}">
      <formula1>"Yes, No"</formula1>
    </dataValidation>
    <dataValidation type="list" allowBlank="1" showInputMessage="1" showErrorMessage="1" sqref="AL14:AM17 AL171:AM171" xr:uid="{00000000-0002-0000-1300-000003000000}">
      <formula1>"Yes,No"</formula1>
    </dataValidation>
    <dataValidation type="list" allowBlank="1" showInputMessage="1" showErrorMessage="1" sqref="T92:Y93 T99:Y100" xr:uid="{00000000-0002-0000-1300-000004000000}">
      <formula1>"Affordable Rental,Supportive Housing,Transitional Housing"</formula1>
    </dataValidation>
  </dataValidations>
  <hyperlinks>
    <hyperlink ref="E142" r:id="rId1" display="https://www.hcd.ca.gov/sites/default/files/docs/grants-and-funding/SuperNOFA/Resolution-Corp.docx" xr:uid="{00000000-0004-0000-1300-000000000000}"/>
    <hyperlink ref="K142" r:id="rId2" display="https://www.hcd.ca.gov/sites/default/files/docs/grants-and-funding/SuperNOFA/Resolution-LLC.docx" xr:uid="{00000000-0004-0000-1300-000001000000}"/>
    <hyperlink ref="P142" r:id="rId3" display="https://www.hcd.ca.gov/sites/default/files/docs/grants-and-funding/SuperNOFA/Resolution-LP-Borrower-Grant-Recipient.docx" xr:uid="{00000000-0004-0000-1300-000002000000}"/>
    <hyperlink ref="Z142" r:id="rId4" display="https://www.hcd.ca.gov/sites/default/files/docs/grants-and-funding/SuperNOFA/Resolution-LP-Ultimate-Borrower-of-Loan-Program-Funds-Only.docx" xr:uid="{00000000-0004-0000-1300-000003000000}"/>
    <hyperlink ref="E143" r:id="rId5" display="https://www.hcd.ca.gov/sites/default/files/docs/grants-and-funding/SuperNOFA/Resolution-Public-Entity.docx" xr:uid="{00000000-0004-0000-1300-000004000000}"/>
    <hyperlink ref="L143" r:id="rId6" display="https://www.hcd.ca.gov/sites/default/files/docs/grants-and-funding/SuperNOFA/Resolution-Tribal-Entity.docx" xr:uid="{00000000-0004-0000-1300-000005000000}"/>
    <hyperlink ref="T225" r:id="rId7" xr:uid="{00000000-0004-0000-1300-000006000000}"/>
  </hyperlinks>
  <pageMargins left="0.7" right="0.7" top="0.75" bottom="0.75" header="0.3" footer="0.3"/>
  <pageSetup orientation="portrait" r:id="rId8"/>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6">
    <tabColor rgb="FF7030A0"/>
  </sheetPr>
  <dimension ref="A2:AQ63"/>
  <sheetViews>
    <sheetView showGridLines="0" showRowColHeaders="0" zoomScaleNormal="100" workbookViewId="0"/>
  </sheetViews>
  <sheetFormatPr defaultColWidth="8.7109375" defaultRowHeight="18" customHeight="1"/>
  <cols>
    <col min="1" max="1" width="8.7109375" style="426" customWidth="1"/>
    <col min="2" max="39" width="4.28515625" style="426" customWidth="1"/>
    <col min="40" max="40" width="8.7109375" style="426" customWidth="1"/>
    <col min="41" max="16384" width="8.7109375" style="426"/>
  </cols>
  <sheetData>
    <row r="2" spans="2:43" ht="18" customHeight="1">
      <c r="B2" s="3000" t="s">
        <v>443</v>
      </c>
      <c r="C2" s="1877"/>
      <c r="D2" s="1877"/>
      <c r="E2" s="1877"/>
      <c r="F2" s="1877"/>
      <c r="G2" s="1877"/>
      <c r="H2" s="1877"/>
      <c r="I2" s="1877"/>
      <c r="J2" s="1877"/>
      <c r="K2" s="1877"/>
      <c r="L2" s="1877"/>
      <c r="M2" s="1877"/>
      <c r="N2" s="1877"/>
      <c r="O2" s="1877"/>
      <c r="P2" s="1877"/>
      <c r="Q2" s="1877"/>
      <c r="R2" s="1877"/>
      <c r="S2" s="1877"/>
      <c r="T2" s="1877"/>
      <c r="U2" s="1877"/>
      <c r="V2" s="1877"/>
      <c r="W2" s="1877"/>
      <c r="X2" s="1877"/>
      <c r="Y2" s="1877"/>
      <c r="Z2" s="1877"/>
      <c r="AA2" s="1877"/>
      <c r="AB2" s="1877"/>
      <c r="AC2" s="1877"/>
      <c r="AD2" s="1877"/>
      <c r="AE2" s="1877"/>
      <c r="AF2" s="1877"/>
      <c r="AG2" s="1877"/>
      <c r="AH2" s="1877"/>
      <c r="AI2" s="1877"/>
      <c r="AJ2" s="1877"/>
      <c r="AK2" s="1877"/>
      <c r="AL2" s="1877"/>
      <c r="AM2" s="1877"/>
    </row>
    <row r="4" spans="2:43" ht="18" customHeight="1">
      <c r="B4" s="2512" t="s">
        <v>2149</v>
      </c>
      <c r="C4" s="1929"/>
      <c r="D4" s="1929"/>
      <c r="E4" s="1929"/>
      <c r="F4" s="1929"/>
      <c r="G4" s="1929"/>
      <c r="H4" s="1929"/>
      <c r="I4" s="1929"/>
      <c r="J4" s="1929"/>
      <c r="K4" s="1929"/>
      <c r="L4" s="1929"/>
      <c r="M4" s="1929"/>
      <c r="N4" s="1929"/>
      <c r="O4" s="1929"/>
      <c r="P4" s="1929"/>
      <c r="Q4" s="1929"/>
      <c r="R4" s="1929"/>
      <c r="S4" s="1929"/>
      <c r="T4" s="1929"/>
      <c r="U4" s="1929"/>
      <c r="V4" s="1929"/>
      <c r="W4" s="1929"/>
      <c r="X4" s="1929"/>
      <c r="Y4" s="1929"/>
      <c r="Z4" s="1929"/>
      <c r="AA4" s="1929"/>
      <c r="AB4" s="1929"/>
      <c r="AC4" s="1929"/>
      <c r="AD4" s="1929"/>
      <c r="AE4" s="1929"/>
      <c r="AF4" s="1929"/>
      <c r="AG4" s="1929"/>
      <c r="AH4" s="1929"/>
      <c r="AI4" s="1929"/>
      <c r="AJ4" s="1929"/>
      <c r="AK4" s="1929"/>
      <c r="AL4" s="1929"/>
      <c r="AM4" s="1929"/>
    </row>
    <row r="5" spans="2:43" ht="36" customHeight="1">
      <c r="B5" s="1802" t="s">
        <v>2150</v>
      </c>
      <c r="C5" s="1929"/>
      <c r="D5" s="1929"/>
      <c r="E5" s="1929"/>
      <c r="F5" s="1929"/>
      <c r="G5" s="1929"/>
      <c r="H5" s="1929"/>
      <c r="I5" s="1929"/>
      <c r="J5" s="1929"/>
      <c r="K5" s="1929"/>
      <c r="L5" s="1929"/>
      <c r="M5" s="1929"/>
      <c r="N5" s="1929"/>
      <c r="O5" s="1929"/>
      <c r="P5" s="1929"/>
      <c r="Q5" s="1929"/>
      <c r="R5" s="1929"/>
      <c r="S5" s="1929"/>
      <c r="T5" s="1929"/>
      <c r="U5" s="1929"/>
      <c r="V5" s="1929"/>
      <c r="W5" s="1929"/>
      <c r="X5" s="1929"/>
      <c r="Y5" s="1929"/>
      <c r="Z5" s="1929"/>
      <c r="AA5" s="1929"/>
      <c r="AB5" s="1929"/>
      <c r="AC5" s="1929"/>
      <c r="AD5" s="1929"/>
      <c r="AE5" s="1929"/>
      <c r="AF5" s="1929"/>
      <c r="AG5" s="1929"/>
      <c r="AH5" s="1929"/>
      <c r="AI5" s="1929"/>
      <c r="AJ5" s="1929"/>
      <c r="AK5" s="1929"/>
      <c r="AL5" s="1929"/>
      <c r="AM5" s="1929"/>
    </row>
    <row r="6" spans="2:43" s="58" customFormat="1" ht="18" customHeight="1"/>
    <row r="7" spans="2:43" ht="36" customHeight="1">
      <c r="B7" s="267" t="s">
        <v>2151</v>
      </c>
      <c r="C7" s="1802" t="s">
        <v>2152</v>
      </c>
      <c r="D7" s="1929"/>
      <c r="E7" s="1929"/>
      <c r="F7" s="1929"/>
      <c r="G7" s="1929"/>
      <c r="H7" s="1929"/>
      <c r="I7" s="1929"/>
      <c r="J7" s="1929"/>
      <c r="K7" s="1929"/>
      <c r="L7" s="1929"/>
      <c r="M7" s="1929"/>
      <c r="N7" s="1929"/>
      <c r="O7" s="1929"/>
      <c r="P7" s="1929"/>
      <c r="Q7" s="1929"/>
      <c r="R7" s="1929"/>
      <c r="S7" s="1929"/>
      <c r="T7" s="1929"/>
      <c r="U7" s="1929"/>
      <c r="V7" s="1929"/>
      <c r="W7" s="1929"/>
      <c r="X7" s="1929"/>
      <c r="Y7" s="1929"/>
      <c r="Z7" s="1929"/>
      <c r="AA7" s="1929"/>
      <c r="AB7" s="1929"/>
      <c r="AC7" s="1929"/>
      <c r="AD7" s="1929"/>
      <c r="AE7" s="1929"/>
      <c r="AF7" s="1929"/>
      <c r="AG7" s="1929"/>
      <c r="AH7" s="1929"/>
      <c r="AI7" s="1929"/>
      <c r="AJ7" s="1929"/>
      <c r="AK7" s="1929"/>
    </row>
    <row r="8" spans="2:43" ht="18" customHeight="1">
      <c r="C8" s="1802" t="s">
        <v>2153</v>
      </c>
      <c r="D8" s="1929"/>
      <c r="E8" s="1929"/>
      <c r="F8" s="1929"/>
      <c r="G8" s="1929"/>
      <c r="H8" s="1929"/>
      <c r="I8" s="1929"/>
      <c r="J8" s="1929"/>
      <c r="K8" s="1929"/>
      <c r="L8" s="1929"/>
      <c r="M8" s="1929"/>
      <c r="N8" s="1929"/>
      <c r="O8" s="1929"/>
      <c r="P8" s="1929"/>
      <c r="Q8" s="1929"/>
      <c r="R8" s="1929"/>
      <c r="S8" s="1929"/>
      <c r="T8" s="1929"/>
      <c r="U8" s="1929"/>
      <c r="V8" s="1929"/>
      <c r="W8" s="1929"/>
      <c r="X8" s="1929"/>
      <c r="Y8" s="1929"/>
      <c r="Z8" s="1929"/>
      <c r="AA8" s="1929"/>
      <c r="AB8" s="1929"/>
      <c r="AC8" s="1929"/>
      <c r="AD8" s="1929"/>
      <c r="AE8" s="1929"/>
      <c r="AF8" s="1929"/>
      <c r="AG8" s="1929"/>
      <c r="AH8" s="1929"/>
      <c r="AI8" s="1929"/>
      <c r="AJ8" s="1929"/>
      <c r="AK8" s="1929"/>
      <c r="AL8" s="1973" t="b">
        <f>IF(OR('Unit Mix'!K7&gt;25%,'Unit Mix'!K8&gt;=10,IF(vmRural="Yes",'Unit Mix'!K8="Yes",'Unit Mix'!K8&gt;=5)),TRUE,FALSE)</f>
        <v>0</v>
      </c>
      <c r="AM8" s="1778"/>
    </row>
    <row r="10" spans="2:43" ht="54" customHeight="1">
      <c r="B10" s="267" t="s">
        <v>2154</v>
      </c>
      <c r="C10" s="1802" t="s">
        <v>2155</v>
      </c>
      <c r="D10" s="1929"/>
      <c r="E10" s="1929"/>
      <c r="F10" s="1929"/>
      <c r="G10" s="1929"/>
      <c r="H10" s="1929"/>
      <c r="I10" s="1929"/>
      <c r="J10" s="1929"/>
      <c r="K10" s="1929"/>
      <c r="L10" s="1929"/>
      <c r="M10" s="1929"/>
      <c r="N10" s="1929"/>
      <c r="O10" s="1929"/>
      <c r="P10" s="1929"/>
      <c r="Q10" s="1929"/>
      <c r="R10" s="1929"/>
      <c r="S10" s="1929"/>
      <c r="T10" s="1929"/>
      <c r="U10" s="1929"/>
      <c r="V10" s="1929"/>
      <c r="W10" s="1929"/>
      <c r="X10" s="1929"/>
      <c r="Y10" s="1929"/>
      <c r="Z10" s="1929"/>
      <c r="AA10" s="1929"/>
      <c r="AB10" s="1929"/>
      <c r="AC10" s="1929"/>
      <c r="AD10" s="1929"/>
      <c r="AE10" s="1929"/>
      <c r="AF10" s="1929"/>
      <c r="AG10" s="1929"/>
      <c r="AH10" s="1929"/>
      <c r="AI10" s="1929"/>
      <c r="AJ10" s="1929"/>
      <c r="AK10" s="1929"/>
    </row>
    <row r="11" spans="2:43" ht="36" customHeight="1">
      <c r="C11" s="1802" t="s">
        <v>2156</v>
      </c>
      <c r="D11" s="1929"/>
      <c r="E11" s="1929"/>
      <c r="F11" s="1929"/>
      <c r="G11" s="1929"/>
      <c r="H11" s="1929"/>
      <c r="I11" s="1929"/>
      <c r="J11" s="1929"/>
      <c r="K11" s="1929"/>
      <c r="L11" s="1929"/>
      <c r="M11" s="1929"/>
      <c r="N11" s="1929"/>
      <c r="O11" s="1929"/>
      <c r="P11" s="1929"/>
      <c r="Q11" s="1929"/>
      <c r="R11" s="1929"/>
      <c r="S11" s="1929"/>
      <c r="T11" s="1929"/>
      <c r="U11" s="1929"/>
      <c r="V11" s="1929"/>
      <c r="W11" s="1929"/>
      <c r="X11" s="1929"/>
      <c r="Y11" s="1929"/>
      <c r="Z11" s="1929"/>
      <c r="AA11" s="1929"/>
      <c r="AB11" s="1929"/>
      <c r="AC11" s="1929"/>
      <c r="AD11" s="1929"/>
      <c r="AE11" s="1929"/>
      <c r="AF11" s="1929"/>
      <c r="AG11" s="1929"/>
      <c r="AH11" s="1929"/>
      <c r="AI11" s="1929"/>
      <c r="AJ11" s="1929"/>
      <c r="AK11" s="1929"/>
      <c r="AL11" s="1973" t="b">
        <f>IFERROR(IF(SUMIF(UnitsTbl[Restricted Income Level],"&lt;=30%",UnitsTbl[Veteran
Housing])/'Unit Mix'!K8&gt;=50%,TRUE,FALSE),FALSE)</f>
        <v>0</v>
      </c>
      <c r="AM11" s="1778"/>
    </row>
    <row r="12" spans="2:43" ht="18" customHeight="1">
      <c r="C12" s="1802" t="s">
        <v>2157</v>
      </c>
      <c r="D12" s="1929"/>
      <c r="E12" s="1929"/>
      <c r="F12" s="1929"/>
      <c r="G12" s="1929"/>
      <c r="H12" s="1929"/>
      <c r="I12" s="1929"/>
      <c r="J12" s="1929"/>
      <c r="K12" s="1929"/>
      <c r="L12" s="1929"/>
      <c r="M12" s="1929"/>
      <c r="N12" s="1929"/>
      <c r="O12" s="1929"/>
      <c r="P12" s="1929"/>
      <c r="Q12" s="1929"/>
      <c r="R12" s="1929"/>
      <c r="S12" s="1929"/>
      <c r="T12" s="1929"/>
      <c r="U12" s="1929"/>
      <c r="V12" s="1929"/>
      <c r="W12" s="1929"/>
      <c r="X12" s="1929"/>
      <c r="Y12" s="1929"/>
      <c r="Z12" s="1929"/>
      <c r="AA12" s="1929"/>
      <c r="AB12" s="1929"/>
      <c r="AC12" s="1929"/>
      <c r="AD12" s="1929"/>
      <c r="AE12" s="1929"/>
      <c r="AF12" s="1929"/>
      <c r="AG12" s="1929"/>
      <c r="AH12" s="1929"/>
      <c r="AI12" s="1929"/>
      <c r="AJ12" s="1929"/>
      <c r="AK12" s="1929"/>
      <c r="AL12" s="1973" t="b">
        <f>IFERROR(IF('Unit Mix'!X7/SUMIF(UnitsTbl[Restricted Income Level],"&lt;=30%",UnitsTbl[Veteran
Housing])&gt;=60%,TRUE,FALSE),FALSE)</f>
        <v>0</v>
      </c>
      <c r="AM12" s="1778"/>
      <c r="AQ12" s="590"/>
    </row>
    <row r="13" spans="2:43" s="58" customFormat="1" ht="18" customHeight="1"/>
    <row r="14" spans="2:43" ht="36" customHeight="1">
      <c r="B14" s="267" t="s">
        <v>2158</v>
      </c>
      <c r="C14" s="1802" t="s">
        <v>2159</v>
      </c>
      <c r="D14" s="1929"/>
      <c r="E14" s="1929"/>
      <c r="F14" s="1929"/>
      <c r="G14" s="1929"/>
      <c r="H14" s="1929"/>
      <c r="I14" s="1929"/>
      <c r="J14" s="1929"/>
      <c r="K14" s="1929"/>
      <c r="L14" s="1929"/>
      <c r="M14" s="1929"/>
      <c r="N14" s="1929"/>
      <c r="O14" s="1929"/>
      <c r="P14" s="1929"/>
      <c r="Q14" s="1929"/>
      <c r="R14" s="1929"/>
      <c r="S14" s="1929"/>
      <c r="T14" s="1929"/>
      <c r="U14" s="1929"/>
      <c r="V14" s="1929"/>
      <c r="W14" s="1929"/>
      <c r="X14" s="1929"/>
      <c r="Y14" s="1929"/>
      <c r="Z14" s="1929"/>
      <c r="AA14" s="1929"/>
      <c r="AB14" s="1929"/>
      <c r="AC14" s="1929"/>
      <c r="AD14" s="1929"/>
      <c r="AE14" s="1929"/>
      <c r="AF14" s="1929"/>
      <c r="AG14" s="1929"/>
      <c r="AH14" s="1929"/>
      <c r="AI14" s="1929"/>
      <c r="AJ14" s="1929"/>
      <c r="AK14" s="1929"/>
      <c r="AL14" s="1911"/>
      <c r="AM14" s="1862"/>
    </row>
    <row r="15" spans="2:43" ht="36" customHeight="1">
      <c r="B15" s="1866" t="s">
        <v>558</v>
      </c>
      <c r="C15" s="1777"/>
      <c r="D15" s="1778"/>
      <c r="E15" s="3010" t="str">
        <f>'Document Checklist-Full List'!$E$120</f>
        <v>50. Tenant Selection &amp; Housing First</v>
      </c>
      <c r="F15" s="1777"/>
      <c r="G15" s="1777"/>
      <c r="H15" s="1777"/>
      <c r="I15" s="1777"/>
      <c r="J15" s="1777"/>
      <c r="K15" s="1777"/>
      <c r="L15" s="1778"/>
      <c r="M15" s="1885" t="str">
        <f>'Document Checklist-Full List'!$N$120</f>
        <v>Provide signed certification for tenant selection and housing first practices.</v>
      </c>
      <c r="N15" s="1777"/>
      <c r="O15" s="1777"/>
      <c r="P15" s="1777"/>
      <c r="Q15" s="1777"/>
      <c r="R15" s="1777"/>
      <c r="S15" s="1777"/>
      <c r="T15" s="1777"/>
      <c r="U15" s="1777"/>
      <c r="V15" s="1777"/>
      <c r="W15" s="1777"/>
      <c r="X15" s="1777"/>
      <c r="Y15" s="1777"/>
      <c r="Z15" s="1777"/>
      <c r="AA15" s="1777"/>
      <c r="AB15" s="1777"/>
      <c r="AC15" s="1777"/>
      <c r="AD15" s="1777"/>
      <c r="AE15" s="1778"/>
      <c r="AF15" s="1886" t="s">
        <v>559</v>
      </c>
      <c r="AG15" s="1777"/>
      <c r="AH15" s="1777"/>
      <c r="AI15" s="1777"/>
      <c r="AJ15" s="1777"/>
      <c r="AK15" s="1778"/>
      <c r="AL15" s="1911"/>
      <c r="AM15" s="1862"/>
    </row>
    <row r="16" spans="2:43" s="58" customFormat="1" ht="18" customHeight="1"/>
    <row r="17" spans="1:39" ht="18" customHeight="1">
      <c r="B17" s="267" t="s">
        <v>2160</v>
      </c>
      <c r="C17" s="1802" t="s">
        <v>2161</v>
      </c>
      <c r="D17" s="1929"/>
      <c r="E17" s="1929"/>
      <c r="F17" s="1929"/>
      <c r="G17" s="1929"/>
      <c r="H17" s="1929"/>
      <c r="I17" s="1929"/>
      <c r="J17" s="1929"/>
      <c r="K17" s="1929"/>
      <c r="L17" s="1929"/>
      <c r="M17" s="1929"/>
      <c r="N17" s="1929"/>
      <c r="O17" s="1929"/>
      <c r="P17" s="1929"/>
      <c r="Q17" s="1929"/>
      <c r="R17" s="1929"/>
      <c r="S17" s="1929"/>
      <c r="T17" s="1929"/>
      <c r="U17" s="1929"/>
      <c r="V17" s="1929"/>
      <c r="W17" s="1929"/>
      <c r="X17" s="1929"/>
      <c r="Y17" s="1929"/>
      <c r="Z17" s="1929"/>
      <c r="AA17" s="1929"/>
      <c r="AB17" s="1929"/>
      <c r="AC17" s="1929"/>
      <c r="AD17" s="1929"/>
      <c r="AE17" s="1929"/>
      <c r="AF17" s="1929"/>
      <c r="AG17" s="1929"/>
      <c r="AH17" s="1929"/>
      <c r="AI17" s="1929"/>
      <c r="AJ17" s="1929"/>
      <c r="AK17" s="1929"/>
    </row>
    <row r="18" spans="1:39" ht="18" customHeight="1">
      <c r="B18" s="3013" t="s">
        <v>2162</v>
      </c>
      <c r="C18" s="1929"/>
      <c r="D18" s="2180" t="s">
        <v>1981</v>
      </c>
      <c r="E18" s="1929"/>
      <c r="F18" s="1929"/>
      <c r="G18" s="1929"/>
      <c r="H18" s="1929"/>
      <c r="I18" s="1929"/>
      <c r="J18" s="1929"/>
      <c r="K18" s="1929"/>
      <c r="L18" s="1929"/>
      <c r="M18" s="1929"/>
      <c r="N18" s="1929"/>
      <c r="O18" s="1929"/>
      <c r="P18" s="1929"/>
      <c r="Q18" s="1929"/>
      <c r="R18" s="1929"/>
      <c r="S18" s="1929"/>
      <c r="T18" s="1929"/>
      <c r="U18" s="1929"/>
      <c r="V18" s="1929"/>
      <c r="W18" s="1929"/>
      <c r="X18" s="1929"/>
      <c r="Y18" s="1929"/>
      <c r="Z18" s="1929"/>
      <c r="AA18" s="1929"/>
      <c r="AB18" s="1929"/>
      <c r="AC18" s="1929"/>
      <c r="AD18" s="1929"/>
      <c r="AE18" s="1929"/>
      <c r="AF18" s="1929"/>
      <c r="AG18" s="1929"/>
      <c r="AH18" s="1929"/>
      <c r="AI18" s="1929"/>
      <c r="AJ18" s="1929"/>
      <c r="AK18" s="1929"/>
      <c r="AL18" s="1911"/>
      <c r="AM18" s="1862"/>
    </row>
    <row r="19" spans="1:39" ht="18" customHeight="1">
      <c r="C19" s="58"/>
      <c r="D19" s="270" t="s">
        <v>613</v>
      </c>
      <c r="E19" s="2180" t="s">
        <v>1982</v>
      </c>
      <c r="F19" s="1929"/>
      <c r="G19" s="1929"/>
      <c r="H19" s="1929"/>
      <c r="I19" s="1929"/>
      <c r="J19" s="1929"/>
      <c r="K19" s="1929"/>
      <c r="L19" s="1929"/>
      <c r="M19" s="1929"/>
      <c r="N19" s="1929"/>
      <c r="O19" s="1929"/>
      <c r="P19" s="1929"/>
      <c r="Q19" s="1929"/>
      <c r="R19" s="1929"/>
      <c r="S19" s="1929"/>
      <c r="T19" s="1929"/>
      <c r="U19" s="1929"/>
      <c r="V19" s="1929"/>
      <c r="W19" s="1929"/>
      <c r="X19" s="1929"/>
      <c r="Y19" s="1929"/>
      <c r="Z19" s="1929"/>
      <c r="AA19" s="1929"/>
      <c r="AB19" s="1929"/>
      <c r="AC19" s="1929"/>
      <c r="AD19" s="1929"/>
      <c r="AE19" s="1929"/>
      <c r="AF19" s="1929"/>
      <c r="AG19" s="1929"/>
      <c r="AH19" s="1929"/>
      <c r="AI19" s="1929"/>
      <c r="AJ19" s="1929"/>
      <c r="AK19" s="1929"/>
      <c r="AL19" s="58"/>
      <c r="AM19" s="58"/>
    </row>
    <row r="20" spans="1:39" ht="18" customHeight="1">
      <c r="C20" s="58"/>
      <c r="D20" s="270" t="s">
        <v>615</v>
      </c>
      <c r="E20" s="2180" t="s">
        <v>1983</v>
      </c>
      <c r="F20" s="1929"/>
      <c r="G20" s="1929"/>
      <c r="H20" s="1929"/>
      <c r="I20" s="1929"/>
      <c r="J20" s="1929"/>
      <c r="K20" s="1929"/>
      <c r="L20" s="1929"/>
      <c r="M20" s="1929"/>
      <c r="N20" s="1929"/>
      <c r="O20" s="1929"/>
      <c r="P20" s="1929"/>
      <c r="Q20" s="1929"/>
      <c r="R20" s="1929"/>
      <c r="S20" s="1929"/>
      <c r="T20" s="1929"/>
      <c r="U20" s="1929"/>
      <c r="V20" s="1929"/>
      <c r="W20" s="1929"/>
      <c r="X20" s="1929"/>
      <c r="Y20" s="1929"/>
      <c r="Z20" s="1929"/>
      <c r="AA20" s="1929"/>
      <c r="AB20" s="1929"/>
      <c r="AC20" s="1929"/>
      <c r="AD20" s="1929"/>
      <c r="AE20" s="1929"/>
      <c r="AF20" s="1929"/>
      <c r="AG20" s="1929"/>
      <c r="AH20" s="1929"/>
      <c r="AI20" s="1929"/>
      <c r="AJ20" s="1929"/>
      <c r="AK20" s="1929"/>
      <c r="AL20" s="58"/>
      <c r="AM20" s="58"/>
    </row>
    <row r="21" spans="1:39" ht="18" customHeight="1">
      <c r="C21" s="58"/>
      <c r="D21" s="270" t="s">
        <v>617</v>
      </c>
      <c r="E21" s="2180" t="s">
        <v>1984</v>
      </c>
      <c r="F21" s="1929"/>
      <c r="G21" s="1929"/>
      <c r="H21" s="1929"/>
      <c r="I21" s="1929"/>
      <c r="J21" s="1929"/>
      <c r="K21" s="1929"/>
      <c r="L21" s="1929"/>
      <c r="M21" s="1929"/>
      <c r="N21" s="1929"/>
      <c r="O21" s="1929"/>
      <c r="P21" s="1929"/>
      <c r="Q21" s="1929"/>
      <c r="R21" s="1929"/>
      <c r="S21" s="1929"/>
      <c r="T21" s="1929"/>
      <c r="U21" s="1929"/>
      <c r="V21" s="1929"/>
      <c r="W21" s="1929"/>
      <c r="X21" s="1929"/>
      <c r="Y21" s="1929"/>
      <c r="Z21" s="1929"/>
      <c r="AA21" s="1929"/>
      <c r="AB21" s="1929"/>
      <c r="AC21" s="1929"/>
      <c r="AD21" s="1929"/>
      <c r="AE21" s="1929"/>
      <c r="AF21" s="1929"/>
      <c r="AG21" s="1929"/>
      <c r="AH21" s="1929"/>
      <c r="AI21" s="1929"/>
      <c r="AJ21" s="1929"/>
      <c r="AK21" s="1929"/>
      <c r="AL21" s="58"/>
      <c r="AM21" s="58"/>
    </row>
    <row r="22" spans="1:39" ht="18" customHeight="1">
      <c r="B22" s="1866" t="s">
        <v>558</v>
      </c>
      <c r="C22" s="1777"/>
      <c r="D22" s="1778"/>
      <c r="E22" s="3010" t="str">
        <f>'Document Checklist-Full List'!$E$121</f>
        <v>51. LSP Partner Agreement</v>
      </c>
      <c r="F22" s="1777"/>
      <c r="G22" s="1777"/>
      <c r="H22" s="1777"/>
      <c r="I22" s="1777"/>
      <c r="J22" s="1777"/>
      <c r="K22" s="1777"/>
      <c r="L22" s="1778"/>
      <c r="M22" s="3011" t="str">
        <f>'Document Checklist-Full List'!$N$121</f>
        <v>Contract or Agreement (other non-Sponsor/Applicant providers). VHHP §214(b)(1)</v>
      </c>
      <c r="N22" s="1777"/>
      <c r="O22" s="1777"/>
      <c r="P22" s="1777"/>
      <c r="Q22" s="1777"/>
      <c r="R22" s="1777"/>
      <c r="S22" s="1777"/>
      <c r="T22" s="1777"/>
      <c r="U22" s="1777"/>
      <c r="V22" s="1777"/>
      <c r="W22" s="1777"/>
      <c r="X22" s="1777"/>
      <c r="Y22" s="1777"/>
      <c r="Z22" s="1777"/>
      <c r="AA22" s="1777"/>
      <c r="AB22" s="1777"/>
      <c r="AC22" s="1777"/>
      <c r="AD22" s="1777"/>
      <c r="AE22" s="1778"/>
      <c r="AF22" s="1886" t="s">
        <v>559</v>
      </c>
      <c r="AG22" s="1777"/>
      <c r="AH22" s="1777"/>
      <c r="AI22" s="1777"/>
      <c r="AJ22" s="1777"/>
      <c r="AK22" s="1778"/>
      <c r="AL22" s="1911"/>
      <c r="AM22" s="1862"/>
    </row>
    <row r="23" spans="1:39" ht="18" customHeight="1">
      <c r="B23" s="1866" t="s">
        <v>558</v>
      </c>
      <c r="C23" s="1777"/>
      <c r="D23" s="1778"/>
      <c r="E23" s="3010" t="str">
        <f>'Document Checklist-Full List'!$E$122</f>
        <v>52. SSP Agreement</v>
      </c>
      <c r="F23" s="1777"/>
      <c r="G23" s="1777"/>
      <c r="H23" s="1777"/>
      <c r="I23" s="1777"/>
      <c r="J23" s="1777"/>
      <c r="K23" s="1777"/>
      <c r="L23" s="1778"/>
      <c r="M23" s="1885" t="str">
        <f>'Document Checklist-Full List'!N122</f>
        <v>Provide an agreement with the LSP to implement the supportive services plan.</v>
      </c>
      <c r="N23" s="1777"/>
      <c r="O23" s="1777"/>
      <c r="P23" s="1777"/>
      <c r="Q23" s="1777"/>
      <c r="R23" s="1777"/>
      <c r="S23" s="1777"/>
      <c r="T23" s="1777"/>
      <c r="U23" s="1777"/>
      <c r="V23" s="1777"/>
      <c r="W23" s="1777"/>
      <c r="X23" s="1777"/>
      <c r="Y23" s="1777"/>
      <c r="Z23" s="1777"/>
      <c r="AA23" s="1777"/>
      <c r="AB23" s="1777"/>
      <c r="AC23" s="1777"/>
      <c r="AD23" s="1777"/>
      <c r="AE23" s="1778"/>
      <c r="AF23" s="1886" t="s">
        <v>559</v>
      </c>
      <c r="AG23" s="1777"/>
      <c r="AH23" s="1777"/>
      <c r="AI23" s="1777"/>
      <c r="AJ23" s="1777"/>
      <c r="AK23" s="1778"/>
      <c r="AL23" s="1911"/>
      <c r="AM23" s="1862"/>
    </row>
    <row r="24" spans="1:39" s="58" customFormat="1" ht="18" customHeight="1"/>
    <row r="25" spans="1:39" ht="92.85" customHeight="1">
      <c r="B25" s="267" t="s">
        <v>2163</v>
      </c>
      <c r="C25" s="1802" t="s">
        <v>2164</v>
      </c>
      <c r="D25" s="1929"/>
      <c r="E25" s="1929"/>
      <c r="F25" s="1929"/>
      <c r="G25" s="1929"/>
      <c r="H25" s="1929"/>
      <c r="I25" s="1929"/>
      <c r="J25" s="1929"/>
      <c r="K25" s="1929"/>
      <c r="L25" s="1929"/>
      <c r="M25" s="1929"/>
      <c r="N25" s="1929"/>
      <c r="O25" s="1929"/>
      <c r="P25" s="1929"/>
      <c r="Q25" s="1929"/>
      <c r="R25" s="1929"/>
      <c r="S25" s="1929"/>
      <c r="T25" s="1929"/>
      <c r="U25" s="1929"/>
      <c r="V25" s="1929"/>
      <c r="W25" s="1929"/>
      <c r="X25" s="1929"/>
      <c r="Y25" s="1929"/>
      <c r="Z25" s="1929"/>
      <c r="AA25" s="1929"/>
      <c r="AB25" s="1929"/>
      <c r="AC25" s="1929"/>
      <c r="AD25" s="1929"/>
      <c r="AE25" s="1929"/>
      <c r="AF25" s="1929"/>
      <c r="AG25" s="1929"/>
      <c r="AH25" s="1929"/>
      <c r="AI25" s="1929"/>
      <c r="AJ25" s="1929"/>
      <c r="AK25" s="1929"/>
    </row>
    <row r="26" spans="1:39" ht="18" customHeight="1">
      <c r="A26" s="1629"/>
      <c r="C26" s="476" t="s">
        <v>2165</v>
      </c>
      <c r="AL26" s="1911"/>
      <c r="AM26" s="1862"/>
    </row>
    <row r="27" spans="1:39" ht="36" customHeight="1">
      <c r="B27" s="1866" t="s">
        <v>558</v>
      </c>
      <c r="C27" s="1777"/>
      <c r="D27" s="1778"/>
      <c r="E27" s="3010" t="str">
        <f>'Document Checklist-Full List'!$E$123</f>
        <v>53. Other Assisted Units</v>
      </c>
      <c r="F27" s="1777"/>
      <c r="G27" s="1777"/>
      <c r="H27" s="1777"/>
      <c r="I27" s="1777"/>
      <c r="J27" s="1777"/>
      <c r="K27" s="1777"/>
      <c r="L27" s="1778"/>
      <c r="M27" s="1885" t="str">
        <f>'Document Checklist-Full List'!$N$123</f>
        <v>Include documentation from organization that has 24 months experience in providing this service in publicly assisted affordable housing.</v>
      </c>
      <c r="N27" s="1777"/>
      <c r="O27" s="1777"/>
      <c r="P27" s="1777"/>
      <c r="Q27" s="1777"/>
      <c r="R27" s="1777"/>
      <c r="S27" s="1777"/>
      <c r="T27" s="1777"/>
      <c r="U27" s="1777"/>
      <c r="V27" s="1777"/>
      <c r="W27" s="1777"/>
      <c r="X27" s="1777"/>
      <c r="Y27" s="1777"/>
      <c r="Z27" s="1777"/>
      <c r="AA27" s="1777"/>
      <c r="AB27" s="1777"/>
      <c r="AC27" s="1777"/>
      <c r="AD27" s="1777"/>
      <c r="AE27" s="1778"/>
      <c r="AF27" s="1886" t="s">
        <v>559</v>
      </c>
      <c r="AG27" s="1777"/>
      <c r="AH27" s="1777"/>
      <c r="AI27" s="1777"/>
      <c r="AJ27" s="1777"/>
      <c r="AK27" s="1778"/>
      <c r="AL27" s="1911"/>
      <c r="AM27" s="1862"/>
    </row>
    <row r="29" spans="1:39" ht="61.5" customHeight="1">
      <c r="B29" s="267" t="s">
        <v>2166</v>
      </c>
      <c r="C29" s="1802" t="s">
        <v>2167</v>
      </c>
      <c r="D29" s="1929"/>
      <c r="E29" s="1929"/>
      <c r="F29" s="1929"/>
      <c r="G29" s="1929"/>
      <c r="H29" s="1929"/>
      <c r="I29" s="1929"/>
      <c r="J29" s="1929"/>
      <c r="K29" s="1929"/>
      <c r="L29" s="1929"/>
      <c r="M29" s="1929"/>
      <c r="N29" s="1929"/>
      <c r="O29" s="1929"/>
      <c r="P29" s="1929"/>
      <c r="Q29" s="1929"/>
      <c r="R29" s="1929"/>
      <c r="S29" s="1929"/>
      <c r="T29" s="1929"/>
      <c r="U29" s="1929"/>
      <c r="V29" s="1929"/>
      <c r="W29" s="1929"/>
      <c r="X29" s="1929"/>
      <c r="Y29" s="1929"/>
      <c r="Z29" s="1929"/>
      <c r="AA29" s="1929"/>
      <c r="AB29" s="1929"/>
      <c r="AC29" s="1929"/>
      <c r="AD29" s="1929"/>
      <c r="AE29" s="1929"/>
      <c r="AF29" s="1929"/>
      <c r="AG29" s="1929"/>
      <c r="AH29" s="1929"/>
      <c r="AI29" s="1929"/>
      <c r="AJ29" s="1929"/>
      <c r="AK29" s="1929"/>
    </row>
    <row r="30" spans="1:39" s="58" customFormat="1" ht="62.25" customHeight="1">
      <c r="B30" s="1866" t="s">
        <v>558</v>
      </c>
      <c r="C30" s="1777"/>
      <c r="D30" s="1778"/>
      <c r="E30" s="3010" t="str">
        <f>'Document Checklist-Full List'!E124</f>
        <v>54. Local VA Office Letter</v>
      </c>
      <c r="F30" s="1777"/>
      <c r="G30" s="1777"/>
      <c r="H30" s="1777"/>
      <c r="I30" s="1777"/>
      <c r="J30" s="1777"/>
      <c r="K30" s="1777"/>
      <c r="L30" s="1778"/>
      <c r="M30" s="1885" t="str">
        <f>'Document Checklist-Full List'!$N$124</f>
        <v>Provide a letter from the local VA office (Network Homeless Coordinator or similar official) describing the population to be served by the Project, the type of housing to be provided (transitional, permanent supportive, or affordable), and why it will meet a high priority local need.</v>
      </c>
      <c r="N30" s="1777"/>
      <c r="O30" s="1777"/>
      <c r="P30" s="1777"/>
      <c r="Q30" s="1777"/>
      <c r="R30" s="1777"/>
      <c r="S30" s="1777"/>
      <c r="T30" s="1777"/>
      <c r="U30" s="1777"/>
      <c r="V30" s="1777"/>
      <c r="W30" s="1777"/>
      <c r="X30" s="1777"/>
      <c r="Y30" s="1777"/>
      <c r="Z30" s="1777"/>
      <c r="AA30" s="1777"/>
      <c r="AB30" s="1777"/>
      <c r="AC30" s="1777"/>
      <c r="AD30" s="1777"/>
      <c r="AE30" s="1778"/>
      <c r="AF30" s="1886" t="s">
        <v>559</v>
      </c>
      <c r="AG30" s="1777"/>
      <c r="AH30" s="1777"/>
      <c r="AI30" s="1777"/>
      <c r="AJ30" s="1777"/>
      <c r="AK30" s="1778"/>
      <c r="AL30" s="1911"/>
      <c r="AM30" s="1862"/>
    </row>
    <row r="31" spans="1:39" ht="36" customHeight="1">
      <c r="B31" s="1866" t="s">
        <v>558</v>
      </c>
      <c r="C31" s="1777"/>
      <c r="D31" s="1778"/>
      <c r="E31" s="3010" t="str">
        <f>'Document Checklist-Full List'!$E$125</f>
        <v>55. Local Continuum of Care Letter</v>
      </c>
      <c r="F31" s="1777"/>
      <c r="G31" s="1777"/>
      <c r="H31" s="1777"/>
      <c r="I31" s="1777"/>
      <c r="J31" s="1777"/>
      <c r="K31" s="1777"/>
      <c r="L31" s="1778"/>
      <c r="M31" s="1885" t="str">
        <f>'Document Checklist-Full List'!$N$125</f>
        <v>Provide a letter from the local Continuum of Care addressing the same points described in the preceding subsection.</v>
      </c>
      <c r="N31" s="1777"/>
      <c r="O31" s="1777"/>
      <c r="P31" s="1777"/>
      <c r="Q31" s="1777"/>
      <c r="R31" s="1777"/>
      <c r="S31" s="1777"/>
      <c r="T31" s="1777"/>
      <c r="U31" s="1777"/>
      <c r="V31" s="1777"/>
      <c r="W31" s="1777"/>
      <c r="X31" s="1777"/>
      <c r="Y31" s="1777"/>
      <c r="Z31" s="1777"/>
      <c r="AA31" s="1777"/>
      <c r="AB31" s="1777"/>
      <c r="AC31" s="1777"/>
      <c r="AD31" s="1777"/>
      <c r="AE31" s="1778"/>
      <c r="AF31" s="1886" t="s">
        <v>559</v>
      </c>
      <c r="AG31" s="1777"/>
      <c r="AH31" s="1777"/>
      <c r="AI31" s="1777"/>
      <c r="AJ31" s="1777"/>
      <c r="AK31" s="1778"/>
      <c r="AL31" s="1911"/>
      <c r="AM31" s="1862"/>
    </row>
    <row r="33" spans="2:39" ht="36" customHeight="1">
      <c r="B33" s="267" t="s">
        <v>2168</v>
      </c>
      <c r="C33" s="1802" t="s">
        <v>2169</v>
      </c>
      <c r="D33" s="1929"/>
      <c r="E33" s="1929"/>
      <c r="F33" s="1929"/>
      <c r="G33" s="1929"/>
      <c r="H33" s="1929"/>
      <c r="I33" s="1929"/>
      <c r="J33" s="1929"/>
      <c r="K33" s="1929"/>
      <c r="L33" s="1929"/>
      <c r="M33" s="1929"/>
      <c r="N33" s="1929"/>
      <c r="O33" s="1929"/>
      <c r="P33" s="1929"/>
      <c r="Q33" s="1929"/>
      <c r="R33" s="1929"/>
      <c r="S33" s="1929"/>
      <c r="T33" s="1929"/>
      <c r="U33" s="1929"/>
      <c r="V33" s="1929"/>
      <c r="W33" s="1929"/>
      <c r="X33" s="1929"/>
      <c r="Y33" s="1929"/>
      <c r="Z33" s="1929"/>
      <c r="AA33" s="1929"/>
      <c r="AB33" s="1929"/>
      <c r="AC33" s="1929"/>
      <c r="AD33" s="1929"/>
      <c r="AE33" s="1929"/>
      <c r="AF33" s="1929"/>
      <c r="AG33" s="1929"/>
      <c r="AH33" s="1929"/>
      <c r="AI33" s="1929"/>
      <c r="AJ33" s="1929"/>
      <c r="AK33" s="1929"/>
    </row>
    <row r="34" spans="2:39" ht="18" customHeight="1">
      <c r="C34" s="1802" t="s">
        <v>2170</v>
      </c>
      <c r="D34" s="1929"/>
      <c r="E34" s="1929"/>
      <c r="F34" s="1929"/>
      <c r="G34" s="1929"/>
      <c r="H34" s="1929"/>
      <c r="I34" s="1929"/>
      <c r="J34" s="1929"/>
      <c r="K34" s="1929"/>
      <c r="L34" s="1929"/>
      <c r="M34" s="1929"/>
      <c r="N34" s="1929"/>
      <c r="O34" s="1929"/>
      <c r="P34" s="1929"/>
      <c r="Q34" s="1929"/>
      <c r="R34" s="1929"/>
      <c r="S34" s="1929"/>
      <c r="T34" s="1929"/>
      <c r="U34" s="1929"/>
      <c r="V34" s="1929"/>
      <c r="W34" s="1929"/>
      <c r="X34" s="1929"/>
      <c r="Y34" s="1929"/>
      <c r="Z34" s="1929"/>
      <c r="AA34" s="1929"/>
      <c r="AB34" s="1929"/>
      <c r="AC34" s="1929"/>
      <c r="AD34" s="1929"/>
      <c r="AE34" s="1929"/>
      <c r="AF34" s="1929"/>
      <c r="AG34" s="1929"/>
      <c r="AH34" s="1929"/>
      <c r="AI34" s="1929"/>
      <c r="AJ34" s="1929"/>
      <c r="AK34" s="1929"/>
      <c r="AL34" s="1911"/>
      <c r="AM34" s="1862"/>
    </row>
    <row r="35" spans="2:39" ht="18" customHeight="1">
      <c r="C35" s="1802" t="s">
        <v>2171</v>
      </c>
      <c r="D35" s="1929"/>
      <c r="E35" s="1929"/>
      <c r="F35" s="1929"/>
      <c r="G35" s="1929"/>
      <c r="H35" s="1929"/>
      <c r="I35" s="1929"/>
      <c r="J35" s="1929"/>
      <c r="K35" s="1929"/>
      <c r="L35" s="1929"/>
      <c r="M35" s="1929"/>
      <c r="N35" s="1929"/>
      <c r="O35" s="1929"/>
      <c r="P35" s="1929"/>
      <c r="Q35" s="1929"/>
      <c r="R35" s="1929"/>
      <c r="S35" s="1929"/>
      <c r="T35" s="1929"/>
      <c r="U35" s="1929"/>
      <c r="V35" s="1929"/>
      <c r="W35" s="1929"/>
      <c r="X35" s="1929"/>
      <c r="Y35" s="1929"/>
      <c r="Z35" s="1929"/>
      <c r="AA35" s="1929"/>
      <c r="AB35" s="1929"/>
      <c r="AC35" s="1929"/>
      <c r="AD35" s="1929"/>
      <c r="AE35" s="1929"/>
      <c r="AF35" s="1929"/>
      <c r="AG35" s="1929"/>
      <c r="AH35" s="1929"/>
      <c r="AI35" s="1929"/>
      <c r="AJ35" s="1929"/>
      <c r="AK35" s="1929"/>
      <c r="AL35" s="1911"/>
      <c r="AM35" s="1862"/>
    </row>
    <row r="37" spans="2:39" ht="18" customHeight="1">
      <c r="B37" s="58"/>
      <c r="C37" s="2998" t="s">
        <v>2100</v>
      </c>
      <c r="D37" s="1929"/>
      <c r="E37" s="1929"/>
      <c r="F37" s="1929"/>
      <c r="G37" s="1929"/>
      <c r="H37" s="1929"/>
      <c r="I37" s="1929"/>
      <c r="J37" s="1929"/>
      <c r="K37" s="1929"/>
      <c r="L37" s="1929"/>
      <c r="M37" s="1929"/>
      <c r="N37" s="1929"/>
      <c r="O37" s="1929"/>
      <c r="P37" s="1929"/>
      <c r="Q37" s="1929"/>
      <c r="R37" s="1929"/>
      <c r="S37" s="1929"/>
      <c r="T37" s="1929"/>
      <c r="U37" s="1929"/>
      <c r="V37" s="1929"/>
      <c r="W37" s="1929"/>
      <c r="X37" s="1929"/>
      <c r="Y37" s="1929"/>
      <c r="Z37" s="1929"/>
      <c r="AA37" s="1929"/>
      <c r="AB37" s="1929"/>
      <c r="AC37" s="1929"/>
      <c r="AD37" s="1929"/>
      <c r="AE37" s="1929"/>
      <c r="AF37" s="1929"/>
      <c r="AG37" s="1929"/>
      <c r="AH37" s="1929"/>
      <c r="AI37" s="1929"/>
      <c r="AJ37" s="1929"/>
      <c r="AK37" s="1929"/>
      <c r="AL37" s="58"/>
      <c r="AM37" s="58"/>
    </row>
    <row r="38" spans="2:39" ht="36" customHeight="1">
      <c r="B38" s="58"/>
      <c r="C38" s="264" t="s">
        <v>608</v>
      </c>
      <c r="D38" s="1802" t="s">
        <v>2101</v>
      </c>
      <c r="E38" s="1929"/>
      <c r="F38" s="1929"/>
      <c r="G38" s="1929"/>
      <c r="H38" s="1929"/>
      <c r="I38" s="1929"/>
      <c r="J38" s="1929"/>
      <c r="K38" s="1929"/>
      <c r="L38" s="1929"/>
      <c r="M38" s="1929"/>
      <c r="N38" s="1929"/>
      <c r="O38" s="1929"/>
      <c r="P38" s="1929"/>
      <c r="Q38" s="1929"/>
      <c r="R38" s="1929"/>
      <c r="S38" s="1929"/>
      <c r="T38" s="1929"/>
      <c r="U38" s="1929"/>
      <c r="V38" s="1929"/>
      <c r="W38" s="1929"/>
      <c r="X38" s="1929"/>
      <c r="Y38" s="1929"/>
      <c r="Z38" s="1929"/>
      <c r="AA38" s="1929"/>
      <c r="AB38" s="1929"/>
      <c r="AC38" s="1929"/>
      <c r="AD38" s="1929"/>
      <c r="AE38" s="1929"/>
      <c r="AF38" s="1929"/>
      <c r="AG38" s="1929"/>
      <c r="AH38" s="1929"/>
      <c r="AI38" s="1929"/>
      <c r="AJ38" s="1929"/>
      <c r="AK38" s="1929"/>
      <c r="AL38" s="58"/>
      <c r="AM38" s="58"/>
    </row>
    <row r="39" spans="2:39" ht="36" customHeight="1">
      <c r="B39" s="58"/>
      <c r="C39" s="58"/>
      <c r="D39" s="267" t="s">
        <v>613</v>
      </c>
      <c r="E39" s="1802" t="s">
        <v>2102</v>
      </c>
      <c r="F39" s="1929"/>
      <c r="G39" s="1929"/>
      <c r="H39" s="1929"/>
      <c r="I39" s="1929"/>
      <c r="J39" s="1929"/>
      <c r="K39" s="1929"/>
      <c r="L39" s="1929"/>
      <c r="M39" s="1929"/>
      <c r="N39" s="1929"/>
      <c r="O39" s="1929"/>
      <c r="P39" s="1929"/>
      <c r="Q39" s="1929"/>
      <c r="R39" s="1929"/>
      <c r="S39" s="1929"/>
      <c r="T39" s="1929"/>
      <c r="U39" s="1929"/>
      <c r="V39" s="1929"/>
      <c r="W39" s="1929"/>
      <c r="X39" s="1929"/>
      <c r="Y39" s="1929"/>
      <c r="Z39" s="1929"/>
      <c r="AA39" s="1929"/>
      <c r="AB39" s="1929"/>
      <c r="AC39" s="1929"/>
      <c r="AD39" s="1929"/>
      <c r="AE39" s="1929"/>
      <c r="AF39" s="1929"/>
      <c r="AG39" s="1929"/>
      <c r="AH39" s="1929"/>
      <c r="AI39" s="1929"/>
      <c r="AJ39" s="1929"/>
      <c r="AK39" s="1929"/>
      <c r="AL39" s="58"/>
      <c r="AM39" s="58"/>
    </row>
    <row r="40" spans="2:39" ht="18" customHeight="1">
      <c r="B40" s="58"/>
      <c r="C40" s="58"/>
      <c r="D40" s="58"/>
      <c r="E40" s="267" t="s">
        <v>1989</v>
      </c>
      <c r="F40" s="2999" t="s">
        <v>2103</v>
      </c>
      <c r="G40" s="1929"/>
      <c r="H40" s="1929"/>
      <c r="I40" s="1929"/>
      <c r="J40" s="1929"/>
      <c r="K40" s="1929"/>
      <c r="L40" s="1929"/>
      <c r="M40" s="1929"/>
      <c r="N40" s="1929"/>
      <c r="O40" s="1929"/>
      <c r="P40" s="1929"/>
      <c r="Q40" s="1929"/>
      <c r="R40" s="1929"/>
      <c r="S40" s="1929"/>
      <c r="T40" s="1929"/>
      <c r="U40" s="1929"/>
      <c r="V40" s="1929"/>
      <c r="W40" s="1929"/>
      <c r="X40" s="1929"/>
      <c r="Y40" s="1929"/>
      <c r="Z40" s="1929"/>
      <c r="AA40" s="1929"/>
      <c r="AB40" s="1929"/>
      <c r="AC40" s="1929"/>
      <c r="AD40" s="1929"/>
      <c r="AE40" s="1929"/>
      <c r="AF40" s="1929"/>
      <c r="AG40" s="1929"/>
      <c r="AH40" s="1929"/>
      <c r="AI40" s="1929"/>
      <c r="AJ40" s="1929"/>
      <c r="AK40" s="1929"/>
      <c r="AL40" s="58"/>
      <c r="AM40" s="58"/>
    </row>
    <row r="41" spans="2:39" ht="18" customHeight="1">
      <c r="B41" s="58"/>
      <c r="C41" s="58"/>
      <c r="D41" s="58"/>
      <c r="E41" s="58"/>
      <c r="F41" s="2180" t="s">
        <v>2104</v>
      </c>
      <c r="G41" s="1929"/>
      <c r="H41" s="1929"/>
      <c r="I41" s="1929"/>
      <c r="J41" s="1929"/>
      <c r="K41" s="1929"/>
      <c r="L41" s="1929"/>
      <c r="M41" s="2764"/>
      <c r="N41" s="1861"/>
      <c r="O41" s="1861"/>
      <c r="P41" s="1861"/>
      <c r="Q41" s="1861"/>
      <c r="R41" s="1861"/>
      <c r="S41" s="1861"/>
      <c r="T41" s="1861"/>
      <c r="U41" s="1861"/>
      <c r="V41" s="1862"/>
      <c r="W41" s="58"/>
      <c r="X41" s="1929" t="s">
        <v>2105</v>
      </c>
      <c r="Y41" s="1929"/>
      <c r="Z41" s="2764"/>
      <c r="AA41" s="1861"/>
      <c r="AB41" s="1861"/>
      <c r="AC41" s="1861"/>
      <c r="AD41" s="1861"/>
      <c r="AE41" s="1861"/>
      <c r="AF41" s="1861"/>
      <c r="AG41" s="1861"/>
      <c r="AH41" s="1861"/>
      <c r="AI41" s="1861"/>
      <c r="AJ41" s="1861"/>
      <c r="AK41" s="1862"/>
      <c r="AL41" s="58"/>
      <c r="AM41" s="58"/>
    </row>
    <row r="42" spans="2:39" ht="18" customHeight="1">
      <c r="B42" s="58"/>
      <c r="C42" s="58"/>
      <c r="D42" s="58"/>
      <c r="E42" s="58"/>
      <c r="F42" s="2180" t="s">
        <v>2172</v>
      </c>
      <c r="G42" s="1929"/>
      <c r="H42" s="1929"/>
      <c r="I42" s="1929"/>
      <c r="J42" s="1929"/>
      <c r="K42" s="1929"/>
      <c r="L42" s="1929"/>
      <c r="M42" s="2764"/>
      <c r="N42" s="1861"/>
      <c r="O42" s="1861"/>
      <c r="P42" s="1861"/>
      <c r="Q42" s="1861"/>
      <c r="R42" s="1861"/>
      <c r="S42" s="1861"/>
      <c r="T42" s="1861"/>
      <c r="U42" s="1861"/>
      <c r="V42" s="1862"/>
      <c r="W42" s="58"/>
      <c r="X42" s="1929" t="s">
        <v>2107</v>
      </c>
      <c r="Y42" s="1929"/>
      <c r="Z42" s="3004"/>
      <c r="AA42" s="1864"/>
      <c r="AB42" s="1864"/>
      <c r="AC42" s="1865"/>
      <c r="AD42" s="3009" t="s">
        <v>2108</v>
      </c>
      <c r="AE42" s="1953"/>
      <c r="AF42" s="2100"/>
      <c r="AG42" s="1864"/>
      <c r="AH42" s="1864"/>
      <c r="AI42" s="1864"/>
      <c r="AJ42" s="1864"/>
      <c r="AK42" s="1865"/>
      <c r="AL42" s="58"/>
      <c r="AM42" s="58"/>
    </row>
    <row r="43" spans="2:39" ht="18" customHeight="1">
      <c r="B43" s="58"/>
      <c r="C43" s="58"/>
      <c r="D43" s="58"/>
      <c r="E43" s="58"/>
      <c r="F43" s="2180" t="s">
        <v>2109</v>
      </c>
      <c r="G43" s="1929"/>
      <c r="H43" s="1929"/>
      <c r="I43" s="1929"/>
      <c r="J43" s="1929"/>
      <c r="K43" s="1929"/>
      <c r="L43" s="1929"/>
      <c r="M43" s="1929"/>
      <c r="N43" s="2183"/>
      <c r="O43" s="1861"/>
      <c r="P43" s="1861"/>
      <c r="Q43" s="1861"/>
      <c r="R43" s="1861"/>
      <c r="S43" s="1861"/>
      <c r="T43" s="1861"/>
      <c r="U43" s="1861"/>
      <c r="V43" s="1861"/>
      <c r="W43" s="1861"/>
      <c r="X43" s="1861"/>
      <c r="Y43" s="1861"/>
      <c r="Z43" s="1861"/>
      <c r="AA43" s="1861"/>
      <c r="AB43" s="1861"/>
      <c r="AC43" s="1861"/>
      <c r="AD43" s="1861"/>
      <c r="AE43" s="1861"/>
      <c r="AF43" s="1861"/>
      <c r="AG43" s="1861"/>
      <c r="AH43" s="1861"/>
      <c r="AI43" s="1861"/>
      <c r="AJ43" s="1861"/>
      <c r="AK43" s="1862"/>
      <c r="AL43" s="58"/>
      <c r="AM43" s="58"/>
    </row>
    <row r="44" spans="2:39" ht="36" customHeight="1">
      <c r="B44" s="58"/>
      <c r="C44" s="58"/>
      <c r="D44" s="58"/>
      <c r="E44" s="267" t="s">
        <v>1990</v>
      </c>
      <c r="F44" s="1802" t="s">
        <v>2110</v>
      </c>
      <c r="G44" s="1929"/>
      <c r="H44" s="1929"/>
      <c r="I44" s="1929"/>
      <c r="J44" s="1929"/>
      <c r="K44" s="1929"/>
      <c r="L44" s="1929"/>
      <c r="M44" s="1929"/>
      <c r="N44" s="1929"/>
      <c r="O44" s="1929"/>
      <c r="P44" s="1929"/>
      <c r="Q44" s="1929"/>
      <c r="R44" s="1929"/>
      <c r="S44" s="1929"/>
      <c r="T44" s="1929"/>
      <c r="U44" s="1929"/>
      <c r="V44" s="1929"/>
      <c r="W44" s="1929"/>
      <c r="X44" s="1929"/>
      <c r="Y44" s="1929"/>
      <c r="Z44" s="1929"/>
      <c r="AA44" s="1929"/>
      <c r="AB44" s="1929"/>
      <c r="AC44" s="1929"/>
      <c r="AD44" s="1929"/>
      <c r="AE44" s="1929"/>
      <c r="AF44" s="1929"/>
      <c r="AG44" s="1929"/>
      <c r="AH44" s="1929"/>
      <c r="AI44" s="1929"/>
      <c r="AJ44" s="1929"/>
      <c r="AK44" s="1929"/>
      <c r="AL44" s="58"/>
      <c r="AM44" s="58"/>
    </row>
    <row r="45" spans="2:39" ht="53.25" customHeight="1">
      <c r="B45" s="58"/>
      <c r="C45" s="58"/>
      <c r="D45" s="58"/>
      <c r="E45" s="58"/>
      <c r="F45" s="2003"/>
      <c r="G45" s="1861"/>
      <c r="H45" s="1861"/>
      <c r="I45" s="1861"/>
      <c r="J45" s="1861"/>
      <c r="K45" s="1861"/>
      <c r="L45" s="1861"/>
      <c r="M45" s="1861"/>
      <c r="N45" s="1861"/>
      <c r="O45" s="1861"/>
      <c r="P45" s="1861"/>
      <c r="Q45" s="1861"/>
      <c r="R45" s="1861"/>
      <c r="S45" s="1861"/>
      <c r="T45" s="1861"/>
      <c r="U45" s="1861"/>
      <c r="V45" s="1861"/>
      <c r="W45" s="1861"/>
      <c r="X45" s="1861"/>
      <c r="Y45" s="1861"/>
      <c r="Z45" s="1861"/>
      <c r="AA45" s="1861"/>
      <c r="AB45" s="1861"/>
      <c r="AC45" s="1861"/>
      <c r="AD45" s="1861"/>
      <c r="AE45" s="1861"/>
      <c r="AF45" s="1861"/>
      <c r="AG45" s="1861"/>
      <c r="AH45" s="1861"/>
      <c r="AI45" s="1861"/>
      <c r="AJ45" s="1861"/>
      <c r="AK45" s="1862"/>
      <c r="AL45" s="58"/>
      <c r="AM45" s="58"/>
    </row>
    <row r="46" spans="2:39" ht="36" customHeight="1">
      <c r="B46" s="58"/>
      <c r="C46" s="58"/>
      <c r="D46" s="267" t="s">
        <v>615</v>
      </c>
      <c r="E46" s="1802" t="s">
        <v>2111</v>
      </c>
      <c r="F46" s="1929"/>
      <c r="G46" s="1929"/>
      <c r="H46" s="1929"/>
      <c r="I46" s="1929"/>
      <c r="J46" s="1929"/>
      <c r="K46" s="1929"/>
      <c r="L46" s="1929"/>
      <c r="M46" s="1929"/>
      <c r="N46" s="1929"/>
      <c r="O46" s="1929"/>
      <c r="P46" s="1929"/>
      <c r="Q46" s="1929"/>
      <c r="R46" s="1929"/>
      <c r="S46" s="1929"/>
      <c r="T46" s="1929"/>
      <c r="U46" s="1929"/>
      <c r="V46" s="1929"/>
      <c r="W46" s="1929"/>
      <c r="X46" s="1929"/>
      <c r="Y46" s="1929"/>
      <c r="Z46" s="1929"/>
      <c r="AA46" s="1929"/>
      <c r="AB46" s="1929"/>
      <c r="AC46" s="1929"/>
      <c r="AD46" s="1929"/>
      <c r="AE46" s="1929"/>
      <c r="AF46" s="1929"/>
      <c r="AG46" s="1929"/>
      <c r="AH46" s="1929"/>
      <c r="AI46" s="1929"/>
      <c r="AJ46" s="1929"/>
      <c r="AK46" s="1929"/>
      <c r="AL46" s="1911"/>
      <c r="AM46" s="1862"/>
    </row>
    <row r="47" spans="2:39" ht="18" customHeight="1">
      <c r="B47" s="58"/>
      <c r="C47" s="58"/>
      <c r="D47" s="58"/>
      <c r="E47" s="267" t="s">
        <v>1989</v>
      </c>
      <c r="F47" s="2180" t="s">
        <v>2112</v>
      </c>
      <c r="G47" s="1929"/>
      <c r="H47" s="1929"/>
      <c r="I47" s="1929"/>
      <c r="J47" s="1929"/>
      <c r="K47" s="1929"/>
      <c r="L47" s="1929"/>
      <c r="M47" s="1929"/>
      <c r="N47" s="1929"/>
      <c r="O47" s="1929"/>
      <c r="P47" s="1929"/>
      <c r="Q47" s="1929"/>
      <c r="R47" s="1929"/>
      <c r="S47" s="1929"/>
      <c r="T47" s="1929"/>
      <c r="U47" s="1929"/>
      <c r="V47" s="1929"/>
      <c r="W47" s="1929"/>
      <c r="X47" s="1929"/>
      <c r="Y47" s="1929"/>
      <c r="Z47" s="1929"/>
      <c r="AA47" s="1929"/>
      <c r="AB47" s="1929"/>
      <c r="AC47" s="1929"/>
      <c r="AD47" s="1929"/>
      <c r="AE47" s="1929"/>
      <c r="AF47" s="1929"/>
      <c r="AG47" s="1929"/>
      <c r="AH47" s="1929"/>
      <c r="AI47" s="1929"/>
      <c r="AJ47" s="1929"/>
      <c r="AK47" s="1929"/>
      <c r="AL47" s="58"/>
      <c r="AM47" s="58"/>
    </row>
    <row r="48" spans="2:39" ht="36" customHeight="1">
      <c r="B48" s="58"/>
      <c r="C48" s="58"/>
      <c r="D48" s="58"/>
      <c r="E48" s="267" t="s">
        <v>1990</v>
      </c>
      <c r="F48" s="1802" t="s">
        <v>2113</v>
      </c>
      <c r="G48" s="1929"/>
      <c r="H48" s="1929"/>
      <c r="I48" s="1929"/>
      <c r="J48" s="1929"/>
      <c r="K48" s="1929"/>
      <c r="L48" s="1929"/>
      <c r="M48" s="1929"/>
      <c r="N48" s="1929"/>
      <c r="O48" s="1929"/>
      <c r="P48" s="1929"/>
      <c r="Q48" s="1929"/>
      <c r="R48" s="1929"/>
      <c r="S48" s="1929"/>
      <c r="T48" s="1929"/>
      <c r="U48" s="1929"/>
      <c r="V48" s="1929"/>
      <c r="W48" s="1929"/>
      <c r="X48" s="1929"/>
      <c r="Y48" s="1929"/>
      <c r="Z48" s="1929"/>
      <c r="AA48" s="1929"/>
      <c r="AB48" s="1929"/>
      <c r="AC48" s="1929"/>
      <c r="AD48" s="1929"/>
      <c r="AE48" s="1929"/>
      <c r="AF48" s="1929"/>
      <c r="AG48" s="1929"/>
      <c r="AH48" s="1929"/>
      <c r="AI48" s="1929"/>
      <c r="AJ48" s="1929"/>
      <c r="AK48" s="1929"/>
      <c r="AL48" s="58"/>
      <c r="AM48" s="58"/>
    </row>
    <row r="49" spans="2:39" ht="36" customHeight="1">
      <c r="B49" s="58"/>
      <c r="C49" s="58"/>
      <c r="D49" s="58"/>
      <c r="E49" s="267" t="s">
        <v>1996</v>
      </c>
      <c r="F49" s="1802" t="s">
        <v>2114</v>
      </c>
      <c r="G49" s="1929"/>
      <c r="H49" s="1929"/>
      <c r="I49" s="1929"/>
      <c r="J49" s="1929"/>
      <c r="K49" s="1929"/>
      <c r="L49" s="1929"/>
      <c r="M49" s="1929"/>
      <c r="N49" s="1929"/>
      <c r="O49" s="1929"/>
      <c r="P49" s="1929"/>
      <c r="Q49" s="1929"/>
      <c r="R49" s="1929"/>
      <c r="S49" s="1929"/>
      <c r="T49" s="1929"/>
      <c r="U49" s="1929"/>
      <c r="V49" s="1929"/>
      <c r="W49" s="1929"/>
      <c r="X49" s="1929"/>
      <c r="Y49" s="1929"/>
      <c r="Z49" s="1929"/>
      <c r="AA49" s="1929"/>
      <c r="AB49" s="1929"/>
      <c r="AC49" s="1929"/>
      <c r="AD49" s="1929"/>
      <c r="AE49" s="1929"/>
      <c r="AF49" s="1929"/>
      <c r="AG49" s="1929"/>
      <c r="AH49" s="1929"/>
      <c r="AI49" s="1929"/>
      <c r="AJ49" s="1929"/>
      <c r="AK49" s="1929"/>
      <c r="AL49" s="58"/>
      <c r="AM49" s="58"/>
    </row>
    <row r="50" spans="2:39" ht="36" customHeight="1">
      <c r="B50" s="58"/>
      <c r="C50" s="58"/>
      <c r="D50" s="58"/>
      <c r="E50" s="267" t="s">
        <v>1999</v>
      </c>
      <c r="F50" s="1802" t="s">
        <v>2173</v>
      </c>
      <c r="G50" s="1929"/>
      <c r="H50" s="1929"/>
      <c r="I50" s="1929"/>
      <c r="J50" s="1929"/>
      <c r="K50" s="1929"/>
      <c r="L50" s="1929"/>
      <c r="M50" s="1929"/>
      <c r="N50" s="1929"/>
      <c r="O50" s="1929"/>
      <c r="P50" s="1929"/>
      <c r="Q50" s="1929"/>
      <c r="R50" s="1929"/>
      <c r="S50" s="1929"/>
      <c r="T50" s="1929"/>
      <c r="U50" s="1929"/>
      <c r="V50" s="1929"/>
      <c r="W50" s="1929"/>
      <c r="X50" s="1929"/>
      <c r="Y50" s="1929"/>
      <c r="Z50" s="1929"/>
      <c r="AA50" s="1929"/>
      <c r="AB50" s="1929"/>
      <c r="AC50" s="1929"/>
      <c r="AD50" s="1929"/>
      <c r="AE50" s="1929"/>
      <c r="AF50" s="1929"/>
      <c r="AG50" s="1929"/>
      <c r="AH50" s="1929"/>
      <c r="AI50" s="1929"/>
      <c r="AJ50" s="1929"/>
      <c r="AK50" s="1929"/>
      <c r="AL50" s="58"/>
      <c r="AM50" s="58"/>
    </row>
    <row r="51" spans="2:39" ht="54" customHeight="1">
      <c r="B51" s="58"/>
      <c r="C51" s="58"/>
      <c r="D51" s="267" t="s">
        <v>617</v>
      </c>
      <c r="E51" s="1802" t="s">
        <v>2116</v>
      </c>
      <c r="F51" s="1929"/>
      <c r="G51" s="1929"/>
      <c r="H51" s="1929"/>
      <c r="I51" s="1929"/>
      <c r="J51" s="1929"/>
      <c r="K51" s="1929"/>
      <c r="L51" s="1929"/>
      <c r="M51" s="1929"/>
      <c r="N51" s="1929"/>
      <c r="O51" s="1929"/>
      <c r="P51" s="1929"/>
      <c r="Q51" s="1929"/>
      <c r="R51" s="1929"/>
      <c r="S51" s="1929"/>
      <c r="T51" s="1929"/>
      <c r="U51" s="1929"/>
      <c r="V51" s="1929"/>
      <c r="W51" s="1929"/>
      <c r="X51" s="1929"/>
      <c r="Y51" s="1929"/>
      <c r="Z51" s="1929"/>
      <c r="AA51" s="1929"/>
      <c r="AB51" s="1929"/>
      <c r="AC51" s="1929"/>
      <c r="AD51" s="1929"/>
      <c r="AE51" s="1929"/>
      <c r="AF51" s="1929"/>
      <c r="AG51" s="1929"/>
      <c r="AH51" s="1929"/>
      <c r="AI51" s="1929"/>
      <c r="AJ51" s="1929"/>
      <c r="AK51" s="1929"/>
      <c r="AL51" s="1911"/>
      <c r="AM51" s="1862"/>
    </row>
    <row r="52" spans="2:39" ht="18" customHeight="1">
      <c r="B52" s="58"/>
      <c r="C52" s="264" t="s">
        <v>611</v>
      </c>
      <c r="D52" s="2180" t="s">
        <v>2117</v>
      </c>
      <c r="E52" s="1929"/>
      <c r="F52" s="1929"/>
      <c r="G52" s="1929"/>
      <c r="H52" s="1929"/>
      <c r="I52" s="1929"/>
      <c r="J52" s="1929"/>
      <c r="K52" s="1929"/>
      <c r="L52" s="1929"/>
      <c r="M52" s="1929"/>
      <c r="N52" s="1929"/>
      <c r="O52" s="1929"/>
      <c r="P52" s="1929"/>
      <c r="Q52" s="1929"/>
      <c r="R52" s="1929"/>
      <c r="S52" s="1929"/>
      <c r="T52" s="1929"/>
      <c r="U52" s="1929"/>
      <c r="V52" s="1929"/>
      <c r="W52" s="1929"/>
      <c r="X52" s="1929"/>
      <c r="Y52" s="1929"/>
      <c r="Z52" s="1929"/>
      <c r="AA52" s="1929"/>
      <c r="AB52" s="1929"/>
      <c r="AC52" s="1929"/>
      <c r="AD52" s="1929"/>
      <c r="AE52" s="1929"/>
      <c r="AF52" s="1929"/>
      <c r="AG52" s="1929"/>
      <c r="AH52" s="1929"/>
      <c r="AI52" s="1929"/>
      <c r="AJ52" s="1929"/>
      <c r="AK52" s="1929"/>
      <c r="AL52" s="58"/>
      <c r="AM52" s="58"/>
    </row>
    <row r="53" spans="2:39" ht="54" customHeight="1">
      <c r="B53" s="58"/>
      <c r="C53" s="58"/>
      <c r="D53" s="267" t="s">
        <v>613</v>
      </c>
      <c r="E53" s="1806" t="s">
        <v>2118</v>
      </c>
      <c r="F53" s="1929"/>
      <c r="G53" s="1929"/>
      <c r="H53" s="1929"/>
      <c r="I53" s="1929"/>
      <c r="J53" s="1929"/>
      <c r="K53" s="1929"/>
      <c r="L53" s="1929"/>
      <c r="M53" s="1929"/>
      <c r="N53" s="1929"/>
      <c r="O53" s="1929"/>
      <c r="P53" s="1929"/>
      <c r="Q53" s="1929"/>
      <c r="R53" s="1929"/>
      <c r="S53" s="1929"/>
      <c r="T53" s="1929"/>
      <c r="U53" s="1929"/>
      <c r="V53" s="1929"/>
      <c r="W53" s="1929"/>
      <c r="X53" s="1929"/>
      <c r="Y53" s="1929"/>
      <c r="Z53" s="1929"/>
      <c r="AA53" s="1929"/>
      <c r="AB53" s="1929"/>
      <c r="AC53" s="1929"/>
      <c r="AD53" s="1929"/>
      <c r="AE53" s="1929"/>
      <c r="AF53" s="1929"/>
      <c r="AG53" s="1929"/>
      <c r="AH53" s="1929"/>
      <c r="AI53" s="1929"/>
      <c r="AJ53" s="1929"/>
      <c r="AK53" s="1929"/>
      <c r="AL53" s="58"/>
      <c r="AM53" s="58"/>
    </row>
    <row r="54" spans="2:39" ht="120" customHeight="1">
      <c r="B54" s="58"/>
      <c r="C54" s="58"/>
      <c r="D54" s="58"/>
      <c r="E54" s="2003"/>
      <c r="F54" s="1861"/>
      <c r="G54" s="1861"/>
      <c r="H54" s="1861"/>
      <c r="I54" s="1861"/>
      <c r="J54" s="1861"/>
      <c r="K54" s="1861"/>
      <c r="L54" s="1861"/>
      <c r="M54" s="1861"/>
      <c r="N54" s="1861"/>
      <c r="O54" s="1861"/>
      <c r="P54" s="1861"/>
      <c r="Q54" s="1861"/>
      <c r="R54" s="1861"/>
      <c r="S54" s="1861"/>
      <c r="T54" s="1861"/>
      <c r="U54" s="1861"/>
      <c r="V54" s="1861"/>
      <c r="W54" s="1861"/>
      <c r="X54" s="1861"/>
      <c r="Y54" s="1861"/>
      <c r="Z54" s="1861"/>
      <c r="AA54" s="1861"/>
      <c r="AB54" s="1861"/>
      <c r="AC54" s="1861"/>
      <c r="AD54" s="1861"/>
      <c r="AE54" s="1861"/>
      <c r="AF54" s="1861"/>
      <c r="AG54" s="1861"/>
      <c r="AH54" s="1861"/>
      <c r="AI54" s="1861"/>
      <c r="AJ54" s="1861"/>
      <c r="AK54" s="1862"/>
      <c r="AL54" s="58"/>
      <c r="AM54" s="58"/>
    </row>
    <row r="55" spans="2:39" ht="36" customHeight="1">
      <c r="B55" s="58"/>
      <c r="C55" s="58"/>
      <c r="D55" s="267" t="s">
        <v>615</v>
      </c>
      <c r="E55" s="1977" t="s">
        <v>2119</v>
      </c>
      <c r="F55" s="1953"/>
      <c r="G55" s="1953"/>
      <c r="H55" s="1953"/>
      <c r="I55" s="1953"/>
      <c r="J55" s="1953"/>
      <c r="K55" s="1953"/>
      <c r="L55" s="1953"/>
      <c r="M55" s="1953"/>
      <c r="N55" s="1953"/>
      <c r="O55" s="1953"/>
      <c r="P55" s="1953"/>
      <c r="Q55" s="1953"/>
      <c r="R55" s="1953"/>
      <c r="S55" s="1953"/>
      <c r="T55" s="1953"/>
      <c r="U55" s="1953"/>
      <c r="V55" s="1953"/>
      <c r="W55" s="1953"/>
      <c r="X55" s="1953"/>
      <c r="Y55" s="1953"/>
      <c r="Z55" s="1953"/>
      <c r="AA55" s="1953"/>
      <c r="AB55" s="1953"/>
      <c r="AC55" s="1953"/>
      <c r="AD55" s="1953"/>
      <c r="AE55" s="1953"/>
      <c r="AF55" s="1953"/>
      <c r="AG55" s="1953"/>
      <c r="AH55" s="1953"/>
      <c r="AI55" s="1953"/>
      <c r="AJ55" s="1953"/>
      <c r="AK55" s="1953"/>
      <c r="AL55" s="1911"/>
      <c r="AM55" s="1862"/>
    </row>
    <row r="56" spans="2:39" ht="18" customHeight="1">
      <c r="B56" s="1891" t="s">
        <v>2174</v>
      </c>
      <c r="C56" s="1877"/>
      <c r="D56" s="1877"/>
      <c r="E56" s="1877"/>
      <c r="F56" s="1877"/>
      <c r="G56" s="1877"/>
      <c r="H56" s="1877"/>
      <c r="I56" s="1877"/>
      <c r="J56" s="1877"/>
      <c r="K56" s="1877"/>
      <c r="L56" s="1877"/>
      <c r="M56" s="1877"/>
      <c r="N56" s="1877"/>
      <c r="O56" s="1877"/>
      <c r="P56" s="1877"/>
      <c r="Q56" s="1877"/>
      <c r="R56" s="1877"/>
      <c r="S56" s="1877"/>
      <c r="T56" s="1877"/>
      <c r="U56" s="1877"/>
      <c r="V56" s="1877"/>
      <c r="W56" s="1877"/>
      <c r="X56" s="1877"/>
      <c r="Y56" s="1877"/>
      <c r="Z56" s="1877"/>
      <c r="AA56" s="1877"/>
      <c r="AB56" s="1877"/>
      <c r="AC56" s="1877"/>
      <c r="AD56" s="1877"/>
      <c r="AE56" s="1877"/>
      <c r="AF56" s="1877"/>
      <c r="AG56" s="1877"/>
      <c r="AH56" s="1877"/>
      <c r="AI56" s="1877"/>
      <c r="AJ56" s="1877"/>
      <c r="AK56" s="1877"/>
      <c r="AL56" s="1877"/>
      <c r="AM56" s="1877"/>
    </row>
    <row r="57" spans="2:39" ht="101.85" customHeight="1">
      <c r="B57" s="1874"/>
      <c r="C57" s="1869"/>
      <c r="D57" s="1869"/>
      <c r="E57" s="1869"/>
      <c r="F57" s="1869"/>
      <c r="G57" s="1869"/>
      <c r="H57" s="1869"/>
      <c r="I57" s="1869"/>
      <c r="J57" s="1869"/>
      <c r="K57" s="1869"/>
      <c r="L57" s="1869"/>
      <c r="M57" s="1869"/>
      <c r="N57" s="1869"/>
      <c r="O57" s="1869"/>
      <c r="P57" s="1869"/>
      <c r="Q57" s="1869"/>
      <c r="R57" s="1869"/>
      <c r="S57" s="1869"/>
      <c r="T57" s="1869"/>
      <c r="U57" s="1869"/>
      <c r="V57" s="1869"/>
      <c r="W57" s="1869"/>
      <c r="X57" s="1869"/>
      <c r="Y57" s="1869"/>
      <c r="Z57" s="1869"/>
      <c r="AA57" s="1869"/>
      <c r="AB57" s="1869"/>
      <c r="AC57" s="1869"/>
      <c r="AD57" s="1869"/>
      <c r="AE57" s="1869"/>
      <c r="AF57" s="1869"/>
      <c r="AG57" s="1869"/>
      <c r="AH57" s="1869"/>
      <c r="AI57" s="1869"/>
      <c r="AJ57" s="1869"/>
      <c r="AK57" s="1869"/>
      <c r="AL57" s="1869"/>
      <c r="AM57" s="1870"/>
    </row>
    <row r="58" spans="2:39" ht="18" customHeight="1">
      <c r="B58" s="2180" t="s">
        <v>1954</v>
      </c>
      <c r="C58" s="1929"/>
      <c r="D58" s="1929"/>
      <c r="E58" s="1929"/>
      <c r="F58" s="1929"/>
      <c r="G58" s="1929"/>
      <c r="H58" s="476"/>
      <c r="I58" s="476"/>
      <c r="J58" s="476"/>
      <c r="K58" s="476"/>
      <c r="L58" s="476"/>
      <c r="M58" s="476"/>
      <c r="N58" s="476"/>
      <c r="O58" s="476"/>
      <c r="P58" s="476"/>
      <c r="Q58" s="476"/>
      <c r="R58" s="476"/>
      <c r="S58" s="476"/>
      <c r="T58" s="476"/>
      <c r="U58" s="476"/>
      <c r="V58" s="476"/>
      <c r="W58" s="476"/>
      <c r="X58" s="476"/>
      <c r="Y58" s="476"/>
      <c r="Z58" s="476"/>
      <c r="AA58" s="476"/>
      <c r="AB58" s="476"/>
      <c r="AC58" s="476"/>
      <c r="AD58" s="476"/>
      <c r="AE58" s="476"/>
      <c r="AF58" s="476"/>
      <c r="AG58" s="476"/>
      <c r="AH58" s="476"/>
      <c r="AI58" s="476"/>
      <c r="AJ58" s="476"/>
      <c r="AK58" s="476"/>
      <c r="AL58" s="476"/>
      <c r="AM58" s="476"/>
    </row>
    <row r="59" spans="2:39" ht="71.25" customHeight="1">
      <c r="B59" s="2003"/>
      <c r="C59" s="1861"/>
      <c r="D59" s="1861"/>
      <c r="E59" s="1861"/>
      <c r="F59" s="1861"/>
      <c r="G59" s="1861"/>
      <c r="H59" s="1861"/>
      <c r="I59" s="1861"/>
      <c r="J59" s="1861"/>
      <c r="K59" s="1861"/>
      <c r="L59" s="1861"/>
      <c r="M59" s="1861"/>
      <c r="N59" s="1861"/>
      <c r="O59" s="1861"/>
      <c r="P59" s="1861"/>
      <c r="Q59" s="1861"/>
      <c r="R59" s="1861"/>
      <c r="S59" s="1861"/>
      <c r="T59" s="1861"/>
      <c r="U59" s="1861"/>
      <c r="V59" s="1861"/>
      <c r="W59" s="1861"/>
      <c r="X59" s="1861"/>
      <c r="Y59" s="1861"/>
      <c r="Z59" s="1861"/>
      <c r="AA59" s="1861"/>
      <c r="AB59" s="1861"/>
      <c r="AC59" s="1861"/>
      <c r="AD59" s="1861"/>
      <c r="AE59" s="1861"/>
      <c r="AF59" s="1861"/>
      <c r="AG59" s="1861"/>
      <c r="AH59" s="1861"/>
      <c r="AI59" s="1861"/>
      <c r="AJ59" s="1861"/>
      <c r="AK59" s="1861"/>
      <c r="AL59" s="1861"/>
      <c r="AM59" s="1862"/>
    </row>
    <row r="61" spans="2:39" ht="36" customHeight="1">
      <c r="B61" s="267" t="s">
        <v>2175</v>
      </c>
      <c r="C61" s="1802" t="s">
        <v>2176</v>
      </c>
      <c r="D61" s="1929"/>
      <c r="E61" s="1929"/>
      <c r="F61" s="1929"/>
      <c r="G61" s="1929"/>
      <c r="H61" s="1929"/>
      <c r="I61" s="1929"/>
      <c r="J61" s="1929"/>
      <c r="K61" s="1929"/>
      <c r="L61" s="1929"/>
      <c r="M61" s="1929"/>
      <c r="N61" s="1929"/>
      <c r="O61" s="1929"/>
      <c r="P61" s="1929"/>
      <c r="Q61" s="1929"/>
      <c r="R61" s="1929"/>
      <c r="S61" s="1929"/>
      <c r="T61" s="1929"/>
      <c r="U61" s="1929"/>
      <c r="V61" s="1929"/>
      <c r="W61" s="1929"/>
      <c r="X61" s="1929"/>
      <c r="Y61" s="1929"/>
      <c r="Z61" s="1929"/>
      <c r="AA61" s="1929"/>
      <c r="AB61" s="1929"/>
      <c r="AC61" s="1929"/>
      <c r="AD61" s="1929"/>
      <c r="AE61" s="1929"/>
      <c r="AF61" s="1929"/>
      <c r="AG61" s="1929"/>
      <c r="AH61" s="1929"/>
      <c r="AI61" s="1929"/>
      <c r="AJ61" s="1929"/>
      <c r="AK61" s="1929"/>
      <c r="AL61" s="1911"/>
      <c r="AM61" s="1862"/>
    </row>
    <row r="63" spans="2:39" ht="18" customHeight="1">
      <c r="B63" s="3012" t="s">
        <v>461</v>
      </c>
      <c r="C63" s="1929"/>
      <c r="D63" s="1929"/>
      <c r="E63" s="1929"/>
      <c r="F63" s="1929"/>
      <c r="G63" s="1929"/>
      <c r="H63" s="1929"/>
      <c r="I63" s="1929"/>
      <c r="J63" s="1929"/>
      <c r="K63" s="1929"/>
      <c r="L63" s="1929"/>
      <c r="M63" s="1929"/>
      <c r="N63" s="1929"/>
      <c r="O63" s="1929"/>
      <c r="P63" s="1929"/>
      <c r="Q63" s="1929"/>
      <c r="R63" s="1929"/>
      <c r="S63" s="1929"/>
      <c r="T63" s="1929"/>
      <c r="U63" s="1929"/>
      <c r="V63" s="1929"/>
      <c r="W63" s="1929"/>
      <c r="X63" s="1929"/>
      <c r="Y63" s="1929"/>
      <c r="Z63" s="1929"/>
      <c r="AA63" s="1929"/>
      <c r="AB63" s="1929"/>
      <c r="AC63" s="1929"/>
      <c r="AD63" s="1929"/>
      <c r="AE63" s="1929"/>
      <c r="AF63" s="1929"/>
      <c r="AG63" s="1929"/>
      <c r="AH63" s="1929"/>
      <c r="AI63" s="1929"/>
      <c r="AJ63" s="1929"/>
      <c r="AK63" s="1929"/>
      <c r="AL63" s="1929"/>
      <c r="AM63" s="1929"/>
    </row>
  </sheetData>
  <sheetProtection algorithmName="SHA-512" hashValue="Zlmvqa6T6iS5paLAUsMgHxaZSkkP0q7ok1DxOGRXGqFo6L8Q3k8UHqPk+xGG8vqF4faJM2xfEpMLcVn9xEd8bA==" saltValue="dtRMZwjFilpkpnJ4xK/VFw==" spinCount="100000" sheet="1" objects="1" scenarios="1"/>
  <mergeCells count="96">
    <mergeCell ref="B59:AM59"/>
    <mergeCell ref="AF23:AK23"/>
    <mergeCell ref="E46:AK46"/>
    <mergeCell ref="B30:D30"/>
    <mergeCell ref="C29:AK29"/>
    <mergeCell ref="E30:L30"/>
    <mergeCell ref="X42:Y42"/>
    <mergeCell ref="E54:AK54"/>
    <mergeCell ref="AL34:AM34"/>
    <mergeCell ref="E39:AK39"/>
    <mergeCell ref="M41:V41"/>
    <mergeCell ref="M27:AE27"/>
    <mergeCell ref="AL23:AM23"/>
    <mergeCell ref="AL55:AM55"/>
    <mergeCell ref="M31:AE31"/>
    <mergeCell ref="F48:AK48"/>
    <mergeCell ref="C7:AK7"/>
    <mergeCell ref="M15:AE15"/>
    <mergeCell ref="C11:AK11"/>
    <mergeCell ref="AL15:AM15"/>
    <mergeCell ref="AF15:AK15"/>
    <mergeCell ref="AL11:AM11"/>
    <mergeCell ref="D18:AK18"/>
    <mergeCell ref="AL12:AM12"/>
    <mergeCell ref="AF22:AK22"/>
    <mergeCell ref="B63:AM63"/>
    <mergeCell ref="B18:C18"/>
    <mergeCell ref="E19:AK19"/>
    <mergeCell ref="AL27:AM27"/>
    <mergeCell ref="C33:AK33"/>
    <mergeCell ref="M23:AE23"/>
    <mergeCell ref="D38:AK38"/>
    <mergeCell ref="C35:AK35"/>
    <mergeCell ref="C25:AK25"/>
    <mergeCell ref="F45:AK45"/>
    <mergeCell ref="AF27:AK27"/>
    <mergeCell ref="F47:AK47"/>
    <mergeCell ref="F43:M43"/>
    <mergeCell ref="B22:D22"/>
    <mergeCell ref="AL30:AM30"/>
    <mergeCell ref="E21:AK21"/>
    <mergeCell ref="C61:AK61"/>
    <mergeCell ref="M22:AE22"/>
    <mergeCell ref="E22:L22"/>
    <mergeCell ref="M30:AE30"/>
    <mergeCell ref="E51:AK51"/>
    <mergeCell ref="F50:AK50"/>
    <mergeCell ref="AF31:AK31"/>
    <mergeCell ref="E53:AK53"/>
    <mergeCell ref="E55:AK55"/>
    <mergeCell ref="F44:AK44"/>
    <mergeCell ref="C34:AK34"/>
    <mergeCell ref="D52:AK52"/>
    <mergeCell ref="B31:D31"/>
    <mergeCell ref="F49:AK49"/>
    <mergeCell ref="M42:V42"/>
    <mergeCell ref="C37:AK37"/>
    <mergeCell ref="B23:D23"/>
    <mergeCell ref="E23:L23"/>
    <mergeCell ref="AF30:AK30"/>
    <mergeCell ref="AF42:AK42"/>
    <mergeCell ref="F40:AK40"/>
    <mergeCell ref="E27:L27"/>
    <mergeCell ref="F41:L41"/>
    <mergeCell ref="AL46:AM46"/>
    <mergeCell ref="B2:AM2"/>
    <mergeCell ref="C10:AK10"/>
    <mergeCell ref="AL18:AM18"/>
    <mergeCell ref="C17:AK17"/>
    <mergeCell ref="AL8:AM8"/>
    <mergeCell ref="C8:AK8"/>
    <mergeCell ref="B4:AM4"/>
    <mergeCell ref="C12:AK12"/>
    <mergeCell ref="AL14:AM14"/>
    <mergeCell ref="B5:AM5"/>
    <mergeCell ref="E20:AK20"/>
    <mergeCell ref="AL22:AM22"/>
    <mergeCell ref="AL31:AM31"/>
    <mergeCell ref="AL26:AM26"/>
    <mergeCell ref="AL35:AM35"/>
    <mergeCell ref="AL61:AM61"/>
    <mergeCell ref="C14:AK14"/>
    <mergeCell ref="B56:AM56"/>
    <mergeCell ref="B15:D15"/>
    <mergeCell ref="E31:L31"/>
    <mergeCell ref="E15:L15"/>
    <mergeCell ref="B57:AM57"/>
    <mergeCell ref="F42:L42"/>
    <mergeCell ref="X41:Y41"/>
    <mergeCell ref="AL51:AM51"/>
    <mergeCell ref="B27:D27"/>
    <mergeCell ref="Z41:AK41"/>
    <mergeCell ref="AD42:AE42"/>
    <mergeCell ref="B58:G58"/>
    <mergeCell ref="Z42:AC42"/>
    <mergeCell ref="N43:AK43"/>
  </mergeCells>
  <conditionalFormatting sqref="AL8:AM8">
    <cfRule type="cellIs" dxfId="1038" priority="33" operator="equal">
      <formula>TRUE</formula>
    </cfRule>
    <cfRule type="cellIs" dxfId="1037" priority="34" operator="equal">
      <formula>FALSE</formula>
    </cfRule>
  </conditionalFormatting>
  <conditionalFormatting sqref="AL11:AM11">
    <cfRule type="cellIs" dxfId="1036" priority="31" operator="equal">
      <formula>TRUE</formula>
    </cfRule>
    <cfRule type="cellIs" dxfId="1035" priority="32" operator="equal">
      <formula>FALSE</formula>
    </cfRule>
  </conditionalFormatting>
  <conditionalFormatting sqref="AL12:AM12">
    <cfRule type="cellIs" dxfId="1034" priority="29" operator="equal">
      <formula>TRUE</formula>
    </cfRule>
    <cfRule type="cellIs" dxfId="1033" priority="30" operator="equal">
      <formula>FALSE</formula>
    </cfRule>
  </conditionalFormatting>
  <conditionalFormatting sqref="AL18:AM18">
    <cfRule type="cellIs" dxfId="1032" priority="21" operator="equal">
      <formula>"No"</formula>
    </cfRule>
    <cfRule type="cellIs" dxfId="1031" priority="22" operator="equal">
      <formula>"Yes"</formula>
    </cfRule>
  </conditionalFormatting>
  <conditionalFormatting sqref="AL14:AM14">
    <cfRule type="cellIs" dxfId="1030" priority="17" operator="equal">
      <formula>"No"</formula>
    </cfRule>
    <cfRule type="cellIs" dxfId="1029" priority="18" operator="equal">
      <formula>"Yes"</formula>
    </cfRule>
  </conditionalFormatting>
  <conditionalFormatting sqref="AL15:AM15 AL22:AM23 AL27:AM27 AL30:AM31">
    <cfRule type="cellIs" dxfId="1028" priority="16" operator="equal">
      <formula>"Yes"</formula>
    </cfRule>
  </conditionalFormatting>
  <conditionalFormatting sqref="AL34:AM34">
    <cfRule type="cellIs" dxfId="1027" priority="13" operator="equal">
      <formula>"No"</formula>
    </cfRule>
    <cfRule type="cellIs" dxfId="1026" priority="14" operator="equal">
      <formula>"Yes"</formula>
    </cfRule>
  </conditionalFormatting>
  <conditionalFormatting sqref="AL35:AM35">
    <cfRule type="cellIs" dxfId="1025" priority="11" operator="equal">
      <formula>"No"</formula>
    </cfRule>
    <cfRule type="cellIs" dxfId="1024" priority="12" operator="equal">
      <formula>"Yes"</formula>
    </cfRule>
  </conditionalFormatting>
  <conditionalFormatting sqref="AL46:AM46">
    <cfRule type="cellIs" dxfId="1023" priority="9" operator="equal">
      <formula>"No"</formula>
    </cfRule>
    <cfRule type="cellIs" dxfId="1022" priority="10" operator="equal">
      <formula>"Yes"</formula>
    </cfRule>
  </conditionalFormatting>
  <conditionalFormatting sqref="AL51:AM51">
    <cfRule type="cellIs" dxfId="1021" priority="7" operator="equal">
      <formula>"No"</formula>
    </cfRule>
    <cfRule type="cellIs" dxfId="1020" priority="8" operator="equal">
      <formula>"Yes"</formula>
    </cfRule>
  </conditionalFormatting>
  <conditionalFormatting sqref="AL55:AM55">
    <cfRule type="cellIs" dxfId="1019" priority="5" operator="equal">
      <formula>"No"</formula>
    </cfRule>
    <cfRule type="cellIs" dxfId="1018" priority="6" operator="equal">
      <formula>"Yes"</formula>
    </cfRule>
  </conditionalFormatting>
  <conditionalFormatting sqref="AL61:AM61">
    <cfRule type="cellIs" dxfId="1017" priority="3" operator="equal">
      <formula>"No"</formula>
    </cfRule>
    <cfRule type="cellIs" dxfId="1016" priority="4" operator="equal">
      <formula>"Yes"</formula>
    </cfRule>
  </conditionalFormatting>
  <dataValidations count="4">
    <dataValidation type="list" allowBlank="1" showInputMessage="1" showErrorMessage="1" sqref="AL14:AM15 AL22:AM23 AL27:AM27 AL30:AM31" xr:uid="{00000000-0002-0000-1400-000000000000}">
      <formula1>"Yes, No, N/A"</formula1>
    </dataValidation>
    <dataValidation type="list" allowBlank="1" showInputMessage="1" showErrorMessage="1" sqref="AL14" xr:uid="{00000000-0002-0000-1400-000001000000}">
      <formula1>"Yes, No"</formula1>
    </dataValidation>
    <dataValidation type="list" allowBlank="1" showInputMessage="1" showErrorMessage="1" sqref="AL15 AL18:AM18 AL22:AL23 AL26:AM26 AL27 AL30:AL31 AL34:AM35 AL46:AM46 AL51:AM51 AL55:AM55" xr:uid="{00000000-0002-0000-1400-000002000000}">
      <formula1>"Yes,No,N/A"</formula1>
    </dataValidation>
    <dataValidation type="list" allowBlank="1" showInputMessage="1" showErrorMessage="1" sqref="AL61:AM61" xr:uid="{00000000-0002-0000-1400-000003000000}">
      <formula1>"Yes,No"</formula1>
    </dataValidation>
  </dataValidation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13">
    <tabColor rgb="FF7030A0"/>
    <pageSetUpPr fitToPage="1"/>
  </sheetPr>
  <dimension ref="B2:AN210"/>
  <sheetViews>
    <sheetView showGridLines="0" showRowColHeaders="0" workbookViewId="0"/>
  </sheetViews>
  <sheetFormatPr defaultColWidth="3.7109375" defaultRowHeight="18" customHeight="1"/>
  <cols>
    <col min="1" max="1" width="8.7109375" style="397" customWidth="1"/>
    <col min="2" max="39" width="4.28515625" style="397" customWidth="1"/>
    <col min="40" max="40" width="3.7109375" style="397" customWidth="1"/>
    <col min="41" max="16384" width="3.7109375" style="397"/>
  </cols>
  <sheetData>
    <row r="2" spans="2:39" ht="18" customHeight="1">
      <c r="B2" s="3055" t="s">
        <v>2177</v>
      </c>
      <c r="C2" s="3015"/>
      <c r="D2" s="3015"/>
      <c r="E2" s="3015"/>
      <c r="F2" s="3015"/>
      <c r="G2" s="3015"/>
      <c r="H2" s="3015"/>
      <c r="I2" s="3015"/>
      <c r="J2" s="3015"/>
      <c r="K2" s="3015"/>
      <c r="L2" s="3015"/>
      <c r="M2" s="3015"/>
      <c r="N2" s="3015"/>
      <c r="O2" s="3015"/>
      <c r="P2" s="3015"/>
      <c r="Q2" s="3015"/>
      <c r="R2" s="3015"/>
      <c r="S2" s="3015"/>
      <c r="T2" s="3015"/>
      <c r="U2" s="3015"/>
      <c r="V2" s="3015"/>
      <c r="W2" s="3015"/>
      <c r="X2" s="3015"/>
      <c r="Y2" s="3015"/>
      <c r="Z2" s="3015"/>
      <c r="AA2" s="3015"/>
      <c r="AB2" s="3015"/>
      <c r="AC2" s="3015"/>
      <c r="AD2" s="3015"/>
      <c r="AE2" s="3015"/>
      <c r="AF2" s="3015"/>
      <c r="AG2" s="3015"/>
      <c r="AH2" s="3015"/>
      <c r="AI2" s="3015"/>
      <c r="AJ2" s="3015"/>
      <c r="AK2" s="3015"/>
      <c r="AL2" s="3015"/>
      <c r="AM2" s="3015"/>
    </row>
    <row r="3" spans="2:39" s="504" customFormat="1" ht="18" customHeight="1">
      <c r="B3" s="502" t="s">
        <v>693</v>
      </c>
      <c r="C3" s="503"/>
      <c r="D3" s="503"/>
      <c r="E3" s="503"/>
      <c r="F3" s="503"/>
      <c r="G3" s="503"/>
      <c r="H3" s="503"/>
      <c r="I3" s="503"/>
      <c r="J3" s="503"/>
      <c r="K3" s="503"/>
      <c r="L3" s="503"/>
      <c r="M3" s="503"/>
      <c r="N3" s="503"/>
      <c r="O3" s="503"/>
      <c r="P3" s="503"/>
      <c r="Q3" s="503"/>
      <c r="R3" s="503"/>
      <c r="S3" s="503"/>
      <c r="T3" s="503"/>
      <c r="U3" s="503"/>
      <c r="V3" s="503"/>
      <c r="W3" s="503"/>
      <c r="X3" s="503"/>
      <c r="Y3" s="503"/>
      <c r="Z3" s="503"/>
      <c r="AA3" s="503"/>
      <c r="AB3" s="503"/>
    </row>
    <row r="4" spans="2:39" ht="18" customHeight="1">
      <c r="B4" s="2181" t="s">
        <v>2178</v>
      </c>
      <c r="C4" s="3015"/>
      <c r="D4" s="3015"/>
      <c r="E4" s="3015"/>
      <c r="F4" s="3015"/>
      <c r="G4" s="3015"/>
      <c r="H4" s="3015"/>
      <c r="I4" s="3015"/>
      <c r="J4" s="3015"/>
      <c r="K4" s="3015"/>
      <c r="L4" s="3015"/>
      <c r="M4" s="3015"/>
      <c r="N4" s="3015"/>
      <c r="O4" s="3015"/>
      <c r="P4" s="3015"/>
      <c r="Q4" s="3015"/>
      <c r="R4" s="3015"/>
      <c r="S4" s="3015"/>
      <c r="T4" s="3015"/>
      <c r="U4" s="3015"/>
      <c r="V4" s="3015"/>
      <c r="W4" s="3015"/>
      <c r="X4" s="3015"/>
      <c r="Y4" s="3015"/>
      <c r="Z4" s="3015"/>
      <c r="AA4" s="3015"/>
      <c r="AB4" s="3015"/>
      <c r="AC4" s="3015"/>
      <c r="AD4" s="3015"/>
      <c r="AE4" s="3015"/>
      <c r="AF4" s="3015"/>
      <c r="AG4" s="3015"/>
      <c r="AH4" s="3015"/>
      <c r="AI4" s="3015"/>
      <c r="AJ4" s="3015"/>
      <c r="AK4" s="3015"/>
      <c r="AL4" s="3015"/>
      <c r="AM4" s="3015"/>
    </row>
    <row r="5" spans="2:39" ht="18" customHeight="1">
      <c r="B5" s="2181" t="s">
        <v>2179</v>
      </c>
      <c r="C5" s="3015"/>
      <c r="D5" s="3015"/>
      <c r="E5" s="3015"/>
      <c r="F5" s="3015"/>
      <c r="G5" s="3015"/>
      <c r="H5" s="3015"/>
      <c r="I5" s="3015"/>
      <c r="J5" s="3015"/>
      <c r="K5" s="3015"/>
      <c r="L5" s="3015"/>
      <c r="M5" s="3015"/>
      <c r="N5" s="3015"/>
      <c r="O5" s="3015"/>
      <c r="P5" s="3015"/>
      <c r="Q5" s="3015"/>
      <c r="R5" s="3015"/>
      <c r="S5" s="3015"/>
      <c r="T5" s="3015"/>
      <c r="U5" s="3015"/>
      <c r="V5" s="3015"/>
      <c r="W5" s="3015"/>
      <c r="X5" s="3015"/>
      <c r="Y5" s="3015"/>
      <c r="Z5" s="3015"/>
      <c r="AA5" s="3015"/>
      <c r="AB5" s="3015"/>
      <c r="AC5" s="3015"/>
      <c r="AD5" s="3015"/>
      <c r="AE5" s="3015"/>
      <c r="AF5" s="3015"/>
      <c r="AG5" s="3015"/>
      <c r="AH5" s="3015"/>
      <c r="AI5" s="3015"/>
      <c r="AJ5" s="3015"/>
      <c r="AK5" s="3015"/>
      <c r="AL5" s="3015"/>
      <c r="AM5" s="3015"/>
    </row>
    <row r="6" spans="2:39" ht="18" customHeight="1">
      <c r="B6" s="2181" t="s">
        <v>2180</v>
      </c>
      <c r="C6" s="3015"/>
      <c r="D6" s="3015"/>
      <c r="E6" s="3015"/>
      <c r="F6" s="3015"/>
      <c r="G6" s="3015"/>
      <c r="H6" s="3015"/>
      <c r="I6" s="3015"/>
      <c r="J6" s="3015"/>
      <c r="K6" s="3015"/>
      <c r="L6" s="3015"/>
      <c r="M6" s="3015"/>
      <c r="N6" s="3015"/>
      <c r="O6" s="3015"/>
      <c r="P6" s="3015"/>
      <c r="Q6" s="3015"/>
      <c r="R6" s="3015"/>
      <c r="S6" s="3015"/>
      <c r="T6" s="3015"/>
      <c r="U6" s="3015"/>
      <c r="V6" s="3015"/>
      <c r="W6" s="3015"/>
      <c r="X6" s="3015"/>
      <c r="Y6" s="3015"/>
      <c r="Z6" s="3015"/>
      <c r="AA6" s="3015"/>
      <c r="AB6" s="3015"/>
      <c r="AC6" s="3015"/>
      <c r="AD6" s="3015"/>
      <c r="AE6" s="3015"/>
      <c r="AF6" s="3015"/>
      <c r="AG6" s="3015"/>
      <c r="AH6" s="3015"/>
      <c r="AI6" s="3015"/>
      <c r="AJ6" s="3015"/>
      <c r="AK6" s="3015"/>
      <c r="AL6" s="3015"/>
      <c r="AM6" s="3015"/>
    </row>
    <row r="7" spans="2:39" ht="87" customHeight="1">
      <c r="B7" s="2181" t="s">
        <v>2181</v>
      </c>
      <c r="C7" s="3015"/>
      <c r="D7" s="3015"/>
      <c r="E7" s="3015"/>
      <c r="F7" s="3015"/>
      <c r="G7" s="3015"/>
      <c r="H7" s="3015"/>
      <c r="I7" s="3015"/>
      <c r="J7" s="3015"/>
      <c r="K7" s="3015"/>
      <c r="L7" s="3015"/>
      <c r="M7" s="3015"/>
      <c r="N7" s="3015"/>
      <c r="O7" s="3015"/>
      <c r="P7" s="3015"/>
      <c r="Q7" s="3015"/>
      <c r="R7" s="3015"/>
      <c r="S7" s="3015"/>
      <c r="T7" s="3015"/>
      <c r="U7" s="3015"/>
      <c r="V7" s="3015"/>
      <c r="W7" s="3015"/>
      <c r="X7" s="3015"/>
      <c r="Y7" s="3015"/>
      <c r="Z7" s="3015"/>
      <c r="AA7" s="3015"/>
      <c r="AB7" s="3015"/>
      <c r="AC7" s="3015"/>
      <c r="AD7" s="3015"/>
      <c r="AE7" s="3015"/>
      <c r="AF7" s="3015"/>
      <c r="AG7" s="3015"/>
      <c r="AH7" s="3015"/>
      <c r="AI7" s="3015"/>
      <c r="AJ7" s="3015"/>
      <c r="AK7" s="3015"/>
      <c r="AL7" s="3015"/>
      <c r="AM7" s="3015"/>
    </row>
    <row r="8" spans="2:39" ht="18" customHeight="1">
      <c r="B8" s="3015" t="s">
        <v>2182</v>
      </c>
      <c r="C8" s="3015"/>
      <c r="D8" s="3015"/>
      <c r="E8" s="3015"/>
      <c r="F8" s="3015"/>
      <c r="G8" s="3015"/>
      <c r="H8" s="3015"/>
      <c r="I8" s="3015"/>
      <c r="J8" s="3015"/>
      <c r="K8" s="3015"/>
      <c r="L8" s="3015"/>
      <c r="M8" s="3015"/>
      <c r="N8" s="3015"/>
      <c r="O8" s="3015"/>
      <c r="P8" s="3015"/>
      <c r="Q8" s="3015"/>
      <c r="R8" s="3015"/>
      <c r="S8" s="3015"/>
      <c r="T8" s="3015"/>
      <c r="U8" s="3015"/>
      <c r="V8" s="3015"/>
      <c r="W8" s="3015"/>
      <c r="X8" s="3015"/>
      <c r="Y8" s="3015"/>
      <c r="Z8" s="3015"/>
      <c r="AA8" s="3015"/>
      <c r="AB8" s="3015"/>
      <c r="AC8" s="3015"/>
      <c r="AD8" s="3015"/>
      <c r="AE8" s="3015"/>
      <c r="AF8" s="3015"/>
      <c r="AG8" s="3015"/>
      <c r="AH8" s="3015"/>
      <c r="AI8" s="3015"/>
      <c r="AJ8" s="3015"/>
      <c r="AK8" s="3015"/>
      <c r="AL8" s="3015"/>
      <c r="AM8" s="3015"/>
    </row>
    <row r="9" spans="2:39" ht="18" customHeight="1">
      <c r="B9" s="3031"/>
      <c r="C9" s="1861"/>
      <c r="D9" s="1861"/>
      <c r="E9" s="1862"/>
      <c r="F9" s="3035" t="s">
        <v>2183</v>
      </c>
      <c r="G9" s="1778"/>
      <c r="H9" s="3028" t="s">
        <v>2184</v>
      </c>
      <c r="I9" s="1777"/>
      <c r="J9" s="1777"/>
      <c r="K9" s="1777"/>
      <c r="L9" s="1777"/>
      <c r="M9" s="1777"/>
      <c r="N9" s="1777"/>
      <c r="O9" s="1777"/>
      <c r="P9" s="1777"/>
      <c r="Q9" s="1777"/>
      <c r="R9" s="1777"/>
      <c r="S9" s="1777"/>
      <c r="T9" s="1777"/>
      <c r="U9" s="1777"/>
      <c r="V9" s="1777"/>
      <c r="W9" s="1777"/>
      <c r="X9" s="1777"/>
      <c r="Y9" s="1777"/>
      <c r="Z9" s="1777"/>
      <c r="AA9" s="1777"/>
      <c r="AB9" s="1778"/>
    </row>
    <row r="10" spans="2:39" ht="18" customHeight="1">
      <c r="B10" s="3031"/>
      <c r="C10" s="1861"/>
      <c r="D10" s="1861"/>
      <c r="E10" s="1862"/>
      <c r="F10" s="3035" t="s">
        <v>2185</v>
      </c>
      <c r="G10" s="1778"/>
      <c r="H10" s="3028" t="s">
        <v>2186</v>
      </c>
      <c r="I10" s="1777"/>
      <c r="J10" s="1777"/>
      <c r="K10" s="1777"/>
      <c r="L10" s="1777"/>
      <c r="M10" s="1777"/>
      <c r="N10" s="1777"/>
      <c r="O10" s="1777"/>
      <c r="P10" s="1777"/>
      <c r="Q10" s="1777"/>
      <c r="R10" s="1777"/>
      <c r="S10" s="1777"/>
      <c r="T10" s="1777"/>
      <c r="U10" s="1777"/>
      <c r="V10" s="1777"/>
      <c r="W10" s="1777"/>
      <c r="X10" s="1777"/>
      <c r="Y10" s="1777"/>
      <c r="Z10" s="1777"/>
      <c r="AA10" s="1777"/>
      <c r="AB10" s="1778"/>
    </row>
    <row r="11" spans="2:39" ht="18" customHeight="1">
      <c r="B11" s="3031"/>
      <c r="C11" s="1861"/>
      <c r="D11" s="1861"/>
      <c r="E11" s="1862"/>
      <c r="F11" s="3026"/>
      <c r="G11" s="1770"/>
      <c r="H11" s="3076" t="s">
        <v>2187</v>
      </c>
      <c r="I11" s="1777"/>
      <c r="J11" s="1777"/>
      <c r="K11" s="1777"/>
      <c r="L11" s="1777"/>
      <c r="M11" s="1777"/>
      <c r="N11" s="1777"/>
      <c r="O11" s="1777"/>
      <c r="P11" s="1777"/>
      <c r="Q11" s="1777"/>
      <c r="R11" s="1777"/>
      <c r="S11" s="1777"/>
      <c r="T11" s="1777"/>
      <c r="U11" s="1777"/>
      <c r="V11" s="1777"/>
      <c r="W11" s="1777"/>
      <c r="X11" s="1777"/>
      <c r="Y11" s="1777"/>
      <c r="Z11" s="1777"/>
      <c r="AA11" s="1777"/>
      <c r="AB11" s="1778"/>
    </row>
    <row r="12" spans="2:39" ht="18" customHeight="1">
      <c r="B12" s="3031"/>
      <c r="C12" s="1861"/>
      <c r="D12" s="1861"/>
      <c r="E12" s="1862"/>
      <c r="F12" s="1920"/>
      <c r="G12" s="1889"/>
      <c r="H12" s="3028" t="s">
        <v>2188</v>
      </c>
      <c r="I12" s="1777"/>
      <c r="J12" s="1777"/>
      <c r="K12" s="1777"/>
      <c r="L12" s="1777"/>
      <c r="M12" s="1777"/>
      <c r="N12" s="1777"/>
      <c r="O12" s="1777"/>
      <c r="P12" s="1777"/>
      <c r="Q12" s="1777"/>
      <c r="R12" s="1777"/>
      <c r="S12" s="1777"/>
      <c r="T12" s="1777"/>
      <c r="U12" s="1777"/>
      <c r="V12" s="1777"/>
      <c r="W12" s="1777"/>
      <c r="X12" s="1777"/>
      <c r="Y12" s="1777"/>
      <c r="Z12" s="1777"/>
      <c r="AA12" s="1777"/>
      <c r="AB12" s="1778"/>
    </row>
    <row r="13" spans="2:39" ht="18" customHeight="1">
      <c r="B13" s="3031"/>
      <c r="C13" s="1861"/>
      <c r="D13" s="1861"/>
      <c r="E13" s="1862"/>
      <c r="F13" s="1920"/>
      <c r="G13" s="1889"/>
      <c r="H13" s="3028" t="s">
        <v>2189</v>
      </c>
      <c r="I13" s="1777"/>
      <c r="J13" s="1777"/>
      <c r="K13" s="1777"/>
      <c r="L13" s="1777"/>
      <c r="M13" s="1777"/>
      <c r="N13" s="1777"/>
      <c r="O13" s="1777"/>
      <c r="P13" s="1777"/>
      <c r="Q13" s="1777"/>
      <c r="R13" s="1777"/>
      <c r="S13" s="1777"/>
      <c r="T13" s="1777"/>
      <c r="U13" s="1777"/>
      <c r="V13" s="1777"/>
      <c r="W13" s="1777"/>
      <c r="X13" s="1777"/>
      <c r="Y13" s="1777"/>
      <c r="Z13" s="1777"/>
      <c r="AA13" s="1777"/>
      <c r="AB13" s="1778"/>
    </row>
    <row r="14" spans="2:39" ht="18" customHeight="1">
      <c r="B14" s="3031"/>
      <c r="C14" s="1861"/>
      <c r="D14" s="1861"/>
      <c r="E14" s="1862"/>
      <c r="F14" s="1920"/>
      <c r="G14" s="1889"/>
      <c r="H14" s="3028" t="s">
        <v>2190</v>
      </c>
      <c r="I14" s="1777"/>
      <c r="J14" s="1777"/>
      <c r="K14" s="1777"/>
      <c r="L14" s="1777"/>
      <c r="M14" s="1777"/>
      <c r="N14" s="1777"/>
      <c r="O14" s="1777"/>
      <c r="P14" s="1777"/>
      <c r="Q14" s="1777"/>
      <c r="R14" s="1777"/>
      <c r="S14" s="1777"/>
      <c r="T14" s="1777"/>
      <c r="U14" s="1777"/>
      <c r="V14" s="1777"/>
      <c r="W14" s="1777"/>
      <c r="X14" s="1777"/>
      <c r="Y14" s="1777"/>
      <c r="Z14" s="1777"/>
      <c r="AA14" s="1777"/>
      <c r="AB14" s="1778"/>
    </row>
    <row r="15" spans="2:39" ht="18" customHeight="1">
      <c r="B15" s="3031"/>
      <c r="C15" s="1861"/>
      <c r="D15" s="1861"/>
      <c r="E15" s="1862"/>
      <c r="F15" s="1920"/>
      <c r="G15" s="1889"/>
      <c r="H15" s="3028" t="s">
        <v>2191</v>
      </c>
      <c r="I15" s="1777"/>
      <c r="J15" s="1777"/>
      <c r="K15" s="1777"/>
      <c r="L15" s="1777"/>
      <c r="M15" s="1777"/>
      <c r="N15" s="1777"/>
      <c r="O15" s="1777"/>
      <c r="P15" s="1777"/>
      <c r="Q15" s="1777"/>
      <c r="R15" s="1777"/>
      <c r="S15" s="1777"/>
      <c r="T15" s="1777"/>
      <c r="U15" s="1777"/>
      <c r="V15" s="1777"/>
      <c r="W15" s="1777"/>
      <c r="X15" s="1777"/>
      <c r="Y15" s="1777"/>
      <c r="Z15" s="1777"/>
      <c r="AA15" s="1777"/>
      <c r="AB15" s="1778"/>
    </row>
    <row r="16" spans="2:39" ht="18" customHeight="1">
      <c r="B16" s="3031"/>
      <c r="C16" s="1861"/>
      <c r="D16" s="1861"/>
      <c r="E16" s="1862"/>
      <c r="F16" s="1920"/>
      <c r="G16" s="1889"/>
      <c r="H16" s="3028" t="s">
        <v>2192</v>
      </c>
      <c r="I16" s="1777"/>
      <c r="J16" s="1777"/>
      <c r="K16" s="1777"/>
      <c r="L16" s="1777"/>
      <c r="M16" s="1777"/>
      <c r="N16" s="1777"/>
      <c r="O16" s="1777"/>
      <c r="P16" s="1777"/>
      <c r="Q16" s="1777"/>
      <c r="R16" s="1777"/>
      <c r="S16" s="1777"/>
      <c r="T16" s="1777"/>
      <c r="U16" s="1777"/>
      <c r="V16" s="1777"/>
      <c r="W16" s="1777"/>
      <c r="X16" s="1777"/>
      <c r="Y16" s="1777"/>
      <c r="Z16" s="1777"/>
      <c r="AA16" s="1777"/>
      <c r="AB16" s="1778"/>
    </row>
    <row r="17" spans="2:39" ht="18" customHeight="1">
      <c r="B17" s="3031"/>
      <c r="C17" s="1861"/>
      <c r="D17" s="1861"/>
      <c r="E17" s="1862"/>
      <c r="F17" s="2479"/>
      <c r="G17" s="1772"/>
      <c r="H17" s="3028" t="s">
        <v>2193</v>
      </c>
      <c r="I17" s="1777"/>
      <c r="J17" s="1777"/>
      <c r="K17" s="1777"/>
      <c r="L17" s="1777"/>
      <c r="M17" s="1777"/>
      <c r="N17" s="1777"/>
      <c r="O17" s="1777"/>
      <c r="P17" s="1777"/>
      <c r="Q17" s="1777"/>
      <c r="R17" s="1777"/>
      <c r="S17" s="1777"/>
      <c r="T17" s="1777"/>
      <c r="U17" s="1777"/>
      <c r="V17" s="1777"/>
      <c r="W17" s="1777"/>
      <c r="X17" s="1777"/>
      <c r="Y17" s="1777"/>
      <c r="Z17" s="1777"/>
      <c r="AA17" s="1777"/>
      <c r="AB17" s="1778"/>
    </row>
    <row r="18" spans="2:39" ht="54" customHeight="1">
      <c r="B18" s="3031"/>
      <c r="C18" s="1861"/>
      <c r="D18" s="1861"/>
      <c r="E18" s="1862"/>
      <c r="F18" s="3035" t="s">
        <v>2194</v>
      </c>
      <c r="G18" s="1778"/>
      <c r="H18" s="3034" t="s">
        <v>2195</v>
      </c>
      <c r="I18" s="1777"/>
      <c r="J18" s="1777"/>
      <c r="K18" s="1777"/>
      <c r="L18" s="1777"/>
      <c r="M18" s="1777"/>
      <c r="N18" s="1777"/>
      <c r="O18" s="1777"/>
      <c r="P18" s="1777"/>
      <c r="Q18" s="1777"/>
      <c r="R18" s="1777"/>
      <c r="S18" s="1777"/>
      <c r="T18" s="1777"/>
      <c r="U18" s="1777"/>
      <c r="V18" s="1777"/>
      <c r="W18" s="1777"/>
      <c r="X18" s="1777"/>
      <c r="Y18" s="1777"/>
      <c r="Z18" s="1777"/>
      <c r="AA18" s="1777"/>
      <c r="AB18" s="1778"/>
    </row>
    <row r="19" spans="2:39" ht="35.25" customHeight="1">
      <c r="B19" s="3031"/>
      <c r="C19" s="1861"/>
      <c r="D19" s="1861"/>
      <c r="E19" s="1862"/>
      <c r="F19" s="3026"/>
      <c r="G19" s="1770"/>
      <c r="H19" s="3028" t="s">
        <v>2196</v>
      </c>
      <c r="I19" s="1777"/>
      <c r="J19" s="1777"/>
      <c r="K19" s="1777"/>
      <c r="L19" s="1777"/>
      <c r="M19" s="1777"/>
      <c r="N19" s="1777"/>
      <c r="O19" s="1777"/>
      <c r="P19" s="1777"/>
      <c r="Q19" s="1777"/>
      <c r="R19" s="1777"/>
      <c r="S19" s="1777"/>
      <c r="T19" s="1777"/>
      <c r="U19" s="1777"/>
      <c r="V19" s="1777"/>
      <c r="W19" s="1777"/>
      <c r="X19" s="1777"/>
      <c r="Y19" s="1777"/>
      <c r="Z19" s="1777"/>
      <c r="AA19" s="1777"/>
      <c r="AB19" s="1778"/>
    </row>
    <row r="20" spans="2:39" ht="18" customHeight="1">
      <c r="B20" s="3031"/>
      <c r="C20" s="1861"/>
      <c r="D20" s="1861"/>
      <c r="E20" s="1862"/>
      <c r="F20" s="2479"/>
      <c r="G20" s="1772"/>
      <c r="H20" s="3028" t="s">
        <v>2197</v>
      </c>
      <c r="I20" s="1777"/>
      <c r="J20" s="1777"/>
      <c r="K20" s="1777"/>
      <c r="L20" s="1777"/>
      <c r="M20" s="1777"/>
      <c r="N20" s="1777"/>
      <c r="O20" s="1777"/>
      <c r="P20" s="1777"/>
      <c r="Q20" s="1777"/>
      <c r="R20" s="1777"/>
      <c r="S20" s="1777"/>
      <c r="T20" s="1777"/>
      <c r="U20" s="1777"/>
      <c r="V20" s="1777"/>
      <c r="W20" s="1777"/>
      <c r="X20" s="1777"/>
      <c r="Y20" s="1777"/>
      <c r="Z20" s="1777"/>
      <c r="AA20" s="1777"/>
      <c r="AB20" s="1778"/>
    </row>
    <row r="21" spans="2:39" ht="18" customHeight="1">
      <c r="B21" s="3073"/>
      <c r="C21" s="3015"/>
      <c r="D21" s="3015"/>
      <c r="E21" s="3015"/>
      <c r="F21" s="3015"/>
      <c r="G21" s="3015"/>
      <c r="H21" s="3015"/>
      <c r="I21" s="3015"/>
      <c r="J21" s="3015"/>
      <c r="K21" s="3015"/>
      <c r="L21" s="3015"/>
      <c r="M21" s="3015"/>
      <c r="N21" s="3015"/>
      <c r="O21" s="3015"/>
      <c r="P21" s="3015"/>
      <c r="Q21" s="3015"/>
      <c r="R21" s="3015"/>
      <c r="S21" s="3015"/>
      <c r="T21" s="3015"/>
      <c r="U21" s="3015"/>
      <c r="V21" s="3015"/>
      <c r="W21" s="3015"/>
      <c r="X21" s="3015"/>
      <c r="Y21" s="3015"/>
      <c r="Z21" s="3015"/>
      <c r="AA21" s="3015"/>
      <c r="AB21" s="3015"/>
    </row>
    <row r="22" spans="2:39" s="110" customFormat="1" ht="18" customHeight="1">
      <c r="B22" s="3072" t="s">
        <v>2198</v>
      </c>
      <c r="C22" s="3019"/>
      <c r="D22" s="3019"/>
      <c r="E22" s="3019"/>
      <c r="F22" s="3019"/>
      <c r="G22" s="3019"/>
      <c r="H22" s="3019"/>
      <c r="I22" s="3019"/>
      <c r="J22" s="3019"/>
      <c r="K22" s="3019"/>
      <c r="L22" s="3019"/>
      <c r="M22" s="3019"/>
      <c r="N22" s="3019"/>
      <c r="O22" s="3019"/>
      <c r="P22" s="3019"/>
      <c r="Q22" s="3019"/>
      <c r="R22" s="3019"/>
      <c r="S22" s="3019"/>
      <c r="T22" s="3019"/>
      <c r="U22" s="3019"/>
      <c r="V22" s="3019"/>
      <c r="W22" s="3019"/>
      <c r="X22" s="3019"/>
      <c r="Y22" s="3019"/>
      <c r="Z22" s="3019"/>
      <c r="AA22" s="3019"/>
      <c r="AB22" s="3019"/>
    </row>
    <row r="23" spans="2:39" s="110" customFormat="1" ht="36" customHeight="1">
      <c r="B23" s="3015" t="s">
        <v>2199</v>
      </c>
      <c r="C23" s="3019"/>
      <c r="D23" s="3019"/>
      <c r="E23" s="3019"/>
      <c r="F23" s="3019"/>
      <c r="G23" s="3019"/>
      <c r="H23" s="3019"/>
      <c r="I23" s="3019"/>
      <c r="J23" s="3019"/>
      <c r="K23" s="3019"/>
      <c r="L23" s="2181" t="s">
        <v>2200</v>
      </c>
      <c r="M23" s="3019"/>
      <c r="N23" s="3019"/>
      <c r="O23" s="3019"/>
      <c r="P23" s="3019"/>
      <c r="Q23" s="3019"/>
      <c r="R23" s="3019"/>
      <c r="S23" s="3019"/>
      <c r="T23" s="3019"/>
      <c r="U23" s="3019"/>
      <c r="V23" s="3019"/>
      <c r="W23" s="3019"/>
      <c r="X23" s="3019"/>
      <c r="Y23" s="3019"/>
      <c r="Z23" s="3015" t="s">
        <v>2201</v>
      </c>
      <c r="AA23" s="3019"/>
      <c r="AB23" s="3019"/>
      <c r="AC23" s="3019"/>
      <c r="AD23" s="3019"/>
      <c r="AE23" s="3019"/>
      <c r="AF23" s="3019"/>
      <c r="AG23" s="3019"/>
      <c r="AH23" s="3019"/>
      <c r="AI23" s="3019"/>
      <c r="AJ23" s="3019"/>
      <c r="AK23" s="3019"/>
      <c r="AL23" s="3019"/>
      <c r="AM23" s="3019"/>
    </row>
    <row r="24" spans="2:39" s="110" customFormat="1" ht="36" customHeight="1">
      <c r="B24" s="3015" t="s">
        <v>2202</v>
      </c>
      <c r="C24" s="3019"/>
      <c r="D24" s="3019"/>
      <c r="E24" s="3019"/>
      <c r="F24" s="3019"/>
      <c r="G24" s="3019"/>
      <c r="H24" s="3019"/>
      <c r="I24" s="3019"/>
      <c r="J24" s="3019"/>
      <c r="K24" s="3019"/>
      <c r="L24" s="2181" t="s">
        <v>2203</v>
      </c>
      <c r="M24" s="3019"/>
      <c r="N24" s="3019"/>
      <c r="O24" s="3019"/>
      <c r="P24" s="3019"/>
      <c r="Q24" s="3019"/>
      <c r="R24" s="3019"/>
      <c r="S24" s="3019"/>
      <c r="T24" s="3019"/>
      <c r="U24" s="3019"/>
      <c r="V24" s="3019"/>
      <c r="W24" s="3019"/>
      <c r="X24" s="3019"/>
      <c r="Y24" s="3019"/>
      <c r="Z24" s="3015" t="s">
        <v>2204</v>
      </c>
      <c r="AA24" s="3019"/>
      <c r="AB24" s="3019"/>
      <c r="AC24" s="3019"/>
      <c r="AD24" s="3019"/>
      <c r="AE24" s="3019"/>
      <c r="AF24" s="3019"/>
      <c r="AG24" s="3019"/>
      <c r="AH24" s="3019"/>
      <c r="AI24" s="3019"/>
      <c r="AJ24" s="3019"/>
      <c r="AK24" s="3019"/>
      <c r="AL24" s="3019"/>
      <c r="AM24" s="3019"/>
    </row>
    <row r="25" spans="2:39" s="110" customFormat="1" ht="18" customHeight="1">
      <c r="B25" s="3015" t="s">
        <v>2205</v>
      </c>
      <c r="C25" s="3019"/>
      <c r="D25" s="3019"/>
      <c r="E25" s="3019"/>
      <c r="F25" s="3019"/>
      <c r="G25" s="3019"/>
      <c r="H25" s="3019"/>
      <c r="I25" s="3019"/>
      <c r="J25" s="3019"/>
      <c r="K25" s="3019"/>
      <c r="L25" s="2181" t="s">
        <v>2206</v>
      </c>
      <c r="M25" s="3019"/>
      <c r="N25" s="3019"/>
      <c r="O25" s="3019"/>
      <c r="P25" s="3019"/>
      <c r="Q25" s="3019"/>
      <c r="R25" s="3019"/>
      <c r="S25" s="3019"/>
      <c r="T25" s="3019"/>
      <c r="U25" s="3019"/>
      <c r="V25" s="3019"/>
      <c r="W25" s="3019"/>
      <c r="X25" s="3019"/>
      <c r="Y25" s="3019"/>
      <c r="Z25" s="3015" t="s">
        <v>2207</v>
      </c>
      <c r="AA25" s="3019"/>
      <c r="AB25" s="3019"/>
      <c r="AC25" s="3019"/>
      <c r="AD25" s="3019"/>
      <c r="AE25" s="3019"/>
      <c r="AF25" s="3019"/>
      <c r="AG25" s="3019"/>
      <c r="AH25" s="3019"/>
      <c r="AI25" s="3019"/>
      <c r="AJ25" s="3019"/>
      <c r="AK25" s="3019"/>
      <c r="AL25" s="3019"/>
      <c r="AM25" s="3019"/>
    </row>
    <row r="26" spans="2:39" s="110" customFormat="1" ht="18" customHeight="1">
      <c r="B26" s="3015" t="s">
        <v>2208</v>
      </c>
      <c r="C26" s="3019"/>
      <c r="D26" s="3019"/>
      <c r="E26" s="3019"/>
      <c r="F26" s="3019"/>
      <c r="G26" s="3019"/>
      <c r="H26" s="3019"/>
      <c r="I26" s="3019"/>
      <c r="J26" s="3019"/>
      <c r="K26" s="3019"/>
      <c r="L26" s="2181" t="s">
        <v>2209</v>
      </c>
      <c r="M26" s="3019"/>
      <c r="N26" s="3019"/>
      <c r="O26" s="3019"/>
      <c r="P26" s="3019"/>
      <c r="Q26" s="3019"/>
      <c r="R26" s="3019"/>
      <c r="S26" s="3019"/>
      <c r="T26" s="3019"/>
      <c r="U26" s="3019"/>
      <c r="V26" s="3019"/>
      <c r="W26" s="3019"/>
      <c r="X26" s="3019"/>
      <c r="Y26" s="3019"/>
      <c r="Z26" s="3015"/>
      <c r="AA26" s="3019"/>
      <c r="AB26" s="3019"/>
      <c r="AC26" s="3019"/>
      <c r="AD26" s="3019"/>
      <c r="AE26" s="3019"/>
      <c r="AF26" s="3019"/>
      <c r="AG26" s="3019"/>
      <c r="AH26" s="3019"/>
      <c r="AI26" s="3019"/>
      <c r="AJ26" s="3019"/>
      <c r="AK26" s="3019"/>
      <c r="AL26" s="3019"/>
      <c r="AM26" s="3019"/>
    </row>
    <row r="27" spans="2:39" s="110" customFormat="1" ht="36" customHeight="1">
      <c r="B27" s="2181" t="s">
        <v>2210</v>
      </c>
      <c r="C27" s="3019"/>
      <c r="D27" s="3019"/>
      <c r="E27" s="3019"/>
      <c r="F27" s="3019"/>
      <c r="G27" s="3019"/>
      <c r="H27" s="3019"/>
      <c r="I27" s="3019"/>
      <c r="J27" s="3019"/>
      <c r="K27" s="3019"/>
      <c r="L27" s="2181" t="s">
        <v>2211</v>
      </c>
      <c r="M27" s="3019"/>
      <c r="N27" s="3019"/>
      <c r="O27" s="3019"/>
      <c r="P27" s="3019"/>
      <c r="Q27" s="3019"/>
      <c r="R27" s="3019"/>
      <c r="S27" s="3019"/>
      <c r="T27" s="3019"/>
      <c r="U27" s="3019"/>
      <c r="V27" s="3019"/>
      <c r="W27" s="3019"/>
      <c r="X27" s="3019"/>
      <c r="Y27" s="3019"/>
      <c r="Z27" s="3015" t="s">
        <v>2212</v>
      </c>
      <c r="AA27" s="3019"/>
      <c r="AB27" s="3019"/>
      <c r="AC27" s="3019"/>
      <c r="AD27" s="3019"/>
      <c r="AE27" s="3019"/>
      <c r="AF27" s="3019"/>
      <c r="AG27" s="3019"/>
      <c r="AH27" s="3019"/>
      <c r="AI27" s="3019"/>
      <c r="AJ27" s="3019"/>
      <c r="AK27" s="3019"/>
      <c r="AL27" s="3019"/>
      <c r="AM27" s="3019"/>
    </row>
    <row r="28" spans="2:39" s="110" customFormat="1" ht="18" customHeight="1">
      <c r="B28" s="3015" t="s">
        <v>2213</v>
      </c>
      <c r="C28" s="3019"/>
      <c r="D28" s="3019"/>
      <c r="E28" s="3019"/>
      <c r="F28" s="3019"/>
      <c r="G28" s="3019"/>
      <c r="H28" s="3019"/>
      <c r="I28" s="3019"/>
      <c r="J28" s="3019"/>
      <c r="K28" s="3019"/>
      <c r="L28" s="2181" t="s">
        <v>2214</v>
      </c>
      <c r="M28" s="3019"/>
      <c r="N28" s="3019"/>
      <c r="O28" s="3019"/>
      <c r="P28" s="3019"/>
      <c r="Q28" s="3019"/>
      <c r="R28" s="3019"/>
      <c r="S28" s="3019"/>
      <c r="T28" s="3019"/>
      <c r="U28" s="3019"/>
      <c r="V28" s="3019"/>
      <c r="W28" s="3019"/>
      <c r="X28" s="3019"/>
      <c r="Y28" s="3019"/>
      <c r="Z28" s="3015" t="s">
        <v>2215</v>
      </c>
      <c r="AA28" s="3019"/>
      <c r="AB28" s="3019"/>
      <c r="AC28" s="3019"/>
      <c r="AD28" s="3019"/>
      <c r="AE28" s="3019"/>
      <c r="AF28" s="3019"/>
      <c r="AG28" s="3019"/>
      <c r="AH28" s="3019"/>
      <c r="AI28" s="3019"/>
      <c r="AJ28" s="3019"/>
      <c r="AK28" s="3019"/>
      <c r="AL28" s="3019"/>
      <c r="AM28" s="3019"/>
    </row>
    <row r="29" spans="2:39" s="110" customFormat="1" ht="36" customHeight="1">
      <c r="B29" s="3015" t="s">
        <v>2216</v>
      </c>
      <c r="C29" s="3019"/>
      <c r="D29" s="3019"/>
      <c r="E29" s="3019"/>
      <c r="F29" s="3019"/>
      <c r="G29" s="3019"/>
      <c r="H29" s="3019"/>
      <c r="I29" s="3019"/>
      <c r="J29" s="3019"/>
      <c r="K29" s="3019"/>
      <c r="L29" s="2181" t="s">
        <v>2217</v>
      </c>
      <c r="M29" s="3019"/>
      <c r="N29" s="3019"/>
      <c r="O29" s="3019"/>
      <c r="P29" s="3019"/>
      <c r="Q29" s="3019"/>
      <c r="R29" s="3019"/>
      <c r="S29" s="3019"/>
      <c r="T29" s="3019"/>
      <c r="U29" s="3019"/>
      <c r="V29" s="3019"/>
      <c r="W29" s="3019"/>
      <c r="X29" s="3019"/>
      <c r="Y29" s="3019"/>
      <c r="Z29" s="3015" t="s">
        <v>2218</v>
      </c>
      <c r="AA29" s="3019"/>
      <c r="AB29" s="3019"/>
      <c r="AC29" s="3019"/>
      <c r="AD29" s="3019"/>
      <c r="AE29" s="3019"/>
      <c r="AF29" s="3019"/>
      <c r="AG29" s="3019"/>
      <c r="AH29" s="3019"/>
      <c r="AI29" s="3019"/>
      <c r="AJ29" s="3019"/>
      <c r="AK29" s="3019"/>
      <c r="AL29" s="3019"/>
      <c r="AM29" s="3019"/>
    </row>
    <row r="30" spans="2:39" ht="18" customHeight="1">
      <c r="B30" s="3048" t="s">
        <v>2219</v>
      </c>
      <c r="C30" s="3015"/>
      <c r="D30" s="3015"/>
      <c r="E30" s="3015"/>
      <c r="F30" s="3015"/>
      <c r="G30" s="3015"/>
      <c r="H30" s="3015"/>
      <c r="I30" s="3015"/>
      <c r="J30" s="3015"/>
      <c r="K30" s="3015"/>
      <c r="L30" s="3015"/>
      <c r="M30" s="3015"/>
      <c r="N30" s="3015"/>
      <c r="O30" s="3015"/>
      <c r="P30" s="3015"/>
      <c r="Q30" s="3015"/>
      <c r="R30" s="3015"/>
      <c r="S30" s="3015"/>
      <c r="T30" s="3015"/>
      <c r="U30" s="3015"/>
      <c r="V30" s="3015"/>
      <c r="W30" s="3015"/>
      <c r="X30" s="3015"/>
      <c r="Y30" s="3015"/>
      <c r="Z30" s="3015"/>
      <c r="AA30" s="3015"/>
      <c r="AB30" s="3015"/>
    </row>
    <row r="31" spans="2:39" ht="81" customHeight="1">
      <c r="B31" s="2181" t="s">
        <v>2220</v>
      </c>
      <c r="C31" s="3015"/>
      <c r="D31" s="3015"/>
      <c r="E31" s="3015"/>
      <c r="F31" s="3015"/>
      <c r="G31" s="3015"/>
      <c r="H31" s="3015"/>
      <c r="I31" s="3015"/>
      <c r="J31" s="3015"/>
      <c r="K31" s="3015"/>
      <c r="L31" s="3015"/>
      <c r="M31" s="3015"/>
      <c r="N31" s="3015"/>
      <c r="O31" s="3015"/>
      <c r="P31" s="3015"/>
      <c r="Q31" s="3015"/>
      <c r="R31" s="3015"/>
      <c r="S31" s="3015"/>
      <c r="T31" s="3015"/>
      <c r="U31" s="3015"/>
      <c r="V31" s="3015"/>
      <c r="W31" s="3015"/>
      <c r="X31" s="3015"/>
      <c r="Y31" s="3015"/>
      <c r="Z31" s="3015"/>
      <c r="AA31" s="3015"/>
      <c r="AB31" s="3015"/>
      <c r="AC31" s="3015"/>
      <c r="AD31" s="3015"/>
      <c r="AE31" s="3015"/>
      <c r="AF31" s="3015"/>
      <c r="AG31" s="3015"/>
      <c r="AH31" s="3015"/>
      <c r="AI31" s="3015"/>
      <c r="AJ31" s="3015"/>
      <c r="AK31" s="3015"/>
      <c r="AL31" s="3015"/>
      <c r="AM31" s="3015"/>
    </row>
    <row r="32" spans="2:39" ht="18" customHeight="1">
      <c r="B32" s="398"/>
      <c r="C32" s="398"/>
      <c r="D32" s="398"/>
      <c r="E32" s="398"/>
      <c r="F32" s="398"/>
      <c r="G32" s="398"/>
      <c r="H32" s="398"/>
      <c r="I32" s="398"/>
      <c r="J32" s="398"/>
      <c r="K32" s="398"/>
      <c r="L32" s="398"/>
      <c r="M32" s="398"/>
      <c r="N32" s="398"/>
      <c r="O32" s="398"/>
      <c r="P32" s="398"/>
      <c r="Q32" s="398"/>
      <c r="R32" s="398"/>
      <c r="S32" s="398"/>
      <c r="T32" s="398"/>
      <c r="U32" s="398"/>
      <c r="V32" s="398"/>
      <c r="W32" s="398"/>
      <c r="X32" s="398"/>
      <c r="Y32" s="398"/>
      <c r="Z32" s="398"/>
      <c r="AA32" s="398"/>
      <c r="AB32" s="398"/>
      <c r="AC32" s="398"/>
      <c r="AD32" s="398"/>
      <c r="AE32" s="398"/>
      <c r="AF32" s="398"/>
      <c r="AG32" s="398"/>
      <c r="AH32" s="398"/>
      <c r="AI32" s="398"/>
      <c r="AJ32" s="398"/>
      <c r="AK32" s="398"/>
      <c r="AL32" s="398"/>
      <c r="AM32" s="398"/>
    </row>
    <row r="33" spans="2:39" ht="18" customHeight="1">
      <c r="B33" s="3077" t="s">
        <v>2221</v>
      </c>
      <c r="C33" s="3015"/>
      <c r="D33" s="3015"/>
      <c r="E33" s="3015"/>
      <c r="F33" s="3015"/>
      <c r="G33" s="3015"/>
      <c r="H33" s="3015"/>
      <c r="I33" s="3015"/>
      <c r="J33" s="3015"/>
      <c r="K33" s="3015"/>
      <c r="L33" s="3015"/>
      <c r="M33" s="3015"/>
      <c r="N33" s="3015"/>
      <c r="O33" s="3015"/>
      <c r="P33" s="3015"/>
      <c r="Q33" s="3015"/>
      <c r="R33" s="3015"/>
      <c r="S33" s="3015"/>
      <c r="T33" s="3015"/>
      <c r="U33" s="3015"/>
      <c r="V33" s="3015"/>
      <c r="W33" s="3015"/>
      <c r="X33" s="3015"/>
      <c r="Y33" s="3015"/>
      <c r="Z33" s="3015"/>
      <c r="AA33" s="3015"/>
      <c r="AB33" s="3015"/>
      <c r="AC33" s="3015"/>
      <c r="AD33" s="3015"/>
      <c r="AE33" s="3015"/>
      <c r="AF33" s="3015"/>
      <c r="AG33" s="3015"/>
      <c r="AH33" s="3015"/>
      <c r="AI33" s="3015"/>
      <c r="AJ33" s="3015"/>
      <c r="AK33" s="3015"/>
      <c r="AL33" s="3015"/>
      <c r="AM33" s="3015"/>
    </row>
    <row r="34" spans="2:39" ht="36" customHeight="1">
      <c r="B34" s="3043" t="s">
        <v>2222</v>
      </c>
      <c r="C34" s="3015"/>
      <c r="D34" s="3015"/>
      <c r="E34" s="3015"/>
      <c r="F34" s="3015"/>
      <c r="G34" s="3015"/>
      <c r="H34" s="3015"/>
      <c r="I34" s="3015"/>
      <c r="J34" s="3015"/>
      <c r="K34" s="3015"/>
      <c r="L34" s="3015"/>
      <c r="M34" s="3015"/>
      <c r="N34" s="3015"/>
      <c r="O34" s="3015"/>
      <c r="P34" s="3015"/>
      <c r="Q34" s="3015"/>
      <c r="R34" s="3015"/>
      <c r="S34" s="3015"/>
      <c r="T34" s="3015"/>
      <c r="U34" s="3015"/>
      <c r="V34" s="3015"/>
      <c r="W34" s="3015"/>
      <c r="X34" s="3015"/>
      <c r="Y34" s="3015"/>
      <c r="Z34" s="3015"/>
      <c r="AA34" s="3015"/>
      <c r="AB34" s="3015"/>
      <c r="AC34" s="3015"/>
      <c r="AD34" s="3015"/>
      <c r="AE34" s="3015"/>
      <c r="AF34" s="3015"/>
      <c r="AG34" s="3015"/>
      <c r="AH34" s="3015"/>
      <c r="AI34" s="3015"/>
      <c r="AJ34" s="3015"/>
      <c r="AK34" s="3015"/>
      <c r="AL34" s="3015"/>
      <c r="AM34" s="3015"/>
    </row>
    <row r="35" spans="2:39" ht="54" customHeight="1">
      <c r="B35" s="3023"/>
      <c r="C35" s="1861"/>
      <c r="D35" s="1861"/>
      <c r="E35" s="1861"/>
      <c r="F35" s="1861"/>
      <c r="G35" s="1861"/>
      <c r="H35" s="1861"/>
      <c r="I35" s="1861"/>
      <c r="J35" s="1861"/>
      <c r="K35" s="1861"/>
      <c r="L35" s="1861"/>
      <c r="M35" s="1861"/>
      <c r="N35" s="1861"/>
      <c r="O35" s="1861"/>
      <c r="P35" s="1861"/>
      <c r="Q35" s="1861"/>
      <c r="R35" s="1861"/>
      <c r="S35" s="1861"/>
      <c r="T35" s="1861"/>
      <c r="U35" s="1861"/>
      <c r="V35" s="1861"/>
      <c r="W35" s="1861"/>
      <c r="X35" s="1861"/>
      <c r="Y35" s="1861"/>
      <c r="Z35" s="1861"/>
      <c r="AA35" s="1861"/>
      <c r="AB35" s="1861"/>
      <c r="AC35" s="1861"/>
      <c r="AD35" s="1861"/>
      <c r="AE35" s="1861"/>
      <c r="AF35" s="1861"/>
      <c r="AG35" s="1861"/>
      <c r="AH35" s="1861"/>
      <c r="AI35" s="1861"/>
      <c r="AJ35" s="1861"/>
      <c r="AK35" s="1861"/>
      <c r="AL35" s="1861"/>
      <c r="AM35" s="1862"/>
    </row>
    <row r="36" spans="2:39" ht="18" customHeight="1">
      <c r="B36" s="3043" t="s">
        <v>2223</v>
      </c>
      <c r="C36" s="3015"/>
      <c r="D36" s="3015"/>
      <c r="E36" s="3015"/>
      <c r="F36" s="3015"/>
      <c r="G36" s="3015"/>
      <c r="H36" s="3015"/>
      <c r="I36" s="3015"/>
      <c r="J36" s="3015"/>
      <c r="K36" s="3015"/>
      <c r="L36" s="3015"/>
      <c r="M36" s="3015"/>
      <c r="N36" s="3015"/>
      <c r="O36" s="3015"/>
      <c r="P36" s="3015"/>
      <c r="Q36" s="3015"/>
      <c r="R36" s="3015"/>
      <c r="S36" s="3015"/>
      <c r="T36" s="3015"/>
      <c r="U36" s="3015"/>
      <c r="V36" s="3015"/>
      <c r="W36" s="3015"/>
      <c r="X36" s="3015"/>
      <c r="Y36" s="3015"/>
      <c r="Z36" s="3015"/>
      <c r="AA36" s="3015"/>
      <c r="AB36" s="3015"/>
      <c r="AC36" s="3015"/>
      <c r="AD36" s="3015"/>
      <c r="AE36" s="3015"/>
      <c r="AF36" s="3015"/>
      <c r="AG36" s="3015"/>
      <c r="AH36" s="3015"/>
      <c r="AI36" s="3015"/>
      <c r="AJ36" s="3015"/>
      <c r="AK36" s="3015"/>
      <c r="AL36" s="3015"/>
      <c r="AM36" s="3015"/>
    </row>
    <row r="37" spans="2:39" ht="54" customHeight="1">
      <c r="B37" s="3023"/>
      <c r="C37" s="1861"/>
      <c r="D37" s="1861"/>
      <c r="E37" s="1861"/>
      <c r="F37" s="1861"/>
      <c r="G37" s="1861"/>
      <c r="H37" s="1861"/>
      <c r="I37" s="1861"/>
      <c r="J37" s="1861"/>
      <c r="K37" s="1861"/>
      <c r="L37" s="1861"/>
      <c r="M37" s="1861"/>
      <c r="N37" s="1861"/>
      <c r="O37" s="1861"/>
      <c r="P37" s="1861"/>
      <c r="Q37" s="1861"/>
      <c r="R37" s="1861"/>
      <c r="S37" s="1861"/>
      <c r="T37" s="1861"/>
      <c r="U37" s="1861"/>
      <c r="V37" s="1861"/>
      <c r="W37" s="1861"/>
      <c r="X37" s="1861"/>
      <c r="Y37" s="1861"/>
      <c r="Z37" s="1861"/>
      <c r="AA37" s="1861"/>
      <c r="AB37" s="1861"/>
      <c r="AC37" s="1861"/>
      <c r="AD37" s="1861"/>
      <c r="AE37" s="1861"/>
      <c r="AF37" s="1861"/>
      <c r="AG37" s="1861"/>
      <c r="AH37" s="1861"/>
      <c r="AI37" s="1861"/>
      <c r="AJ37" s="1861"/>
      <c r="AK37" s="1861"/>
      <c r="AL37" s="1861"/>
      <c r="AM37" s="1862"/>
    </row>
    <row r="38" spans="2:39" ht="18" customHeight="1">
      <c r="B38" s="3043" t="s">
        <v>2224</v>
      </c>
      <c r="C38" s="3015"/>
      <c r="D38" s="3015"/>
      <c r="E38" s="3015"/>
      <c r="F38" s="3015"/>
      <c r="G38" s="3015"/>
      <c r="H38" s="3015"/>
      <c r="I38" s="3015"/>
      <c r="J38" s="3015"/>
      <c r="K38" s="3015"/>
      <c r="L38" s="3015"/>
      <c r="M38" s="3015"/>
      <c r="N38" s="3015"/>
      <c r="O38" s="3015"/>
      <c r="P38" s="3015"/>
      <c r="Q38" s="3015"/>
      <c r="R38" s="3015"/>
      <c r="S38" s="3015"/>
      <c r="T38" s="3015"/>
      <c r="U38" s="3015"/>
      <c r="V38" s="3015"/>
      <c r="W38" s="3015"/>
      <c r="X38" s="3015"/>
      <c r="Y38" s="3015"/>
      <c r="Z38" s="3015"/>
      <c r="AA38" s="3015"/>
      <c r="AB38" s="3015"/>
      <c r="AC38" s="3015"/>
      <c r="AD38" s="3015"/>
      <c r="AE38" s="3015"/>
      <c r="AF38" s="3015"/>
      <c r="AG38" s="3015"/>
      <c r="AH38" s="3015"/>
      <c r="AI38" s="3015"/>
      <c r="AJ38" s="3015"/>
      <c r="AK38" s="3015"/>
      <c r="AL38" s="3015"/>
      <c r="AM38" s="3015"/>
    </row>
    <row r="39" spans="2:39" ht="53.25" customHeight="1">
      <c r="B39" s="3023"/>
      <c r="C39" s="1861"/>
      <c r="D39" s="1861"/>
      <c r="E39" s="1861"/>
      <c r="F39" s="1861"/>
      <c r="G39" s="1861"/>
      <c r="H39" s="1861"/>
      <c r="I39" s="1861"/>
      <c r="J39" s="1861"/>
      <c r="K39" s="1861"/>
      <c r="L39" s="1861"/>
      <c r="M39" s="1861"/>
      <c r="N39" s="1861"/>
      <c r="O39" s="1861"/>
      <c r="P39" s="1861"/>
      <c r="Q39" s="1861"/>
      <c r="R39" s="1861"/>
      <c r="S39" s="1861"/>
      <c r="T39" s="1861"/>
      <c r="U39" s="1861"/>
      <c r="V39" s="1861"/>
      <c r="W39" s="1861"/>
      <c r="X39" s="1861"/>
      <c r="Y39" s="1861"/>
      <c r="Z39" s="1861"/>
      <c r="AA39" s="1861"/>
      <c r="AB39" s="1861"/>
      <c r="AC39" s="1861"/>
      <c r="AD39" s="1861"/>
      <c r="AE39" s="1861"/>
      <c r="AF39" s="1861"/>
      <c r="AG39" s="1861"/>
      <c r="AH39" s="1861"/>
      <c r="AI39" s="1861"/>
      <c r="AJ39" s="1861"/>
      <c r="AK39" s="1861"/>
      <c r="AL39" s="1861"/>
      <c r="AM39" s="1862"/>
    </row>
    <row r="40" spans="2:39" s="2" customFormat="1" ht="18" customHeight="1"/>
    <row r="41" spans="2:39" ht="18" customHeight="1">
      <c r="B41" s="3077" t="s">
        <v>2225</v>
      </c>
      <c r="C41" s="3015"/>
      <c r="D41" s="3015"/>
      <c r="E41" s="3015"/>
      <c r="F41" s="3015"/>
      <c r="G41" s="3015"/>
      <c r="H41" s="3015"/>
      <c r="I41" s="3015"/>
      <c r="J41" s="3015"/>
      <c r="K41" s="3015"/>
      <c r="L41" s="3015"/>
      <c r="M41" s="3015"/>
      <c r="N41" s="3015"/>
      <c r="O41" s="3015"/>
      <c r="P41" s="3015"/>
      <c r="Q41" s="3015"/>
      <c r="R41" s="3015"/>
      <c r="S41" s="3015"/>
      <c r="T41" s="3015"/>
      <c r="U41" s="3015"/>
      <c r="V41" s="3015"/>
      <c r="W41" s="3015"/>
      <c r="X41" s="3015"/>
      <c r="Y41" s="3015"/>
      <c r="Z41" s="3015"/>
      <c r="AA41" s="3015"/>
      <c r="AB41" s="3015"/>
      <c r="AC41" s="3015"/>
      <c r="AD41" s="3015"/>
      <c r="AE41" s="3015"/>
      <c r="AF41" s="3015"/>
      <c r="AG41" s="3015"/>
      <c r="AH41" s="3015"/>
      <c r="AI41" s="3015"/>
      <c r="AJ41" s="3015"/>
      <c r="AK41" s="3015"/>
      <c r="AL41" s="3015"/>
      <c r="AM41" s="3015"/>
    </row>
    <row r="42" spans="2:39" ht="36" customHeight="1">
      <c r="B42" s="3043" t="s">
        <v>2226</v>
      </c>
      <c r="C42" s="3015"/>
      <c r="D42" s="3015"/>
      <c r="E42" s="3015"/>
      <c r="F42" s="3015"/>
      <c r="G42" s="3015"/>
      <c r="H42" s="3015"/>
      <c r="I42" s="3015"/>
      <c r="J42" s="3015"/>
      <c r="K42" s="3015"/>
      <c r="L42" s="3015"/>
      <c r="M42" s="3015"/>
      <c r="N42" s="3015"/>
      <c r="O42" s="3015"/>
      <c r="P42" s="3015"/>
      <c r="Q42" s="3015"/>
      <c r="R42" s="3015"/>
      <c r="S42" s="3015"/>
      <c r="T42" s="3015"/>
      <c r="U42" s="3015"/>
      <c r="V42" s="3015"/>
      <c r="W42" s="3015"/>
      <c r="X42" s="3015"/>
      <c r="Y42" s="3015"/>
      <c r="Z42" s="3015"/>
      <c r="AA42" s="3015"/>
      <c r="AB42" s="3015"/>
      <c r="AC42" s="3015"/>
      <c r="AD42" s="3015"/>
      <c r="AE42" s="3015"/>
      <c r="AF42" s="3015"/>
      <c r="AG42" s="3015"/>
      <c r="AH42" s="3015"/>
      <c r="AI42" s="3015"/>
      <c r="AJ42" s="3015"/>
      <c r="AK42" s="3015"/>
      <c r="AL42" s="3015"/>
      <c r="AM42" s="3015"/>
    </row>
    <row r="43" spans="2:39" ht="54" customHeight="1">
      <c r="B43" s="3023"/>
      <c r="C43" s="1861"/>
      <c r="D43" s="1861"/>
      <c r="E43" s="1861"/>
      <c r="F43" s="1861"/>
      <c r="G43" s="1861"/>
      <c r="H43" s="1861"/>
      <c r="I43" s="1861"/>
      <c r="J43" s="1861"/>
      <c r="K43" s="1861"/>
      <c r="L43" s="1861"/>
      <c r="M43" s="1861"/>
      <c r="N43" s="1861"/>
      <c r="O43" s="1861"/>
      <c r="P43" s="1861"/>
      <c r="Q43" s="1861"/>
      <c r="R43" s="1861"/>
      <c r="S43" s="1861"/>
      <c r="T43" s="1861"/>
      <c r="U43" s="1861"/>
      <c r="V43" s="1861"/>
      <c r="W43" s="1861"/>
      <c r="X43" s="1861"/>
      <c r="Y43" s="1861"/>
      <c r="Z43" s="1861"/>
      <c r="AA43" s="1861"/>
      <c r="AB43" s="1861"/>
      <c r="AC43" s="1861"/>
      <c r="AD43" s="1861"/>
      <c r="AE43" s="1861"/>
      <c r="AF43" s="1861"/>
      <c r="AG43" s="1861"/>
      <c r="AH43" s="1861"/>
      <c r="AI43" s="1861"/>
      <c r="AJ43" s="1861"/>
      <c r="AK43" s="1861"/>
      <c r="AL43" s="1861"/>
      <c r="AM43" s="1862"/>
    </row>
    <row r="44" spans="2:39" s="2" customFormat="1" ht="18" customHeight="1"/>
    <row r="45" spans="2:39" ht="18" customHeight="1">
      <c r="B45" s="2191" t="s">
        <v>2227</v>
      </c>
      <c r="C45" s="3015"/>
      <c r="D45" s="3015"/>
      <c r="E45" s="3015"/>
      <c r="F45" s="3015"/>
      <c r="G45" s="3015"/>
      <c r="H45" s="3015"/>
      <c r="I45" s="3015"/>
      <c r="J45" s="3015"/>
      <c r="K45" s="3015"/>
      <c r="L45" s="3015"/>
      <c r="M45" s="3015"/>
      <c r="N45" s="3015"/>
      <c r="O45" s="3015"/>
      <c r="P45" s="3015"/>
      <c r="Q45" s="3015"/>
      <c r="R45" s="3015"/>
      <c r="S45" s="3015"/>
      <c r="T45" s="3015"/>
      <c r="U45" s="3015"/>
      <c r="V45" s="3015"/>
      <c r="W45" s="3015"/>
      <c r="X45" s="3015"/>
      <c r="Y45" s="3015"/>
      <c r="Z45" s="3015"/>
      <c r="AA45" s="3015"/>
      <c r="AB45" s="3015"/>
    </row>
    <row r="46" spans="2:39" ht="18" customHeight="1">
      <c r="B46" s="1652"/>
      <c r="C46" s="1652"/>
      <c r="D46" s="1652"/>
      <c r="E46" s="1652"/>
      <c r="F46" s="1652"/>
      <c r="G46" s="1652"/>
      <c r="H46" s="1652"/>
      <c r="I46" s="1652"/>
      <c r="J46" s="1652"/>
      <c r="K46" s="1652"/>
      <c r="L46" s="1652"/>
      <c r="M46" s="1652"/>
      <c r="N46" s="1652"/>
      <c r="O46" s="1652"/>
      <c r="P46" s="1652"/>
      <c r="Q46" s="1652"/>
      <c r="R46" s="1652"/>
      <c r="S46" s="1652"/>
      <c r="T46" s="1652"/>
      <c r="U46" s="1652"/>
      <c r="V46" s="1652"/>
      <c r="W46" s="1652"/>
      <c r="X46" s="1652"/>
      <c r="Y46" s="1652"/>
      <c r="Z46" s="1652"/>
      <c r="AA46" s="1652"/>
      <c r="AB46" s="1652"/>
    </row>
    <row r="47" spans="2:39" ht="18" customHeight="1">
      <c r="B47" s="2191" t="s">
        <v>2187</v>
      </c>
      <c r="C47" s="3015"/>
      <c r="D47" s="3015"/>
      <c r="E47" s="3015"/>
      <c r="F47" s="3015"/>
      <c r="G47" s="3015"/>
      <c r="H47" s="3015"/>
      <c r="I47" s="3015"/>
      <c r="J47" s="3015"/>
      <c r="K47" s="3015"/>
      <c r="L47" s="3015"/>
      <c r="M47" s="3015"/>
      <c r="N47" s="3015"/>
      <c r="O47" s="3015"/>
      <c r="P47" s="3015"/>
      <c r="Q47" s="3015"/>
      <c r="R47" s="3015"/>
      <c r="S47" s="3015"/>
      <c r="T47" s="3015"/>
      <c r="U47" s="3015"/>
      <c r="V47" s="3015"/>
      <c r="W47" s="3015"/>
      <c r="X47" s="3015"/>
      <c r="Y47" s="3015"/>
      <c r="Z47" s="3015"/>
      <c r="AA47" s="3015"/>
      <c r="AB47" s="3015"/>
      <c r="AC47" s="3015"/>
      <c r="AD47" s="3015"/>
      <c r="AE47" s="3015"/>
      <c r="AF47" s="3015"/>
      <c r="AG47" s="3015"/>
      <c r="AH47" s="3015"/>
      <c r="AI47" s="3015"/>
      <c r="AJ47" s="3015"/>
      <c r="AK47" s="3015"/>
      <c r="AL47" s="3015"/>
      <c r="AM47" s="3015"/>
    </row>
    <row r="48" spans="2:39" ht="54" customHeight="1">
      <c r="B48" s="3043" t="s">
        <v>2228</v>
      </c>
      <c r="C48" s="3015"/>
      <c r="D48" s="3015"/>
      <c r="E48" s="3015"/>
      <c r="F48" s="3015"/>
      <c r="G48" s="3015"/>
      <c r="H48" s="3015"/>
      <c r="I48" s="3015"/>
      <c r="J48" s="3015"/>
      <c r="K48" s="3015"/>
      <c r="L48" s="3015"/>
      <c r="M48" s="3015"/>
      <c r="N48" s="3015"/>
      <c r="O48" s="3015"/>
      <c r="P48" s="3015"/>
      <c r="Q48" s="3015"/>
      <c r="R48" s="3015"/>
      <c r="S48" s="3015"/>
      <c r="T48" s="3015"/>
      <c r="U48" s="3015"/>
      <c r="V48" s="3015"/>
      <c r="W48" s="3015"/>
      <c r="X48" s="3015"/>
      <c r="Y48" s="3015"/>
      <c r="Z48" s="3015"/>
      <c r="AA48" s="3015"/>
      <c r="AB48" s="3015"/>
      <c r="AC48" s="3015"/>
      <c r="AD48" s="3015"/>
      <c r="AE48" s="3015"/>
      <c r="AF48" s="3015"/>
      <c r="AG48" s="3015"/>
      <c r="AH48" s="3015"/>
      <c r="AI48" s="3015"/>
      <c r="AJ48" s="3015"/>
      <c r="AK48" s="3015"/>
      <c r="AL48" s="3015"/>
      <c r="AM48" s="3015"/>
    </row>
    <row r="49" spans="2:39" ht="18" customHeight="1">
      <c r="B49" s="3015" t="s">
        <v>2229</v>
      </c>
      <c r="C49" s="3015"/>
      <c r="D49" s="3015"/>
      <c r="E49" s="3015"/>
      <c r="F49" s="3015"/>
      <c r="G49" s="3015"/>
      <c r="H49" s="3015"/>
      <c r="I49" s="3015"/>
      <c r="J49" s="3015"/>
      <c r="K49" s="3015"/>
      <c r="L49" s="3060"/>
      <c r="M49" s="1861"/>
      <c r="N49" s="1861"/>
      <c r="O49" s="1861"/>
      <c r="P49" s="1861"/>
      <c r="Q49" s="1861"/>
      <c r="R49" s="1861"/>
      <c r="S49" s="1861"/>
      <c r="T49" s="1861"/>
      <c r="U49" s="1861"/>
      <c r="V49" s="1861"/>
      <c r="W49" s="1861"/>
      <c r="X49" s="1861"/>
      <c r="Y49" s="1861"/>
      <c r="Z49" s="1861"/>
      <c r="AA49" s="1861"/>
      <c r="AB49" s="1861"/>
      <c r="AC49" s="1861"/>
      <c r="AD49" s="1861"/>
      <c r="AE49" s="1861"/>
      <c r="AF49" s="1861"/>
      <c r="AG49" s="1861"/>
      <c r="AH49" s="1861"/>
      <c r="AI49" s="1861"/>
      <c r="AJ49" s="1861"/>
      <c r="AK49" s="1861"/>
      <c r="AL49" s="1861"/>
      <c r="AM49" s="1862"/>
    </row>
    <row r="50" spans="2:39" ht="18" customHeight="1">
      <c r="B50" s="3043" t="s">
        <v>2230</v>
      </c>
      <c r="C50" s="3015"/>
      <c r="D50" s="3015"/>
      <c r="E50" s="3015"/>
      <c r="F50" s="3015"/>
      <c r="G50" s="3015"/>
      <c r="H50" s="3015"/>
      <c r="I50" s="3015"/>
      <c r="J50" s="3015"/>
      <c r="K50" s="3015"/>
      <c r="L50" s="3015"/>
      <c r="M50" s="3015"/>
      <c r="N50" s="3015"/>
      <c r="O50" s="3015"/>
      <c r="P50" s="3015"/>
      <c r="Q50" s="3015"/>
      <c r="R50" s="3015"/>
      <c r="S50" s="3015"/>
      <c r="T50" s="3015"/>
      <c r="U50" s="3015"/>
      <c r="V50" s="3015"/>
      <c r="W50" s="3015"/>
      <c r="X50" s="3015"/>
      <c r="Y50" s="3015"/>
      <c r="Z50" s="3015"/>
      <c r="AA50" s="3015"/>
      <c r="AB50" s="3015"/>
      <c r="AC50" s="3015"/>
      <c r="AD50" s="3015"/>
      <c r="AE50" s="3015"/>
      <c r="AF50" s="3015"/>
      <c r="AG50" s="3015"/>
      <c r="AH50" s="3015"/>
      <c r="AI50" s="3015"/>
      <c r="AJ50" s="3015"/>
      <c r="AK50" s="3015"/>
      <c r="AL50" s="3015"/>
      <c r="AM50" s="3015"/>
    </row>
    <row r="51" spans="2:39" ht="52.5" customHeight="1">
      <c r="B51" s="3023"/>
      <c r="C51" s="1861"/>
      <c r="D51" s="1861"/>
      <c r="E51" s="1861"/>
      <c r="F51" s="1861"/>
      <c r="G51" s="1861"/>
      <c r="H51" s="1861"/>
      <c r="I51" s="1861"/>
      <c r="J51" s="1861"/>
      <c r="K51" s="1861"/>
      <c r="L51" s="1861"/>
      <c r="M51" s="1861"/>
      <c r="N51" s="1861"/>
      <c r="O51" s="1861"/>
      <c r="P51" s="1861"/>
      <c r="Q51" s="1861"/>
      <c r="R51" s="1861"/>
      <c r="S51" s="1861"/>
      <c r="T51" s="1861"/>
      <c r="U51" s="1861"/>
      <c r="V51" s="1861"/>
      <c r="W51" s="1861"/>
      <c r="X51" s="1861"/>
      <c r="Y51" s="1861"/>
      <c r="Z51" s="1861"/>
      <c r="AA51" s="1861"/>
      <c r="AB51" s="1861"/>
      <c r="AC51" s="1861"/>
      <c r="AD51" s="1861"/>
      <c r="AE51" s="1861"/>
      <c r="AF51" s="1861"/>
      <c r="AG51" s="1861"/>
      <c r="AH51" s="1861"/>
      <c r="AI51" s="1861"/>
      <c r="AJ51" s="1861"/>
      <c r="AK51" s="1861"/>
      <c r="AL51" s="1861"/>
      <c r="AM51" s="1862"/>
    </row>
    <row r="52" spans="2:39" ht="18" customHeight="1">
      <c r="B52" s="3043" t="s">
        <v>2231</v>
      </c>
      <c r="C52" s="3015"/>
      <c r="D52" s="3015"/>
      <c r="E52" s="3015"/>
      <c r="F52" s="3015"/>
      <c r="G52" s="3015"/>
      <c r="H52" s="3015"/>
      <c r="I52" s="3015"/>
      <c r="J52" s="3015"/>
      <c r="K52" s="3015"/>
      <c r="L52" s="3015"/>
      <c r="M52" s="3015"/>
      <c r="N52" s="3015"/>
      <c r="O52" s="3015"/>
      <c r="P52" s="3015"/>
      <c r="Q52" s="3015"/>
      <c r="R52" s="3015"/>
      <c r="S52" s="3015"/>
      <c r="T52" s="3015"/>
      <c r="U52" s="3015"/>
      <c r="V52" s="3015"/>
      <c r="W52" s="3015"/>
      <c r="X52" s="3015"/>
      <c r="Y52" s="3015"/>
      <c r="Z52" s="3015"/>
      <c r="AA52" s="3015"/>
      <c r="AB52" s="3015"/>
      <c r="AC52" s="3015"/>
      <c r="AD52" s="3015"/>
      <c r="AE52" s="3015"/>
      <c r="AF52" s="3015"/>
      <c r="AG52" s="3015"/>
      <c r="AH52" s="3015"/>
      <c r="AI52" s="3015"/>
      <c r="AJ52" s="3015"/>
      <c r="AK52" s="3015"/>
      <c r="AL52" s="3015"/>
      <c r="AM52" s="3015"/>
    </row>
    <row r="53" spans="2:39" ht="53.25" customHeight="1">
      <c r="B53" s="3023"/>
      <c r="C53" s="1861"/>
      <c r="D53" s="1861"/>
      <c r="E53" s="1861"/>
      <c r="F53" s="1861"/>
      <c r="G53" s="1861"/>
      <c r="H53" s="1861"/>
      <c r="I53" s="1861"/>
      <c r="J53" s="1861"/>
      <c r="K53" s="1861"/>
      <c r="L53" s="1861"/>
      <c r="M53" s="1861"/>
      <c r="N53" s="1861"/>
      <c r="O53" s="1861"/>
      <c r="P53" s="1861"/>
      <c r="Q53" s="1861"/>
      <c r="R53" s="1861"/>
      <c r="S53" s="1861"/>
      <c r="T53" s="1861"/>
      <c r="U53" s="1861"/>
      <c r="V53" s="1861"/>
      <c r="W53" s="1861"/>
      <c r="X53" s="1861"/>
      <c r="Y53" s="1861"/>
      <c r="Z53" s="1861"/>
      <c r="AA53" s="1861"/>
      <c r="AB53" s="1861"/>
      <c r="AC53" s="1861"/>
      <c r="AD53" s="1861"/>
      <c r="AE53" s="1861"/>
      <c r="AF53" s="1861"/>
      <c r="AG53" s="1861"/>
      <c r="AH53" s="1861"/>
      <c r="AI53" s="1861"/>
      <c r="AJ53" s="1861"/>
      <c r="AK53" s="1861"/>
      <c r="AL53" s="1861"/>
      <c r="AM53" s="1862"/>
    </row>
    <row r="54" spans="2:39" ht="18" customHeight="1">
      <c r="B54" s="3043" t="s">
        <v>2232</v>
      </c>
      <c r="C54" s="3015"/>
      <c r="D54" s="3015"/>
      <c r="E54" s="3015"/>
      <c r="F54" s="3015"/>
      <c r="G54" s="3015"/>
      <c r="H54" s="3015"/>
      <c r="I54" s="3015"/>
      <c r="J54" s="3015"/>
      <c r="K54" s="3015"/>
      <c r="L54" s="3015"/>
      <c r="M54" s="3015"/>
      <c r="N54" s="3015"/>
      <c r="O54" s="3015"/>
      <c r="P54" s="3015"/>
      <c r="Q54" s="3015"/>
      <c r="R54" s="3015"/>
      <c r="S54" s="3015"/>
      <c r="T54" s="3015"/>
      <c r="U54" s="3015"/>
      <c r="V54" s="3015"/>
      <c r="W54" s="3015"/>
      <c r="X54" s="3015"/>
      <c r="Y54" s="3015"/>
      <c r="Z54" s="3015"/>
      <c r="AA54" s="3015"/>
      <c r="AB54" s="3015"/>
      <c r="AC54" s="3015"/>
      <c r="AD54" s="3015"/>
      <c r="AE54" s="3015"/>
      <c r="AF54" s="3015"/>
      <c r="AG54" s="3015"/>
      <c r="AH54" s="3015"/>
      <c r="AI54" s="3015"/>
      <c r="AJ54" s="3015"/>
      <c r="AK54" s="3015"/>
      <c r="AL54" s="3015"/>
      <c r="AM54" s="3015"/>
    </row>
    <row r="55" spans="2:39" ht="54" customHeight="1">
      <c r="B55" s="3023"/>
      <c r="C55" s="1861"/>
      <c r="D55" s="1861"/>
      <c r="E55" s="1861"/>
      <c r="F55" s="1861"/>
      <c r="G55" s="1861"/>
      <c r="H55" s="1861"/>
      <c r="I55" s="1861"/>
      <c r="J55" s="1861"/>
      <c r="K55" s="1861"/>
      <c r="L55" s="1861"/>
      <c r="M55" s="1861"/>
      <c r="N55" s="1861"/>
      <c r="O55" s="1861"/>
      <c r="P55" s="1861"/>
      <c r="Q55" s="1861"/>
      <c r="R55" s="1861"/>
      <c r="S55" s="1861"/>
      <c r="T55" s="1861"/>
      <c r="U55" s="1861"/>
      <c r="V55" s="1861"/>
      <c r="W55" s="1861"/>
      <c r="X55" s="1861"/>
      <c r="Y55" s="1861"/>
      <c r="Z55" s="1861"/>
      <c r="AA55" s="1861"/>
      <c r="AB55" s="1861"/>
      <c r="AC55" s="1861"/>
      <c r="AD55" s="1861"/>
      <c r="AE55" s="1861"/>
      <c r="AF55" s="1861"/>
      <c r="AG55" s="1861"/>
      <c r="AH55" s="1861"/>
      <c r="AI55" s="1861"/>
      <c r="AJ55" s="1861"/>
      <c r="AK55" s="1861"/>
      <c r="AL55" s="1861"/>
      <c r="AM55" s="1862"/>
    </row>
    <row r="56" spans="2:39" ht="36" customHeight="1">
      <c r="B56" s="3043" t="s">
        <v>2233</v>
      </c>
      <c r="C56" s="3015"/>
      <c r="D56" s="3015"/>
      <c r="E56" s="3015"/>
      <c r="F56" s="3015"/>
      <c r="G56" s="3015"/>
      <c r="H56" s="3015"/>
      <c r="I56" s="3015"/>
      <c r="J56" s="3015"/>
      <c r="K56" s="3015"/>
      <c r="L56" s="3015"/>
      <c r="M56" s="3015"/>
      <c r="N56" s="3015"/>
      <c r="O56" s="3015"/>
      <c r="P56" s="3015"/>
      <c r="Q56" s="3015"/>
      <c r="R56" s="3015"/>
      <c r="S56" s="3015"/>
      <c r="T56" s="3015"/>
      <c r="U56" s="3015"/>
      <c r="V56" s="3015"/>
      <c r="W56" s="3015"/>
      <c r="X56" s="3015"/>
      <c r="Y56" s="3015"/>
      <c r="Z56" s="3015"/>
      <c r="AA56" s="3015"/>
      <c r="AB56" s="3015"/>
      <c r="AC56" s="3015"/>
      <c r="AD56" s="3015"/>
      <c r="AE56" s="3015"/>
      <c r="AF56" s="3015"/>
      <c r="AG56" s="3015"/>
      <c r="AH56" s="3015"/>
      <c r="AI56" s="3015"/>
      <c r="AJ56" s="3015"/>
      <c r="AK56" s="3015"/>
      <c r="AL56" s="3015"/>
      <c r="AM56" s="3015"/>
    </row>
    <row r="57" spans="2:39" ht="54" customHeight="1">
      <c r="B57" s="3023"/>
      <c r="C57" s="1861"/>
      <c r="D57" s="1861"/>
      <c r="E57" s="1861"/>
      <c r="F57" s="1861"/>
      <c r="G57" s="1861"/>
      <c r="H57" s="1861"/>
      <c r="I57" s="1861"/>
      <c r="J57" s="1861"/>
      <c r="K57" s="1861"/>
      <c r="L57" s="1861"/>
      <c r="M57" s="1861"/>
      <c r="N57" s="1861"/>
      <c r="O57" s="1861"/>
      <c r="P57" s="1861"/>
      <c r="Q57" s="1861"/>
      <c r="R57" s="1861"/>
      <c r="S57" s="1861"/>
      <c r="T57" s="1861"/>
      <c r="U57" s="1861"/>
      <c r="V57" s="1861"/>
      <c r="W57" s="1861"/>
      <c r="X57" s="1861"/>
      <c r="Y57" s="1861"/>
      <c r="Z57" s="1861"/>
      <c r="AA57" s="1861"/>
      <c r="AB57" s="1861"/>
      <c r="AC57" s="1861"/>
      <c r="AD57" s="1861"/>
      <c r="AE57" s="1861"/>
      <c r="AF57" s="1861"/>
      <c r="AG57" s="1861"/>
      <c r="AH57" s="1861"/>
      <c r="AI57" s="1861"/>
      <c r="AJ57" s="1861"/>
      <c r="AK57" s="1861"/>
      <c r="AL57" s="1861"/>
      <c r="AM57" s="1862"/>
    </row>
    <row r="58" spans="2:39" ht="18" customHeight="1">
      <c r="B58" s="2181" t="s">
        <v>2234</v>
      </c>
      <c r="C58" s="3015"/>
      <c r="D58" s="3015"/>
      <c r="E58" s="3015"/>
      <c r="F58" s="3015"/>
      <c r="G58" s="3015"/>
      <c r="H58" s="3015"/>
      <c r="I58" s="3015"/>
      <c r="J58" s="3015"/>
      <c r="K58" s="3015"/>
      <c r="L58" s="3015"/>
      <c r="M58" s="3015"/>
      <c r="N58" s="3015"/>
      <c r="O58" s="3015"/>
      <c r="P58" s="3015"/>
      <c r="Q58" s="3015"/>
      <c r="R58" s="3015"/>
      <c r="S58" s="3015"/>
      <c r="T58" s="3015"/>
      <c r="U58" s="3015"/>
      <c r="V58" s="3015"/>
      <c r="W58" s="3015"/>
      <c r="X58" s="3015"/>
      <c r="Y58" s="3015"/>
      <c r="Z58" s="3015"/>
      <c r="AA58" s="3015"/>
      <c r="AB58" s="3015"/>
      <c r="AC58" s="3015"/>
      <c r="AD58" s="3015"/>
      <c r="AE58" s="3015"/>
      <c r="AF58" s="3015"/>
      <c r="AG58" s="3015"/>
      <c r="AH58" s="3015"/>
      <c r="AI58" s="3015"/>
      <c r="AJ58" s="3015"/>
      <c r="AK58" s="3015"/>
      <c r="AL58" s="3015"/>
      <c r="AM58" s="3015"/>
    </row>
    <row r="59" spans="2:39" ht="54" customHeight="1">
      <c r="B59" s="3023"/>
      <c r="C59" s="1861"/>
      <c r="D59" s="1861"/>
      <c r="E59" s="1861"/>
      <c r="F59" s="1861"/>
      <c r="G59" s="1861"/>
      <c r="H59" s="1861"/>
      <c r="I59" s="1861"/>
      <c r="J59" s="1861"/>
      <c r="K59" s="1861"/>
      <c r="L59" s="1861"/>
      <c r="M59" s="1861"/>
      <c r="N59" s="1861"/>
      <c r="O59" s="1861"/>
      <c r="P59" s="1861"/>
      <c r="Q59" s="1861"/>
      <c r="R59" s="1861"/>
      <c r="S59" s="1861"/>
      <c r="T59" s="1861"/>
      <c r="U59" s="1861"/>
      <c r="V59" s="1861"/>
      <c r="W59" s="1861"/>
      <c r="X59" s="1861"/>
      <c r="Y59" s="1861"/>
      <c r="Z59" s="1861"/>
      <c r="AA59" s="1861"/>
      <c r="AB59" s="1861"/>
      <c r="AC59" s="1861"/>
      <c r="AD59" s="1861"/>
      <c r="AE59" s="1861"/>
      <c r="AF59" s="1861"/>
      <c r="AG59" s="1861"/>
      <c r="AH59" s="1861"/>
      <c r="AI59" s="1861"/>
      <c r="AJ59" s="1861"/>
      <c r="AK59" s="1861"/>
      <c r="AL59" s="1861"/>
      <c r="AM59" s="1862"/>
    </row>
    <row r="60" spans="2:39" ht="18" customHeight="1">
      <c r="B60" s="3015" t="s">
        <v>2235</v>
      </c>
      <c r="C60" s="3015"/>
      <c r="D60" s="3015"/>
      <c r="E60" s="3015"/>
      <c r="F60" s="3015"/>
      <c r="G60" s="3015"/>
      <c r="H60" s="3015"/>
      <c r="I60" s="3015"/>
      <c r="J60" s="3015"/>
      <c r="K60" s="3015"/>
      <c r="L60" s="3015"/>
      <c r="M60" s="3015"/>
      <c r="N60" s="3015"/>
      <c r="O60" s="3015"/>
      <c r="P60" s="3015"/>
      <c r="Q60" s="3015"/>
      <c r="R60" s="3015"/>
      <c r="S60" s="3054"/>
      <c r="T60" s="3015"/>
      <c r="U60" s="3015"/>
      <c r="V60" s="3015"/>
      <c r="W60" s="3015"/>
      <c r="X60" s="3015"/>
      <c r="Y60" s="3015"/>
      <c r="Z60" s="3015"/>
      <c r="AA60" s="3015"/>
      <c r="AB60" s="3015"/>
    </row>
    <row r="61" spans="2:39" ht="18" customHeight="1">
      <c r="B61" s="3015" t="s">
        <v>2236</v>
      </c>
      <c r="C61" s="3015"/>
      <c r="D61" s="3015"/>
      <c r="E61" s="3015"/>
      <c r="F61" s="3015"/>
      <c r="G61" s="3015"/>
      <c r="H61" s="3015"/>
      <c r="I61" s="3015"/>
      <c r="J61" s="3015"/>
      <c r="K61" s="3015"/>
      <c r="L61" s="3015"/>
      <c r="M61" s="3015"/>
      <c r="N61" s="3015"/>
      <c r="O61" s="3015"/>
      <c r="P61" s="3015"/>
      <c r="Q61" s="3015"/>
      <c r="R61" s="3015"/>
      <c r="S61" s="3015"/>
      <c r="T61" s="3015"/>
      <c r="U61" s="3015"/>
      <c r="V61" s="3015"/>
      <c r="W61" s="3015"/>
      <c r="X61" s="3015"/>
      <c r="Y61" s="3015"/>
      <c r="Z61" s="3015"/>
      <c r="AA61" s="3015"/>
      <c r="AB61" s="3015"/>
      <c r="AC61" s="3015"/>
      <c r="AD61" s="3015"/>
      <c r="AE61" s="3015"/>
      <c r="AF61" s="3015"/>
      <c r="AG61" s="3015"/>
      <c r="AH61" s="3015"/>
      <c r="AI61" s="3015"/>
      <c r="AJ61" s="3015"/>
      <c r="AK61" s="3015"/>
      <c r="AL61" s="1968"/>
      <c r="AM61" s="1862"/>
    </row>
    <row r="62" spans="2:39" ht="18" customHeight="1">
      <c r="B62" s="2181" t="s">
        <v>2237</v>
      </c>
      <c r="C62" s="3015"/>
      <c r="D62" s="3015"/>
      <c r="E62" s="3015"/>
      <c r="F62" s="3015"/>
      <c r="G62" s="3015"/>
      <c r="H62" s="3015"/>
      <c r="I62" s="3015"/>
      <c r="J62" s="3015"/>
      <c r="K62" s="3015"/>
      <c r="L62" s="3015"/>
      <c r="M62" s="3015"/>
      <c r="N62" s="3015"/>
      <c r="O62" s="3015"/>
      <c r="P62" s="3015"/>
      <c r="Q62" s="3015"/>
      <c r="R62" s="3015"/>
      <c r="S62" s="3015"/>
      <c r="T62" s="3015"/>
      <c r="U62" s="3015"/>
      <c r="V62" s="3015"/>
      <c r="W62" s="3015"/>
      <c r="X62" s="3015"/>
      <c r="Y62" s="3015"/>
      <c r="Z62" s="3015"/>
      <c r="AA62" s="3015"/>
      <c r="AB62" s="3015"/>
      <c r="AC62" s="3015"/>
      <c r="AD62" s="3015"/>
      <c r="AE62" s="3015"/>
      <c r="AF62" s="3015"/>
      <c r="AG62" s="3015"/>
      <c r="AH62" s="3015"/>
      <c r="AI62" s="3015"/>
      <c r="AJ62" s="3015"/>
      <c r="AK62" s="3015"/>
      <c r="AL62" s="1968"/>
      <c r="AM62" s="1862"/>
    </row>
    <row r="63" spans="2:39" ht="18" customHeight="1">
      <c r="B63" s="2181" t="s">
        <v>2238</v>
      </c>
      <c r="C63" s="3015"/>
      <c r="D63" s="3015"/>
      <c r="E63" s="3015"/>
      <c r="F63" s="3015"/>
      <c r="G63" s="3015"/>
      <c r="H63" s="3015"/>
      <c r="I63" s="3015"/>
      <c r="J63" s="3015"/>
      <c r="K63" s="3015"/>
      <c r="L63" s="3015"/>
      <c r="M63" s="3015"/>
      <c r="N63" s="3015"/>
      <c r="O63" s="3015"/>
      <c r="P63" s="3015"/>
      <c r="Q63" s="3015"/>
      <c r="R63" s="3015"/>
      <c r="S63" s="3015"/>
      <c r="T63" s="3015"/>
      <c r="U63" s="3015"/>
      <c r="V63" s="3015"/>
      <c r="W63" s="3015"/>
      <c r="X63" s="3015"/>
      <c r="Y63" s="3015"/>
      <c r="Z63" s="3015"/>
      <c r="AA63" s="3015"/>
      <c r="AB63" s="3015"/>
      <c r="AC63" s="3015"/>
      <c r="AD63" s="3015"/>
      <c r="AE63" s="3015"/>
      <c r="AF63" s="3015"/>
      <c r="AG63" s="3015"/>
      <c r="AH63" s="3015"/>
      <c r="AI63" s="3015"/>
      <c r="AJ63" s="3015"/>
      <c r="AK63" s="3015"/>
      <c r="AL63" s="1968"/>
      <c r="AM63" s="1862"/>
    </row>
    <row r="64" spans="2:39" ht="18" customHeight="1">
      <c r="B64" s="2181" t="s">
        <v>2239</v>
      </c>
      <c r="C64" s="3015"/>
      <c r="D64" s="3015"/>
      <c r="E64" s="3015"/>
      <c r="F64" s="3015"/>
      <c r="G64" s="3015"/>
      <c r="H64" s="3015"/>
      <c r="I64" s="3015"/>
      <c r="J64" s="3015"/>
      <c r="K64" s="3015"/>
      <c r="L64" s="3015"/>
      <c r="M64" s="3015"/>
      <c r="N64" s="3015"/>
      <c r="O64" s="3015"/>
      <c r="P64" s="3015"/>
      <c r="Q64" s="3015"/>
      <c r="R64" s="3015"/>
      <c r="S64" s="3015"/>
      <c r="T64" s="3015"/>
      <c r="U64" s="3015"/>
      <c r="V64" s="3015"/>
      <c r="W64" s="3015"/>
      <c r="X64" s="3015"/>
      <c r="Y64" s="3015"/>
      <c r="Z64" s="3015"/>
      <c r="AA64" s="3015"/>
      <c r="AB64" s="3015"/>
      <c r="AC64" s="3015"/>
      <c r="AD64" s="3015"/>
      <c r="AE64" s="3015"/>
      <c r="AF64" s="3015"/>
      <c r="AG64" s="3015"/>
      <c r="AH64" s="3015"/>
      <c r="AI64" s="3015"/>
      <c r="AJ64" s="3015"/>
      <c r="AK64" s="3015"/>
      <c r="AL64" s="1968"/>
      <c r="AM64" s="1862"/>
    </row>
    <row r="65" spans="2:39" ht="18" customHeight="1">
      <c r="B65" s="2181" t="s">
        <v>2240</v>
      </c>
      <c r="C65" s="3015"/>
      <c r="D65" s="3015"/>
      <c r="E65" s="3015"/>
      <c r="F65" s="3015"/>
      <c r="G65" s="3015"/>
      <c r="H65" s="3015"/>
      <c r="I65" s="3015"/>
      <c r="J65" s="3015"/>
      <c r="K65" s="3015"/>
      <c r="L65" s="3015"/>
      <c r="M65" s="3015"/>
      <c r="N65" s="3015"/>
      <c r="O65" s="3015"/>
      <c r="P65" s="3015"/>
      <c r="Q65" s="3015"/>
      <c r="R65" s="3015"/>
      <c r="S65" s="3015"/>
      <c r="T65" s="3015"/>
      <c r="U65" s="3015"/>
      <c r="V65" s="3015"/>
      <c r="W65" s="3015"/>
      <c r="X65" s="3015"/>
      <c r="Y65" s="3015"/>
      <c r="Z65" s="3015"/>
      <c r="AA65" s="3015"/>
      <c r="AB65" s="3015"/>
      <c r="AC65" s="3015"/>
      <c r="AD65" s="3015"/>
      <c r="AE65" s="3015"/>
      <c r="AF65" s="3015"/>
      <c r="AG65" s="3015"/>
      <c r="AH65" s="3015"/>
      <c r="AI65" s="3015"/>
      <c r="AJ65" s="3015"/>
      <c r="AK65" s="3015"/>
      <c r="AL65" s="1968"/>
      <c r="AM65" s="1862"/>
    </row>
    <row r="66" spans="2:39" ht="18" customHeight="1">
      <c r="B66" s="2181" t="s">
        <v>2241</v>
      </c>
      <c r="C66" s="3015"/>
      <c r="D66" s="3015"/>
      <c r="E66" s="3015"/>
      <c r="F66" s="3015"/>
      <c r="G66" s="3015"/>
      <c r="H66" s="3015"/>
      <c r="I66" s="3015"/>
      <c r="J66" s="3015"/>
      <c r="K66" s="3015"/>
      <c r="L66" s="3015"/>
      <c r="M66" s="3015"/>
      <c r="N66" s="3015"/>
      <c r="O66" s="3015"/>
      <c r="P66" s="3015"/>
      <c r="Q66" s="3015"/>
      <c r="R66" s="3015"/>
      <c r="S66" s="3015"/>
      <c r="T66" s="3015"/>
      <c r="U66" s="3015"/>
      <c r="V66" s="3015"/>
      <c r="W66" s="3015"/>
      <c r="X66" s="3015"/>
      <c r="Y66" s="3015"/>
      <c r="Z66" s="3015"/>
      <c r="AA66" s="3015"/>
      <c r="AB66" s="3015"/>
      <c r="AC66" s="3015"/>
      <c r="AD66" s="3015"/>
      <c r="AE66" s="3015"/>
      <c r="AF66" s="3015"/>
      <c r="AG66" s="3015"/>
      <c r="AH66" s="3015"/>
      <c r="AI66" s="3015"/>
      <c r="AJ66" s="3015"/>
      <c r="AK66" s="3015"/>
      <c r="AL66" s="1968"/>
      <c r="AM66" s="1862"/>
    </row>
    <row r="67" spans="2:39" ht="18" customHeight="1">
      <c r="B67" s="2181" t="s">
        <v>2242</v>
      </c>
      <c r="C67" s="3015"/>
      <c r="D67" s="3015"/>
      <c r="E67" s="3015"/>
      <c r="F67" s="3015"/>
      <c r="G67" s="3015"/>
      <c r="H67" s="3015"/>
      <c r="I67" s="3015"/>
      <c r="J67" s="3015"/>
      <c r="K67" s="3015"/>
      <c r="L67" s="3015"/>
      <c r="M67" s="3015"/>
      <c r="N67" s="3015"/>
      <c r="O67" s="3015"/>
      <c r="P67" s="3015"/>
      <c r="Q67" s="3015"/>
      <c r="R67" s="3015"/>
      <c r="S67" s="3015"/>
      <c r="T67" s="3015"/>
      <c r="U67" s="3015"/>
      <c r="V67" s="3015"/>
      <c r="W67" s="3015"/>
      <c r="X67" s="3015"/>
      <c r="Y67" s="3015"/>
      <c r="Z67" s="3015"/>
      <c r="AA67" s="3015"/>
      <c r="AB67" s="3015"/>
      <c r="AC67" s="3015"/>
      <c r="AD67" s="3015"/>
      <c r="AE67" s="3015"/>
      <c r="AF67" s="3015"/>
      <c r="AG67" s="3015"/>
      <c r="AH67" s="3015"/>
      <c r="AI67" s="3015"/>
      <c r="AJ67" s="3015"/>
      <c r="AK67" s="3015"/>
      <c r="AL67" s="1968"/>
      <c r="AM67" s="1862"/>
    </row>
    <row r="68" spans="2:39" ht="36" customHeight="1">
      <c r="B68" s="2181" t="s">
        <v>2243</v>
      </c>
      <c r="C68" s="3015"/>
      <c r="D68" s="3015"/>
      <c r="E68" s="3015"/>
      <c r="F68" s="3015"/>
      <c r="G68" s="3015"/>
      <c r="H68" s="3015"/>
      <c r="I68" s="3015"/>
      <c r="J68" s="3015"/>
      <c r="K68" s="3015"/>
      <c r="L68" s="3015"/>
      <c r="M68" s="3015"/>
      <c r="N68" s="3015"/>
      <c r="O68" s="3015"/>
      <c r="P68" s="3015"/>
      <c r="Q68" s="3015"/>
      <c r="R68" s="3015"/>
      <c r="S68" s="3015"/>
      <c r="T68" s="3015"/>
      <c r="U68" s="3015"/>
      <c r="V68" s="3015"/>
      <c r="W68" s="3015"/>
      <c r="X68" s="3015"/>
      <c r="Y68" s="3015"/>
      <c r="Z68" s="3015"/>
      <c r="AA68" s="3015"/>
      <c r="AB68" s="3015"/>
      <c r="AC68" s="3015"/>
      <c r="AD68" s="3015"/>
      <c r="AE68" s="3015"/>
      <c r="AF68" s="3015"/>
      <c r="AG68" s="3015"/>
      <c r="AH68" s="3015"/>
      <c r="AI68" s="3015"/>
      <c r="AJ68" s="3015"/>
      <c r="AK68" s="3015"/>
      <c r="AL68" s="1968"/>
      <c r="AM68" s="1862"/>
    </row>
    <row r="69" spans="2:39" ht="36" customHeight="1">
      <c r="B69" s="2181" t="s">
        <v>2244</v>
      </c>
      <c r="C69" s="3015"/>
      <c r="D69" s="3015"/>
      <c r="E69" s="3015"/>
      <c r="F69" s="3015"/>
      <c r="G69" s="3015"/>
      <c r="H69" s="3015"/>
      <c r="I69" s="3015"/>
      <c r="J69" s="3015"/>
      <c r="K69" s="3015"/>
      <c r="L69" s="3015"/>
      <c r="M69" s="3015"/>
      <c r="N69" s="3015"/>
      <c r="O69" s="3015"/>
      <c r="P69" s="3015"/>
      <c r="Q69" s="3015"/>
      <c r="R69" s="3015"/>
      <c r="S69" s="3015"/>
      <c r="T69" s="3015"/>
      <c r="U69" s="3015"/>
      <c r="V69" s="3015"/>
      <c r="W69" s="3015"/>
      <c r="X69" s="3015"/>
      <c r="Y69" s="3015"/>
      <c r="Z69" s="3015"/>
      <c r="AA69" s="3015"/>
      <c r="AB69" s="3015"/>
      <c r="AC69" s="3015"/>
      <c r="AD69" s="3015"/>
      <c r="AE69" s="3015"/>
      <c r="AF69" s="3015"/>
      <c r="AG69" s="3015"/>
      <c r="AH69" s="3015"/>
      <c r="AI69" s="3015"/>
      <c r="AJ69" s="3015"/>
      <c r="AK69" s="3015"/>
      <c r="AL69" s="1968"/>
      <c r="AM69" s="1862"/>
    </row>
    <row r="70" spans="2:39" ht="18" customHeight="1">
      <c r="B70" s="2181" t="s">
        <v>2245</v>
      </c>
      <c r="C70" s="3015"/>
      <c r="D70" s="3015"/>
      <c r="E70" s="3015"/>
      <c r="F70" s="3015"/>
      <c r="G70" s="3015"/>
      <c r="H70" s="3015"/>
      <c r="I70" s="3015"/>
      <c r="J70" s="3015"/>
      <c r="K70" s="3015"/>
      <c r="L70" s="3015"/>
      <c r="M70" s="3015"/>
      <c r="N70" s="3015"/>
      <c r="O70" s="3015"/>
      <c r="P70" s="3015"/>
      <c r="Q70" s="3015"/>
      <c r="R70" s="3015"/>
      <c r="S70" s="3015"/>
      <c r="T70" s="3015"/>
      <c r="U70" s="3015"/>
      <c r="V70" s="3015"/>
      <c r="W70" s="3015"/>
      <c r="X70" s="3015"/>
      <c r="Y70" s="3015"/>
      <c r="Z70" s="3015"/>
      <c r="AA70" s="3015"/>
      <c r="AB70" s="3015"/>
      <c r="AC70" s="3015"/>
      <c r="AD70" s="3015"/>
      <c r="AE70" s="3015"/>
      <c r="AF70" s="3015"/>
      <c r="AG70" s="3015"/>
      <c r="AH70" s="3015"/>
      <c r="AI70" s="3015"/>
      <c r="AJ70" s="3015"/>
      <c r="AK70" s="3015"/>
      <c r="AL70" s="1968"/>
      <c r="AM70" s="1862"/>
    </row>
    <row r="71" spans="2:39" ht="18" customHeight="1">
      <c r="B71" s="2181" t="s">
        <v>2246</v>
      </c>
      <c r="C71" s="3015"/>
      <c r="D71" s="3015"/>
      <c r="E71" s="3015"/>
      <c r="F71" s="3015"/>
      <c r="G71" s="3015"/>
      <c r="H71" s="3015"/>
      <c r="I71" s="3015"/>
      <c r="J71" s="3015"/>
      <c r="K71" s="3015"/>
      <c r="L71" s="3015"/>
      <c r="M71" s="3015"/>
      <c r="N71" s="3015"/>
      <c r="O71" s="3015"/>
      <c r="P71" s="3015"/>
      <c r="Q71" s="3015"/>
      <c r="R71" s="3015"/>
      <c r="S71" s="3015"/>
      <c r="T71" s="3015"/>
      <c r="U71" s="3015"/>
      <c r="V71" s="3015"/>
      <c r="W71" s="3015"/>
      <c r="X71" s="3015"/>
      <c r="Y71" s="3015"/>
      <c r="Z71" s="3015"/>
      <c r="AA71" s="3015"/>
      <c r="AB71" s="3015"/>
      <c r="AC71" s="3015"/>
      <c r="AD71" s="3015"/>
      <c r="AE71" s="3015"/>
      <c r="AF71" s="3015"/>
      <c r="AG71" s="3015"/>
      <c r="AH71" s="3015"/>
      <c r="AI71" s="3015"/>
      <c r="AJ71" s="3015"/>
      <c r="AK71" s="3015"/>
      <c r="AL71" s="1968"/>
      <c r="AM71" s="1862"/>
    </row>
    <row r="72" spans="2:39" ht="18" customHeight="1">
      <c r="B72" s="2181" t="s">
        <v>2247</v>
      </c>
      <c r="C72" s="3015"/>
      <c r="D72" s="3015"/>
      <c r="E72" s="3015"/>
      <c r="F72" s="3015"/>
      <c r="G72" s="3015"/>
      <c r="H72" s="3015"/>
      <c r="I72" s="3015"/>
      <c r="J72" s="3015"/>
      <c r="K72" s="3015"/>
      <c r="L72" s="3015"/>
      <c r="M72" s="3015"/>
      <c r="N72" s="3015"/>
      <c r="O72" s="3015"/>
      <c r="P72" s="3015"/>
      <c r="Q72" s="3015"/>
      <c r="R72" s="3015"/>
      <c r="S72" s="3015"/>
      <c r="T72" s="3015"/>
      <c r="U72" s="3015"/>
      <c r="V72" s="3015"/>
      <c r="W72" s="3015"/>
      <c r="X72" s="3015"/>
      <c r="Y72" s="3015"/>
      <c r="Z72" s="3015"/>
      <c r="AA72" s="3015"/>
      <c r="AB72" s="3015"/>
      <c r="AC72" s="3015"/>
      <c r="AD72" s="3015"/>
      <c r="AE72" s="3015"/>
      <c r="AF72" s="3015"/>
      <c r="AG72" s="3015"/>
      <c r="AH72" s="3015"/>
      <c r="AI72" s="3015"/>
      <c r="AJ72" s="3015"/>
      <c r="AK72" s="3015"/>
      <c r="AL72" s="1968"/>
      <c r="AM72" s="1862"/>
    </row>
    <row r="73" spans="2:39" ht="18" customHeight="1">
      <c r="B73" s="2181" t="s">
        <v>2248</v>
      </c>
      <c r="C73" s="3015"/>
      <c r="D73" s="3015"/>
      <c r="E73" s="3015"/>
      <c r="F73" s="3015"/>
      <c r="G73" s="3015"/>
      <c r="H73" s="3015"/>
      <c r="I73" s="3015"/>
      <c r="J73" s="3015"/>
      <c r="K73" s="3015"/>
      <c r="L73" s="3015"/>
      <c r="M73" s="3015"/>
      <c r="N73" s="3015"/>
      <c r="O73" s="3015"/>
      <c r="P73" s="3015"/>
      <c r="Q73" s="3015"/>
      <c r="R73" s="3015"/>
      <c r="S73" s="3015"/>
      <c r="T73" s="3015"/>
      <c r="U73" s="3015"/>
      <c r="V73" s="3015"/>
      <c r="W73" s="3015"/>
      <c r="X73" s="3015"/>
      <c r="Y73" s="3015"/>
      <c r="Z73" s="3015"/>
      <c r="AA73" s="3015"/>
      <c r="AB73" s="3015"/>
      <c r="AC73" s="3015"/>
      <c r="AD73" s="3015"/>
      <c r="AE73" s="3015"/>
      <c r="AF73" s="3015"/>
      <c r="AG73" s="3015"/>
      <c r="AH73" s="3015"/>
      <c r="AI73" s="3015"/>
      <c r="AJ73" s="3015"/>
      <c r="AK73" s="3015"/>
      <c r="AL73" s="1968"/>
      <c r="AM73" s="1862"/>
    </row>
    <row r="74" spans="2:39" ht="18" customHeight="1">
      <c r="B74" s="2181" t="s">
        <v>2249</v>
      </c>
      <c r="C74" s="3015"/>
      <c r="D74" s="3015"/>
      <c r="E74" s="3015"/>
      <c r="F74" s="3015"/>
      <c r="G74" s="3015"/>
      <c r="H74" s="3015"/>
      <c r="I74" s="3015"/>
      <c r="J74" s="3015"/>
      <c r="K74" s="3015"/>
      <c r="L74" s="3015"/>
      <c r="M74" s="3015"/>
      <c r="N74" s="3015"/>
      <c r="O74" s="3015"/>
      <c r="P74" s="3015"/>
      <c r="Q74" s="3015"/>
      <c r="R74" s="3015"/>
      <c r="S74" s="3015"/>
      <c r="T74" s="3015"/>
      <c r="U74" s="3015"/>
      <c r="V74" s="3015"/>
      <c r="W74" s="3015"/>
      <c r="X74" s="3015"/>
      <c r="Y74" s="3015"/>
      <c r="Z74" s="3015"/>
      <c r="AA74" s="3015"/>
      <c r="AB74" s="3015"/>
      <c r="AC74" s="3015"/>
      <c r="AD74" s="3015"/>
      <c r="AE74" s="3015"/>
      <c r="AF74" s="3015"/>
      <c r="AG74" s="3015"/>
      <c r="AH74" s="3015"/>
      <c r="AI74" s="3015"/>
      <c r="AJ74" s="3015"/>
      <c r="AK74" s="3015"/>
      <c r="AL74" s="1968"/>
      <c r="AM74" s="1862"/>
    </row>
    <row r="75" spans="2:39" ht="18" customHeight="1">
      <c r="B75" s="3015" t="s">
        <v>2250</v>
      </c>
      <c r="C75" s="3015"/>
      <c r="D75" s="3015"/>
      <c r="E75" s="3015"/>
      <c r="F75" s="3015"/>
      <c r="G75" s="3015"/>
      <c r="H75" s="3015"/>
      <c r="I75" s="3015"/>
      <c r="J75" s="3015"/>
      <c r="K75" s="3015"/>
      <c r="L75" s="3015"/>
      <c r="M75" s="3015"/>
      <c r="N75" s="3015"/>
      <c r="O75" s="3015"/>
      <c r="P75" s="3015"/>
      <c r="Q75" s="3015"/>
      <c r="R75" s="3015"/>
      <c r="S75" s="3015"/>
      <c r="T75" s="3015"/>
      <c r="U75" s="3015"/>
      <c r="V75" s="3015"/>
      <c r="W75" s="3015"/>
      <c r="X75" s="3015"/>
      <c r="Y75" s="3015"/>
      <c r="Z75" s="3015"/>
      <c r="AA75" s="3015"/>
      <c r="AB75" s="3015"/>
      <c r="AC75" s="3015"/>
      <c r="AD75" s="3015"/>
      <c r="AE75" s="3015"/>
      <c r="AF75" s="3015"/>
      <c r="AG75" s="3015"/>
      <c r="AH75" s="3015"/>
      <c r="AI75" s="3015"/>
      <c r="AJ75" s="3015"/>
      <c r="AK75" s="3015"/>
      <c r="AL75" s="3015"/>
      <c r="AM75" s="3015"/>
    </row>
    <row r="76" spans="2:39" ht="18" customHeight="1">
      <c r="B76" s="2181" t="s">
        <v>2251</v>
      </c>
      <c r="C76" s="3015"/>
      <c r="D76" s="3015"/>
      <c r="E76" s="3015"/>
      <c r="F76" s="3015"/>
      <c r="G76" s="3015"/>
      <c r="H76" s="3015"/>
      <c r="I76" s="3015"/>
      <c r="J76" s="3015"/>
      <c r="K76" s="3015"/>
      <c r="L76" s="3015"/>
      <c r="M76" s="3015"/>
      <c r="N76" s="3015"/>
      <c r="O76" s="3015"/>
      <c r="P76" s="3015"/>
      <c r="Q76" s="3015"/>
      <c r="R76" s="3015"/>
      <c r="S76" s="3015"/>
      <c r="T76" s="3015"/>
      <c r="U76" s="3015"/>
      <c r="V76" s="3015"/>
      <c r="W76" s="3015"/>
      <c r="X76" s="3015"/>
      <c r="Y76" s="3015"/>
      <c r="Z76" s="3015"/>
      <c r="AA76" s="3015"/>
      <c r="AB76" s="3015"/>
      <c r="AC76" s="3015"/>
      <c r="AD76" s="3015"/>
      <c r="AE76" s="3015"/>
      <c r="AF76" s="3015"/>
      <c r="AG76" s="3015"/>
      <c r="AH76" s="3015"/>
      <c r="AI76" s="3015"/>
      <c r="AJ76" s="3015"/>
      <c r="AK76" s="3015"/>
      <c r="AL76" s="3015"/>
      <c r="AM76" s="3015"/>
    </row>
    <row r="77" spans="2:39" ht="54" customHeight="1">
      <c r="B77" s="3023"/>
      <c r="C77" s="1861"/>
      <c r="D77" s="1861"/>
      <c r="E77" s="1861"/>
      <c r="F77" s="1861"/>
      <c r="G77" s="1861"/>
      <c r="H77" s="1861"/>
      <c r="I77" s="1861"/>
      <c r="J77" s="1861"/>
      <c r="K77" s="1861"/>
      <c r="L77" s="1861"/>
      <c r="M77" s="1861"/>
      <c r="N77" s="1861"/>
      <c r="O77" s="1861"/>
      <c r="P77" s="1861"/>
      <c r="Q77" s="1861"/>
      <c r="R77" s="1861"/>
      <c r="S77" s="1861"/>
      <c r="T77" s="1861"/>
      <c r="U77" s="1861"/>
      <c r="V77" s="1861"/>
      <c r="W77" s="1861"/>
      <c r="X77" s="1861"/>
      <c r="Y77" s="1861"/>
      <c r="Z77" s="1861"/>
      <c r="AA77" s="1861"/>
      <c r="AB77" s="1861"/>
      <c r="AC77" s="1861"/>
      <c r="AD77" s="1861"/>
      <c r="AE77" s="1861"/>
      <c r="AF77" s="1861"/>
      <c r="AG77" s="1861"/>
      <c r="AH77" s="1861"/>
      <c r="AI77" s="1861"/>
      <c r="AJ77" s="1861"/>
      <c r="AK77" s="1861"/>
      <c r="AL77" s="1861"/>
      <c r="AM77" s="1862"/>
    </row>
    <row r="78" spans="2:39" ht="18" customHeight="1">
      <c r="B78" s="2181" t="s">
        <v>2252</v>
      </c>
      <c r="C78" s="3015"/>
      <c r="D78" s="3015"/>
      <c r="E78" s="3015"/>
      <c r="F78" s="3015"/>
      <c r="G78" s="3015"/>
      <c r="H78" s="3015"/>
      <c r="I78" s="3015"/>
      <c r="J78" s="3015"/>
      <c r="K78" s="3015"/>
      <c r="L78" s="3015"/>
      <c r="M78" s="3015"/>
      <c r="N78" s="3015"/>
      <c r="O78" s="3015"/>
      <c r="P78" s="3015"/>
      <c r="Q78" s="3015"/>
      <c r="R78" s="3015"/>
      <c r="S78" s="3015"/>
      <c r="T78" s="3015"/>
      <c r="U78" s="3015"/>
      <c r="V78" s="3015"/>
      <c r="W78" s="3015"/>
      <c r="X78" s="3015"/>
      <c r="Y78" s="3015"/>
      <c r="Z78" s="3015"/>
      <c r="AA78" s="3015"/>
      <c r="AB78" s="3015"/>
      <c r="AC78" s="3015"/>
      <c r="AD78" s="3015"/>
      <c r="AE78" s="3015"/>
      <c r="AF78" s="3015"/>
      <c r="AG78" s="3015"/>
      <c r="AH78" s="3015"/>
      <c r="AI78" s="3015"/>
      <c r="AJ78" s="3015"/>
      <c r="AK78" s="3015"/>
      <c r="AL78" s="3015"/>
      <c r="AM78" s="3015"/>
    </row>
    <row r="79" spans="2:39" ht="54" customHeight="1">
      <c r="B79" s="3023"/>
      <c r="C79" s="1861"/>
      <c r="D79" s="1861"/>
      <c r="E79" s="1861"/>
      <c r="F79" s="1861"/>
      <c r="G79" s="1861"/>
      <c r="H79" s="1861"/>
      <c r="I79" s="1861"/>
      <c r="J79" s="1861"/>
      <c r="K79" s="1861"/>
      <c r="L79" s="1861"/>
      <c r="M79" s="1861"/>
      <c r="N79" s="1861"/>
      <c r="O79" s="1861"/>
      <c r="P79" s="1861"/>
      <c r="Q79" s="1861"/>
      <c r="R79" s="1861"/>
      <c r="S79" s="1861"/>
      <c r="T79" s="1861"/>
      <c r="U79" s="1861"/>
      <c r="V79" s="1861"/>
      <c r="W79" s="1861"/>
      <c r="X79" s="1861"/>
      <c r="Y79" s="1861"/>
      <c r="Z79" s="1861"/>
      <c r="AA79" s="1861"/>
      <c r="AB79" s="1861"/>
      <c r="AC79" s="1861"/>
      <c r="AD79" s="1861"/>
      <c r="AE79" s="1861"/>
      <c r="AF79" s="1861"/>
      <c r="AG79" s="1861"/>
      <c r="AH79" s="1861"/>
      <c r="AI79" s="1861"/>
      <c r="AJ79" s="1861"/>
      <c r="AK79" s="1861"/>
      <c r="AL79" s="1861"/>
      <c r="AM79" s="1862"/>
    </row>
    <row r="80" spans="2:39" ht="18" customHeight="1">
      <c r="B80" s="2181" t="s">
        <v>2253</v>
      </c>
      <c r="C80" s="3015"/>
      <c r="D80" s="3015"/>
      <c r="E80" s="3015"/>
      <c r="F80" s="3015"/>
      <c r="G80" s="3015"/>
      <c r="H80" s="3015"/>
      <c r="I80" s="3015"/>
      <c r="J80" s="3015"/>
      <c r="K80" s="3015"/>
      <c r="L80" s="3015"/>
      <c r="M80" s="3015"/>
      <c r="N80" s="3015"/>
      <c r="O80" s="3015"/>
      <c r="P80" s="3015"/>
      <c r="Q80" s="3015"/>
      <c r="R80" s="3015"/>
      <c r="S80" s="3015"/>
      <c r="T80" s="3015"/>
      <c r="U80" s="3015"/>
      <c r="V80" s="3015"/>
      <c r="W80" s="3015"/>
      <c r="X80" s="3015"/>
      <c r="Y80" s="3015"/>
      <c r="Z80" s="3015"/>
      <c r="AA80" s="3015"/>
      <c r="AB80" s="3015"/>
      <c r="AC80" s="3015"/>
      <c r="AD80" s="3015"/>
      <c r="AE80" s="3015"/>
      <c r="AF80" s="3015"/>
      <c r="AG80" s="3015"/>
      <c r="AH80" s="3015"/>
      <c r="AI80" s="3015"/>
      <c r="AJ80" s="3015"/>
      <c r="AK80" s="3015"/>
      <c r="AL80" s="3015"/>
      <c r="AM80" s="3015"/>
    </row>
    <row r="81" spans="2:39" ht="54" customHeight="1">
      <c r="B81" s="3023"/>
      <c r="C81" s="1861"/>
      <c r="D81" s="1861"/>
      <c r="E81" s="1861"/>
      <c r="F81" s="1861"/>
      <c r="G81" s="1861"/>
      <c r="H81" s="1861"/>
      <c r="I81" s="1861"/>
      <c r="J81" s="1861"/>
      <c r="K81" s="1861"/>
      <c r="L81" s="1861"/>
      <c r="M81" s="1861"/>
      <c r="N81" s="1861"/>
      <c r="O81" s="1861"/>
      <c r="P81" s="1861"/>
      <c r="Q81" s="1861"/>
      <c r="R81" s="1861"/>
      <c r="S81" s="1861"/>
      <c r="T81" s="1861"/>
      <c r="U81" s="1861"/>
      <c r="V81" s="1861"/>
      <c r="W81" s="1861"/>
      <c r="X81" s="1861"/>
      <c r="Y81" s="1861"/>
      <c r="Z81" s="1861"/>
      <c r="AA81" s="1861"/>
      <c r="AB81" s="1861"/>
      <c r="AC81" s="1861"/>
      <c r="AD81" s="1861"/>
      <c r="AE81" s="1861"/>
      <c r="AF81" s="1861"/>
      <c r="AG81" s="1861"/>
      <c r="AH81" s="1861"/>
      <c r="AI81" s="1861"/>
      <c r="AJ81" s="1861"/>
      <c r="AK81" s="1861"/>
      <c r="AL81" s="1861"/>
      <c r="AM81" s="1862"/>
    </row>
    <row r="82" spans="2:39" s="2" customFormat="1" ht="18" customHeight="1"/>
    <row r="83" spans="2:39" ht="18" customHeight="1">
      <c r="B83" s="2191" t="s">
        <v>2188</v>
      </c>
      <c r="C83" s="3015"/>
      <c r="D83" s="3015"/>
      <c r="E83" s="3015"/>
      <c r="F83" s="3015"/>
      <c r="G83" s="3015"/>
      <c r="H83" s="3015"/>
      <c r="I83" s="3015"/>
      <c r="J83" s="3015"/>
      <c r="K83" s="3015"/>
      <c r="L83" s="3015"/>
      <c r="M83" s="3015"/>
      <c r="N83" s="3015"/>
      <c r="O83" s="3015"/>
      <c r="P83" s="3015"/>
      <c r="Q83" s="3015"/>
      <c r="R83" s="3015"/>
      <c r="S83" s="3015"/>
      <c r="T83" s="3015"/>
      <c r="U83" s="3015"/>
      <c r="V83" s="3015"/>
      <c r="W83" s="3015"/>
      <c r="X83" s="3015"/>
      <c r="Y83" s="3015"/>
      <c r="Z83" s="3015"/>
      <c r="AA83" s="3015"/>
      <c r="AB83" s="3015"/>
      <c r="AC83" s="3015"/>
      <c r="AD83" s="3015"/>
      <c r="AE83" s="3015"/>
      <c r="AF83" s="3015"/>
      <c r="AG83" s="3015"/>
      <c r="AH83" s="3015"/>
      <c r="AI83" s="3015"/>
      <c r="AJ83" s="3015"/>
      <c r="AK83" s="3015"/>
      <c r="AL83" s="3015"/>
      <c r="AM83" s="3015"/>
    </row>
    <row r="84" spans="2:39" ht="18" customHeight="1">
      <c r="B84" s="2181" t="s">
        <v>2254</v>
      </c>
      <c r="C84" s="3015"/>
      <c r="D84" s="3015"/>
      <c r="E84" s="3015"/>
      <c r="F84" s="3015"/>
      <c r="G84" s="3015"/>
      <c r="H84" s="3015"/>
      <c r="I84" s="3015"/>
      <c r="J84" s="3015"/>
      <c r="K84" s="3015"/>
      <c r="L84" s="3015"/>
      <c r="M84" s="3015"/>
      <c r="N84" s="3015"/>
      <c r="O84" s="3015"/>
      <c r="P84" s="3015"/>
      <c r="Q84" s="3015"/>
      <c r="R84" s="3015"/>
      <c r="S84" s="3015"/>
      <c r="T84" s="3015"/>
      <c r="U84" s="3015"/>
      <c r="V84" s="3015"/>
      <c r="W84" s="3015"/>
      <c r="X84" s="3015"/>
      <c r="Y84" s="3015"/>
      <c r="Z84" s="3015"/>
      <c r="AA84" s="3015"/>
      <c r="AB84" s="3015"/>
      <c r="AC84" s="3015"/>
      <c r="AD84" s="3015"/>
      <c r="AE84" s="3015"/>
      <c r="AF84" s="3015"/>
      <c r="AG84" s="3015"/>
      <c r="AH84" s="3015"/>
      <c r="AI84" s="3015"/>
      <c r="AJ84" s="3015"/>
      <c r="AK84" s="3015"/>
      <c r="AL84" s="3015"/>
      <c r="AM84" s="3015"/>
    </row>
    <row r="85" spans="2:39" ht="36" customHeight="1">
      <c r="B85" s="3047" t="s">
        <v>2255</v>
      </c>
      <c r="C85" s="1777"/>
      <c r="D85" s="1777"/>
      <c r="E85" s="1777"/>
      <c r="F85" s="1777"/>
      <c r="G85" s="1777"/>
      <c r="H85" s="1777"/>
      <c r="I85" s="1777"/>
      <c r="J85" s="1777"/>
      <c r="K85" s="1778"/>
      <c r="L85" s="3047" t="s">
        <v>2256</v>
      </c>
      <c r="M85" s="1777"/>
      <c r="N85" s="1777"/>
      <c r="O85" s="1777"/>
      <c r="P85" s="1777"/>
      <c r="Q85" s="1777"/>
      <c r="R85" s="1777"/>
      <c r="S85" s="1777"/>
      <c r="T85" s="1778"/>
      <c r="U85" s="3047" t="s">
        <v>2257</v>
      </c>
      <c r="V85" s="1777"/>
      <c r="W85" s="1777"/>
      <c r="X85" s="1777"/>
      <c r="Y85" s="1777"/>
      <c r="Z85" s="1778"/>
      <c r="AA85" s="3047" t="s">
        <v>2258</v>
      </c>
      <c r="AB85" s="1777"/>
      <c r="AC85" s="1777"/>
      <c r="AD85" s="1778"/>
      <c r="AE85" s="3047" t="s">
        <v>2259</v>
      </c>
      <c r="AF85" s="1777"/>
      <c r="AG85" s="1777"/>
      <c r="AH85" s="1778"/>
      <c r="AI85" s="3047" t="s">
        <v>2260</v>
      </c>
      <c r="AJ85" s="1777"/>
      <c r="AK85" s="1777"/>
      <c r="AL85" s="1777"/>
      <c r="AM85" s="1778"/>
    </row>
    <row r="86" spans="2:39" ht="125.25" customHeight="1">
      <c r="B86" s="3068" t="s">
        <v>2261</v>
      </c>
      <c r="C86" s="1777"/>
      <c r="D86" s="1777"/>
      <c r="E86" s="1777"/>
      <c r="F86" s="1777"/>
      <c r="G86" s="1777"/>
      <c r="H86" s="1777"/>
      <c r="I86" s="1777"/>
      <c r="J86" s="1777"/>
      <c r="K86" s="1778"/>
      <c r="L86" s="3017" t="s">
        <v>2262</v>
      </c>
      <c r="M86" s="1777"/>
      <c r="N86" s="1777"/>
      <c r="O86" s="1777"/>
      <c r="P86" s="1777"/>
      <c r="Q86" s="1777"/>
      <c r="R86" s="1777"/>
      <c r="S86" s="1777"/>
      <c r="T86" s="1778"/>
      <c r="U86" s="3068" t="s">
        <v>2263</v>
      </c>
      <c r="V86" s="1777"/>
      <c r="W86" s="1777"/>
      <c r="X86" s="1777"/>
      <c r="Y86" s="1777"/>
      <c r="Z86" s="1778"/>
      <c r="AA86" s="3017" t="s">
        <v>2264</v>
      </c>
      <c r="AB86" s="1777"/>
      <c r="AC86" s="1777"/>
      <c r="AD86" s="1778"/>
      <c r="AE86" s="3017" t="s">
        <v>2265</v>
      </c>
      <c r="AF86" s="1777"/>
      <c r="AG86" s="1777"/>
      <c r="AH86" s="1778"/>
      <c r="AI86" s="3017" t="s">
        <v>2266</v>
      </c>
      <c r="AJ86" s="1777"/>
      <c r="AK86" s="1777"/>
      <c r="AL86" s="1777"/>
      <c r="AM86" s="1778"/>
    </row>
    <row r="87" spans="2:39" ht="36" customHeight="1">
      <c r="B87" s="3029"/>
      <c r="C87" s="1861"/>
      <c r="D87" s="1861"/>
      <c r="E87" s="1861"/>
      <c r="F87" s="1861"/>
      <c r="G87" s="1861"/>
      <c r="H87" s="1861"/>
      <c r="I87" s="1861"/>
      <c r="J87" s="1861"/>
      <c r="K87" s="1862"/>
      <c r="L87" s="3023"/>
      <c r="M87" s="1861"/>
      <c r="N87" s="1861"/>
      <c r="O87" s="1861"/>
      <c r="P87" s="1861"/>
      <c r="Q87" s="1861"/>
      <c r="R87" s="1861"/>
      <c r="S87" s="1861"/>
      <c r="T87" s="1862"/>
      <c r="U87" s="3023"/>
      <c r="V87" s="1861"/>
      <c r="W87" s="1861"/>
      <c r="X87" s="1861"/>
      <c r="Y87" s="1861"/>
      <c r="Z87" s="1862"/>
      <c r="AA87" s="3020"/>
      <c r="AB87" s="1861"/>
      <c r="AC87" s="1861"/>
      <c r="AD87" s="1862"/>
      <c r="AE87" s="3029"/>
      <c r="AF87" s="1861"/>
      <c r="AG87" s="1861"/>
      <c r="AH87" s="1862"/>
      <c r="AI87" s="3023"/>
      <c r="AJ87" s="1861"/>
      <c r="AK87" s="1861"/>
      <c r="AL87" s="1861"/>
      <c r="AM87" s="1862"/>
    </row>
    <row r="88" spans="2:39" ht="36" customHeight="1">
      <c r="B88" s="3029"/>
      <c r="C88" s="1861"/>
      <c r="D88" s="1861"/>
      <c r="E88" s="1861"/>
      <c r="F88" s="1861"/>
      <c r="G88" s="1861"/>
      <c r="H88" s="1861"/>
      <c r="I88" s="1861"/>
      <c r="J88" s="1861"/>
      <c r="K88" s="1862"/>
      <c r="L88" s="3023"/>
      <c r="M88" s="1861"/>
      <c r="N88" s="1861"/>
      <c r="O88" s="1861"/>
      <c r="P88" s="1861"/>
      <c r="Q88" s="1861"/>
      <c r="R88" s="1861"/>
      <c r="S88" s="1861"/>
      <c r="T88" s="1862"/>
      <c r="U88" s="3023"/>
      <c r="V88" s="1861"/>
      <c r="W88" s="1861"/>
      <c r="X88" s="1861"/>
      <c r="Y88" s="1861"/>
      <c r="Z88" s="1862"/>
      <c r="AA88" s="3020"/>
      <c r="AB88" s="1861"/>
      <c r="AC88" s="1861"/>
      <c r="AD88" s="1862"/>
      <c r="AE88" s="3029"/>
      <c r="AF88" s="1861"/>
      <c r="AG88" s="1861"/>
      <c r="AH88" s="1862"/>
      <c r="AI88" s="3023"/>
      <c r="AJ88" s="1861"/>
      <c r="AK88" s="1861"/>
      <c r="AL88" s="1861"/>
      <c r="AM88" s="1862"/>
    </row>
    <row r="89" spans="2:39" ht="36" customHeight="1">
      <c r="B89" s="3029"/>
      <c r="C89" s="1861"/>
      <c r="D89" s="1861"/>
      <c r="E89" s="1861"/>
      <c r="F89" s="1861"/>
      <c r="G89" s="1861"/>
      <c r="H89" s="1861"/>
      <c r="I89" s="1861"/>
      <c r="J89" s="1861"/>
      <c r="K89" s="1862"/>
      <c r="L89" s="3023"/>
      <c r="M89" s="1861"/>
      <c r="N89" s="1861"/>
      <c r="O89" s="1861"/>
      <c r="P89" s="1861"/>
      <c r="Q89" s="1861"/>
      <c r="R89" s="1861"/>
      <c r="S89" s="1861"/>
      <c r="T89" s="1862"/>
      <c r="U89" s="3023"/>
      <c r="V89" s="1861"/>
      <c r="W89" s="1861"/>
      <c r="X89" s="1861"/>
      <c r="Y89" s="1861"/>
      <c r="Z89" s="1862"/>
      <c r="AA89" s="3020"/>
      <c r="AB89" s="1861"/>
      <c r="AC89" s="1861"/>
      <c r="AD89" s="1862"/>
      <c r="AE89" s="3029"/>
      <c r="AF89" s="1861"/>
      <c r="AG89" s="1861"/>
      <c r="AH89" s="1862"/>
      <c r="AI89" s="3023"/>
      <c r="AJ89" s="1861"/>
      <c r="AK89" s="1861"/>
      <c r="AL89" s="1861"/>
      <c r="AM89" s="1862"/>
    </row>
    <row r="90" spans="2:39" ht="36" customHeight="1">
      <c r="B90" s="3029"/>
      <c r="C90" s="1861"/>
      <c r="D90" s="1861"/>
      <c r="E90" s="1861"/>
      <c r="F90" s="1861"/>
      <c r="G90" s="1861"/>
      <c r="H90" s="1861"/>
      <c r="I90" s="1861"/>
      <c r="J90" s="1861"/>
      <c r="K90" s="1862"/>
      <c r="L90" s="3023"/>
      <c r="M90" s="1861"/>
      <c r="N90" s="1861"/>
      <c r="O90" s="1861"/>
      <c r="P90" s="1861"/>
      <c r="Q90" s="1861"/>
      <c r="R90" s="1861"/>
      <c r="S90" s="1861"/>
      <c r="T90" s="1862"/>
      <c r="U90" s="3023"/>
      <c r="V90" s="1861"/>
      <c r="W90" s="1861"/>
      <c r="X90" s="1861"/>
      <c r="Y90" s="1861"/>
      <c r="Z90" s="1862"/>
      <c r="AA90" s="3020"/>
      <c r="AB90" s="1861"/>
      <c r="AC90" s="1861"/>
      <c r="AD90" s="1862"/>
      <c r="AE90" s="3029"/>
      <c r="AF90" s="1861"/>
      <c r="AG90" s="1861"/>
      <c r="AH90" s="1862"/>
      <c r="AI90" s="3023"/>
      <c r="AJ90" s="1861"/>
      <c r="AK90" s="1861"/>
      <c r="AL90" s="1861"/>
      <c r="AM90" s="1862"/>
    </row>
    <row r="91" spans="2:39" ht="36" customHeight="1">
      <c r="B91" s="3029"/>
      <c r="C91" s="1861"/>
      <c r="D91" s="1861"/>
      <c r="E91" s="1861"/>
      <c r="F91" s="1861"/>
      <c r="G91" s="1861"/>
      <c r="H91" s="1861"/>
      <c r="I91" s="1861"/>
      <c r="J91" s="1861"/>
      <c r="K91" s="1862"/>
      <c r="L91" s="3023"/>
      <c r="M91" s="1861"/>
      <c r="N91" s="1861"/>
      <c r="O91" s="1861"/>
      <c r="P91" s="1861"/>
      <c r="Q91" s="1861"/>
      <c r="R91" s="1861"/>
      <c r="S91" s="1861"/>
      <c r="T91" s="1862"/>
      <c r="U91" s="3023"/>
      <c r="V91" s="1861"/>
      <c r="W91" s="1861"/>
      <c r="X91" s="1861"/>
      <c r="Y91" s="1861"/>
      <c r="Z91" s="1862"/>
      <c r="AA91" s="3020"/>
      <c r="AB91" s="1861"/>
      <c r="AC91" s="1861"/>
      <c r="AD91" s="1862"/>
      <c r="AE91" s="3029"/>
      <c r="AF91" s="1861"/>
      <c r="AG91" s="1861"/>
      <c r="AH91" s="1862"/>
      <c r="AI91" s="3023"/>
      <c r="AJ91" s="1861"/>
      <c r="AK91" s="1861"/>
      <c r="AL91" s="1861"/>
      <c r="AM91" s="1862"/>
    </row>
    <row r="92" spans="2:39" ht="36" customHeight="1">
      <c r="B92" s="3029"/>
      <c r="C92" s="1861"/>
      <c r="D92" s="1861"/>
      <c r="E92" s="1861"/>
      <c r="F92" s="1861"/>
      <c r="G92" s="1861"/>
      <c r="H92" s="1861"/>
      <c r="I92" s="1861"/>
      <c r="J92" s="1861"/>
      <c r="K92" s="1862"/>
      <c r="L92" s="3023"/>
      <c r="M92" s="1861"/>
      <c r="N92" s="1861"/>
      <c r="O92" s="1861"/>
      <c r="P92" s="1861"/>
      <c r="Q92" s="1861"/>
      <c r="R92" s="1861"/>
      <c r="S92" s="1861"/>
      <c r="T92" s="1862"/>
      <c r="U92" s="3023"/>
      <c r="V92" s="1861"/>
      <c r="W92" s="1861"/>
      <c r="X92" s="1861"/>
      <c r="Y92" s="1861"/>
      <c r="Z92" s="1862"/>
      <c r="AA92" s="3020"/>
      <c r="AB92" s="1861"/>
      <c r="AC92" s="1861"/>
      <c r="AD92" s="1862"/>
      <c r="AE92" s="3029"/>
      <c r="AF92" s="1861"/>
      <c r="AG92" s="1861"/>
      <c r="AH92" s="1862"/>
      <c r="AI92" s="3023"/>
      <c r="AJ92" s="1861"/>
      <c r="AK92" s="1861"/>
      <c r="AL92" s="1861"/>
      <c r="AM92" s="1862"/>
    </row>
    <row r="93" spans="2:39" s="2" customFormat="1" ht="18" customHeight="1"/>
    <row r="94" spans="2:39" ht="18" customHeight="1">
      <c r="B94" s="2191" t="s">
        <v>2189</v>
      </c>
      <c r="C94" s="3015"/>
      <c r="D94" s="3015"/>
      <c r="E94" s="3015"/>
      <c r="F94" s="3015"/>
      <c r="G94" s="3015"/>
      <c r="H94" s="3015"/>
      <c r="I94" s="3015"/>
      <c r="J94" s="3015"/>
      <c r="K94" s="3015"/>
      <c r="L94" s="3015"/>
      <c r="M94" s="3015"/>
      <c r="N94" s="3015"/>
      <c r="O94" s="3015"/>
      <c r="P94" s="3015"/>
      <c r="Q94" s="3015"/>
      <c r="R94" s="3015"/>
      <c r="S94" s="3015"/>
      <c r="T94" s="3015"/>
      <c r="U94" s="3015"/>
      <c r="V94" s="3015"/>
      <c r="W94" s="3015"/>
      <c r="X94" s="3015"/>
      <c r="Y94" s="3015"/>
      <c r="Z94" s="3015"/>
      <c r="AA94" s="3015"/>
      <c r="AB94" s="3015"/>
      <c r="AC94" s="3015"/>
      <c r="AD94" s="3015"/>
      <c r="AE94" s="3015"/>
      <c r="AF94" s="3015"/>
      <c r="AG94" s="3015"/>
      <c r="AH94" s="3015"/>
      <c r="AI94" s="3015"/>
      <c r="AJ94" s="3015"/>
      <c r="AK94" s="3015"/>
      <c r="AL94" s="3015"/>
      <c r="AM94" s="3015"/>
    </row>
    <row r="95" spans="2:39" ht="105.75" customHeight="1">
      <c r="B95" s="2181" t="s">
        <v>2267</v>
      </c>
      <c r="C95" s="3015"/>
      <c r="D95" s="3015"/>
      <c r="E95" s="3015"/>
      <c r="F95" s="3015"/>
      <c r="G95" s="3015"/>
      <c r="H95" s="3015"/>
      <c r="I95" s="3015"/>
      <c r="J95" s="3015"/>
      <c r="K95" s="3015"/>
      <c r="L95" s="3015"/>
      <c r="M95" s="3015"/>
      <c r="N95" s="3015"/>
      <c r="O95" s="3015"/>
      <c r="P95" s="3015"/>
      <c r="Q95" s="3015"/>
      <c r="R95" s="3015"/>
      <c r="S95" s="3015"/>
      <c r="T95" s="3015"/>
      <c r="U95" s="3015"/>
      <c r="V95" s="3015"/>
      <c r="W95" s="3015"/>
      <c r="X95" s="3015"/>
      <c r="Y95" s="3015"/>
      <c r="Z95" s="3015"/>
      <c r="AA95" s="3015"/>
      <c r="AB95" s="3015"/>
      <c r="AC95" s="3015"/>
      <c r="AD95" s="3015"/>
      <c r="AE95" s="3015"/>
      <c r="AF95" s="3015"/>
      <c r="AG95" s="3015"/>
      <c r="AH95" s="3015"/>
      <c r="AI95" s="3015"/>
      <c r="AJ95" s="3015"/>
      <c r="AK95" s="3015"/>
      <c r="AL95" s="3015"/>
      <c r="AM95" s="3015"/>
    </row>
    <row r="96" spans="2:39" ht="63" customHeight="1">
      <c r="B96" s="3023"/>
      <c r="C96" s="1861"/>
      <c r="D96" s="1861"/>
      <c r="E96" s="1861"/>
      <c r="F96" s="1861"/>
      <c r="G96" s="1861"/>
      <c r="H96" s="1861"/>
      <c r="I96" s="1861"/>
      <c r="J96" s="1861"/>
      <c r="K96" s="1861"/>
      <c r="L96" s="1861"/>
      <c r="M96" s="1861"/>
      <c r="N96" s="1861"/>
      <c r="O96" s="1861"/>
      <c r="P96" s="1861"/>
      <c r="Q96" s="1861"/>
      <c r="R96" s="1861"/>
      <c r="S96" s="1861"/>
      <c r="T96" s="1861"/>
      <c r="U96" s="1861"/>
      <c r="V96" s="1861"/>
      <c r="W96" s="1861"/>
      <c r="X96" s="1861"/>
      <c r="Y96" s="1861"/>
      <c r="Z96" s="1861"/>
      <c r="AA96" s="1861"/>
      <c r="AB96" s="1861"/>
      <c r="AC96" s="1861"/>
      <c r="AD96" s="1861"/>
      <c r="AE96" s="1861"/>
      <c r="AF96" s="1861"/>
      <c r="AG96" s="1861"/>
      <c r="AH96" s="1861"/>
      <c r="AI96" s="1861"/>
      <c r="AJ96" s="1861"/>
      <c r="AK96" s="1861"/>
      <c r="AL96" s="1861"/>
      <c r="AM96" s="1862"/>
    </row>
    <row r="97" spans="2:39" ht="95.25" customHeight="1">
      <c r="B97" s="2181" t="s">
        <v>2268</v>
      </c>
      <c r="C97" s="3015"/>
      <c r="D97" s="3015"/>
      <c r="E97" s="3015"/>
      <c r="F97" s="3015"/>
      <c r="G97" s="3015"/>
      <c r="H97" s="3015"/>
      <c r="I97" s="3015"/>
      <c r="J97" s="3015"/>
      <c r="K97" s="3015"/>
      <c r="L97" s="3015"/>
      <c r="M97" s="3015"/>
      <c r="N97" s="3015"/>
      <c r="O97" s="3015"/>
      <c r="P97" s="3015"/>
      <c r="Q97" s="3015"/>
      <c r="R97" s="3015"/>
      <c r="S97" s="3015"/>
      <c r="T97" s="3015"/>
      <c r="U97" s="3015"/>
      <c r="V97" s="3015"/>
      <c r="W97" s="3015"/>
      <c r="X97" s="3015"/>
      <c r="Y97" s="3015"/>
      <c r="Z97" s="3015"/>
      <c r="AA97" s="3015"/>
      <c r="AB97" s="3015"/>
      <c r="AC97" s="3015"/>
      <c r="AD97" s="3015"/>
      <c r="AE97" s="3015"/>
      <c r="AF97" s="3015"/>
      <c r="AG97" s="3015"/>
      <c r="AH97" s="3015"/>
      <c r="AI97" s="3015"/>
      <c r="AJ97" s="3015"/>
      <c r="AK97" s="3015"/>
      <c r="AL97" s="3015"/>
      <c r="AM97" s="3015"/>
    </row>
    <row r="98" spans="2:39" ht="63" customHeight="1">
      <c r="B98" s="3023"/>
      <c r="C98" s="1861"/>
      <c r="D98" s="1861"/>
      <c r="E98" s="1861"/>
      <c r="F98" s="1861"/>
      <c r="G98" s="1861"/>
      <c r="H98" s="1861"/>
      <c r="I98" s="1861"/>
      <c r="J98" s="1861"/>
      <c r="K98" s="1861"/>
      <c r="L98" s="1861"/>
      <c r="M98" s="1861"/>
      <c r="N98" s="1861"/>
      <c r="O98" s="1861"/>
      <c r="P98" s="1861"/>
      <c r="Q98" s="1861"/>
      <c r="R98" s="1861"/>
      <c r="S98" s="1861"/>
      <c r="T98" s="1861"/>
      <c r="U98" s="1861"/>
      <c r="V98" s="1861"/>
      <c r="W98" s="1861"/>
      <c r="X98" s="1861"/>
      <c r="Y98" s="1861"/>
      <c r="Z98" s="1861"/>
      <c r="AA98" s="1861"/>
      <c r="AB98" s="1861"/>
      <c r="AC98" s="1861"/>
      <c r="AD98" s="1861"/>
      <c r="AE98" s="1861"/>
      <c r="AF98" s="1861"/>
      <c r="AG98" s="1861"/>
      <c r="AH98" s="1861"/>
      <c r="AI98" s="1861"/>
      <c r="AJ98" s="1861"/>
      <c r="AK98" s="1861"/>
      <c r="AL98" s="1861"/>
      <c r="AM98" s="1862"/>
    </row>
    <row r="99" spans="2:39" ht="18" customHeight="1">
      <c r="B99" s="2181" t="s">
        <v>2269</v>
      </c>
      <c r="C99" s="3015"/>
      <c r="D99" s="3015"/>
      <c r="E99" s="3015"/>
      <c r="F99" s="3015"/>
      <c r="G99" s="3015"/>
      <c r="H99" s="3015"/>
      <c r="I99" s="3015"/>
      <c r="J99" s="3015"/>
      <c r="K99" s="3015"/>
      <c r="L99" s="3015"/>
      <c r="M99" s="3015"/>
      <c r="N99" s="3015"/>
      <c r="O99" s="3015"/>
      <c r="P99" s="3015"/>
      <c r="Q99" s="3015"/>
      <c r="R99" s="3015"/>
      <c r="S99" s="3015"/>
      <c r="T99" s="3015"/>
      <c r="U99" s="3015"/>
      <c r="V99" s="3015"/>
      <c r="W99" s="3015"/>
      <c r="X99" s="3015"/>
      <c r="Y99" s="3015"/>
      <c r="Z99" s="3015"/>
      <c r="AA99" s="3015"/>
      <c r="AB99" s="3015"/>
      <c r="AC99" s="3015"/>
      <c r="AD99" s="3015"/>
      <c r="AE99" s="3015"/>
      <c r="AF99" s="3015"/>
      <c r="AG99" s="3015"/>
      <c r="AH99" s="3015"/>
      <c r="AI99" s="3015"/>
      <c r="AJ99" s="3015"/>
      <c r="AK99" s="3015"/>
      <c r="AL99" s="3015"/>
      <c r="AM99" s="3015"/>
    </row>
    <row r="100" spans="2:39" ht="54" customHeight="1">
      <c r="B100" s="3023"/>
      <c r="C100" s="1861"/>
      <c r="D100" s="1861"/>
      <c r="E100" s="1861"/>
      <c r="F100" s="1861"/>
      <c r="G100" s="1861"/>
      <c r="H100" s="1861"/>
      <c r="I100" s="1861"/>
      <c r="J100" s="1861"/>
      <c r="K100" s="1861"/>
      <c r="L100" s="1861"/>
      <c r="M100" s="1861"/>
      <c r="N100" s="1861"/>
      <c r="O100" s="1861"/>
      <c r="P100" s="1861"/>
      <c r="Q100" s="1861"/>
      <c r="R100" s="1861"/>
      <c r="S100" s="1861"/>
      <c r="T100" s="1861"/>
      <c r="U100" s="1861"/>
      <c r="V100" s="1861"/>
      <c r="W100" s="1861"/>
      <c r="X100" s="1861"/>
      <c r="Y100" s="1861"/>
      <c r="Z100" s="1861"/>
      <c r="AA100" s="1861"/>
      <c r="AB100" s="1861"/>
      <c r="AC100" s="1861"/>
      <c r="AD100" s="1861"/>
      <c r="AE100" s="1861"/>
      <c r="AF100" s="1861"/>
      <c r="AG100" s="1861"/>
      <c r="AH100" s="1861"/>
      <c r="AI100" s="1861"/>
      <c r="AJ100" s="1861"/>
      <c r="AK100" s="1861"/>
      <c r="AL100" s="1861"/>
      <c r="AM100" s="1862"/>
    </row>
    <row r="101" spans="2:39" ht="18" customHeight="1">
      <c r="B101" s="2181" t="s">
        <v>2270</v>
      </c>
      <c r="C101" s="3015"/>
      <c r="D101" s="3015"/>
      <c r="E101" s="3015"/>
      <c r="F101" s="3015"/>
      <c r="G101" s="3015"/>
      <c r="H101" s="3015"/>
      <c r="I101" s="3015"/>
      <c r="J101" s="3015"/>
      <c r="K101" s="3015"/>
      <c r="L101" s="3015"/>
      <c r="M101" s="3015"/>
      <c r="N101" s="3015"/>
      <c r="O101" s="3015"/>
      <c r="P101" s="3015"/>
      <c r="Q101" s="3015"/>
      <c r="R101" s="3015"/>
      <c r="S101" s="3015"/>
      <c r="T101" s="3015"/>
      <c r="U101" s="3015"/>
      <c r="V101" s="3015"/>
      <c r="W101" s="3015"/>
      <c r="X101" s="3015"/>
      <c r="Y101" s="3015"/>
      <c r="Z101" s="3015"/>
      <c r="AA101" s="3015"/>
      <c r="AB101" s="3015"/>
      <c r="AC101" s="3015"/>
      <c r="AD101" s="3015"/>
      <c r="AE101" s="3015"/>
      <c r="AF101" s="3015"/>
      <c r="AG101" s="3015"/>
      <c r="AH101" s="3015"/>
      <c r="AI101" s="3015"/>
      <c r="AJ101" s="3015"/>
      <c r="AK101" s="3015"/>
      <c r="AL101" s="3015"/>
      <c r="AM101" s="3015"/>
    </row>
    <row r="102" spans="2:39" ht="18" customHeight="1">
      <c r="B102" s="3015" t="s">
        <v>2271</v>
      </c>
      <c r="C102" s="3015"/>
      <c r="D102" s="3015"/>
      <c r="E102" s="3015"/>
      <c r="F102" s="3015"/>
      <c r="G102" s="3015"/>
      <c r="H102" s="3015"/>
      <c r="I102" s="3015"/>
      <c r="J102" s="3015"/>
      <c r="K102" s="3015"/>
      <c r="L102" s="3015"/>
      <c r="M102" s="3015"/>
      <c r="N102" s="3015"/>
      <c r="O102" s="3015"/>
      <c r="P102" s="3031"/>
      <c r="Q102" s="1861"/>
      <c r="R102" s="1861"/>
      <c r="S102" s="1861"/>
      <c r="T102" s="1861"/>
      <c r="U102" s="1861"/>
      <c r="V102" s="1861"/>
      <c r="W102" s="1861"/>
      <c r="X102" s="1861"/>
      <c r="Y102" s="1861"/>
      <c r="Z102" s="1861"/>
      <c r="AA102" s="1861"/>
      <c r="AB102" s="1862"/>
    </row>
    <row r="103" spans="2:39" s="398" customFormat="1" ht="18" customHeight="1">
      <c r="B103" s="2466" t="s">
        <v>2272</v>
      </c>
      <c r="C103" s="2181"/>
      <c r="D103" s="2181"/>
      <c r="E103" s="2181"/>
      <c r="F103" s="2181"/>
      <c r="G103" s="2181"/>
      <c r="H103" s="2181"/>
      <c r="I103" s="2181"/>
      <c r="J103" s="2181"/>
      <c r="K103" s="2181"/>
      <c r="L103" s="2181"/>
      <c r="M103" s="2181"/>
      <c r="N103" s="2181"/>
      <c r="O103" s="2181"/>
      <c r="P103" s="3024"/>
      <c r="Q103" s="1861"/>
      <c r="R103" s="1861"/>
      <c r="S103" s="1861"/>
      <c r="T103" s="1861"/>
      <c r="U103" s="1861"/>
      <c r="V103" s="1861"/>
      <c r="W103" s="1861"/>
      <c r="X103" s="1861"/>
      <c r="Y103" s="1861"/>
      <c r="Z103" s="1861"/>
      <c r="AA103" s="1861"/>
      <c r="AB103" s="1862"/>
    </row>
    <row r="104" spans="2:39" ht="18" customHeight="1">
      <c r="B104" s="3015" t="s">
        <v>2273</v>
      </c>
      <c r="C104" s="3015"/>
      <c r="D104" s="3015"/>
      <c r="E104" s="3015"/>
      <c r="F104" s="3015"/>
      <c r="G104" s="3015"/>
      <c r="H104" s="3015"/>
      <c r="I104" s="3015"/>
      <c r="J104" s="3015"/>
      <c r="K104" s="3015"/>
      <c r="L104" s="3015"/>
      <c r="M104" s="3015"/>
      <c r="N104" s="3015"/>
      <c r="O104" s="3015"/>
      <c r="P104" s="3031"/>
      <c r="Q104" s="1861"/>
      <c r="R104" s="1861"/>
      <c r="S104" s="1861"/>
      <c r="T104" s="1861"/>
      <c r="U104" s="1861"/>
      <c r="V104" s="1861"/>
      <c r="W104" s="1861"/>
      <c r="X104" s="1861"/>
      <c r="Y104" s="1861"/>
      <c r="Z104" s="1861"/>
      <c r="AA104" s="1861"/>
      <c r="AB104" s="1862"/>
    </row>
    <row r="105" spans="2:39" ht="18" customHeight="1">
      <c r="B105" s="3015" t="s">
        <v>2274</v>
      </c>
      <c r="C105" s="3015"/>
      <c r="D105" s="3015"/>
      <c r="E105" s="3015"/>
      <c r="F105" s="3015"/>
      <c r="G105" s="3015"/>
      <c r="H105" s="3015"/>
      <c r="I105" s="3015"/>
      <c r="J105" s="3015"/>
      <c r="K105" s="3015"/>
      <c r="L105" s="3015"/>
      <c r="M105" s="3015"/>
      <c r="N105" s="3015"/>
      <c r="O105" s="3015"/>
      <c r="P105" s="3044"/>
      <c r="Q105" s="1864"/>
      <c r="R105" s="1864"/>
      <c r="S105" s="1864"/>
      <c r="T105" s="1864"/>
      <c r="U105" s="1864"/>
      <c r="V105" s="1864"/>
      <c r="W105" s="1864"/>
      <c r="X105" s="1864"/>
      <c r="Y105" s="1864"/>
      <c r="Z105" s="1864"/>
      <c r="AA105" s="1864"/>
      <c r="AB105" s="1865"/>
    </row>
    <row r="106" spans="2:39" ht="54" customHeight="1">
      <c r="B106" s="3023"/>
      <c r="C106" s="1861"/>
      <c r="D106" s="1861"/>
      <c r="E106" s="1861"/>
      <c r="F106" s="1861"/>
      <c r="G106" s="1861"/>
      <c r="H106" s="1861"/>
      <c r="I106" s="1861"/>
      <c r="J106" s="1861"/>
      <c r="K106" s="1861"/>
      <c r="L106" s="1861"/>
      <c r="M106" s="1861"/>
      <c r="N106" s="1861"/>
      <c r="O106" s="1861"/>
      <c r="P106" s="1861"/>
      <c r="Q106" s="1861"/>
      <c r="R106" s="1861"/>
      <c r="S106" s="1861"/>
      <c r="T106" s="1861"/>
      <c r="U106" s="1861"/>
      <c r="V106" s="1861"/>
      <c r="W106" s="1861"/>
      <c r="X106" s="1861"/>
      <c r="Y106" s="1861"/>
      <c r="Z106" s="1861"/>
      <c r="AA106" s="1861"/>
      <c r="AB106" s="1862"/>
    </row>
    <row r="107" spans="2:39" s="110" customFormat="1" ht="139.5" customHeight="1">
      <c r="B107" s="2181" t="s">
        <v>2275</v>
      </c>
      <c r="C107" s="3019"/>
      <c r="D107" s="3019"/>
      <c r="E107" s="3019"/>
      <c r="F107" s="3019"/>
      <c r="G107" s="3019"/>
      <c r="H107" s="3019"/>
      <c r="I107" s="3019"/>
      <c r="J107" s="3019"/>
      <c r="K107" s="3019"/>
      <c r="L107" s="3019"/>
      <c r="M107" s="3019"/>
      <c r="N107" s="3019"/>
      <c r="O107" s="3019"/>
      <c r="P107" s="3019"/>
      <c r="Q107" s="3019"/>
      <c r="R107" s="3019"/>
      <c r="S107" s="3019"/>
      <c r="T107" s="3019"/>
      <c r="U107" s="3019"/>
      <c r="V107" s="3019"/>
      <c r="W107" s="3019"/>
      <c r="X107" s="3019"/>
      <c r="Y107" s="3019"/>
      <c r="Z107" s="3019"/>
      <c r="AA107" s="3019"/>
      <c r="AB107" s="3019"/>
      <c r="AC107" s="3019"/>
      <c r="AD107" s="3019"/>
      <c r="AE107" s="3019"/>
      <c r="AF107" s="3019"/>
      <c r="AG107" s="3019"/>
      <c r="AH107" s="3019"/>
      <c r="AI107" s="3019"/>
      <c r="AJ107" s="3019"/>
      <c r="AK107" s="3019"/>
      <c r="AL107" s="3019"/>
      <c r="AM107" s="3019"/>
    </row>
    <row r="108" spans="2:39" s="110" customFormat="1" ht="18" customHeight="1">
      <c r="B108" s="2191" t="s">
        <v>2276</v>
      </c>
      <c r="C108" s="3019"/>
      <c r="D108" s="3019"/>
      <c r="E108" s="3019"/>
      <c r="F108" s="3019"/>
      <c r="G108" s="3019"/>
      <c r="H108" s="3019"/>
      <c r="I108" s="3019"/>
      <c r="J108" s="3019"/>
      <c r="K108" s="3019"/>
      <c r="L108" s="3019"/>
      <c r="M108" s="3019"/>
      <c r="N108" s="3019"/>
      <c r="O108" s="3019"/>
      <c r="P108" s="3019"/>
      <c r="Q108" s="3019"/>
      <c r="R108" s="3019"/>
      <c r="S108" s="3019"/>
      <c r="T108" s="3019"/>
      <c r="U108" s="3019"/>
      <c r="V108" s="3019"/>
      <c r="W108" s="3019"/>
      <c r="X108" s="3019"/>
      <c r="Y108" s="3019"/>
      <c r="Z108" s="3019"/>
      <c r="AA108" s="3019"/>
      <c r="AB108" s="3019"/>
    </row>
    <row r="109" spans="2:39" s="387" customFormat="1" ht="18" customHeight="1">
      <c r="B109" s="3016" t="s">
        <v>2277</v>
      </c>
      <c r="C109" s="1777"/>
      <c r="D109" s="1777"/>
      <c r="E109" s="1778"/>
      <c r="F109" s="3024"/>
      <c r="G109" s="1861"/>
      <c r="H109" s="1861"/>
      <c r="I109" s="1861"/>
      <c r="J109" s="1861"/>
      <c r="K109" s="1861"/>
      <c r="L109" s="1861"/>
      <c r="M109" s="1861"/>
      <c r="N109" s="1861"/>
      <c r="O109" s="1861"/>
      <c r="P109" s="1861"/>
      <c r="Q109" s="1861"/>
      <c r="R109" s="1861"/>
      <c r="S109" s="1861"/>
      <c r="T109" s="1861"/>
      <c r="U109" s="1861"/>
      <c r="V109" s="1861"/>
      <c r="W109" s="1861"/>
      <c r="X109" s="1861"/>
      <c r="Y109" s="1861"/>
      <c r="Z109" s="1861"/>
      <c r="AA109" s="1861"/>
      <c r="AB109" s="1862"/>
      <c r="AC109" s="76"/>
      <c r="AD109" s="76"/>
    </row>
    <row r="110" spans="2:39" s="387" customFormat="1" ht="18" customHeight="1">
      <c r="B110" s="3016" t="s">
        <v>2278</v>
      </c>
      <c r="C110" s="1777"/>
      <c r="D110" s="1777"/>
      <c r="E110" s="1777"/>
      <c r="F110" s="1778"/>
      <c r="G110" s="3024"/>
      <c r="H110" s="1861"/>
      <c r="I110" s="1861"/>
      <c r="J110" s="1861"/>
      <c r="K110" s="1861"/>
      <c r="L110" s="1861"/>
      <c r="M110" s="1861"/>
      <c r="N110" s="1861"/>
      <c r="O110" s="1861"/>
      <c r="P110" s="1861"/>
      <c r="Q110" s="1861"/>
      <c r="R110" s="1861"/>
      <c r="S110" s="1861"/>
      <c r="T110" s="1861"/>
      <c r="U110" s="1861"/>
      <c r="V110" s="1861"/>
      <c r="W110" s="1861"/>
      <c r="X110" s="1861"/>
      <c r="Y110" s="1861"/>
      <c r="Z110" s="1861"/>
      <c r="AA110" s="1861"/>
      <c r="AB110" s="1862"/>
      <c r="AC110" s="76"/>
      <c r="AD110" s="76"/>
    </row>
    <row r="111" spans="2:39" s="387" customFormat="1" ht="18" customHeight="1">
      <c r="B111" s="3016" t="s">
        <v>1300</v>
      </c>
      <c r="C111" s="1777"/>
      <c r="D111" s="1777"/>
      <c r="E111" s="1777"/>
      <c r="F111" s="1778"/>
      <c r="G111" s="3024"/>
      <c r="H111" s="1861"/>
      <c r="I111" s="1861"/>
      <c r="J111" s="1861"/>
      <c r="K111" s="1861"/>
      <c r="L111" s="1861"/>
      <c r="M111" s="1861"/>
      <c r="N111" s="1861"/>
      <c r="O111" s="1861"/>
      <c r="P111" s="1861"/>
      <c r="Q111" s="1861"/>
      <c r="R111" s="1861"/>
      <c r="S111" s="1861"/>
      <c r="T111" s="1861"/>
      <c r="U111" s="1861"/>
      <c r="V111" s="1862"/>
      <c r="W111" s="3026" t="s">
        <v>2279</v>
      </c>
      <c r="X111" s="1777"/>
      <c r="Y111" s="1777"/>
      <c r="Z111" s="1777"/>
      <c r="AA111" s="1777"/>
      <c r="AB111" s="1778"/>
      <c r="AC111" s="3078">
        <f>'Unit Mix'!$S$8</f>
        <v>0</v>
      </c>
      <c r="AD111" s="1778"/>
    </row>
    <row r="112" spans="2:39" s="387" customFormat="1" ht="18" customHeight="1">
      <c r="B112" s="3016" t="s">
        <v>2280</v>
      </c>
      <c r="C112" s="1777"/>
      <c r="D112" s="1777"/>
      <c r="E112" s="1777"/>
      <c r="F112" s="1778"/>
      <c r="G112" s="3024"/>
      <c r="H112" s="1861"/>
      <c r="I112" s="1861"/>
      <c r="J112" s="1861"/>
      <c r="K112" s="1861"/>
      <c r="L112" s="1861"/>
      <c r="M112" s="1861"/>
      <c r="N112" s="1861"/>
      <c r="O112" s="1861"/>
      <c r="P112" s="1861"/>
      <c r="Q112" s="1861"/>
      <c r="R112" s="1861"/>
      <c r="S112" s="1861"/>
      <c r="T112" s="1861"/>
      <c r="U112" s="1861"/>
      <c r="V112" s="1861"/>
      <c r="W112" s="1861"/>
      <c r="X112" s="1861"/>
      <c r="Y112" s="1861"/>
      <c r="Z112" s="1861"/>
      <c r="AA112" s="1861"/>
      <c r="AB112" s="1862"/>
    </row>
    <row r="113" spans="2:39" s="387" customFormat="1" ht="18" customHeight="1">
      <c r="B113" s="3016" t="s">
        <v>2281</v>
      </c>
      <c r="C113" s="1777"/>
      <c r="D113" s="1778"/>
      <c r="E113" s="3024"/>
      <c r="F113" s="1861"/>
      <c r="G113" s="1861"/>
      <c r="H113" s="1861"/>
      <c r="I113" s="1861"/>
      <c r="J113" s="1861"/>
      <c r="K113" s="1861"/>
      <c r="L113" s="1861"/>
      <c r="M113" s="1861"/>
      <c r="N113" s="1861"/>
      <c r="O113" s="1861"/>
      <c r="P113" s="1861"/>
      <c r="Q113" s="1862"/>
      <c r="R113" s="3026" t="s">
        <v>2282</v>
      </c>
      <c r="S113" s="1777"/>
      <c r="T113" s="1777"/>
      <c r="U113" s="1778"/>
      <c r="V113" s="3024"/>
      <c r="W113" s="1861"/>
      <c r="X113" s="1861"/>
      <c r="Y113" s="1861"/>
      <c r="Z113" s="1861"/>
      <c r="AA113" s="1861"/>
      <c r="AB113" s="1862"/>
    </row>
    <row r="114" spans="2:39" s="387" customFormat="1" ht="18" customHeight="1">
      <c r="B114" s="3016" t="s">
        <v>2283</v>
      </c>
      <c r="C114" s="1777"/>
      <c r="D114" s="1777"/>
      <c r="E114" s="1777"/>
      <c r="F114" s="1778"/>
      <c r="G114" s="3064"/>
      <c r="H114" s="1864"/>
      <c r="I114" s="1864"/>
      <c r="J114" s="1864"/>
      <c r="K114" s="1864"/>
      <c r="L114" s="1864"/>
      <c r="M114" s="1864"/>
      <c r="N114" s="1864"/>
      <c r="O114" s="1864"/>
      <c r="P114" s="1864"/>
      <c r="Q114" s="1864"/>
      <c r="R114" s="1864"/>
      <c r="S114" s="1864"/>
      <c r="T114" s="1864"/>
      <c r="U114" s="1864"/>
      <c r="V114" s="1864"/>
      <c r="W114" s="1864"/>
      <c r="X114" s="1864"/>
      <c r="Y114" s="1864"/>
      <c r="Z114" s="1864"/>
      <c r="AA114" s="1864"/>
      <c r="AB114" s="1865"/>
    </row>
    <row r="115" spans="2:39" s="387" customFormat="1" ht="36" customHeight="1">
      <c r="B115" s="3016" t="s">
        <v>2284</v>
      </c>
      <c r="C115" s="1777"/>
      <c r="D115" s="1777"/>
      <c r="E115" s="1777"/>
      <c r="F115" s="1778"/>
      <c r="G115" s="3025"/>
      <c r="H115" s="1861"/>
      <c r="I115" s="1861"/>
      <c r="J115" s="1861"/>
      <c r="K115" s="1861"/>
      <c r="L115" s="1861"/>
      <c r="M115" s="1861"/>
      <c r="N115" s="1861"/>
      <c r="O115" s="1861"/>
      <c r="P115" s="1861"/>
      <c r="Q115" s="1861"/>
      <c r="R115" s="1861"/>
      <c r="S115" s="1861"/>
      <c r="T115" s="1861"/>
      <c r="U115" s="1861"/>
      <c r="V115" s="1861"/>
      <c r="W115" s="1861"/>
      <c r="X115" s="1861"/>
      <c r="Y115" s="1861"/>
      <c r="Z115" s="1861"/>
      <c r="AA115" s="1861"/>
      <c r="AB115" s="1861"/>
      <c r="AC115" s="1861"/>
      <c r="AD115" s="1861"/>
      <c r="AE115" s="1861"/>
      <c r="AF115" s="1861"/>
      <c r="AG115" s="1861"/>
      <c r="AH115" s="1861"/>
      <c r="AI115" s="1861"/>
      <c r="AJ115" s="1861"/>
      <c r="AK115" s="1861"/>
      <c r="AL115" s="1861"/>
      <c r="AM115" s="1862"/>
    </row>
    <row r="116" spans="2:39" s="384" customFormat="1" ht="18" customHeight="1"/>
    <row r="117" spans="2:39" s="110" customFormat="1" ht="18" customHeight="1">
      <c r="B117" s="2191" t="s">
        <v>2285</v>
      </c>
      <c r="C117" s="3019"/>
      <c r="D117" s="3019"/>
      <c r="E117" s="3019"/>
      <c r="F117" s="3019"/>
      <c r="G117" s="3019"/>
      <c r="H117" s="3019"/>
      <c r="I117" s="3019"/>
      <c r="J117" s="3019"/>
      <c r="K117" s="3019"/>
      <c r="L117" s="3019"/>
      <c r="M117" s="3019"/>
      <c r="N117" s="3019"/>
      <c r="O117" s="3019"/>
      <c r="P117" s="3019"/>
      <c r="Q117" s="3019"/>
      <c r="R117" s="3019"/>
      <c r="S117" s="3019"/>
      <c r="T117" s="3019"/>
      <c r="U117" s="3019"/>
      <c r="V117" s="3019"/>
      <c r="W117" s="3019"/>
      <c r="X117" s="3019"/>
      <c r="Y117" s="3019"/>
      <c r="Z117" s="3019"/>
      <c r="AA117" s="3019"/>
      <c r="AB117" s="3019"/>
      <c r="AC117" s="3019"/>
      <c r="AD117" s="3019"/>
      <c r="AE117" s="3019"/>
      <c r="AF117" s="3019"/>
      <c r="AG117" s="3019"/>
      <c r="AH117" s="3019"/>
      <c r="AI117" s="3019"/>
      <c r="AJ117" s="3019"/>
      <c r="AK117" s="3019"/>
      <c r="AL117" s="3019"/>
      <c r="AM117" s="3019"/>
    </row>
    <row r="118" spans="2:39" s="110" customFormat="1" ht="36" customHeight="1">
      <c r="B118" s="2181" t="s">
        <v>2286</v>
      </c>
      <c r="C118" s="3019"/>
      <c r="D118" s="3019"/>
      <c r="E118" s="3019"/>
      <c r="F118" s="3019"/>
      <c r="G118" s="3019"/>
      <c r="H118" s="3019"/>
      <c r="I118" s="3019"/>
      <c r="J118" s="3019"/>
      <c r="K118" s="3019"/>
      <c r="L118" s="3019"/>
      <c r="M118" s="3019"/>
      <c r="N118" s="3019"/>
      <c r="O118" s="3019"/>
      <c r="P118" s="3019"/>
      <c r="Q118" s="3019"/>
      <c r="R118" s="3019"/>
      <c r="S118" s="3019"/>
      <c r="T118" s="3019"/>
      <c r="U118" s="3019"/>
      <c r="V118" s="3019"/>
      <c r="W118" s="3019"/>
      <c r="X118" s="3019"/>
      <c r="Y118" s="3019"/>
      <c r="Z118" s="3019"/>
      <c r="AA118" s="3019"/>
      <c r="AB118" s="3019"/>
      <c r="AC118" s="3019"/>
      <c r="AD118" s="3019"/>
      <c r="AE118" s="3019"/>
      <c r="AF118" s="3019"/>
      <c r="AG118" s="3019"/>
      <c r="AH118" s="3019"/>
      <c r="AI118" s="3019"/>
      <c r="AJ118" s="3019"/>
      <c r="AK118" s="3019"/>
      <c r="AL118" s="3019"/>
      <c r="AM118" s="3019"/>
    </row>
    <row r="119" spans="2:39" s="110" customFormat="1" ht="18" customHeight="1">
      <c r="B119" s="2181" t="s">
        <v>2287</v>
      </c>
      <c r="C119" s="3019"/>
      <c r="D119" s="3019"/>
      <c r="E119" s="3019"/>
      <c r="F119" s="3019"/>
      <c r="G119" s="3019"/>
      <c r="H119" s="3019"/>
      <c r="I119" s="3019"/>
      <c r="J119" s="3019"/>
      <c r="K119" s="3019"/>
      <c r="L119" s="3019"/>
      <c r="M119" s="3019"/>
      <c r="N119" s="3019"/>
      <c r="O119" s="3019"/>
      <c r="P119" s="3019"/>
      <c r="Q119" s="3019"/>
      <c r="R119" s="3019"/>
      <c r="S119" s="3019"/>
      <c r="T119" s="3019"/>
      <c r="U119" s="3019"/>
      <c r="V119" s="3019"/>
      <c r="W119" s="3019"/>
      <c r="X119" s="3019"/>
      <c r="Y119" s="3019"/>
      <c r="Z119" s="3019"/>
      <c r="AA119" s="3019"/>
      <c r="AB119" s="3019"/>
      <c r="AC119" s="3019"/>
      <c r="AD119" s="3019"/>
      <c r="AE119" s="3019"/>
      <c r="AF119" s="3019"/>
      <c r="AG119" s="3019"/>
      <c r="AH119" s="3019"/>
      <c r="AI119" s="3019"/>
      <c r="AJ119" s="3019"/>
      <c r="AK119" s="3019"/>
      <c r="AL119" s="1968"/>
      <c r="AM119" s="1862"/>
    </row>
    <row r="120" spans="2:39" s="76" customFormat="1" ht="18" customHeight="1"/>
    <row r="121" spans="2:39" s="110" customFormat="1" ht="18" customHeight="1">
      <c r="B121" s="2191" t="s">
        <v>2288</v>
      </c>
      <c r="C121" s="3019"/>
      <c r="D121" s="3019"/>
      <c r="E121" s="3019"/>
      <c r="F121" s="3019"/>
      <c r="G121" s="3019"/>
      <c r="H121" s="3019"/>
      <c r="I121" s="3019"/>
      <c r="J121" s="3019"/>
      <c r="K121" s="3019"/>
      <c r="L121" s="3019"/>
      <c r="M121" s="3019"/>
      <c r="N121" s="3019"/>
      <c r="O121" s="3019"/>
      <c r="P121" s="3019"/>
      <c r="Q121" s="3019"/>
      <c r="R121" s="3019"/>
      <c r="S121" s="3019"/>
      <c r="T121" s="3019"/>
      <c r="U121" s="3019"/>
      <c r="V121" s="3019"/>
      <c r="W121" s="3019"/>
      <c r="X121" s="3019"/>
      <c r="Y121" s="3019"/>
      <c r="Z121" s="3019"/>
      <c r="AA121" s="3019"/>
      <c r="AB121" s="3019"/>
      <c r="AC121" s="3019"/>
      <c r="AD121" s="3019"/>
      <c r="AE121" s="3019"/>
      <c r="AF121" s="3019"/>
      <c r="AG121" s="3019"/>
      <c r="AH121" s="3019"/>
      <c r="AI121" s="3019"/>
      <c r="AJ121" s="3019"/>
      <c r="AK121" s="3019"/>
      <c r="AL121" s="3019"/>
      <c r="AM121" s="3019"/>
    </row>
    <row r="122" spans="2:39" s="110" customFormat="1" ht="18" customHeight="1">
      <c r="B122" s="3015" t="s">
        <v>2289</v>
      </c>
      <c r="C122" s="3019"/>
      <c r="D122" s="3019"/>
      <c r="E122" s="3019"/>
      <c r="F122" s="3019"/>
      <c r="G122" s="3019"/>
      <c r="H122" s="3019"/>
      <c r="I122" s="3019"/>
      <c r="J122" s="3019"/>
      <c r="K122" s="3019"/>
      <c r="L122" s="3019"/>
      <c r="M122" s="3019"/>
      <c r="N122" s="3019"/>
      <c r="O122" s="3019"/>
      <c r="P122" s="3019"/>
      <c r="Q122" s="3019"/>
      <c r="R122" s="3019"/>
      <c r="S122" s="3019"/>
      <c r="T122" s="3019"/>
      <c r="U122" s="3019"/>
      <c r="V122" s="3019"/>
      <c r="W122" s="3019"/>
      <c r="X122" s="3019"/>
      <c r="Y122" s="3019"/>
      <c r="Z122" s="3019"/>
      <c r="AA122" s="3019"/>
      <c r="AB122" s="3019"/>
      <c r="AC122" s="3019"/>
      <c r="AD122" s="3019"/>
      <c r="AE122" s="3019"/>
      <c r="AF122" s="3019"/>
      <c r="AG122" s="3019"/>
      <c r="AH122" s="3019"/>
      <c r="AI122" s="3019"/>
      <c r="AJ122" s="3019"/>
      <c r="AK122" s="3019"/>
      <c r="AL122" s="1968"/>
      <c r="AM122" s="1862"/>
    </row>
    <row r="123" spans="2:39" ht="36" customHeight="1">
      <c r="B123" s="2181" t="s">
        <v>2290</v>
      </c>
      <c r="C123" s="3015"/>
      <c r="D123" s="3015"/>
      <c r="E123" s="3015"/>
      <c r="F123" s="3015"/>
      <c r="G123" s="3015"/>
      <c r="H123" s="3015"/>
      <c r="I123" s="3015"/>
      <c r="J123" s="3015"/>
      <c r="K123" s="3015"/>
      <c r="L123" s="3015"/>
      <c r="M123" s="3015"/>
      <c r="N123" s="3015"/>
      <c r="O123" s="3015"/>
      <c r="P123" s="3015"/>
      <c r="Q123" s="3015"/>
      <c r="R123" s="3015"/>
      <c r="S123" s="3015"/>
      <c r="T123" s="3015"/>
      <c r="U123" s="3015"/>
      <c r="V123" s="3015"/>
      <c r="W123" s="3015"/>
      <c r="X123" s="3015"/>
      <c r="Y123" s="3015"/>
      <c r="Z123" s="3015"/>
      <c r="AA123" s="3015"/>
      <c r="AB123" s="3015"/>
      <c r="AC123" s="3015"/>
      <c r="AD123" s="3015"/>
      <c r="AE123" s="3015"/>
      <c r="AF123" s="3015"/>
      <c r="AG123" s="3015"/>
      <c r="AH123" s="3015"/>
      <c r="AI123" s="3015"/>
      <c r="AJ123" s="3015"/>
      <c r="AK123" s="3015"/>
      <c r="AL123" s="1968"/>
      <c r="AM123" s="1862"/>
    </row>
    <row r="124" spans="2:39" s="110" customFormat="1" ht="18" customHeight="1">
      <c r="B124" s="2181" t="s">
        <v>2291</v>
      </c>
      <c r="C124" s="3019"/>
      <c r="D124" s="3019"/>
      <c r="E124" s="3019"/>
      <c r="F124" s="3019"/>
      <c r="G124" s="3019"/>
      <c r="H124" s="3019"/>
      <c r="I124" s="3019"/>
      <c r="J124" s="3019"/>
      <c r="K124" s="3019"/>
      <c r="L124" s="3019"/>
      <c r="M124" s="3019"/>
      <c r="N124" s="3019"/>
      <c r="O124" s="3019"/>
      <c r="P124" s="3019"/>
      <c r="Q124" s="3019"/>
      <c r="R124" s="3019"/>
      <c r="S124" s="3019"/>
      <c r="T124" s="3019"/>
      <c r="U124" s="3019"/>
      <c r="V124" s="3019"/>
      <c r="W124" s="3019"/>
      <c r="X124" s="3019"/>
      <c r="Y124" s="3019"/>
      <c r="Z124" s="3019"/>
      <c r="AA124" s="3019"/>
      <c r="AB124" s="3019"/>
      <c r="AC124" s="3019"/>
      <c r="AD124" s="3019"/>
      <c r="AE124" s="3019"/>
      <c r="AF124" s="3019"/>
      <c r="AG124" s="3019"/>
      <c r="AH124" s="3019"/>
      <c r="AI124" s="3019"/>
      <c r="AJ124" s="3019"/>
      <c r="AK124" s="3019"/>
      <c r="AL124" s="1968"/>
      <c r="AM124" s="1862"/>
    </row>
    <row r="125" spans="2:39" s="110" customFormat="1" ht="18" customHeight="1">
      <c r="B125" s="2181" t="s">
        <v>2292</v>
      </c>
      <c r="C125" s="3019"/>
      <c r="D125" s="3019"/>
      <c r="E125" s="3019"/>
      <c r="F125" s="3019"/>
      <c r="G125" s="3019"/>
      <c r="H125" s="3019"/>
      <c r="I125" s="3019"/>
      <c r="J125" s="3019"/>
      <c r="K125" s="3019"/>
      <c r="L125" s="3019"/>
      <c r="M125" s="3019"/>
      <c r="N125" s="3019"/>
      <c r="O125" s="3019"/>
      <c r="P125" s="3019"/>
      <c r="Q125" s="3019"/>
      <c r="R125" s="3019"/>
      <c r="S125" s="3019"/>
      <c r="T125" s="3019"/>
      <c r="U125" s="3019"/>
      <c r="V125" s="3019"/>
      <c r="W125" s="3019"/>
      <c r="X125" s="3019"/>
      <c r="Y125" s="3019"/>
      <c r="Z125" s="3019"/>
      <c r="AA125" s="3019"/>
      <c r="AB125" s="3019"/>
      <c r="AC125" s="3019"/>
      <c r="AD125" s="3019"/>
      <c r="AE125" s="3019"/>
      <c r="AF125" s="3019"/>
      <c r="AG125" s="3019"/>
      <c r="AH125" s="3019"/>
      <c r="AI125" s="3019"/>
      <c r="AJ125" s="3019"/>
      <c r="AK125" s="3019"/>
      <c r="AL125" s="1968"/>
      <c r="AM125" s="1862"/>
    </row>
    <row r="126" spans="2:39" s="387" customFormat="1" ht="18" customHeight="1">
      <c r="B126" s="3051" t="s">
        <v>2293</v>
      </c>
      <c r="C126" s="3021"/>
      <c r="D126" s="3021"/>
      <c r="E126" s="3021"/>
      <c r="F126" s="3021"/>
      <c r="G126" s="3021"/>
      <c r="H126" s="3021"/>
      <c r="I126" s="3021"/>
      <c r="J126" s="3021"/>
      <c r="K126" s="3021"/>
      <c r="L126" s="3021"/>
      <c r="M126" s="3021"/>
      <c r="N126" s="3021"/>
      <c r="O126" s="3021"/>
      <c r="P126" s="3021"/>
      <c r="Q126" s="3024"/>
      <c r="R126" s="1861"/>
      <c r="S126" s="1861"/>
      <c r="T126" s="1861"/>
      <c r="U126" s="1861"/>
      <c r="V126" s="1861"/>
      <c r="W126" s="1861"/>
      <c r="X126" s="1861"/>
      <c r="Y126" s="1861"/>
      <c r="Z126" s="1861"/>
      <c r="AA126" s="1861"/>
      <c r="AB126" s="1862"/>
    </row>
    <row r="127" spans="2:39" s="387" customFormat="1" ht="18" customHeight="1">
      <c r="B127" s="3015" t="s">
        <v>2294</v>
      </c>
      <c r="C127" s="3021"/>
      <c r="D127" s="3021"/>
      <c r="E127" s="3033"/>
      <c r="F127" s="1861"/>
      <c r="G127" s="1861"/>
      <c r="H127" s="1861"/>
      <c r="I127" s="1861"/>
      <c r="J127" s="1861"/>
      <c r="K127" s="1861"/>
      <c r="L127" s="1861"/>
      <c r="M127" s="1861"/>
      <c r="N127" s="1861"/>
      <c r="O127" s="1861"/>
      <c r="P127" s="1861"/>
      <c r="Q127" s="1861"/>
      <c r="R127" s="1861"/>
      <c r="S127" s="1861"/>
      <c r="T127" s="1861"/>
      <c r="U127" s="1861"/>
      <c r="V127" s="1861"/>
      <c r="W127" s="1862"/>
      <c r="X127" s="3046" t="s">
        <v>2295</v>
      </c>
      <c r="Y127" s="3021"/>
      <c r="Z127" s="3058"/>
      <c r="AA127" s="1861"/>
      <c r="AB127" s="1862"/>
    </row>
    <row r="128" spans="2:39" s="387" customFormat="1" ht="18" customHeight="1">
      <c r="B128" s="3015" t="s">
        <v>2296</v>
      </c>
      <c r="C128" s="3021"/>
      <c r="D128" s="3021"/>
      <c r="E128" s="3064"/>
      <c r="F128" s="1864"/>
      <c r="G128" s="1864"/>
      <c r="H128" s="1864"/>
      <c r="I128" s="1864"/>
      <c r="J128" s="1864"/>
      <c r="K128" s="1864"/>
      <c r="L128" s="1864"/>
      <c r="M128" s="1865"/>
      <c r="N128" s="3046" t="s">
        <v>2297</v>
      </c>
      <c r="O128" s="3021"/>
      <c r="P128" s="3021"/>
      <c r="Q128" s="3024"/>
      <c r="R128" s="1861"/>
      <c r="S128" s="1861"/>
      <c r="T128" s="1861"/>
      <c r="U128" s="1861"/>
      <c r="V128" s="1861"/>
      <c r="W128" s="1861"/>
      <c r="X128" s="1861"/>
      <c r="Y128" s="1861"/>
      <c r="Z128" s="1861"/>
      <c r="AA128" s="1861"/>
      <c r="AB128" s="1862"/>
    </row>
    <row r="129" spans="2:40" s="387" customFormat="1" ht="18" customHeight="1">
      <c r="B129" s="3019" t="s">
        <v>2298</v>
      </c>
      <c r="C129" s="3021"/>
      <c r="D129" s="3021"/>
      <c r="E129" s="3024"/>
      <c r="F129" s="1861"/>
      <c r="G129" s="1861"/>
      <c r="H129" s="1861"/>
      <c r="I129" s="1861"/>
      <c r="J129" s="1861"/>
      <c r="K129" s="1861"/>
      <c r="L129" s="1861"/>
      <c r="M129" s="1861"/>
      <c r="N129" s="1861"/>
      <c r="O129" s="1861"/>
      <c r="P129" s="1861"/>
      <c r="Q129" s="1861"/>
      <c r="R129" s="1861"/>
      <c r="S129" s="1861"/>
      <c r="T129" s="1861"/>
      <c r="U129" s="1862"/>
      <c r="V129" s="3046" t="s">
        <v>2107</v>
      </c>
      <c r="W129" s="3021"/>
      <c r="X129" s="1968"/>
      <c r="Y129" s="1861"/>
      <c r="Z129" s="1861"/>
      <c r="AA129" s="1861"/>
      <c r="AB129" s="1862"/>
    </row>
    <row r="130" spans="2:40" s="110" customFormat="1" ht="106.5" customHeight="1">
      <c r="B130" s="2181" t="s">
        <v>2299</v>
      </c>
      <c r="C130" s="3019"/>
      <c r="D130" s="3019"/>
      <c r="E130" s="3019"/>
      <c r="F130" s="3019"/>
      <c r="G130" s="3019"/>
      <c r="H130" s="3019"/>
      <c r="I130" s="3019"/>
      <c r="J130" s="3019"/>
      <c r="K130" s="3019"/>
      <c r="L130" s="3019"/>
      <c r="M130" s="3019"/>
      <c r="N130" s="3019"/>
      <c r="O130" s="3019"/>
      <c r="P130" s="3019"/>
      <c r="Q130" s="3019"/>
      <c r="R130" s="3019"/>
      <c r="S130" s="3019"/>
      <c r="T130" s="3019"/>
      <c r="U130" s="3019"/>
      <c r="V130" s="3019"/>
      <c r="W130" s="3019"/>
      <c r="X130" s="3019"/>
      <c r="Y130" s="3019"/>
      <c r="Z130" s="3019"/>
      <c r="AA130" s="3019"/>
      <c r="AB130" s="3019"/>
      <c r="AC130" s="3019"/>
      <c r="AD130" s="3019"/>
      <c r="AE130" s="3019"/>
      <c r="AF130" s="3019"/>
      <c r="AG130" s="3019"/>
      <c r="AH130" s="3019"/>
      <c r="AI130" s="3019"/>
      <c r="AJ130" s="3019"/>
      <c r="AK130" s="3019"/>
      <c r="AL130" s="3019"/>
      <c r="AM130" s="3019"/>
    </row>
    <row r="131" spans="2:40" s="387" customFormat="1" ht="36" customHeight="1">
      <c r="B131" s="3035" t="s">
        <v>1050</v>
      </c>
      <c r="C131" s="1777"/>
      <c r="D131" s="1777"/>
      <c r="E131" s="1778"/>
      <c r="F131" s="3047" t="s">
        <v>2300</v>
      </c>
      <c r="G131" s="1777"/>
      <c r="H131" s="1777"/>
      <c r="I131" s="1777"/>
      <c r="J131" s="1777"/>
      <c r="K131" s="1777"/>
      <c r="L131" s="1777"/>
      <c r="M131" s="1777"/>
      <c r="N131" s="1777"/>
      <c r="O131" s="1777"/>
      <c r="P131" s="1777"/>
      <c r="Q131" s="1777"/>
      <c r="R131" s="1777"/>
      <c r="S131" s="1777"/>
      <c r="T131" s="1777"/>
      <c r="U131" s="1777"/>
      <c r="V131" s="1777"/>
      <c r="W131" s="1777"/>
      <c r="X131" s="1777"/>
      <c r="Y131" s="1777"/>
      <c r="Z131" s="1778"/>
      <c r="AA131" s="3047" t="s">
        <v>2301</v>
      </c>
      <c r="AB131" s="1778"/>
      <c r="AC131" s="3042">
        <f>SUM(AA133:AD136)</f>
        <v>0</v>
      </c>
      <c r="AD131" s="1778"/>
      <c r="AE131" s="3047" t="s">
        <v>2302</v>
      </c>
      <c r="AF131" s="1777"/>
      <c r="AG131" s="1777"/>
      <c r="AH131" s="1777"/>
      <c r="AI131" s="1777"/>
      <c r="AJ131" s="1778"/>
      <c r="AK131" s="3047" t="s">
        <v>2303</v>
      </c>
      <c r="AL131" s="1777"/>
      <c r="AM131" s="1778"/>
    </row>
    <row r="132" spans="2:40" s="387" customFormat="1" ht="73.5" customHeight="1">
      <c r="B132" s="3017" t="s">
        <v>2304</v>
      </c>
      <c r="C132" s="1777"/>
      <c r="D132" s="1777"/>
      <c r="E132" s="1778"/>
      <c r="F132" s="3017" t="s">
        <v>2305</v>
      </c>
      <c r="G132" s="1777"/>
      <c r="H132" s="1777"/>
      <c r="I132" s="1777"/>
      <c r="J132" s="1777"/>
      <c r="K132" s="1777"/>
      <c r="L132" s="1777"/>
      <c r="M132" s="1777"/>
      <c r="N132" s="1777"/>
      <c r="O132" s="1777"/>
      <c r="P132" s="1777"/>
      <c r="Q132" s="1777"/>
      <c r="R132" s="1777"/>
      <c r="S132" s="1777"/>
      <c r="T132" s="1777"/>
      <c r="U132" s="1777"/>
      <c r="V132" s="1777"/>
      <c r="W132" s="1777"/>
      <c r="X132" s="1777"/>
      <c r="Y132" s="1777"/>
      <c r="Z132" s="1778"/>
      <c r="AA132" s="3017" t="s">
        <v>2306</v>
      </c>
      <c r="AB132" s="1777"/>
      <c r="AC132" s="1777"/>
      <c r="AD132" s="1778"/>
      <c r="AE132" s="3017" t="s">
        <v>2307</v>
      </c>
      <c r="AF132" s="1777"/>
      <c r="AG132" s="1777"/>
      <c r="AH132" s="1777"/>
      <c r="AI132" s="1777"/>
      <c r="AJ132" s="1778"/>
      <c r="AK132" s="3017" t="s">
        <v>2308</v>
      </c>
      <c r="AL132" s="1777"/>
      <c r="AM132" s="1778"/>
      <c r="AN132" s="483"/>
    </row>
    <row r="133" spans="2:40" s="387" customFormat="1" ht="54" customHeight="1">
      <c r="B133" s="3032"/>
      <c r="C133" s="1861"/>
      <c r="D133" s="1861"/>
      <c r="E133" s="1862"/>
      <c r="F133" s="3030"/>
      <c r="G133" s="1861"/>
      <c r="H133" s="1861"/>
      <c r="I133" s="1861"/>
      <c r="J133" s="1861"/>
      <c r="K133" s="1861"/>
      <c r="L133" s="1861"/>
      <c r="M133" s="1861"/>
      <c r="N133" s="1861"/>
      <c r="O133" s="1861"/>
      <c r="P133" s="1861"/>
      <c r="Q133" s="1861"/>
      <c r="R133" s="1861"/>
      <c r="S133" s="1861"/>
      <c r="T133" s="1861"/>
      <c r="U133" s="1861"/>
      <c r="V133" s="1861"/>
      <c r="W133" s="1861"/>
      <c r="X133" s="1861"/>
      <c r="Y133" s="1861"/>
      <c r="Z133" s="1862"/>
      <c r="AA133" s="3020"/>
      <c r="AB133" s="1861"/>
      <c r="AC133" s="1861"/>
      <c r="AD133" s="1862"/>
      <c r="AE133" s="3020"/>
      <c r="AF133" s="1861"/>
      <c r="AG133" s="1861"/>
      <c r="AH133" s="1861"/>
      <c r="AI133" s="1861"/>
      <c r="AJ133" s="1862"/>
      <c r="AK133" s="3020"/>
      <c r="AL133" s="1861"/>
      <c r="AM133" s="1862"/>
    </row>
    <row r="134" spans="2:40" s="387" customFormat="1" ht="54" customHeight="1">
      <c r="B134" s="3032"/>
      <c r="C134" s="1861"/>
      <c r="D134" s="1861"/>
      <c r="E134" s="1862"/>
      <c r="F134" s="3030"/>
      <c r="G134" s="1861"/>
      <c r="H134" s="1861"/>
      <c r="I134" s="1861"/>
      <c r="J134" s="1861"/>
      <c r="K134" s="1861"/>
      <c r="L134" s="1861"/>
      <c r="M134" s="1861"/>
      <c r="N134" s="1861"/>
      <c r="O134" s="1861"/>
      <c r="P134" s="1861"/>
      <c r="Q134" s="1861"/>
      <c r="R134" s="1861"/>
      <c r="S134" s="1861"/>
      <c r="T134" s="1861"/>
      <c r="U134" s="1861"/>
      <c r="V134" s="1861"/>
      <c r="W134" s="1861"/>
      <c r="X134" s="1861"/>
      <c r="Y134" s="1861"/>
      <c r="Z134" s="1862"/>
      <c r="AA134" s="3020"/>
      <c r="AB134" s="1861"/>
      <c r="AC134" s="1861"/>
      <c r="AD134" s="1862"/>
      <c r="AE134" s="3020"/>
      <c r="AF134" s="1861"/>
      <c r="AG134" s="1861"/>
      <c r="AH134" s="1861"/>
      <c r="AI134" s="1861"/>
      <c r="AJ134" s="1862"/>
      <c r="AK134" s="3020"/>
      <c r="AL134" s="1861"/>
      <c r="AM134" s="1862"/>
    </row>
    <row r="135" spans="2:40" s="387" customFormat="1" ht="54" customHeight="1">
      <c r="B135" s="3032"/>
      <c r="C135" s="1861"/>
      <c r="D135" s="1861"/>
      <c r="E135" s="1862"/>
      <c r="F135" s="3030"/>
      <c r="G135" s="1861"/>
      <c r="H135" s="1861"/>
      <c r="I135" s="1861"/>
      <c r="J135" s="1861"/>
      <c r="K135" s="1861"/>
      <c r="L135" s="1861"/>
      <c r="M135" s="1861"/>
      <c r="N135" s="1861"/>
      <c r="O135" s="1861"/>
      <c r="P135" s="1861"/>
      <c r="Q135" s="1861"/>
      <c r="R135" s="1861"/>
      <c r="S135" s="1861"/>
      <c r="T135" s="1861"/>
      <c r="U135" s="1861"/>
      <c r="V135" s="1861"/>
      <c r="W135" s="1861"/>
      <c r="X135" s="1861"/>
      <c r="Y135" s="1861"/>
      <c r="Z135" s="1862"/>
      <c r="AA135" s="3020"/>
      <c r="AB135" s="1861"/>
      <c r="AC135" s="1861"/>
      <c r="AD135" s="1862"/>
      <c r="AE135" s="3020"/>
      <c r="AF135" s="1861"/>
      <c r="AG135" s="1861"/>
      <c r="AH135" s="1861"/>
      <c r="AI135" s="1861"/>
      <c r="AJ135" s="1862"/>
      <c r="AK135" s="3020"/>
      <c r="AL135" s="1861"/>
      <c r="AM135" s="1862"/>
    </row>
    <row r="136" spans="2:40" s="387" customFormat="1" ht="54" customHeight="1">
      <c r="B136" s="3032"/>
      <c r="C136" s="1861"/>
      <c r="D136" s="1861"/>
      <c r="E136" s="1862"/>
      <c r="F136" s="3030"/>
      <c r="G136" s="1861"/>
      <c r="H136" s="1861"/>
      <c r="I136" s="1861"/>
      <c r="J136" s="1861"/>
      <c r="K136" s="1861"/>
      <c r="L136" s="1861"/>
      <c r="M136" s="1861"/>
      <c r="N136" s="1861"/>
      <c r="O136" s="1861"/>
      <c r="P136" s="1861"/>
      <c r="Q136" s="1861"/>
      <c r="R136" s="1861"/>
      <c r="S136" s="1861"/>
      <c r="T136" s="1861"/>
      <c r="U136" s="1861"/>
      <c r="V136" s="1861"/>
      <c r="W136" s="1861"/>
      <c r="X136" s="1861"/>
      <c r="Y136" s="1861"/>
      <c r="Z136" s="1862"/>
      <c r="AA136" s="3020"/>
      <c r="AB136" s="1861"/>
      <c r="AC136" s="1861"/>
      <c r="AD136" s="1862"/>
      <c r="AE136" s="3020"/>
      <c r="AF136" s="1861"/>
      <c r="AG136" s="1861"/>
      <c r="AH136" s="1861"/>
      <c r="AI136" s="1861"/>
      <c r="AJ136" s="1862"/>
      <c r="AK136" s="3020"/>
      <c r="AL136" s="1861"/>
      <c r="AM136" s="1862"/>
    </row>
    <row r="137" spans="2:40" s="384" customFormat="1" ht="18" customHeight="1"/>
    <row r="138" spans="2:40" s="110" customFormat="1" ht="18" customHeight="1">
      <c r="B138" s="3062" t="s">
        <v>2309</v>
      </c>
      <c r="C138" s="3019"/>
      <c r="D138" s="3019"/>
      <c r="E138" s="3019"/>
      <c r="F138" s="3019"/>
      <c r="G138" s="3019"/>
      <c r="H138" s="3019"/>
      <c r="I138" s="3019"/>
      <c r="J138" s="3019"/>
      <c r="K138" s="3019"/>
      <c r="L138" s="3019"/>
      <c r="M138" s="3019"/>
      <c r="N138" s="3019"/>
      <c r="O138" s="3019"/>
      <c r="P138" s="3019"/>
      <c r="Q138" s="3019"/>
      <c r="R138" s="3019"/>
      <c r="S138" s="3019"/>
      <c r="T138" s="3019"/>
      <c r="U138" s="3019"/>
      <c r="V138" s="3019"/>
      <c r="W138" s="3019"/>
      <c r="X138" s="3019"/>
      <c r="Y138" s="3019"/>
      <c r="Z138" s="3019"/>
      <c r="AA138" s="3019"/>
      <c r="AB138" s="3019"/>
      <c r="AC138" s="3019"/>
      <c r="AD138" s="3019"/>
      <c r="AE138" s="3019"/>
      <c r="AF138" s="3019"/>
      <c r="AG138" s="3019"/>
      <c r="AH138" s="3019"/>
      <c r="AI138" s="3019"/>
      <c r="AJ138" s="3019"/>
      <c r="AK138" s="3019"/>
      <c r="AL138" s="3019"/>
      <c r="AM138" s="3019"/>
    </row>
    <row r="139" spans="2:40" ht="36" customHeight="1">
      <c r="B139" s="2181" t="s">
        <v>2310</v>
      </c>
      <c r="C139" s="3015"/>
      <c r="D139" s="3015"/>
      <c r="E139" s="3015"/>
      <c r="F139" s="3015"/>
      <c r="G139" s="3015"/>
      <c r="H139" s="3015"/>
      <c r="I139" s="3015"/>
      <c r="J139" s="3015"/>
      <c r="K139" s="3015"/>
      <c r="L139" s="3015"/>
      <c r="M139" s="3015"/>
      <c r="N139" s="3015"/>
      <c r="O139" s="3015"/>
      <c r="P139" s="3015"/>
      <c r="Q139" s="3015"/>
      <c r="R139" s="3015"/>
      <c r="S139" s="3015"/>
      <c r="T139" s="3015"/>
      <c r="U139" s="3015"/>
      <c r="V139" s="3015"/>
      <c r="W139" s="3015"/>
      <c r="X139" s="3015"/>
      <c r="Y139" s="3015"/>
      <c r="Z139" s="3015"/>
      <c r="AA139" s="3015"/>
      <c r="AB139" s="3015"/>
      <c r="AC139" s="3015"/>
      <c r="AD139" s="3015"/>
      <c r="AE139" s="3015"/>
      <c r="AF139" s="3015"/>
      <c r="AG139" s="3015"/>
      <c r="AH139" s="3015"/>
      <c r="AI139" s="3015"/>
      <c r="AJ139" s="3015"/>
      <c r="AK139" s="3015"/>
      <c r="AL139" s="3015"/>
      <c r="AM139" s="3015"/>
    </row>
    <row r="140" spans="2:40" s="110" customFormat="1" ht="18" customHeight="1">
      <c r="B140" s="2181" t="s">
        <v>2311</v>
      </c>
      <c r="C140" s="3019"/>
      <c r="D140" s="3019"/>
      <c r="E140" s="3019"/>
      <c r="F140" s="3019"/>
      <c r="G140" s="3019"/>
      <c r="H140" s="3019"/>
      <c r="I140" s="3019"/>
      <c r="J140" s="3019"/>
      <c r="K140" s="3019"/>
      <c r="L140" s="3019"/>
      <c r="M140" s="3019"/>
      <c r="N140" s="3019"/>
      <c r="O140" s="3019"/>
      <c r="P140" s="3019"/>
      <c r="Q140" s="3019"/>
      <c r="R140" s="3019"/>
      <c r="S140" s="3019"/>
      <c r="T140" s="3019"/>
      <c r="U140" s="3019"/>
      <c r="V140" s="3019"/>
      <c r="W140" s="3019"/>
      <c r="X140" s="3019"/>
      <c r="Y140" s="3019"/>
      <c r="Z140" s="3019"/>
      <c r="AA140" s="3019"/>
      <c r="AB140" s="3019"/>
      <c r="AC140" s="3019"/>
      <c r="AD140" s="3019"/>
      <c r="AE140" s="3019"/>
      <c r="AF140" s="3019"/>
      <c r="AG140" s="3019"/>
      <c r="AH140" s="3019"/>
      <c r="AI140" s="3019"/>
      <c r="AJ140" s="3019"/>
      <c r="AK140" s="3019"/>
      <c r="AL140" s="3019"/>
      <c r="AM140" s="3019"/>
    </row>
    <row r="141" spans="2:40" s="110" customFormat="1" ht="18" customHeight="1">
      <c r="B141" s="2191" t="s">
        <v>2312</v>
      </c>
      <c r="C141" s="3019"/>
      <c r="D141" s="3019"/>
      <c r="E141" s="3019"/>
      <c r="F141" s="3019"/>
      <c r="G141" s="3019"/>
      <c r="H141" s="3019"/>
      <c r="I141" s="3019"/>
      <c r="J141" s="3019"/>
      <c r="K141" s="3019"/>
      <c r="L141" s="3019"/>
      <c r="M141" s="3019"/>
      <c r="N141" s="3019"/>
      <c r="O141" s="3019"/>
      <c r="P141" s="3019"/>
      <c r="Q141" s="3019"/>
      <c r="R141" s="3019"/>
      <c r="S141" s="3019"/>
      <c r="T141" s="3019"/>
      <c r="U141" s="3019"/>
      <c r="V141" s="3019"/>
      <c r="W141" s="3019"/>
      <c r="X141" s="3019"/>
      <c r="Y141" s="3019"/>
      <c r="Z141" s="3019"/>
      <c r="AA141" s="3019"/>
      <c r="AB141" s="3019"/>
      <c r="AC141" s="3019"/>
      <c r="AD141" s="3019"/>
      <c r="AE141" s="3019"/>
      <c r="AF141" s="3019"/>
      <c r="AG141" s="3019"/>
      <c r="AH141" s="3019"/>
      <c r="AI141" s="3019"/>
      <c r="AJ141" s="3019"/>
      <c r="AK141" s="3019"/>
      <c r="AL141" s="3019"/>
      <c r="AM141" s="3019"/>
    </row>
    <row r="142" spans="2:40" s="110" customFormat="1" ht="18" customHeight="1">
      <c r="B142" s="505"/>
      <c r="C142" s="1718" t="s">
        <v>1312</v>
      </c>
      <c r="D142" s="3015" t="s">
        <v>2313</v>
      </c>
      <c r="E142" s="3019"/>
      <c r="F142" s="3019"/>
      <c r="G142" s="3019"/>
      <c r="H142" s="3019"/>
      <c r="I142" s="3019"/>
      <c r="J142" s="3019"/>
      <c r="K142" s="3019"/>
      <c r="L142" s="3019"/>
      <c r="M142" s="3019"/>
      <c r="N142" s="3019"/>
      <c r="O142" s="3019"/>
      <c r="P142" s="3019"/>
      <c r="Q142" s="3019"/>
      <c r="R142" s="3019"/>
      <c r="S142" s="3019"/>
      <c r="T142" s="3019"/>
      <c r="U142" s="3019"/>
      <c r="V142" s="3019"/>
      <c r="W142" s="3019"/>
      <c r="X142" s="3065">
        <f>'Unit Mix'!$K$8</f>
        <v>0</v>
      </c>
      <c r="Y142" s="3019"/>
      <c r="Z142" s="3019"/>
      <c r="AA142" s="506"/>
      <c r="AC142" s="393"/>
    </row>
    <row r="143" spans="2:40" s="110" customFormat="1" ht="18" customHeight="1">
      <c r="B143" s="505"/>
      <c r="C143" s="1718" t="s">
        <v>1318</v>
      </c>
      <c r="D143" s="3015" t="s">
        <v>2314</v>
      </c>
      <c r="E143" s="3019"/>
      <c r="F143" s="3019"/>
      <c r="G143" s="3019"/>
      <c r="H143" s="3019"/>
      <c r="I143" s="3019"/>
      <c r="J143" s="3019"/>
      <c r="K143" s="3019"/>
      <c r="L143" s="3019"/>
      <c r="M143" s="3019"/>
      <c r="N143" s="3019"/>
      <c r="O143" s="3019"/>
      <c r="P143" s="3019"/>
      <c r="Q143" s="3019"/>
      <c r="R143" s="3019"/>
      <c r="S143" s="3019"/>
      <c r="T143" s="3019"/>
      <c r="U143" s="3019"/>
      <c r="V143" s="3019"/>
      <c r="W143" s="3019"/>
      <c r="X143" s="3065">
        <f>AC131</f>
        <v>0</v>
      </c>
      <c r="Y143" s="3019"/>
      <c r="Z143" s="3019"/>
      <c r="AC143" s="393"/>
    </row>
    <row r="144" spans="2:40" s="110" customFormat="1" ht="18" customHeight="1">
      <c r="B144" s="505"/>
      <c r="C144" s="1709" t="s">
        <v>1320</v>
      </c>
      <c r="D144" s="2191" t="s">
        <v>2315</v>
      </c>
      <c r="E144" s="3019"/>
      <c r="F144" s="3019"/>
      <c r="G144" s="3019"/>
      <c r="H144" s="3019"/>
      <c r="I144" s="3019"/>
      <c r="J144" s="3019"/>
      <c r="K144" s="3019"/>
      <c r="L144" s="3019"/>
      <c r="M144" s="3019"/>
      <c r="N144" s="3019"/>
      <c r="O144" s="3019"/>
      <c r="P144" s="3019"/>
      <c r="Q144" s="3019"/>
      <c r="R144" s="3019"/>
      <c r="S144" s="3019"/>
      <c r="T144" s="3019"/>
      <c r="U144" s="3019"/>
      <c r="V144" s="3019"/>
      <c r="W144" s="3019"/>
      <c r="X144" s="3063">
        <f>IF(X143=0,0,X142/X143)</f>
        <v>0</v>
      </c>
      <c r="Y144" s="3019"/>
      <c r="Z144" s="3019"/>
      <c r="AC144" s="393"/>
    </row>
    <row r="145" spans="2:39" s="110" customFormat="1" ht="18" customHeight="1">
      <c r="B145" s="2181" t="s">
        <v>2316</v>
      </c>
      <c r="C145" s="3019"/>
      <c r="D145" s="3019"/>
      <c r="E145" s="3019"/>
      <c r="F145" s="3019"/>
      <c r="G145" s="3019"/>
      <c r="H145" s="3019"/>
      <c r="I145" s="3019"/>
      <c r="J145" s="3019"/>
      <c r="K145" s="3019"/>
      <c r="L145" s="3019"/>
      <c r="M145" s="3019"/>
      <c r="N145" s="3019"/>
      <c r="O145" s="3019"/>
      <c r="P145" s="3019"/>
      <c r="Q145" s="3019"/>
      <c r="R145" s="3019"/>
      <c r="S145" s="3019"/>
      <c r="T145" s="3019"/>
      <c r="U145" s="3019"/>
      <c r="V145" s="3019"/>
      <c r="W145" s="3019"/>
      <c r="X145" s="3019"/>
      <c r="Y145" s="3019"/>
      <c r="Z145" s="3019"/>
      <c r="AA145" s="3019"/>
      <c r="AB145" s="3019"/>
      <c r="AC145" s="3019"/>
      <c r="AD145" s="3019"/>
      <c r="AE145" s="3019"/>
      <c r="AF145" s="3019"/>
      <c r="AG145" s="3019"/>
      <c r="AH145" s="3019"/>
      <c r="AI145" s="3019"/>
      <c r="AJ145" s="3019"/>
      <c r="AK145" s="3019"/>
      <c r="AL145" s="3019"/>
      <c r="AM145" s="3019"/>
    </row>
    <row r="146" spans="2:39" ht="54.75" customHeight="1">
      <c r="B146" s="3023"/>
      <c r="C146" s="1861"/>
      <c r="D146" s="1861"/>
      <c r="E146" s="1861"/>
      <c r="F146" s="1861"/>
      <c r="G146" s="1861"/>
      <c r="H146" s="1861"/>
      <c r="I146" s="1861"/>
      <c r="J146" s="1861"/>
      <c r="K146" s="1861"/>
      <c r="L146" s="1861"/>
      <c r="M146" s="1861"/>
      <c r="N146" s="1861"/>
      <c r="O146" s="1861"/>
      <c r="P146" s="1861"/>
      <c r="Q146" s="1861"/>
      <c r="R146" s="1861"/>
      <c r="S146" s="1861"/>
      <c r="T146" s="1861"/>
      <c r="U146" s="1861"/>
      <c r="V146" s="1861"/>
      <c r="W146" s="1861"/>
      <c r="X146" s="1861"/>
      <c r="Y146" s="1861"/>
      <c r="Z146" s="1861"/>
      <c r="AA146" s="1861"/>
      <c r="AB146" s="1861"/>
      <c r="AC146" s="1861"/>
      <c r="AD146" s="1861"/>
      <c r="AE146" s="1861"/>
      <c r="AF146" s="1861"/>
      <c r="AG146" s="1861"/>
      <c r="AH146" s="1861"/>
      <c r="AI146" s="1861"/>
      <c r="AJ146" s="1861"/>
      <c r="AK146" s="1861"/>
      <c r="AL146" s="1861"/>
      <c r="AM146" s="1862"/>
    </row>
    <row r="147" spans="2:39" s="2" customFormat="1" ht="18" customHeight="1"/>
    <row r="148" spans="2:39" s="110" customFormat="1" ht="18" customHeight="1">
      <c r="B148" s="3018" t="s">
        <v>2317</v>
      </c>
      <c r="C148" s="3019"/>
      <c r="D148" s="3019"/>
      <c r="E148" s="3019"/>
      <c r="F148" s="3019"/>
      <c r="G148" s="3019"/>
      <c r="H148" s="3019"/>
      <c r="I148" s="3019"/>
      <c r="J148" s="3019"/>
      <c r="K148" s="3019"/>
      <c r="L148" s="3019"/>
      <c r="M148" s="3019"/>
      <c r="N148" s="3019"/>
      <c r="O148" s="3019"/>
      <c r="P148" s="3019"/>
      <c r="Q148" s="3019"/>
      <c r="R148" s="3019"/>
      <c r="S148" s="3019"/>
      <c r="T148" s="3019"/>
      <c r="U148" s="3019"/>
      <c r="V148" s="3019"/>
      <c r="W148" s="3019"/>
      <c r="X148" s="3019"/>
      <c r="Y148" s="3019"/>
      <c r="Z148" s="3019"/>
      <c r="AA148" s="3019"/>
      <c r="AB148" s="3019"/>
      <c r="AC148" s="3019"/>
      <c r="AD148" s="3019"/>
      <c r="AE148" s="3019"/>
      <c r="AF148" s="3019"/>
      <c r="AG148" s="3019"/>
      <c r="AH148" s="3019"/>
      <c r="AI148" s="3019"/>
      <c r="AJ148" s="3019"/>
      <c r="AK148" s="3019"/>
      <c r="AL148" s="3019"/>
      <c r="AM148" s="3019"/>
    </row>
    <row r="149" spans="2:39" s="110" customFormat="1" ht="18" customHeight="1">
      <c r="B149" s="3021" t="s">
        <v>2318</v>
      </c>
      <c r="C149" s="3019"/>
      <c r="D149" s="3019"/>
      <c r="E149" s="3019"/>
      <c r="F149" s="3019"/>
      <c r="G149" s="3019"/>
      <c r="H149" s="3019"/>
      <c r="I149" s="3019"/>
      <c r="J149" s="3019"/>
      <c r="K149" s="3019"/>
      <c r="L149" s="3019"/>
      <c r="M149" s="3019"/>
      <c r="N149" s="3019"/>
      <c r="O149" s="3019"/>
      <c r="P149" s="3019"/>
      <c r="Q149" s="3019"/>
      <c r="R149" s="3019"/>
      <c r="S149" s="3019"/>
      <c r="T149" s="3019"/>
      <c r="U149" s="3019"/>
      <c r="V149" s="3019"/>
      <c r="W149" s="3019"/>
      <c r="X149" s="3019"/>
      <c r="Y149" s="3019"/>
      <c r="Z149" s="3019"/>
      <c r="AA149" s="3019"/>
      <c r="AB149" s="3019"/>
      <c r="AC149" s="3019"/>
      <c r="AD149" s="3019"/>
      <c r="AE149" s="3019"/>
      <c r="AF149" s="3019"/>
      <c r="AG149" s="3019"/>
      <c r="AH149" s="3019"/>
      <c r="AI149" s="3019"/>
      <c r="AJ149" s="3019"/>
      <c r="AK149" s="3019"/>
      <c r="AL149" s="3019"/>
      <c r="AM149" s="3019"/>
    </row>
    <row r="150" spans="2:39" s="110" customFormat="1" ht="18" customHeight="1">
      <c r="B150" s="397" t="s">
        <v>2319</v>
      </c>
      <c r="C150" s="397"/>
      <c r="D150" s="397"/>
      <c r="E150" s="397"/>
      <c r="F150" s="397"/>
      <c r="G150" s="397"/>
      <c r="H150" s="397"/>
      <c r="I150" s="397"/>
      <c r="J150" s="397"/>
      <c r="K150" s="397"/>
      <c r="L150" s="397"/>
      <c r="M150" s="397"/>
      <c r="N150" s="397"/>
      <c r="O150" s="397"/>
      <c r="P150" s="397"/>
      <c r="Q150" s="397"/>
      <c r="R150" s="397"/>
      <c r="S150" s="397"/>
      <c r="T150" s="397"/>
      <c r="U150" s="397"/>
      <c r="V150" s="397"/>
      <c r="W150" s="397"/>
      <c r="X150" s="397"/>
      <c r="Y150" s="397"/>
      <c r="Z150" s="397"/>
      <c r="AA150" s="397"/>
      <c r="AB150" s="397"/>
      <c r="AC150" s="397"/>
      <c r="AD150" s="397"/>
      <c r="AE150" s="397"/>
      <c r="AF150" s="397"/>
      <c r="AG150" s="397"/>
      <c r="AH150" s="397"/>
      <c r="AI150" s="397"/>
      <c r="AJ150" s="397"/>
      <c r="AK150" s="397"/>
      <c r="AL150" s="397"/>
      <c r="AM150" s="397"/>
    </row>
    <row r="151" spans="2:39" s="387" customFormat="1" ht="18" customHeight="1">
      <c r="B151" s="110"/>
      <c r="C151" s="3015" t="s">
        <v>2320</v>
      </c>
      <c r="D151" s="3021"/>
      <c r="E151" s="3021"/>
      <c r="F151" s="3021"/>
      <c r="G151" s="3021"/>
      <c r="H151" s="3021"/>
      <c r="I151" s="3021"/>
      <c r="J151" s="3021"/>
      <c r="K151" s="3021"/>
      <c r="L151" s="3021"/>
      <c r="M151" s="3021"/>
      <c r="N151" s="3021"/>
      <c r="O151" s="3021"/>
      <c r="P151" s="3021"/>
      <c r="Q151" s="3021"/>
      <c r="R151" s="3021"/>
      <c r="S151" s="3021"/>
      <c r="T151" s="1968"/>
      <c r="U151" s="1861"/>
      <c r="V151" s="1861"/>
      <c r="W151" s="1862"/>
      <c r="X151" s="110"/>
      <c r="Y151" s="76" t="s">
        <v>2321</v>
      </c>
      <c r="Z151" s="110"/>
      <c r="AA151" s="110"/>
      <c r="AB151" s="110"/>
      <c r="AC151" s="1968"/>
      <c r="AD151" s="1861"/>
      <c r="AE151" s="1861"/>
      <c r="AF151" s="1862"/>
    </row>
    <row r="152" spans="2:39" s="387" customFormat="1" ht="18" customHeight="1">
      <c r="B152" s="110"/>
      <c r="C152" s="3015" t="s">
        <v>2322</v>
      </c>
      <c r="D152" s="3021"/>
      <c r="E152" s="3021"/>
      <c r="F152" s="3021"/>
      <c r="G152" s="3021"/>
      <c r="H152" s="3021"/>
      <c r="I152" s="3021"/>
      <c r="J152" s="3021"/>
      <c r="K152" s="3021"/>
      <c r="L152" s="3021"/>
      <c r="M152" s="3021"/>
      <c r="N152" s="3021"/>
      <c r="O152" s="3021"/>
      <c r="P152" s="3021"/>
      <c r="Q152" s="3021"/>
      <c r="R152" s="3021"/>
      <c r="S152" s="3021"/>
      <c r="T152" s="1968"/>
      <c r="U152" s="1861"/>
      <c r="V152" s="1861"/>
      <c r="W152" s="1862"/>
      <c r="X152" s="110"/>
      <c r="Y152" s="76" t="s">
        <v>2323</v>
      </c>
      <c r="Z152" s="110"/>
      <c r="AA152" s="110"/>
      <c r="AB152" s="110"/>
      <c r="AC152" s="1968"/>
      <c r="AD152" s="1861"/>
      <c r="AE152" s="1861"/>
      <c r="AF152" s="1862"/>
    </row>
    <row r="153" spans="2:39" s="387" customFormat="1" ht="18" customHeight="1">
      <c r="B153" s="110"/>
      <c r="C153" s="3015" t="s">
        <v>2324</v>
      </c>
      <c r="D153" s="3021"/>
      <c r="E153" s="3021"/>
      <c r="F153" s="3021"/>
      <c r="G153" s="3021"/>
      <c r="H153" s="3021"/>
      <c r="I153" s="3021"/>
      <c r="J153" s="3021"/>
      <c r="K153" s="3021"/>
      <c r="L153" s="3021"/>
      <c r="M153" s="3021"/>
      <c r="N153" s="3021"/>
      <c r="O153" s="3021"/>
      <c r="P153" s="3021"/>
      <c r="Q153" s="3021"/>
      <c r="R153" s="3021"/>
      <c r="S153" s="3021"/>
      <c r="T153" s="1968"/>
      <c r="U153" s="1861"/>
      <c r="V153" s="1861"/>
      <c r="W153" s="1862"/>
      <c r="X153" s="110"/>
      <c r="Y153" s="110"/>
      <c r="Z153" s="110"/>
      <c r="AA153" s="110"/>
      <c r="AB153" s="110"/>
      <c r="AC153" s="110"/>
      <c r="AD153" s="110"/>
      <c r="AE153" s="110"/>
      <c r="AF153" s="110"/>
    </row>
    <row r="154" spans="2:39" s="387" customFormat="1" ht="18" customHeight="1">
      <c r="B154" s="110"/>
      <c r="C154" s="3015" t="s">
        <v>2325</v>
      </c>
      <c r="D154" s="3021"/>
      <c r="E154" s="3021"/>
      <c r="F154" s="3021"/>
      <c r="G154" s="3021"/>
      <c r="H154" s="3021"/>
      <c r="I154" s="3021"/>
      <c r="J154" s="3021"/>
      <c r="K154" s="3021"/>
      <c r="L154" s="3021"/>
      <c r="M154" s="3021"/>
      <c r="N154" s="3021"/>
      <c r="O154" s="3021"/>
      <c r="P154" s="3021"/>
      <c r="Q154" s="3021"/>
      <c r="R154" s="3021"/>
      <c r="S154" s="3021"/>
      <c r="T154" s="3061"/>
      <c r="U154" s="1864"/>
      <c r="V154" s="1864"/>
      <c r="W154" s="1865"/>
      <c r="X154" s="110"/>
      <c r="Y154" s="110"/>
      <c r="Z154" s="110"/>
      <c r="AA154" s="110"/>
      <c r="AB154" s="110"/>
      <c r="AC154" s="110"/>
      <c r="AD154" s="110"/>
      <c r="AE154" s="110"/>
      <c r="AF154" s="110"/>
    </row>
    <row r="155" spans="2:39" s="110" customFormat="1" ht="36" customHeight="1">
      <c r="C155" s="3015" t="s">
        <v>2326</v>
      </c>
      <c r="D155" s="3019"/>
      <c r="E155" s="3019"/>
      <c r="F155" s="3019"/>
      <c r="G155" s="3019"/>
      <c r="H155" s="3019"/>
      <c r="I155" s="3019"/>
      <c r="J155" s="3019"/>
      <c r="K155" s="3019"/>
      <c r="L155" s="3023"/>
      <c r="M155" s="1861"/>
      <c r="N155" s="1861"/>
      <c r="O155" s="1861"/>
      <c r="P155" s="1861"/>
      <c r="Q155" s="1861"/>
      <c r="R155" s="1861"/>
      <c r="S155" s="1861"/>
      <c r="T155" s="1861"/>
      <c r="U155" s="1861"/>
      <c r="V155" s="1861"/>
      <c r="W155" s="1861"/>
      <c r="X155" s="1861"/>
      <c r="Y155" s="1861"/>
      <c r="Z155" s="1861"/>
      <c r="AA155" s="1861"/>
      <c r="AB155" s="1861"/>
      <c r="AC155" s="1861"/>
      <c r="AD155" s="1861"/>
      <c r="AE155" s="1861"/>
      <c r="AF155" s="1861"/>
      <c r="AG155" s="1861"/>
      <c r="AH155" s="1861"/>
      <c r="AI155" s="1861"/>
      <c r="AJ155" s="1861"/>
      <c r="AK155" s="1861"/>
      <c r="AL155" s="1861"/>
      <c r="AM155" s="1862"/>
    </row>
    <row r="156" spans="2:39" s="387" customFormat="1" ht="36" customHeight="1">
      <c r="B156" s="2181" t="s">
        <v>2327</v>
      </c>
      <c r="C156" s="3021"/>
      <c r="D156" s="3021"/>
      <c r="E156" s="3021"/>
      <c r="F156" s="3021"/>
      <c r="G156" s="3021"/>
      <c r="H156" s="3021"/>
      <c r="I156" s="3021"/>
      <c r="J156" s="3021"/>
      <c r="K156" s="3021"/>
      <c r="L156" s="3021"/>
      <c r="M156" s="3021"/>
      <c r="N156" s="3021"/>
      <c r="O156" s="3021"/>
      <c r="P156" s="3021"/>
      <c r="Q156" s="3021"/>
      <c r="R156" s="3021"/>
      <c r="S156" s="3021"/>
      <c r="T156" s="3021"/>
      <c r="U156" s="3021"/>
      <c r="V156" s="3021"/>
      <c r="W156" s="3021"/>
      <c r="X156" s="3021"/>
      <c r="Y156" s="3021"/>
      <c r="Z156" s="3021"/>
      <c r="AA156" s="3021"/>
      <c r="AB156" s="3021"/>
      <c r="AC156" s="3021"/>
      <c r="AD156" s="3021"/>
      <c r="AE156" s="3021"/>
      <c r="AF156" s="3021"/>
      <c r="AG156" s="3021"/>
      <c r="AH156" s="3021"/>
      <c r="AI156" s="3021"/>
      <c r="AJ156" s="3021"/>
      <c r="AK156" s="3021"/>
      <c r="AL156" s="3021"/>
      <c r="AM156" s="3021"/>
    </row>
    <row r="157" spans="2:39" ht="54" customHeight="1">
      <c r="B157" s="3023"/>
      <c r="C157" s="1861"/>
      <c r="D157" s="1861"/>
      <c r="E157" s="1861"/>
      <c r="F157" s="1861"/>
      <c r="G157" s="1861"/>
      <c r="H157" s="1861"/>
      <c r="I157" s="1861"/>
      <c r="J157" s="1861"/>
      <c r="K157" s="1861"/>
      <c r="L157" s="1861"/>
      <c r="M157" s="1861"/>
      <c r="N157" s="1861"/>
      <c r="O157" s="1861"/>
      <c r="P157" s="1861"/>
      <c r="Q157" s="1861"/>
      <c r="R157" s="1861"/>
      <c r="S157" s="1861"/>
      <c r="T157" s="1861"/>
      <c r="U157" s="1861"/>
      <c r="V157" s="1861"/>
      <c r="W157" s="1861"/>
      <c r="X157" s="1861"/>
      <c r="Y157" s="1861"/>
      <c r="Z157" s="1861"/>
      <c r="AA157" s="1861"/>
      <c r="AB157" s="1861"/>
      <c r="AC157" s="1861"/>
      <c r="AD157" s="1861"/>
      <c r="AE157" s="1861"/>
      <c r="AF157" s="1861"/>
      <c r="AG157" s="1861"/>
      <c r="AH157" s="1861"/>
      <c r="AI157" s="1861"/>
      <c r="AJ157" s="1861"/>
      <c r="AK157" s="1861"/>
      <c r="AL157" s="1861"/>
      <c r="AM157" s="1862"/>
    </row>
    <row r="158" spans="2:39" ht="18" customHeight="1">
      <c r="B158" s="2181" t="s">
        <v>2328</v>
      </c>
      <c r="C158" s="3015"/>
      <c r="D158" s="3015"/>
      <c r="E158" s="3015"/>
      <c r="F158" s="3015"/>
      <c r="G158" s="3015"/>
      <c r="H158" s="3015"/>
      <c r="I158" s="3015"/>
      <c r="J158" s="3015"/>
      <c r="K158" s="3015"/>
      <c r="L158" s="3015"/>
      <c r="M158" s="3015"/>
      <c r="N158" s="3015"/>
      <c r="O158" s="3015"/>
      <c r="P158" s="3015"/>
      <c r="Q158" s="3015"/>
      <c r="R158" s="3015"/>
      <c r="S158" s="3015"/>
      <c r="T158" s="3015"/>
      <c r="U158" s="3015"/>
      <c r="V158" s="3015"/>
      <c r="W158" s="3015"/>
      <c r="X158" s="3015"/>
      <c r="Y158" s="3015"/>
      <c r="Z158" s="3015"/>
      <c r="AA158" s="3015"/>
      <c r="AB158" s="3015"/>
      <c r="AC158" s="3015"/>
      <c r="AD158" s="3015"/>
      <c r="AE158" s="3015"/>
      <c r="AF158" s="3015"/>
      <c r="AG158" s="3015"/>
      <c r="AH158" s="3015"/>
      <c r="AI158" s="3015"/>
      <c r="AJ158" s="3015"/>
      <c r="AK158" s="3015"/>
      <c r="AL158" s="3015"/>
      <c r="AM158" s="3015"/>
    </row>
    <row r="159" spans="2:39" ht="54" customHeight="1">
      <c r="B159" s="3023"/>
      <c r="C159" s="1861"/>
      <c r="D159" s="1861"/>
      <c r="E159" s="1861"/>
      <c r="F159" s="1861"/>
      <c r="G159" s="1861"/>
      <c r="H159" s="1861"/>
      <c r="I159" s="1861"/>
      <c r="J159" s="1861"/>
      <c r="K159" s="1861"/>
      <c r="L159" s="1861"/>
      <c r="M159" s="1861"/>
      <c r="N159" s="1861"/>
      <c r="O159" s="1861"/>
      <c r="P159" s="1861"/>
      <c r="Q159" s="1861"/>
      <c r="R159" s="1861"/>
      <c r="S159" s="1861"/>
      <c r="T159" s="1861"/>
      <c r="U159" s="1861"/>
      <c r="V159" s="1861"/>
      <c r="W159" s="1861"/>
      <c r="X159" s="1861"/>
      <c r="Y159" s="1861"/>
      <c r="Z159" s="1861"/>
      <c r="AA159" s="1861"/>
      <c r="AB159" s="1861"/>
      <c r="AC159" s="1861"/>
      <c r="AD159" s="1861"/>
      <c r="AE159" s="1861"/>
      <c r="AF159" s="1861"/>
      <c r="AG159" s="1861"/>
      <c r="AH159" s="1861"/>
      <c r="AI159" s="1861"/>
      <c r="AJ159" s="1861"/>
      <c r="AK159" s="1861"/>
      <c r="AL159" s="1861"/>
      <c r="AM159" s="1862"/>
    </row>
    <row r="160" spans="2:39" ht="18" customHeight="1">
      <c r="B160" s="2181" t="s">
        <v>2329</v>
      </c>
      <c r="C160" s="3015"/>
      <c r="D160" s="3015"/>
      <c r="E160" s="3015"/>
      <c r="F160" s="3015"/>
      <c r="G160" s="3015"/>
      <c r="H160" s="3015"/>
      <c r="I160" s="3015"/>
      <c r="J160" s="3015"/>
      <c r="K160" s="3015"/>
      <c r="L160" s="3015"/>
      <c r="M160" s="3015"/>
      <c r="N160" s="3015"/>
      <c r="O160" s="3015"/>
      <c r="P160" s="3015"/>
      <c r="Q160" s="3015"/>
      <c r="R160" s="3015"/>
      <c r="S160" s="3015"/>
      <c r="T160" s="3015"/>
      <c r="U160" s="3015"/>
      <c r="V160" s="3015"/>
      <c r="W160" s="3015"/>
      <c r="X160" s="3015"/>
      <c r="Y160" s="3015"/>
      <c r="Z160" s="3015"/>
      <c r="AA160" s="3015"/>
      <c r="AB160" s="3015"/>
      <c r="AC160" s="3015"/>
      <c r="AD160" s="3015"/>
      <c r="AE160" s="3015"/>
      <c r="AF160" s="3015"/>
      <c r="AG160" s="3015"/>
      <c r="AH160" s="3015"/>
      <c r="AI160" s="3015"/>
      <c r="AJ160" s="3015"/>
      <c r="AK160" s="3015"/>
      <c r="AL160" s="3015"/>
      <c r="AM160" s="3015"/>
    </row>
    <row r="161" spans="2:39" ht="54.75" customHeight="1">
      <c r="B161" s="3023"/>
      <c r="C161" s="1861"/>
      <c r="D161" s="1861"/>
      <c r="E161" s="1861"/>
      <c r="F161" s="1861"/>
      <c r="G161" s="1861"/>
      <c r="H161" s="1861"/>
      <c r="I161" s="1861"/>
      <c r="J161" s="1861"/>
      <c r="K161" s="1861"/>
      <c r="L161" s="1861"/>
      <c r="M161" s="1861"/>
      <c r="N161" s="1861"/>
      <c r="O161" s="1861"/>
      <c r="P161" s="1861"/>
      <c r="Q161" s="1861"/>
      <c r="R161" s="1861"/>
      <c r="S161" s="1861"/>
      <c r="T161" s="1861"/>
      <c r="U161" s="1861"/>
      <c r="V161" s="1861"/>
      <c r="W161" s="1861"/>
      <c r="X161" s="1861"/>
      <c r="Y161" s="1861"/>
      <c r="Z161" s="1861"/>
      <c r="AA161" s="1861"/>
      <c r="AB161" s="1861"/>
      <c r="AC161" s="1861"/>
      <c r="AD161" s="1861"/>
      <c r="AE161" s="1861"/>
      <c r="AF161" s="1861"/>
      <c r="AG161" s="1861"/>
      <c r="AH161" s="1861"/>
      <c r="AI161" s="1861"/>
      <c r="AJ161" s="1861"/>
      <c r="AK161" s="1861"/>
      <c r="AL161" s="1861"/>
      <c r="AM161" s="1862"/>
    </row>
    <row r="162" spans="2:39" ht="36" customHeight="1">
      <c r="B162" s="2181" t="s">
        <v>2330</v>
      </c>
      <c r="C162" s="3015"/>
      <c r="D162" s="3015"/>
      <c r="E162" s="3015"/>
      <c r="F162" s="3015"/>
      <c r="G162" s="3015"/>
      <c r="H162" s="3015"/>
      <c r="I162" s="3015"/>
      <c r="J162" s="3015"/>
      <c r="K162" s="3015"/>
      <c r="L162" s="3015"/>
      <c r="M162" s="3015"/>
      <c r="N162" s="3015"/>
      <c r="O162" s="3015"/>
      <c r="P162" s="3015"/>
      <c r="Q162" s="3015"/>
      <c r="R162" s="3015"/>
      <c r="S162" s="3015"/>
      <c r="T162" s="3015"/>
      <c r="U162" s="3015"/>
      <c r="V162" s="3015"/>
      <c r="W162" s="3015"/>
      <c r="X162" s="3015"/>
      <c r="Y162" s="3015"/>
      <c r="Z162" s="3015"/>
      <c r="AA162" s="3015"/>
      <c r="AB162" s="3015"/>
      <c r="AC162" s="3015"/>
      <c r="AD162" s="3015"/>
      <c r="AE162" s="3015"/>
      <c r="AF162" s="3015"/>
      <c r="AG162" s="3015"/>
      <c r="AH162" s="3015"/>
      <c r="AI162" s="3015"/>
      <c r="AJ162" s="3015"/>
      <c r="AK162" s="3015"/>
      <c r="AL162" s="3015"/>
      <c r="AM162" s="3015"/>
    </row>
    <row r="163" spans="2:39" ht="54" customHeight="1">
      <c r="B163" s="3023"/>
      <c r="C163" s="1861"/>
      <c r="D163" s="1861"/>
      <c r="E163" s="1861"/>
      <c r="F163" s="1861"/>
      <c r="G163" s="1861"/>
      <c r="H163" s="1861"/>
      <c r="I163" s="1861"/>
      <c r="J163" s="1861"/>
      <c r="K163" s="1861"/>
      <c r="L163" s="1861"/>
      <c r="M163" s="1861"/>
      <c r="N163" s="1861"/>
      <c r="O163" s="1861"/>
      <c r="P163" s="1861"/>
      <c r="Q163" s="1861"/>
      <c r="R163" s="1861"/>
      <c r="S163" s="1861"/>
      <c r="T163" s="1861"/>
      <c r="U163" s="1861"/>
      <c r="V163" s="1861"/>
      <c r="W163" s="1861"/>
      <c r="X163" s="1861"/>
      <c r="Y163" s="1861"/>
      <c r="Z163" s="1861"/>
      <c r="AA163" s="1861"/>
      <c r="AB163" s="1861"/>
      <c r="AC163" s="1861"/>
      <c r="AD163" s="1861"/>
      <c r="AE163" s="1861"/>
      <c r="AF163" s="1861"/>
      <c r="AG163" s="1861"/>
      <c r="AH163" s="1861"/>
      <c r="AI163" s="1861"/>
      <c r="AJ163" s="1861"/>
      <c r="AK163" s="1861"/>
      <c r="AL163" s="1861"/>
      <c r="AM163" s="1862"/>
    </row>
    <row r="164" spans="2:39" s="2" customFormat="1" ht="18.75" customHeight="1"/>
    <row r="165" spans="2:39" s="110" customFormat="1" ht="36" customHeight="1">
      <c r="B165" s="3053" t="s">
        <v>2331</v>
      </c>
      <c r="C165" s="3019"/>
      <c r="D165" s="3019"/>
      <c r="E165" s="3019"/>
      <c r="F165" s="3019"/>
      <c r="G165" s="3019"/>
      <c r="H165" s="3019"/>
      <c r="I165" s="3019"/>
      <c r="J165" s="3019"/>
      <c r="K165" s="3019"/>
      <c r="L165" s="3019"/>
      <c r="M165" s="3019"/>
      <c r="N165" s="3019"/>
      <c r="O165" s="3019"/>
      <c r="P165" s="3019"/>
      <c r="Q165" s="3019"/>
      <c r="R165" s="3019"/>
      <c r="S165" s="3019"/>
      <c r="T165" s="3019"/>
      <c r="U165" s="3019"/>
      <c r="V165" s="3019"/>
      <c r="W165" s="3019"/>
      <c r="X165" s="3019"/>
      <c r="Y165" s="3019"/>
      <c r="Z165" s="3019"/>
      <c r="AA165" s="3019"/>
      <c r="AB165" s="3019"/>
      <c r="AC165" s="3019"/>
      <c r="AD165" s="3019"/>
      <c r="AE165" s="3019"/>
      <c r="AF165" s="3019"/>
      <c r="AG165" s="3019"/>
      <c r="AH165" s="3019"/>
      <c r="AI165" s="3019"/>
      <c r="AJ165" s="3019"/>
      <c r="AK165" s="3019"/>
      <c r="AL165" s="3019"/>
      <c r="AM165" s="3019"/>
    </row>
    <row r="166" spans="2:39" s="110" customFormat="1" ht="78" customHeight="1">
      <c r="B166" s="2181" t="s">
        <v>2332</v>
      </c>
      <c r="C166" s="3019"/>
      <c r="D166" s="3019"/>
      <c r="E166" s="3019"/>
      <c r="F166" s="3019"/>
      <c r="G166" s="3019"/>
      <c r="H166" s="3019"/>
      <c r="I166" s="3019"/>
      <c r="J166" s="3019"/>
      <c r="K166" s="3019"/>
      <c r="L166" s="3019"/>
      <c r="M166" s="3019"/>
      <c r="N166" s="3019"/>
      <c r="O166" s="3019"/>
      <c r="P166" s="3019"/>
      <c r="Q166" s="3019"/>
      <c r="R166" s="3019"/>
      <c r="S166" s="3019"/>
      <c r="T166" s="3019"/>
      <c r="U166" s="3019"/>
      <c r="V166" s="3019"/>
      <c r="W166" s="3019"/>
      <c r="X166" s="3019"/>
      <c r="Y166" s="3019"/>
      <c r="Z166" s="3019"/>
      <c r="AA166" s="3019"/>
      <c r="AB166" s="3019"/>
      <c r="AC166" s="3019"/>
      <c r="AD166" s="3019"/>
      <c r="AE166" s="3019"/>
      <c r="AF166" s="3019"/>
      <c r="AG166" s="3019"/>
      <c r="AH166" s="3019"/>
      <c r="AI166" s="3019"/>
      <c r="AJ166" s="3019"/>
      <c r="AK166" s="3019"/>
      <c r="AL166" s="3019"/>
      <c r="AM166" s="3019"/>
    </row>
    <row r="167" spans="2:39" s="110" customFormat="1" ht="52.5" customHeight="1">
      <c r="B167" s="2181" t="s">
        <v>2333</v>
      </c>
      <c r="C167" s="3019"/>
      <c r="D167" s="3019"/>
      <c r="E167" s="3019"/>
      <c r="F167" s="3019"/>
      <c r="G167" s="3019"/>
      <c r="H167" s="3019"/>
      <c r="I167" s="3019"/>
      <c r="J167" s="3019"/>
      <c r="K167" s="3019"/>
      <c r="L167" s="3019"/>
      <c r="M167" s="3019"/>
      <c r="N167" s="3019"/>
      <c r="O167" s="3019"/>
      <c r="P167" s="3019"/>
      <c r="Q167" s="3019"/>
      <c r="R167" s="3019"/>
      <c r="S167" s="3019"/>
      <c r="T167" s="3019"/>
      <c r="U167" s="3019"/>
      <c r="V167" s="3019"/>
      <c r="W167" s="3019"/>
      <c r="X167" s="3019"/>
      <c r="Y167" s="3019"/>
      <c r="Z167" s="3019"/>
      <c r="AA167" s="3019"/>
      <c r="AB167" s="3019"/>
      <c r="AC167" s="3019"/>
      <c r="AD167" s="3019"/>
      <c r="AE167" s="3019"/>
      <c r="AF167" s="3019"/>
      <c r="AG167" s="3019"/>
      <c r="AH167" s="3019"/>
      <c r="AI167" s="3019"/>
      <c r="AJ167" s="3019"/>
      <c r="AK167" s="3019"/>
      <c r="AL167" s="3019"/>
      <c r="AM167" s="3019"/>
    </row>
    <row r="168" spans="2:39" s="387" customFormat="1" ht="36" customHeight="1">
      <c r="B168" s="3038" t="s">
        <v>2334</v>
      </c>
      <c r="C168" s="3021"/>
      <c r="D168" s="3021"/>
      <c r="E168" s="3021"/>
      <c r="F168" s="3021"/>
      <c r="G168" s="3021"/>
      <c r="H168" s="3021"/>
      <c r="I168" s="3021"/>
      <c r="J168" s="3021"/>
      <c r="K168" s="3021"/>
      <c r="L168" s="3021"/>
      <c r="M168" s="3021"/>
      <c r="N168" s="3021"/>
      <c r="O168" s="3021"/>
      <c r="P168" s="3021"/>
      <c r="Q168" s="3021"/>
      <c r="R168" s="3021"/>
      <c r="S168" s="3021"/>
      <c r="T168" s="3021"/>
      <c r="U168" s="3021"/>
      <c r="V168" s="3021"/>
      <c r="W168" s="3021"/>
      <c r="X168" s="3038" t="s">
        <v>2335</v>
      </c>
      <c r="Y168" s="3021"/>
      <c r="Z168" s="3021"/>
      <c r="AA168" s="3038" t="s">
        <v>1096</v>
      </c>
      <c r="AB168" s="3021"/>
      <c r="AC168" s="3021"/>
      <c r="AD168" s="3038" t="s">
        <v>2336</v>
      </c>
      <c r="AE168" s="3021"/>
      <c r="AF168" s="3021"/>
      <c r="AG168" s="3021"/>
      <c r="AH168" s="3021"/>
      <c r="AI168" s="3021"/>
      <c r="AJ168" s="3038" t="s">
        <v>2337</v>
      </c>
      <c r="AK168" s="3021"/>
      <c r="AL168" s="3021"/>
      <c r="AM168" s="3021"/>
    </row>
    <row r="169" spans="2:39" s="387" customFormat="1" ht="18" customHeight="1">
      <c r="B169" s="3025"/>
      <c r="C169" s="1861"/>
      <c r="D169" s="1861"/>
      <c r="E169" s="1861"/>
      <c r="F169" s="1861"/>
      <c r="G169" s="1861"/>
      <c r="H169" s="1861"/>
      <c r="I169" s="1861"/>
      <c r="J169" s="1861"/>
      <c r="K169" s="1861"/>
      <c r="L169" s="1861"/>
      <c r="M169" s="1861"/>
      <c r="N169" s="1861"/>
      <c r="O169" s="1861"/>
      <c r="P169" s="1861"/>
      <c r="Q169" s="1861"/>
      <c r="R169" s="1861"/>
      <c r="S169" s="1861"/>
      <c r="T169" s="1861"/>
      <c r="U169" s="1861"/>
      <c r="V169" s="1861"/>
      <c r="W169" s="1862"/>
      <c r="X169" s="3041"/>
      <c r="Y169" s="1861"/>
      <c r="Z169" s="1862"/>
      <c r="AA169" s="3020"/>
      <c r="AB169" s="1861"/>
      <c r="AC169" s="1862"/>
      <c r="AD169" s="3020"/>
      <c r="AE169" s="1861"/>
      <c r="AF169" s="1861"/>
      <c r="AG169" s="1861"/>
      <c r="AH169" s="1861"/>
      <c r="AI169" s="1862"/>
      <c r="AJ169" s="3027">
        <f>IF($X$173=0,0,X169/$X$173)</f>
        <v>0</v>
      </c>
      <c r="AK169" s="3021"/>
      <c r="AL169" s="3021"/>
      <c r="AM169" s="3021"/>
    </row>
    <row r="170" spans="2:39" s="387" customFormat="1" ht="18" customHeight="1">
      <c r="B170" s="3025"/>
      <c r="C170" s="1861"/>
      <c r="D170" s="1861"/>
      <c r="E170" s="1861"/>
      <c r="F170" s="1861"/>
      <c r="G170" s="1861"/>
      <c r="H170" s="1861"/>
      <c r="I170" s="1861"/>
      <c r="J170" s="1861"/>
      <c r="K170" s="1861"/>
      <c r="L170" s="1861"/>
      <c r="M170" s="1861"/>
      <c r="N170" s="1861"/>
      <c r="O170" s="1861"/>
      <c r="P170" s="1861"/>
      <c r="Q170" s="1861"/>
      <c r="R170" s="1861"/>
      <c r="S170" s="1861"/>
      <c r="T170" s="1861"/>
      <c r="U170" s="1861"/>
      <c r="V170" s="1861"/>
      <c r="W170" s="1862"/>
      <c r="X170" s="3041"/>
      <c r="Y170" s="1861"/>
      <c r="Z170" s="1862"/>
      <c r="AA170" s="3020"/>
      <c r="AB170" s="1861"/>
      <c r="AC170" s="1862"/>
      <c r="AD170" s="3020"/>
      <c r="AE170" s="1861"/>
      <c r="AF170" s="1861"/>
      <c r="AG170" s="1861"/>
      <c r="AH170" s="1861"/>
      <c r="AI170" s="1862"/>
      <c r="AJ170" s="3027">
        <f>IF($X$173=0,0,X170/$X$173)</f>
        <v>0</v>
      </c>
      <c r="AK170" s="3021"/>
      <c r="AL170" s="3021"/>
      <c r="AM170" s="3021"/>
    </row>
    <row r="171" spans="2:39" s="387" customFormat="1" ht="18" customHeight="1">
      <c r="B171" s="3025"/>
      <c r="C171" s="1861"/>
      <c r="D171" s="1861"/>
      <c r="E171" s="1861"/>
      <c r="F171" s="1861"/>
      <c r="G171" s="1861"/>
      <c r="H171" s="1861"/>
      <c r="I171" s="1861"/>
      <c r="J171" s="1861"/>
      <c r="K171" s="1861"/>
      <c r="L171" s="1861"/>
      <c r="M171" s="1861"/>
      <c r="N171" s="1861"/>
      <c r="O171" s="1861"/>
      <c r="P171" s="1861"/>
      <c r="Q171" s="1861"/>
      <c r="R171" s="1861"/>
      <c r="S171" s="1861"/>
      <c r="T171" s="1861"/>
      <c r="U171" s="1861"/>
      <c r="V171" s="1861"/>
      <c r="W171" s="1862"/>
      <c r="X171" s="3041"/>
      <c r="Y171" s="1861"/>
      <c r="Z171" s="1862"/>
      <c r="AA171" s="3020"/>
      <c r="AB171" s="1861"/>
      <c r="AC171" s="1862"/>
      <c r="AD171" s="3020"/>
      <c r="AE171" s="1861"/>
      <c r="AF171" s="1861"/>
      <c r="AG171" s="1861"/>
      <c r="AH171" s="1861"/>
      <c r="AI171" s="1862"/>
      <c r="AJ171" s="3027">
        <f>IF($X$173=0,0,X171/$X$173)</f>
        <v>0</v>
      </c>
      <c r="AK171" s="3021"/>
      <c r="AL171" s="3021"/>
      <c r="AM171" s="3021"/>
    </row>
    <row r="172" spans="2:39" s="387" customFormat="1" ht="18" customHeight="1">
      <c r="B172" s="3025"/>
      <c r="C172" s="1861"/>
      <c r="D172" s="1861"/>
      <c r="E172" s="1861"/>
      <c r="F172" s="1861"/>
      <c r="G172" s="1861"/>
      <c r="H172" s="1861"/>
      <c r="I172" s="1861"/>
      <c r="J172" s="1861"/>
      <c r="K172" s="1861"/>
      <c r="L172" s="1861"/>
      <c r="M172" s="1861"/>
      <c r="N172" s="1861"/>
      <c r="O172" s="1861"/>
      <c r="P172" s="1861"/>
      <c r="Q172" s="1861"/>
      <c r="R172" s="1861"/>
      <c r="S172" s="1861"/>
      <c r="T172" s="1861"/>
      <c r="U172" s="1861"/>
      <c r="V172" s="1861"/>
      <c r="W172" s="1862"/>
      <c r="X172" s="3041"/>
      <c r="Y172" s="1861"/>
      <c r="Z172" s="1862"/>
      <c r="AA172" s="3020"/>
      <c r="AB172" s="1861"/>
      <c r="AC172" s="1862"/>
      <c r="AD172" s="3020"/>
      <c r="AE172" s="1861"/>
      <c r="AF172" s="1861"/>
      <c r="AG172" s="1861"/>
      <c r="AH172" s="1861"/>
      <c r="AI172" s="1862"/>
      <c r="AJ172" s="3027">
        <f>IF($X$173=0,0,X172/$X$173)</f>
        <v>0</v>
      </c>
      <c r="AK172" s="3021"/>
      <c r="AL172" s="3021"/>
      <c r="AM172" s="3021"/>
    </row>
    <row r="173" spans="2:39" s="387" customFormat="1" ht="18" customHeight="1">
      <c r="B173" s="3050" t="s">
        <v>2338</v>
      </c>
      <c r="C173" s="1953"/>
      <c r="D173" s="1953"/>
      <c r="E173" s="1953"/>
      <c r="F173" s="1953"/>
      <c r="G173" s="1953"/>
      <c r="H173" s="1953"/>
      <c r="I173" s="1953"/>
      <c r="J173" s="1953"/>
      <c r="K173" s="1953"/>
      <c r="L173" s="1953"/>
      <c r="M173" s="1953"/>
      <c r="N173" s="1953"/>
      <c r="O173" s="1953"/>
      <c r="P173" s="1953"/>
      <c r="Q173" s="1953"/>
      <c r="R173" s="1953"/>
      <c r="S173" s="1953"/>
      <c r="T173" s="1953"/>
      <c r="U173" s="1953"/>
      <c r="V173" s="1953"/>
      <c r="W173" s="1953"/>
      <c r="X173" s="3037">
        <f>SUM(X169:Z172)</f>
        <v>0</v>
      </c>
      <c r="Y173" s="3021"/>
      <c r="Z173" s="3021"/>
      <c r="AA173" s="396"/>
      <c r="AB173" s="396"/>
      <c r="AC173" s="396"/>
      <c r="AD173" s="396"/>
      <c r="AE173" s="396"/>
      <c r="AF173" s="396"/>
      <c r="AG173" s="396"/>
      <c r="AH173" s="396"/>
      <c r="AI173" s="396"/>
      <c r="AJ173" s="3045">
        <f>SUM(AJ169:AM172)</f>
        <v>0</v>
      </c>
      <c r="AK173" s="3021"/>
      <c r="AL173" s="3021"/>
      <c r="AM173" s="3021"/>
    </row>
    <row r="174" spans="2:39" s="387" customFormat="1" ht="36" customHeight="1">
      <c r="B174" s="3069" t="s">
        <v>2339</v>
      </c>
      <c r="C174" s="3021"/>
      <c r="D174" s="3021"/>
      <c r="E174" s="3021"/>
      <c r="F174" s="3021"/>
      <c r="G174" s="3021"/>
      <c r="H174" s="3021"/>
      <c r="I174" s="3021"/>
      <c r="J174" s="3021"/>
      <c r="K174" s="3021"/>
      <c r="L174" s="3021"/>
      <c r="M174" s="3021"/>
      <c r="N174" s="3021"/>
      <c r="O174" s="3021"/>
      <c r="P174" s="3021"/>
      <c r="Q174" s="3021"/>
      <c r="R174" s="3021"/>
      <c r="S174" s="3021"/>
      <c r="T174" s="3021"/>
      <c r="U174" s="3021"/>
      <c r="V174" s="3021"/>
      <c r="W174" s="3021"/>
      <c r="X174" s="3038" t="s">
        <v>2335</v>
      </c>
      <c r="Y174" s="3021"/>
      <c r="Z174" s="3021"/>
      <c r="AA174" s="3038" t="s">
        <v>1096</v>
      </c>
      <c r="AB174" s="3021"/>
      <c r="AC174" s="3021"/>
      <c r="AD174" s="3038" t="s">
        <v>2336</v>
      </c>
      <c r="AE174" s="3021"/>
      <c r="AF174" s="3021"/>
      <c r="AG174" s="3021"/>
      <c r="AH174" s="3021"/>
      <c r="AI174" s="3021"/>
      <c r="AJ174" s="3038" t="s">
        <v>2337</v>
      </c>
      <c r="AK174" s="3021"/>
      <c r="AL174" s="3021"/>
      <c r="AM174" s="3021"/>
    </row>
    <row r="175" spans="2:39" s="387" customFormat="1" ht="18" customHeight="1">
      <c r="B175" s="2181" t="s">
        <v>2340</v>
      </c>
      <c r="C175" s="3021"/>
      <c r="D175" s="3021"/>
      <c r="E175" s="3021"/>
      <c r="F175" s="3021"/>
      <c r="G175" s="3021"/>
      <c r="H175" s="3021"/>
      <c r="I175" s="3021"/>
      <c r="J175" s="3021"/>
      <c r="K175" s="3021"/>
      <c r="L175" s="3021"/>
      <c r="M175" s="3021"/>
      <c r="N175" s="3021"/>
      <c r="O175" s="3021"/>
      <c r="P175" s="3021"/>
      <c r="Q175" s="3021"/>
      <c r="R175" s="3021"/>
      <c r="S175" s="3021"/>
      <c r="T175" s="3021"/>
      <c r="U175" s="3021"/>
      <c r="V175" s="3021"/>
      <c r="W175" s="3021"/>
      <c r="X175" s="507"/>
      <c r="Y175" s="507"/>
      <c r="Z175" s="507"/>
      <c r="AA175" s="507"/>
      <c r="AB175" s="507"/>
      <c r="AC175" s="507"/>
      <c r="AD175" s="507"/>
      <c r="AE175" s="507"/>
      <c r="AF175" s="507"/>
      <c r="AG175" s="507"/>
      <c r="AH175" s="507"/>
      <c r="AI175" s="507"/>
      <c r="AJ175" s="507"/>
      <c r="AK175" s="507"/>
      <c r="AL175" s="507"/>
      <c r="AM175" s="507"/>
    </row>
    <row r="176" spans="2:39" s="387" customFormat="1" ht="18" customHeight="1">
      <c r="B176" s="3036" t="s">
        <v>2341</v>
      </c>
      <c r="C176" s="1861"/>
      <c r="D176" s="1861"/>
      <c r="E176" s="1861"/>
      <c r="F176" s="1861"/>
      <c r="G176" s="1861"/>
      <c r="H176" s="1861"/>
      <c r="I176" s="1861"/>
      <c r="J176" s="1861"/>
      <c r="K176" s="1861"/>
      <c r="L176" s="1861"/>
      <c r="M176" s="1861"/>
      <c r="N176" s="1861"/>
      <c r="O176" s="1861"/>
      <c r="P176" s="1861"/>
      <c r="Q176" s="1862"/>
      <c r="R176" s="3026" t="s">
        <v>2342</v>
      </c>
      <c r="S176" s="1778"/>
      <c r="T176" s="3022"/>
      <c r="U176" s="1862"/>
      <c r="X176" s="3041"/>
      <c r="Y176" s="1861"/>
      <c r="Z176" s="1862"/>
      <c r="AA176" s="3020"/>
      <c r="AB176" s="1861"/>
      <c r="AC176" s="1862"/>
      <c r="AD176" s="3020"/>
      <c r="AE176" s="1861"/>
      <c r="AF176" s="1861"/>
      <c r="AG176" s="1861"/>
      <c r="AH176" s="1861"/>
      <c r="AI176" s="1862"/>
      <c r="AJ176" s="3027">
        <f t="shared" ref="AJ176:AJ192" si="0">IF($X$193=0,0,X176/$X$193)</f>
        <v>0</v>
      </c>
      <c r="AK176" s="3021"/>
      <c r="AL176" s="3021"/>
      <c r="AM176" s="3021"/>
    </row>
    <row r="177" spans="2:39" s="387" customFormat="1" ht="18" customHeight="1">
      <c r="B177" s="3036" t="s">
        <v>2341</v>
      </c>
      <c r="C177" s="1861"/>
      <c r="D177" s="1861"/>
      <c r="E177" s="1861"/>
      <c r="F177" s="1861"/>
      <c r="G177" s="1861"/>
      <c r="H177" s="1861"/>
      <c r="I177" s="1861"/>
      <c r="J177" s="1861"/>
      <c r="K177" s="1861"/>
      <c r="L177" s="1861"/>
      <c r="M177" s="1861"/>
      <c r="N177" s="1861"/>
      <c r="O177" s="1861"/>
      <c r="P177" s="1861"/>
      <c r="Q177" s="1862"/>
      <c r="R177" s="3026" t="s">
        <v>2342</v>
      </c>
      <c r="S177" s="1778"/>
      <c r="T177" s="3022"/>
      <c r="U177" s="1862"/>
      <c r="X177" s="3041"/>
      <c r="Y177" s="1861"/>
      <c r="Z177" s="1862"/>
      <c r="AA177" s="3020"/>
      <c r="AB177" s="1861"/>
      <c r="AC177" s="1862"/>
      <c r="AD177" s="3020"/>
      <c r="AE177" s="1861"/>
      <c r="AF177" s="1861"/>
      <c r="AG177" s="1861"/>
      <c r="AH177" s="1861"/>
      <c r="AI177" s="1862"/>
      <c r="AJ177" s="3027">
        <f t="shared" si="0"/>
        <v>0</v>
      </c>
      <c r="AK177" s="3021"/>
      <c r="AL177" s="3021"/>
      <c r="AM177" s="3021"/>
    </row>
    <row r="178" spans="2:39" s="387" customFormat="1" ht="18" customHeight="1">
      <c r="B178" s="3036" t="s">
        <v>2341</v>
      </c>
      <c r="C178" s="1861"/>
      <c r="D178" s="1861"/>
      <c r="E178" s="1861"/>
      <c r="F178" s="1861"/>
      <c r="G178" s="1861"/>
      <c r="H178" s="1861"/>
      <c r="I178" s="1861"/>
      <c r="J178" s="1861"/>
      <c r="K178" s="1861"/>
      <c r="L178" s="1861"/>
      <c r="M178" s="1861"/>
      <c r="N178" s="1861"/>
      <c r="O178" s="1861"/>
      <c r="P178" s="1861"/>
      <c r="Q178" s="1862"/>
      <c r="R178" s="3026" t="s">
        <v>2342</v>
      </c>
      <c r="S178" s="1778"/>
      <c r="T178" s="3022"/>
      <c r="U178" s="1862"/>
      <c r="X178" s="3041"/>
      <c r="Y178" s="1861"/>
      <c r="Z178" s="1862"/>
      <c r="AA178" s="3020"/>
      <c r="AB178" s="1861"/>
      <c r="AC178" s="1862"/>
      <c r="AD178" s="3020"/>
      <c r="AE178" s="1861"/>
      <c r="AF178" s="1861"/>
      <c r="AG178" s="1861"/>
      <c r="AH178" s="1861"/>
      <c r="AI178" s="1862"/>
      <c r="AJ178" s="3027">
        <f t="shared" si="0"/>
        <v>0</v>
      </c>
      <c r="AK178" s="3021"/>
      <c r="AL178" s="3021"/>
      <c r="AM178" s="3021"/>
    </row>
    <row r="179" spans="2:39" s="387" customFormat="1" ht="18" customHeight="1">
      <c r="B179" s="3079" t="s">
        <v>2341</v>
      </c>
      <c r="C179" s="1864"/>
      <c r="D179" s="1864"/>
      <c r="E179" s="1864"/>
      <c r="F179" s="1864"/>
      <c r="G179" s="1864"/>
      <c r="H179" s="1864"/>
      <c r="I179" s="1864"/>
      <c r="J179" s="1864"/>
      <c r="K179" s="1864"/>
      <c r="L179" s="1864"/>
      <c r="M179" s="1864"/>
      <c r="N179" s="1864"/>
      <c r="O179" s="1864"/>
      <c r="P179" s="1864"/>
      <c r="Q179" s="1865"/>
      <c r="R179" s="3039" t="s">
        <v>2342</v>
      </c>
      <c r="S179" s="1770"/>
      <c r="T179" s="3040"/>
      <c r="U179" s="1865"/>
      <c r="X179" s="3041"/>
      <c r="Y179" s="1861"/>
      <c r="Z179" s="1862"/>
      <c r="AA179" s="3020"/>
      <c r="AB179" s="1861"/>
      <c r="AC179" s="1862"/>
      <c r="AD179" s="3020"/>
      <c r="AE179" s="1861"/>
      <c r="AF179" s="1861"/>
      <c r="AG179" s="1861"/>
      <c r="AH179" s="1861"/>
      <c r="AI179" s="1862"/>
      <c r="AJ179" s="3027">
        <f t="shared" si="0"/>
        <v>0</v>
      </c>
      <c r="AK179" s="3021"/>
      <c r="AL179" s="3021"/>
      <c r="AM179" s="3021"/>
    </row>
    <row r="180" spans="2:39" s="387" customFormat="1" ht="18" customHeight="1">
      <c r="B180" s="3075" t="s">
        <v>2343</v>
      </c>
      <c r="C180" s="1777"/>
      <c r="D180" s="1777"/>
      <c r="E180" s="1777"/>
      <c r="F180" s="1777"/>
      <c r="G180" s="1777"/>
      <c r="H180" s="1777"/>
      <c r="I180" s="1777"/>
      <c r="J180" s="1777"/>
      <c r="K180" s="1777"/>
      <c r="L180" s="1777"/>
      <c r="M180" s="1777"/>
      <c r="N180" s="1777"/>
      <c r="O180" s="1777"/>
      <c r="P180" s="1777"/>
      <c r="Q180" s="1777"/>
      <c r="R180" s="1777"/>
      <c r="S180" s="1777"/>
      <c r="T180" s="1777"/>
      <c r="U180" s="1777"/>
      <c r="V180" s="1777"/>
      <c r="W180" s="1778"/>
      <c r="X180" s="3041"/>
      <c r="Y180" s="1861"/>
      <c r="Z180" s="1862"/>
      <c r="AA180" s="3020"/>
      <c r="AB180" s="1861"/>
      <c r="AC180" s="1862"/>
      <c r="AD180" s="3020"/>
      <c r="AE180" s="1861"/>
      <c r="AF180" s="1861"/>
      <c r="AG180" s="1861"/>
      <c r="AH180" s="1861"/>
      <c r="AI180" s="1862"/>
      <c r="AJ180" s="3027">
        <f t="shared" si="0"/>
        <v>0</v>
      </c>
      <c r="AK180" s="3021"/>
      <c r="AL180" s="3021"/>
      <c r="AM180" s="3021"/>
    </row>
    <row r="181" spans="2:39" s="387" customFormat="1" ht="18" customHeight="1">
      <c r="B181" s="3074" t="s">
        <v>2344</v>
      </c>
      <c r="C181" s="3021"/>
      <c r="D181" s="3021"/>
      <c r="E181" s="3021"/>
      <c r="F181" s="3021"/>
      <c r="G181" s="3021"/>
      <c r="H181" s="3021"/>
      <c r="I181" s="3021"/>
      <c r="J181" s="3021"/>
      <c r="K181" s="3021"/>
      <c r="L181" s="3021"/>
      <c r="X181" s="3037">
        <f>SUM(X175:Z180)</f>
        <v>0</v>
      </c>
      <c r="Y181" s="3021"/>
      <c r="Z181" s="3021"/>
      <c r="AA181" s="381"/>
      <c r="AB181" s="381"/>
      <c r="AC181" s="381"/>
      <c r="AD181" s="381"/>
      <c r="AE181" s="381"/>
      <c r="AF181" s="381"/>
      <c r="AG181" s="381"/>
      <c r="AH181" s="381"/>
      <c r="AI181" s="381"/>
      <c r="AJ181" s="3057">
        <f t="shared" si="0"/>
        <v>0</v>
      </c>
      <c r="AK181" s="3021"/>
      <c r="AL181" s="3021"/>
      <c r="AM181" s="3021"/>
    </row>
    <row r="182" spans="2:39" s="387" customFormat="1" ht="18" customHeight="1">
      <c r="B182" s="3049" t="s">
        <v>2345</v>
      </c>
      <c r="C182" s="3021"/>
      <c r="D182" s="3021"/>
      <c r="E182" s="3021"/>
      <c r="F182" s="3021"/>
      <c r="G182" s="3021"/>
      <c r="H182" s="3021"/>
      <c r="I182" s="3021"/>
      <c r="J182" s="3021"/>
      <c r="K182" s="3021"/>
      <c r="L182" s="3021"/>
      <c r="M182" s="3021"/>
      <c r="N182" s="3021"/>
      <c r="O182" s="3021"/>
      <c r="P182" s="3021"/>
      <c r="Q182" s="3021"/>
      <c r="R182" s="3021"/>
      <c r="S182" s="3021"/>
      <c r="T182" s="3021"/>
      <c r="U182" s="3021"/>
      <c r="V182" s="3021"/>
      <c r="W182" s="3021"/>
      <c r="X182" s="3041"/>
      <c r="Y182" s="1861"/>
      <c r="Z182" s="1862"/>
      <c r="AA182" s="3020"/>
      <c r="AB182" s="1861"/>
      <c r="AC182" s="1862"/>
      <c r="AD182" s="3020"/>
      <c r="AE182" s="1861"/>
      <c r="AF182" s="1861"/>
      <c r="AG182" s="1861"/>
      <c r="AH182" s="1861"/>
      <c r="AI182" s="1862"/>
      <c r="AJ182" s="3027">
        <f t="shared" si="0"/>
        <v>0</v>
      </c>
      <c r="AK182" s="3021"/>
      <c r="AL182" s="3021"/>
      <c r="AM182" s="3021"/>
    </row>
    <row r="183" spans="2:39" s="387" customFormat="1" ht="18" customHeight="1">
      <c r="B183" s="3049" t="s">
        <v>2346</v>
      </c>
      <c r="C183" s="3021"/>
      <c r="D183" s="3021"/>
      <c r="E183" s="3021"/>
      <c r="F183" s="3021"/>
      <c r="G183" s="3021"/>
      <c r="H183" s="3021"/>
      <c r="I183" s="3021"/>
      <c r="J183" s="3021"/>
      <c r="K183" s="3021"/>
      <c r="L183" s="3021"/>
      <c r="M183" s="3021"/>
      <c r="N183" s="3021"/>
      <c r="O183" s="3021"/>
      <c r="P183" s="3021"/>
      <c r="Q183" s="3021"/>
      <c r="R183" s="3021"/>
      <c r="S183" s="3021"/>
      <c r="T183" s="3021"/>
      <c r="U183" s="3021"/>
      <c r="V183" s="3021"/>
      <c r="W183" s="3021"/>
      <c r="X183" s="3041"/>
      <c r="Y183" s="1861"/>
      <c r="Z183" s="1862"/>
      <c r="AA183" s="3020"/>
      <c r="AB183" s="1861"/>
      <c r="AC183" s="1862"/>
      <c r="AD183" s="3020"/>
      <c r="AE183" s="1861"/>
      <c r="AF183" s="1861"/>
      <c r="AG183" s="1861"/>
      <c r="AH183" s="1861"/>
      <c r="AI183" s="1862"/>
      <c r="AJ183" s="3027">
        <f t="shared" si="0"/>
        <v>0</v>
      </c>
      <c r="AK183" s="3021"/>
      <c r="AL183" s="3021"/>
      <c r="AM183" s="3021"/>
    </row>
    <row r="184" spans="2:39" s="387" customFormat="1" ht="18" customHeight="1">
      <c r="B184" s="3049" t="s">
        <v>2347</v>
      </c>
      <c r="C184" s="3021"/>
      <c r="D184" s="3021"/>
      <c r="E184" s="3021"/>
      <c r="F184" s="3021"/>
      <c r="G184" s="3021"/>
      <c r="H184" s="3021"/>
      <c r="I184" s="3021"/>
      <c r="J184" s="3021"/>
      <c r="K184" s="3021"/>
      <c r="L184" s="3021"/>
      <c r="M184" s="3021"/>
      <c r="N184" s="3021"/>
      <c r="O184" s="3021"/>
      <c r="P184" s="3021"/>
      <c r="Q184" s="3021"/>
      <c r="R184" s="3021"/>
      <c r="S184" s="3021"/>
      <c r="T184" s="3021"/>
      <c r="U184" s="3021"/>
      <c r="V184" s="3021"/>
      <c r="W184" s="3021"/>
      <c r="X184" s="3041"/>
      <c r="Y184" s="1861"/>
      <c r="Z184" s="1862"/>
      <c r="AA184" s="3020"/>
      <c r="AB184" s="1861"/>
      <c r="AC184" s="1862"/>
      <c r="AD184" s="3020"/>
      <c r="AE184" s="1861"/>
      <c r="AF184" s="1861"/>
      <c r="AG184" s="1861"/>
      <c r="AH184" s="1861"/>
      <c r="AI184" s="1862"/>
      <c r="AJ184" s="3027">
        <f t="shared" si="0"/>
        <v>0</v>
      </c>
      <c r="AK184" s="3021"/>
      <c r="AL184" s="3021"/>
      <c r="AM184" s="3021"/>
    </row>
    <row r="185" spans="2:39" s="387" customFormat="1" ht="18" customHeight="1">
      <c r="B185" s="3049" t="s">
        <v>2348</v>
      </c>
      <c r="C185" s="3021"/>
      <c r="D185" s="3021"/>
      <c r="E185" s="3021"/>
      <c r="F185" s="3021"/>
      <c r="G185" s="3021"/>
      <c r="H185" s="3021"/>
      <c r="I185" s="3021"/>
      <c r="J185" s="3021"/>
      <c r="K185" s="3021"/>
      <c r="L185" s="3021"/>
      <c r="M185" s="3021"/>
      <c r="N185" s="3021"/>
      <c r="O185" s="3021"/>
      <c r="P185" s="3021"/>
      <c r="Q185" s="3021"/>
      <c r="R185" s="3021"/>
      <c r="S185" s="3021"/>
      <c r="T185" s="3021"/>
      <c r="U185" s="3021"/>
      <c r="V185" s="3021"/>
      <c r="W185" s="3021"/>
      <c r="X185" s="3041"/>
      <c r="Y185" s="1861"/>
      <c r="Z185" s="1862"/>
      <c r="AA185" s="3020"/>
      <c r="AB185" s="1861"/>
      <c r="AC185" s="1862"/>
      <c r="AD185" s="3020"/>
      <c r="AE185" s="1861"/>
      <c r="AF185" s="1861"/>
      <c r="AG185" s="1861"/>
      <c r="AH185" s="1861"/>
      <c r="AI185" s="1862"/>
      <c r="AJ185" s="3027">
        <f t="shared" si="0"/>
        <v>0</v>
      </c>
      <c r="AK185" s="3021"/>
      <c r="AL185" s="3021"/>
      <c r="AM185" s="3021"/>
    </row>
    <row r="186" spans="2:39" s="387" customFormat="1" ht="18" customHeight="1">
      <c r="B186" s="3049" t="s">
        <v>2349</v>
      </c>
      <c r="C186" s="3021"/>
      <c r="D186" s="3021"/>
      <c r="E186" s="3021"/>
      <c r="F186" s="3021"/>
      <c r="G186" s="3021"/>
      <c r="H186" s="3021"/>
      <c r="I186" s="3021"/>
      <c r="J186" s="3021"/>
      <c r="K186" s="3021"/>
      <c r="L186" s="3021"/>
      <c r="M186" s="3021"/>
      <c r="N186" s="3021"/>
      <c r="O186" s="3021"/>
      <c r="P186" s="3021"/>
      <c r="Q186" s="3021"/>
      <c r="R186" s="3021"/>
      <c r="S186" s="3021"/>
      <c r="T186" s="3021"/>
      <c r="U186" s="3021"/>
      <c r="V186" s="3021"/>
      <c r="W186" s="3021"/>
      <c r="X186" s="3041"/>
      <c r="Y186" s="1861"/>
      <c r="Z186" s="1862"/>
      <c r="AA186" s="3020"/>
      <c r="AB186" s="1861"/>
      <c r="AC186" s="1862"/>
      <c r="AD186" s="3020"/>
      <c r="AE186" s="1861"/>
      <c r="AF186" s="1861"/>
      <c r="AG186" s="1861"/>
      <c r="AH186" s="1861"/>
      <c r="AI186" s="1862"/>
      <c r="AJ186" s="3027">
        <f t="shared" si="0"/>
        <v>0</v>
      </c>
      <c r="AK186" s="3021"/>
      <c r="AL186" s="3021"/>
      <c r="AM186" s="3021"/>
    </row>
    <row r="187" spans="2:39" s="387" customFormat="1" ht="18" customHeight="1">
      <c r="B187" s="3049" t="s">
        <v>2350</v>
      </c>
      <c r="C187" s="3021"/>
      <c r="D187" s="3021"/>
      <c r="E187" s="3021"/>
      <c r="F187" s="3021"/>
      <c r="G187" s="3021"/>
      <c r="H187" s="3021"/>
      <c r="I187" s="3021"/>
      <c r="J187" s="3021"/>
      <c r="K187" s="3021"/>
      <c r="L187" s="3021"/>
      <c r="M187" s="3021"/>
      <c r="N187" s="3021"/>
      <c r="O187" s="3021"/>
      <c r="P187" s="3021"/>
      <c r="Q187" s="3021"/>
      <c r="R187" s="3021"/>
      <c r="S187" s="3021"/>
      <c r="T187" s="3021"/>
      <c r="U187" s="3021"/>
      <c r="V187" s="3021"/>
      <c r="W187" s="3021"/>
      <c r="X187" s="3041"/>
      <c r="Y187" s="1861"/>
      <c r="Z187" s="1862"/>
      <c r="AA187" s="3020"/>
      <c r="AB187" s="1861"/>
      <c r="AC187" s="1862"/>
      <c r="AD187" s="3020"/>
      <c r="AE187" s="1861"/>
      <c r="AF187" s="1861"/>
      <c r="AG187" s="1861"/>
      <c r="AH187" s="1861"/>
      <c r="AI187" s="1862"/>
      <c r="AJ187" s="3027">
        <f t="shared" si="0"/>
        <v>0</v>
      </c>
      <c r="AK187" s="3021"/>
      <c r="AL187" s="3021"/>
      <c r="AM187" s="3021"/>
    </row>
    <row r="188" spans="2:39" s="387" customFormat="1" ht="18" customHeight="1">
      <c r="B188" s="3014" t="s">
        <v>2351</v>
      </c>
      <c r="C188" s="1861"/>
      <c r="D188" s="1861"/>
      <c r="E188" s="1861"/>
      <c r="F188" s="1861"/>
      <c r="G188" s="1861"/>
      <c r="H188" s="1861"/>
      <c r="I188" s="1861"/>
      <c r="J188" s="1861"/>
      <c r="K188" s="1861"/>
      <c r="L188" s="1861"/>
      <c r="M188" s="1861"/>
      <c r="N188" s="1861"/>
      <c r="O188" s="1861"/>
      <c r="P188" s="1861"/>
      <c r="Q188" s="1861"/>
      <c r="R188" s="1861"/>
      <c r="S188" s="1861"/>
      <c r="T188" s="1861"/>
      <c r="U188" s="1861"/>
      <c r="V188" s="1861"/>
      <c r="W188" s="1862"/>
      <c r="X188" s="3041"/>
      <c r="Y188" s="1861"/>
      <c r="Z188" s="1862"/>
      <c r="AA188" s="3020"/>
      <c r="AB188" s="1861"/>
      <c r="AC188" s="1862"/>
      <c r="AD188" s="3020"/>
      <c r="AE188" s="1861"/>
      <c r="AF188" s="1861"/>
      <c r="AG188" s="1861"/>
      <c r="AH188" s="1861"/>
      <c r="AI188" s="1862"/>
      <c r="AJ188" s="3027">
        <f t="shared" si="0"/>
        <v>0</v>
      </c>
      <c r="AK188" s="3021"/>
      <c r="AL188" s="3021"/>
      <c r="AM188" s="3021"/>
    </row>
    <row r="189" spans="2:39" s="387" customFormat="1" ht="18" customHeight="1">
      <c r="B189" s="3014" t="s">
        <v>2352</v>
      </c>
      <c r="C189" s="1861"/>
      <c r="D189" s="1861"/>
      <c r="E189" s="1861"/>
      <c r="F189" s="1861"/>
      <c r="G189" s="1861"/>
      <c r="H189" s="1861"/>
      <c r="I189" s="1861"/>
      <c r="J189" s="1861"/>
      <c r="K189" s="1861"/>
      <c r="L189" s="1861"/>
      <c r="M189" s="1861"/>
      <c r="N189" s="1861"/>
      <c r="O189" s="1861"/>
      <c r="P189" s="1861"/>
      <c r="Q189" s="1861"/>
      <c r="R189" s="1861"/>
      <c r="S189" s="1861"/>
      <c r="T189" s="1861"/>
      <c r="U189" s="1861"/>
      <c r="V189" s="1861"/>
      <c r="W189" s="1862"/>
      <c r="X189" s="3041"/>
      <c r="Y189" s="1861"/>
      <c r="Z189" s="1862"/>
      <c r="AA189" s="3020"/>
      <c r="AB189" s="1861"/>
      <c r="AC189" s="1862"/>
      <c r="AD189" s="3020"/>
      <c r="AE189" s="1861"/>
      <c r="AF189" s="1861"/>
      <c r="AG189" s="1861"/>
      <c r="AH189" s="1861"/>
      <c r="AI189" s="1862"/>
      <c r="AJ189" s="3027">
        <f t="shared" si="0"/>
        <v>0</v>
      </c>
      <c r="AK189" s="3021"/>
      <c r="AL189" s="3021"/>
      <c r="AM189" s="3021"/>
    </row>
    <row r="190" spans="2:39" s="387" customFormat="1" ht="18" customHeight="1">
      <c r="B190" s="3014" t="s">
        <v>2353</v>
      </c>
      <c r="C190" s="1861"/>
      <c r="D190" s="1861"/>
      <c r="E190" s="1861"/>
      <c r="F190" s="1861"/>
      <c r="G190" s="1861"/>
      <c r="H190" s="1861"/>
      <c r="I190" s="1861"/>
      <c r="J190" s="1861"/>
      <c r="K190" s="1861"/>
      <c r="L190" s="1861"/>
      <c r="M190" s="1861"/>
      <c r="N190" s="1861"/>
      <c r="O190" s="1861"/>
      <c r="P190" s="1861"/>
      <c r="Q190" s="1861"/>
      <c r="R190" s="1861"/>
      <c r="S190" s="1861"/>
      <c r="T190" s="1861"/>
      <c r="U190" s="1861"/>
      <c r="V190" s="1861"/>
      <c r="W190" s="1862"/>
      <c r="X190" s="3041"/>
      <c r="Y190" s="1861"/>
      <c r="Z190" s="1862"/>
      <c r="AA190" s="3020"/>
      <c r="AB190" s="1861"/>
      <c r="AC190" s="1862"/>
      <c r="AD190" s="3020"/>
      <c r="AE190" s="1861"/>
      <c r="AF190" s="1861"/>
      <c r="AG190" s="1861"/>
      <c r="AH190" s="1861"/>
      <c r="AI190" s="1862"/>
      <c r="AJ190" s="3027">
        <f t="shared" si="0"/>
        <v>0</v>
      </c>
      <c r="AK190" s="3021"/>
      <c r="AL190" s="3021"/>
      <c r="AM190" s="3021"/>
    </row>
    <row r="191" spans="2:39" s="387" customFormat="1" ht="18" customHeight="1">
      <c r="B191" s="3014" t="s">
        <v>2353</v>
      </c>
      <c r="C191" s="1861"/>
      <c r="D191" s="1861"/>
      <c r="E191" s="1861"/>
      <c r="F191" s="1861"/>
      <c r="G191" s="1861"/>
      <c r="H191" s="1861"/>
      <c r="I191" s="1861"/>
      <c r="J191" s="1861"/>
      <c r="K191" s="1861"/>
      <c r="L191" s="1861"/>
      <c r="M191" s="1861"/>
      <c r="N191" s="1861"/>
      <c r="O191" s="1861"/>
      <c r="P191" s="1861"/>
      <c r="Q191" s="1861"/>
      <c r="R191" s="1861"/>
      <c r="S191" s="1861"/>
      <c r="T191" s="1861"/>
      <c r="U191" s="1861"/>
      <c r="V191" s="1861"/>
      <c r="W191" s="1862"/>
      <c r="X191" s="3041"/>
      <c r="Y191" s="1861"/>
      <c r="Z191" s="1862"/>
      <c r="AA191" s="3020"/>
      <c r="AB191" s="1861"/>
      <c r="AC191" s="1862"/>
      <c r="AD191" s="3020"/>
      <c r="AE191" s="1861"/>
      <c r="AF191" s="1861"/>
      <c r="AG191" s="1861"/>
      <c r="AH191" s="1861"/>
      <c r="AI191" s="1862"/>
      <c r="AJ191" s="3027">
        <f t="shared" si="0"/>
        <v>0</v>
      </c>
      <c r="AK191" s="3021"/>
      <c r="AL191" s="3021"/>
      <c r="AM191" s="3021"/>
    </row>
    <row r="192" spans="2:39" s="387" customFormat="1" ht="18" customHeight="1">
      <c r="B192" s="3014" t="s">
        <v>2353</v>
      </c>
      <c r="C192" s="1861"/>
      <c r="D192" s="1861"/>
      <c r="E192" s="1861"/>
      <c r="F192" s="1861"/>
      <c r="G192" s="1861"/>
      <c r="H192" s="1861"/>
      <c r="I192" s="1861"/>
      <c r="J192" s="1861"/>
      <c r="K192" s="1861"/>
      <c r="L192" s="1861"/>
      <c r="M192" s="1861"/>
      <c r="N192" s="1861"/>
      <c r="O192" s="1861"/>
      <c r="P192" s="1861"/>
      <c r="Q192" s="1861"/>
      <c r="R192" s="1861"/>
      <c r="S192" s="1861"/>
      <c r="T192" s="1861"/>
      <c r="U192" s="1861"/>
      <c r="V192" s="1861"/>
      <c r="W192" s="1862"/>
      <c r="X192" s="3041"/>
      <c r="Y192" s="1861"/>
      <c r="Z192" s="1862"/>
      <c r="AA192" s="3020"/>
      <c r="AB192" s="1861"/>
      <c r="AC192" s="1862"/>
      <c r="AD192" s="3020"/>
      <c r="AE192" s="1861"/>
      <c r="AF192" s="1861"/>
      <c r="AG192" s="1861"/>
      <c r="AH192" s="1861"/>
      <c r="AI192" s="1862"/>
      <c r="AJ192" s="3027">
        <f t="shared" si="0"/>
        <v>0</v>
      </c>
      <c r="AK192" s="3021"/>
      <c r="AL192" s="3021"/>
      <c r="AM192" s="3021"/>
    </row>
    <row r="193" spans="2:39" s="387" customFormat="1" ht="18" customHeight="1">
      <c r="B193" s="3070" t="s">
        <v>2354</v>
      </c>
      <c r="C193" s="1953"/>
      <c r="D193" s="1953"/>
      <c r="E193" s="1953"/>
      <c r="F193" s="1953"/>
      <c r="G193" s="1953"/>
      <c r="H193" s="1953"/>
      <c r="I193" s="1953"/>
      <c r="J193" s="1953"/>
      <c r="K193" s="1953"/>
      <c r="L193" s="1953"/>
      <c r="M193" s="1953"/>
      <c r="N193" s="1953"/>
      <c r="O193" s="1953"/>
      <c r="P193" s="1953"/>
      <c r="Q193" s="1953"/>
      <c r="R193" s="1953"/>
      <c r="S193" s="1953"/>
      <c r="T193" s="1953"/>
      <c r="U193" s="1953"/>
      <c r="V193" s="1953"/>
      <c r="W193" s="1953"/>
      <c r="X193" s="3071">
        <f>SUM(X181:Z192)</f>
        <v>0</v>
      </c>
      <c r="Y193" s="3021"/>
      <c r="Z193" s="3021"/>
      <c r="AA193" s="2"/>
      <c r="AB193" s="2"/>
      <c r="AC193" s="2"/>
      <c r="AD193" s="2"/>
      <c r="AE193" s="2"/>
      <c r="AF193" s="2"/>
      <c r="AG193" s="2"/>
      <c r="AH193" s="2"/>
      <c r="AI193" s="2"/>
      <c r="AJ193" s="3045">
        <f>SUM(AJ181:AM192)</f>
        <v>0</v>
      </c>
      <c r="AK193" s="3021"/>
      <c r="AL193" s="3021"/>
      <c r="AM193" s="3021"/>
    </row>
    <row r="194" spans="2:39" s="110" customFormat="1" ht="18" customHeight="1">
      <c r="B194" s="2181" t="s">
        <v>2355</v>
      </c>
      <c r="C194" s="3019"/>
      <c r="D194" s="3019"/>
      <c r="E194" s="3019"/>
      <c r="F194" s="3019"/>
      <c r="G194" s="3019"/>
      <c r="H194" s="3019"/>
      <c r="I194" s="3019"/>
      <c r="J194" s="3019"/>
      <c r="K194" s="3019"/>
      <c r="L194" s="3019"/>
      <c r="M194" s="3019"/>
      <c r="N194" s="3019"/>
      <c r="O194" s="3019"/>
      <c r="P194" s="3019"/>
      <c r="Q194" s="3019"/>
      <c r="R194" s="3019"/>
      <c r="S194" s="3019"/>
      <c r="T194" s="3019"/>
      <c r="U194" s="3019"/>
      <c r="V194" s="3019"/>
      <c r="W194" s="3019"/>
      <c r="X194" s="3019"/>
      <c r="Y194" s="3019"/>
      <c r="Z194" s="3019"/>
      <c r="AA194" s="3019"/>
      <c r="AB194" s="3019"/>
      <c r="AC194" s="3019"/>
      <c r="AD194" s="3019"/>
      <c r="AE194" s="3019"/>
      <c r="AF194" s="3019"/>
      <c r="AG194" s="3019"/>
      <c r="AH194" s="3019"/>
      <c r="AI194" s="3019"/>
      <c r="AJ194" s="3019"/>
      <c r="AK194" s="3019"/>
      <c r="AL194" s="3019"/>
    </row>
    <row r="195" spans="2:39" s="110" customFormat="1" ht="18" customHeight="1">
      <c r="B195" s="2191" t="s">
        <v>2356</v>
      </c>
      <c r="C195" s="3019"/>
      <c r="D195" s="3019"/>
      <c r="E195" s="3019"/>
      <c r="F195" s="3019"/>
      <c r="G195" s="3019"/>
      <c r="H195" s="3019"/>
      <c r="I195" s="3019"/>
      <c r="J195" s="3019"/>
      <c r="K195" s="3019"/>
      <c r="L195" s="3019"/>
      <c r="M195" s="3019"/>
      <c r="N195" s="3019"/>
      <c r="O195" s="3019"/>
      <c r="P195" s="3019"/>
      <c r="Q195" s="3019"/>
      <c r="R195" s="3019"/>
      <c r="S195" s="3019"/>
      <c r="T195" s="3019"/>
      <c r="U195" s="3019"/>
      <c r="V195" s="3019"/>
      <c r="W195" s="3019"/>
      <c r="X195" s="3019"/>
      <c r="Y195" s="3019"/>
      <c r="Z195" s="3019"/>
      <c r="AA195" s="3019"/>
      <c r="AB195" s="3019"/>
      <c r="AC195" s="3019"/>
      <c r="AD195" s="3019"/>
      <c r="AE195" s="3019"/>
      <c r="AF195" s="3019"/>
      <c r="AG195" s="3019"/>
      <c r="AH195" s="3019"/>
      <c r="AI195" s="3019"/>
      <c r="AJ195" s="3019"/>
      <c r="AK195" s="3019"/>
      <c r="AL195" s="3019"/>
      <c r="AM195" s="3019"/>
    </row>
    <row r="196" spans="2:39" s="110" customFormat="1" ht="18" customHeight="1">
      <c r="B196" s="1713" t="s">
        <v>1312</v>
      </c>
      <c r="C196" s="3016" t="s">
        <v>2357</v>
      </c>
      <c r="D196" s="1777"/>
      <c r="E196" s="1777"/>
      <c r="F196" s="1777"/>
      <c r="G196" s="1777"/>
      <c r="H196" s="1777"/>
      <c r="I196" s="1777"/>
      <c r="J196" s="1777"/>
      <c r="K196" s="1777"/>
      <c r="L196" s="1777"/>
      <c r="M196" s="1777"/>
      <c r="N196" s="1777"/>
      <c r="O196" s="1777"/>
      <c r="P196" s="1777"/>
      <c r="Q196" s="1777"/>
      <c r="R196" s="1777"/>
      <c r="S196" s="1777"/>
      <c r="T196" s="1777"/>
      <c r="U196" s="1777"/>
      <c r="V196" s="1777"/>
      <c r="W196" s="1777"/>
      <c r="X196" s="1777"/>
      <c r="Y196" s="1778"/>
      <c r="Z196" s="3067">
        <f>'Unit Mix'!$K$8</f>
        <v>0</v>
      </c>
      <c r="AA196" s="1777"/>
      <c r="AB196" s="1778"/>
    </row>
    <row r="197" spans="2:39" s="110" customFormat="1" ht="18" customHeight="1">
      <c r="B197" s="1715" t="s">
        <v>1318</v>
      </c>
      <c r="C197" s="3016" t="s">
        <v>2358</v>
      </c>
      <c r="D197" s="1777"/>
      <c r="E197" s="1777"/>
      <c r="F197" s="1777"/>
      <c r="G197" s="1777"/>
      <c r="H197" s="1777"/>
      <c r="I197" s="1777"/>
      <c r="J197" s="1777"/>
      <c r="K197" s="1777"/>
      <c r="L197" s="1777"/>
      <c r="M197" s="1777"/>
      <c r="N197" s="1777"/>
      <c r="O197" s="1777"/>
      <c r="P197" s="1777"/>
      <c r="Q197" s="1777"/>
      <c r="R197" s="1777"/>
      <c r="S197" s="1777"/>
      <c r="T197" s="1777"/>
      <c r="U197" s="1777"/>
      <c r="V197" s="1777"/>
      <c r="W197" s="1777"/>
      <c r="X197" s="1777"/>
      <c r="Y197" s="1778"/>
      <c r="Z197" s="3052">
        <f>X193</f>
        <v>0</v>
      </c>
      <c r="AA197" s="1777"/>
      <c r="AB197" s="1778"/>
    </row>
    <row r="198" spans="2:39" s="110" customFormat="1" ht="18" customHeight="1">
      <c r="B198" s="395" t="s">
        <v>1320</v>
      </c>
      <c r="C198" s="3056" t="s">
        <v>2359</v>
      </c>
      <c r="D198" s="1777"/>
      <c r="E198" s="1777"/>
      <c r="F198" s="1777"/>
      <c r="G198" s="1777"/>
      <c r="H198" s="1777"/>
      <c r="I198" s="1777"/>
      <c r="J198" s="1777"/>
      <c r="K198" s="1777"/>
      <c r="L198" s="1777"/>
      <c r="M198" s="1777"/>
      <c r="N198" s="1777"/>
      <c r="O198" s="1777"/>
      <c r="P198" s="1777"/>
      <c r="Q198" s="1777"/>
      <c r="R198" s="1777"/>
      <c r="S198" s="1777"/>
      <c r="T198" s="1777"/>
      <c r="U198" s="1777"/>
      <c r="V198" s="1777"/>
      <c r="W198" s="1777"/>
      <c r="X198" s="1777"/>
      <c r="Y198" s="1778"/>
      <c r="Z198" s="3066">
        <f>IF(Z197=0,0,Z197/Z196)</f>
        <v>0</v>
      </c>
      <c r="AA198" s="1777"/>
      <c r="AB198" s="1778"/>
    </row>
    <row r="199" spans="2:39" s="76" customFormat="1" ht="18" customHeight="1"/>
    <row r="200" spans="2:39" s="110" customFormat="1" ht="18" customHeight="1">
      <c r="B200" s="3059" t="s">
        <v>2360</v>
      </c>
      <c r="C200" s="3019"/>
      <c r="D200" s="3019"/>
      <c r="E200" s="3019"/>
      <c r="F200" s="3019"/>
      <c r="G200" s="3019"/>
      <c r="H200" s="3019"/>
      <c r="I200" s="3019"/>
      <c r="J200" s="3019"/>
      <c r="K200" s="3019"/>
      <c r="L200" s="3019"/>
      <c r="M200" s="3019"/>
      <c r="N200" s="3019"/>
      <c r="O200" s="3019"/>
      <c r="P200" s="3019"/>
      <c r="Q200" s="3019"/>
      <c r="R200" s="3019"/>
      <c r="S200" s="3019"/>
      <c r="T200" s="3019"/>
      <c r="U200" s="3019"/>
      <c r="V200" s="3019"/>
      <c r="W200" s="3019"/>
      <c r="X200" s="3019"/>
      <c r="Y200" s="3019"/>
      <c r="Z200" s="3019"/>
      <c r="AA200" s="3019"/>
      <c r="AB200" s="3019"/>
      <c r="AC200" s="3019"/>
      <c r="AD200" s="3019"/>
      <c r="AE200" s="3019"/>
      <c r="AF200" s="3019"/>
      <c r="AG200" s="3019"/>
      <c r="AH200" s="3019"/>
      <c r="AI200" s="3019"/>
      <c r="AJ200" s="3019"/>
      <c r="AK200" s="3019"/>
      <c r="AL200" s="3019"/>
      <c r="AM200" s="3019"/>
    </row>
    <row r="201" spans="2:39" s="110" customFormat="1" ht="18" customHeight="1">
      <c r="B201" s="2181" t="s">
        <v>2361</v>
      </c>
      <c r="C201" s="3019"/>
      <c r="D201" s="3019"/>
      <c r="E201" s="3019"/>
      <c r="F201" s="3019"/>
      <c r="G201" s="3019"/>
      <c r="H201" s="3019"/>
      <c r="I201" s="3019"/>
      <c r="J201" s="3019"/>
      <c r="K201" s="3019"/>
      <c r="L201" s="3019"/>
      <c r="M201" s="3019"/>
      <c r="N201" s="3019"/>
      <c r="O201" s="3019"/>
      <c r="P201" s="3019"/>
      <c r="Q201" s="3019"/>
      <c r="R201" s="3019"/>
      <c r="S201" s="3019"/>
      <c r="T201" s="3019"/>
      <c r="U201" s="3019"/>
      <c r="V201" s="3019"/>
      <c r="W201" s="3019"/>
      <c r="X201" s="3019"/>
      <c r="Y201" s="3019"/>
      <c r="Z201" s="3019"/>
      <c r="AA201" s="3019"/>
      <c r="AB201" s="3019"/>
      <c r="AC201" s="3019"/>
      <c r="AD201" s="3019"/>
      <c r="AE201" s="3019"/>
      <c r="AF201" s="3019"/>
      <c r="AG201" s="3019"/>
      <c r="AH201" s="3019"/>
      <c r="AI201" s="3019"/>
      <c r="AJ201" s="3019"/>
      <c r="AK201" s="3019"/>
      <c r="AL201" s="3019"/>
      <c r="AM201" s="3019"/>
    </row>
    <row r="202" spans="2:39" ht="54" customHeight="1">
      <c r="B202" s="3023"/>
      <c r="C202" s="1861"/>
      <c r="D202" s="1861"/>
      <c r="E202" s="1861"/>
      <c r="F202" s="1861"/>
      <c r="G202" s="1861"/>
      <c r="H202" s="1861"/>
      <c r="I202" s="1861"/>
      <c r="J202" s="1861"/>
      <c r="K202" s="1861"/>
      <c r="L202" s="1861"/>
      <c r="M202" s="1861"/>
      <c r="N202" s="1861"/>
      <c r="O202" s="1861"/>
      <c r="P202" s="1861"/>
      <c r="Q202" s="1861"/>
      <c r="R202" s="1861"/>
      <c r="S202" s="1861"/>
      <c r="T202" s="1861"/>
      <c r="U202" s="1861"/>
      <c r="V202" s="1861"/>
      <c r="W202" s="1861"/>
      <c r="X202" s="1861"/>
      <c r="Y202" s="1861"/>
      <c r="Z202" s="1861"/>
      <c r="AA202" s="1861"/>
      <c r="AB202" s="1861"/>
      <c r="AC202" s="1861"/>
      <c r="AD202" s="1861"/>
      <c r="AE202" s="1861"/>
      <c r="AF202" s="1861"/>
      <c r="AG202" s="1861"/>
      <c r="AH202" s="1861"/>
      <c r="AI202" s="1861"/>
      <c r="AJ202" s="1861"/>
      <c r="AK202" s="1861"/>
      <c r="AL202" s="1861"/>
      <c r="AM202" s="1862"/>
    </row>
    <row r="203" spans="2:39" ht="36" customHeight="1">
      <c r="B203" s="2181" t="s">
        <v>2362</v>
      </c>
      <c r="C203" s="3015"/>
      <c r="D203" s="3015"/>
      <c r="E203" s="3015"/>
      <c r="F203" s="3015"/>
      <c r="G203" s="3015"/>
      <c r="H203" s="3015"/>
      <c r="I203" s="3015"/>
      <c r="J203" s="3015"/>
      <c r="K203" s="3015"/>
      <c r="L203" s="3015"/>
      <c r="M203" s="3015"/>
      <c r="N203" s="3015"/>
      <c r="O203" s="3015"/>
      <c r="P203" s="3015"/>
      <c r="Q203" s="3015"/>
      <c r="R203" s="3015"/>
      <c r="S203" s="3015"/>
      <c r="T203" s="3015"/>
      <c r="U203" s="3015"/>
      <c r="V203" s="3015"/>
      <c r="W203" s="3015"/>
      <c r="X203" s="3015"/>
      <c r="Y203" s="3015"/>
      <c r="Z203" s="3015"/>
      <c r="AA203" s="3015"/>
      <c r="AB203" s="3015"/>
      <c r="AC203" s="3015"/>
      <c r="AD203" s="3015"/>
      <c r="AE203" s="3015"/>
      <c r="AF203" s="3015"/>
      <c r="AG203" s="3015"/>
      <c r="AH203" s="3015"/>
      <c r="AI203" s="3015"/>
      <c r="AJ203" s="3015"/>
      <c r="AK203" s="3015"/>
      <c r="AL203" s="3015"/>
      <c r="AM203" s="3015"/>
    </row>
    <row r="204" spans="2:39" s="398" customFormat="1" ht="36" customHeight="1">
      <c r="B204" s="3043" t="s">
        <v>2363</v>
      </c>
      <c r="C204" s="2181"/>
      <c r="D204" s="2181"/>
      <c r="E204" s="2181"/>
      <c r="F204" s="2181"/>
      <c r="G204" s="2181"/>
      <c r="H204" s="2181"/>
      <c r="I204" s="2181"/>
      <c r="J204" s="2181"/>
      <c r="K204" s="2181"/>
      <c r="L204" s="2181"/>
      <c r="M204" s="2181"/>
      <c r="N204" s="2181"/>
      <c r="O204" s="2181"/>
      <c r="P204" s="2181"/>
      <c r="Q204" s="2181"/>
      <c r="R204" s="2181"/>
      <c r="S204" s="2181"/>
      <c r="T204" s="2181"/>
      <c r="U204" s="2181"/>
      <c r="V204" s="2181"/>
      <c r="W204" s="2181"/>
      <c r="X204" s="2181"/>
      <c r="Y204" s="2181"/>
      <c r="Z204" s="2181"/>
      <c r="AA204" s="2181"/>
      <c r="AB204" s="2181"/>
      <c r="AC204" s="2181"/>
      <c r="AD204" s="2181"/>
      <c r="AE204" s="2181"/>
      <c r="AF204" s="2181"/>
      <c r="AG204" s="2181"/>
      <c r="AH204" s="2181"/>
      <c r="AI204" s="2181"/>
      <c r="AJ204" s="2181"/>
      <c r="AK204" s="2181"/>
      <c r="AL204" s="2181"/>
      <c r="AM204" s="2181"/>
    </row>
    <row r="205" spans="2:39" s="110" customFormat="1" ht="18.75" customHeight="1">
      <c r="B205" s="2181" t="s">
        <v>2364</v>
      </c>
      <c r="C205" s="3019"/>
      <c r="D205" s="3019"/>
      <c r="E205" s="3019"/>
      <c r="F205" s="3019"/>
      <c r="G205" s="3019"/>
      <c r="H205" s="3019"/>
      <c r="I205" s="3019"/>
      <c r="J205" s="3019"/>
      <c r="K205" s="3019"/>
      <c r="L205" s="3019"/>
      <c r="M205" s="3019"/>
      <c r="N205" s="3019"/>
      <c r="O205" s="3019"/>
      <c r="P205" s="3019"/>
      <c r="Q205" s="3019"/>
      <c r="R205" s="3019"/>
      <c r="S205" s="3019"/>
      <c r="T205" s="3019"/>
      <c r="U205" s="3019"/>
      <c r="V205" s="3019"/>
      <c r="W205" s="3019"/>
      <c r="X205" s="3019"/>
      <c r="Y205" s="3019"/>
      <c r="Z205" s="3019"/>
      <c r="AA205" s="3019"/>
      <c r="AB205" s="3019"/>
      <c r="AC205" s="3019"/>
      <c r="AD205" s="3019"/>
      <c r="AE205" s="3019"/>
      <c r="AF205" s="3019"/>
      <c r="AG205" s="3019"/>
      <c r="AH205" s="3019"/>
      <c r="AI205" s="3019"/>
      <c r="AJ205" s="3019"/>
      <c r="AK205" s="3019"/>
      <c r="AL205" s="3019"/>
      <c r="AM205" s="3019"/>
    </row>
    <row r="206" spans="2:39" ht="36" customHeight="1">
      <c r="B206" s="3023"/>
      <c r="C206" s="1861"/>
      <c r="D206" s="1861"/>
      <c r="E206" s="1861"/>
      <c r="F206" s="1861"/>
      <c r="G206" s="1861"/>
      <c r="H206" s="1861"/>
      <c r="I206" s="1861"/>
      <c r="J206" s="1861"/>
      <c r="K206" s="1861"/>
      <c r="L206" s="1861"/>
      <c r="M206" s="1861"/>
      <c r="N206" s="1861"/>
      <c r="O206" s="1861"/>
      <c r="P206" s="1861"/>
      <c r="Q206" s="1861"/>
      <c r="R206" s="1861"/>
      <c r="S206" s="1861"/>
      <c r="T206" s="1861"/>
      <c r="U206" s="1861"/>
      <c r="V206" s="1861"/>
      <c r="W206" s="1861"/>
      <c r="X206" s="1861"/>
      <c r="Y206" s="1861"/>
      <c r="Z206" s="1861"/>
      <c r="AA206" s="1861"/>
      <c r="AB206" s="1861"/>
      <c r="AC206" s="1861"/>
      <c r="AD206" s="1861"/>
      <c r="AE206" s="1861"/>
      <c r="AF206" s="1861"/>
      <c r="AG206" s="1861"/>
      <c r="AH206" s="1861"/>
      <c r="AI206" s="1861"/>
      <c r="AJ206" s="1861"/>
      <c r="AK206" s="1861"/>
      <c r="AL206" s="1861"/>
      <c r="AM206" s="1862"/>
    </row>
    <row r="207" spans="2:39" ht="36" customHeight="1">
      <c r="B207" s="2181" t="s">
        <v>2365</v>
      </c>
      <c r="C207" s="3015"/>
      <c r="D207" s="3015"/>
      <c r="E207" s="3015"/>
      <c r="F207" s="3015"/>
      <c r="G207" s="3015"/>
      <c r="H207" s="3015"/>
      <c r="I207" s="3015"/>
      <c r="J207" s="3015"/>
      <c r="K207" s="3015"/>
      <c r="L207" s="3015"/>
      <c r="M207" s="3015"/>
      <c r="N207" s="3015"/>
      <c r="O207" s="3015"/>
      <c r="P207" s="3015"/>
      <c r="Q207" s="3015"/>
      <c r="R207" s="3015"/>
      <c r="S207" s="3015"/>
      <c r="T207" s="3015"/>
      <c r="U207" s="3015"/>
      <c r="V207" s="3015"/>
      <c r="W207" s="3015"/>
      <c r="X207" s="3015"/>
      <c r="Y207" s="3015"/>
      <c r="Z207" s="3015"/>
      <c r="AA207" s="3015"/>
      <c r="AB207" s="3015"/>
      <c r="AC207" s="3015"/>
      <c r="AD207" s="3015"/>
      <c r="AE207" s="3015"/>
      <c r="AF207" s="3015"/>
      <c r="AG207" s="3015"/>
      <c r="AH207" s="3015"/>
      <c r="AI207" s="3015"/>
      <c r="AJ207" s="3015"/>
      <c r="AK207" s="3015"/>
      <c r="AL207" s="3015"/>
      <c r="AM207" s="3015"/>
    </row>
    <row r="208" spans="2:39" ht="54.75" customHeight="1">
      <c r="B208" s="3023"/>
      <c r="C208" s="1861"/>
      <c r="D208" s="1861"/>
      <c r="E208" s="1861"/>
      <c r="F208" s="1861"/>
      <c r="G208" s="1861"/>
      <c r="H208" s="1861"/>
      <c r="I208" s="1861"/>
      <c r="J208" s="1861"/>
      <c r="K208" s="1861"/>
      <c r="L208" s="1861"/>
      <c r="M208" s="1861"/>
      <c r="N208" s="1861"/>
      <c r="O208" s="1861"/>
      <c r="P208" s="1861"/>
      <c r="Q208" s="1861"/>
      <c r="R208" s="1861"/>
      <c r="S208" s="1861"/>
      <c r="T208" s="1861"/>
      <c r="U208" s="1861"/>
      <c r="V208" s="1861"/>
      <c r="W208" s="1861"/>
      <c r="X208" s="1861"/>
      <c r="Y208" s="1861"/>
      <c r="Z208" s="1861"/>
      <c r="AA208" s="1861"/>
      <c r="AB208" s="1861"/>
      <c r="AC208" s="1861"/>
      <c r="AD208" s="1861"/>
      <c r="AE208" s="1861"/>
      <c r="AF208" s="1861"/>
      <c r="AG208" s="1861"/>
      <c r="AH208" s="1861"/>
      <c r="AI208" s="1861"/>
      <c r="AJ208" s="1861"/>
      <c r="AK208" s="1861"/>
      <c r="AL208" s="1861"/>
      <c r="AM208" s="1862"/>
    </row>
    <row r="210" spans="2:39" ht="18" customHeight="1">
      <c r="B210" s="3012" t="s">
        <v>461</v>
      </c>
      <c r="C210" s="3015"/>
      <c r="D210" s="3015"/>
      <c r="E210" s="3015"/>
      <c r="F210" s="3015"/>
      <c r="G210" s="3015"/>
      <c r="H210" s="3015"/>
      <c r="I210" s="3015"/>
      <c r="J210" s="3015"/>
      <c r="K210" s="3015"/>
      <c r="L210" s="3015"/>
      <c r="M210" s="3015"/>
      <c r="N210" s="3015"/>
      <c r="O210" s="3015"/>
      <c r="P210" s="3015"/>
      <c r="Q210" s="3015"/>
      <c r="R210" s="3015"/>
      <c r="S210" s="3015"/>
      <c r="T210" s="3015"/>
      <c r="U210" s="3015"/>
      <c r="V210" s="3015"/>
      <c r="W210" s="3015"/>
      <c r="X210" s="3015"/>
      <c r="Y210" s="3015"/>
      <c r="Z210" s="3015"/>
      <c r="AA210" s="3015"/>
      <c r="AB210" s="3015"/>
      <c r="AC210" s="3015"/>
      <c r="AD210" s="3015"/>
      <c r="AE210" s="3015"/>
      <c r="AF210" s="3015"/>
      <c r="AG210" s="3015"/>
      <c r="AH210" s="3015"/>
      <c r="AI210" s="3015"/>
      <c r="AJ210" s="3015"/>
      <c r="AK210" s="3015"/>
      <c r="AL210" s="3015"/>
      <c r="AM210" s="3015"/>
    </row>
  </sheetData>
  <sheetProtection algorithmName="SHA-512" hashValue="61T56ax4sJ3ElO7pcJ+ViOkQ9VVqsokhjYOZRgJdVM7JKZ9QkTt2IbaJJZrxwUBHWCgnvRl53rnj92xYx9jwng==" saltValue="FzHJeYm30/baPOZclHLAZA==" spinCount="100000" sheet="1" objects="1" scenarios="1"/>
  <mergeCells count="451">
    <mergeCell ref="H17:AB17"/>
    <mergeCell ref="B141:AM141"/>
    <mergeCell ref="X182:Z182"/>
    <mergeCell ref="AD178:AI178"/>
    <mergeCell ref="B91:K91"/>
    <mergeCell ref="B25:K25"/>
    <mergeCell ref="P104:AB104"/>
    <mergeCell ref="B108:AB108"/>
    <mergeCell ref="B130:AM130"/>
    <mergeCell ref="Z24:AM24"/>
    <mergeCell ref="B178:Q178"/>
    <mergeCell ref="B179:Q179"/>
    <mergeCell ref="AE88:AH88"/>
    <mergeCell ref="AJ176:AM176"/>
    <mergeCell ref="AJ170:AM170"/>
    <mergeCell ref="B66:AK66"/>
    <mergeCell ref="B157:AM157"/>
    <mergeCell ref="AD176:AI176"/>
    <mergeCell ref="B34:AM34"/>
    <mergeCell ref="B17:E17"/>
    <mergeCell ref="Z29:AM29"/>
    <mergeCell ref="Z23:AM23"/>
    <mergeCell ref="B43:AM43"/>
    <mergeCell ref="B50:AM50"/>
    <mergeCell ref="H11:AB11"/>
    <mergeCell ref="AA177:AC177"/>
    <mergeCell ref="B159:AM159"/>
    <mergeCell ref="AI86:AM86"/>
    <mergeCell ref="X168:Z168"/>
    <mergeCell ref="H19:AB19"/>
    <mergeCell ref="AE136:AJ136"/>
    <mergeCell ref="T176:U176"/>
    <mergeCell ref="B167:AM167"/>
    <mergeCell ref="B161:AM161"/>
    <mergeCell ref="B11:E11"/>
    <mergeCell ref="B38:AM38"/>
    <mergeCell ref="X169:Z169"/>
    <mergeCell ref="H20:AB20"/>
    <mergeCell ref="D142:W142"/>
    <mergeCell ref="AL122:AM122"/>
    <mergeCell ref="B33:AM33"/>
    <mergeCell ref="AD172:AI172"/>
    <mergeCell ref="D144:W144"/>
    <mergeCell ref="V129:W129"/>
    <mergeCell ref="V113:AB113"/>
    <mergeCell ref="B41:AM41"/>
    <mergeCell ref="B35:AM35"/>
    <mergeCell ref="AC111:AD111"/>
    <mergeCell ref="H12:AB12"/>
    <mergeCell ref="AL72:AM72"/>
    <mergeCell ref="H14:AB14"/>
    <mergeCell ref="X192:Z192"/>
    <mergeCell ref="AD170:AI170"/>
    <mergeCell ref="AA180:AC180"/>
    <mergeCell ref="B88:K88"/>
    <mergeCell ref="AD182:AI182"/>
    <mergeCell ref="G110:AB110"/>
    <mergeCell ref="AD183:AI183"/>
    <mergeCell ref="B156:AM156"/>
    <mergeCell ref="B85:K85"/>
    <mergeCell ref="B16:E16"/>
    <mergeCell ref="F18:G18"/>
    <mergeCell ref="B149:AM149"/>
    <mergeCell ref="AA183:AC183"/>
    <mergeCell ref="X187:Z187"/>
    <mergeCell ref="B18:E18"/>
    <mergeCell ref="U85:Z85"/>
    <mergeCell ref="X180:Z180"/>
    <mergeCell ref="AA185:AC185"/>
    <mergeCell ref="B101:AM101"/>
    <mergeCell ref="AK136:AM136"/>
    <mergeCell ref="AJ171:AM171"/>
    <mergeCell ref="X188:Z188"/>
    <mergeCell ref="B104:O104"/>
    <mergeCell ref="T153:W153"/>
    <mergeCell ref="B175:W175"/>
    <mergeCell ref="G115:AM115"/>
    <mergeCell ref="F135:Z135"/>
    <mergeCell ref="B54:AM54"/>
    <mergeCell ref="AL61:AM61"/>
    <mergeCell ref="X185:Z185"/>
    <mergeCell ref="B56:AM56"/>
    <mergeCell ref="AL125:AM125"/>
    <mergeCell ref="C154:S154"/>
    <mergeCell ref="E113:Q113"/>
    <mergeCell ref="AE135:AJ135"/>
    <mergeCell ref="AE132:AJ132"/>
    <mergeCell ref="AK135:AM135"/>
    <mergeCell ref="B67:AK67"/>
    <mergeCell ref="B61:AK61"/>
    <mergeCell ref="B180:W180"/>
    <mergeCell ref="AJ174:AM174"/>
    <mergeCell ref="AJ168:AM168"/>
    <mergeCell ref="AA172:AC172"/>
    <mergeCell ref="B63:AK63"/>
    <mergeCell ref="B71:AK71"/>
    <mergeCell ref="B21:AB21"/>
    <mergeCell ref="E128:M128"/>
    <mergeCell ref="H10:AB10"/>
    <mergeCell ref="AA176:AC176"/>
    <mergeCell ref="X179:Z179"/>
    <mergeCell ref="B19:E19"/>
    <mergeCell ref="R113:U113"/>
    <mergeCell ref="U86:Z86"/>
    <mergeCell ref="AA186:AC186"/>
    <mergeCell ref="L87:T87"/>
    <mergeCell ref="AA178:AC178"/>
    <mergeCell ref="B94:AM94"/>
    <mergeCell ref="F133:Z133"/>
    <mergeCell ref="B168:W168"/>
    <mergeCell ref="P102:AB102"/>
    <mergeCell ref="L89:T89"/>
    <mergeCell ref="B20:E20"/>
    <mergeCell ref="AA171:AC171"/>
    <mergeCell ref="B181:L181"/>
    <mergeCell ref="X176:Z176"/>
    <mergeCell ref="B107:AM107"/>
    <mergeCell ref="B57:AM57"/>
    <mergeCell ref="B124:AK124"/>
    <mergeCell ref="B45:AB45"/>
    <mergeCell ref="B4:AM4"/>
    <mergeCell ref="B75:AM75"/>
    <mergeCell ref="AD192:AI192"/>
    <mergeCell ref="AJ172:AM172"/>
    <mergeCell ref="B189:W189"/>
    <mergeCell ref="B31:AM31"/>
    <mergeCell ref="B202:AM202"/>
    <mergeCell ref="B73:AK73"/>
    <mergeCell ref="B109:E109"/>
    <mergeCell ref="AA192:AC192"/>
    <mergeCell ref="B188:W188"/>
    <mergeCell ref="B39:AM39"/>
    <mergeCell ref="AJ173:AM173"/>
    <mergeCell ref="B193:W193"/>
    <mergeCell ref="X193:Z193"/>
    <mergeCell ref="F136:Z136"/>
    <mergeCell ref="AL62:AM62"/>
    <mergeCell ref="C153:S153"/>
    <mergeCell ref="AL64:AM64"/>
    <mergeCell ref="B22:AB22"/>
    <mergeCell ref="B28:K28"/>
    <mergeCell ref="AK133:AM133"/>
    <mergeCell ref="AJ191:AM191"/>
    <mergeCell ref="AA182:AC182"/>
    <mergeCell ref="B207:AM207"/>
    <mergeCell ref="B204:AM204"/>
    <mergeCell ref="B92:K92"/>
    <mergeCell ref="Z198:AB198"/>
    <mergeCell ref="B187:W187"/>
    <mergeCell ref="X190:Z190"/>
    <mergeCell ref="AD191:AI191"/>
    <mergeCell ref="Z196:AB196"/>
    <mergeCell ref="B81:AM81"/>
    <mergeCell ref="AD169:AI169"/>
    <mergeCell ref="D143:W143"/>
    <mergeCell ref="B170:W170"/>
    <mergeCell ref="AD179:AI179"/>
    <mergeCell ref="B86:K86"/>
    <mergeCell ref="B118:AM118"/>
    <mergeCell ref="B125:AK125"/>
    <mergeCell ref="AJ184:AM184"/>
    <mergeCell ref="E129:U129"/>
    <mergeCell ref="B183:W183"/>
    <mergeCell ref="AA187:AC187"/>
    <mergeCell ref="AA174:AC174"/>
    <mergeCell ref="B191:W191"/>
    <mergeCell ref="B174:W174"/>
    <mergeCell ref="AK132:AM132"/>
    <mergeCell ref="L88:T88"/>
    <mergeCell ref="AI90:AM90"/>
    <mergeCell ref="B138:AM138"/>
    <mergeCell ref="AA85:AD85"/>
    <mergeCell ref="B128:D128"/>
    <mergeCell ref="B184:W184"/>
    <mergeCell ref="X144:Z144"/>
    <mergeCell ref="B123:AK123"/>
    <mergeCell ref="AL119:AM119"/>
    <mergeCell ref="AE87:AH87"/>
    <mergeCell ref="AI88:AM88"/>
    <mergeCell ref="G114:AB114"/>
    <mergeCell ref="X129:AB129"/>
    <mergeCell ref="L155:AM155"/>
    <mergeCell ref="X143:Z143"/>
    <mergeCell ref="C155:K155"/>
    <mergeCell ref="AL123:AM123"/>
    <mergeCell ref="B133:E133"/>
    <mergeCell ref="X142:Z142"/>
    <mergeCell ref="B205:AM205"/>
    <mergeCell ref="B132:E132"/>
    <mergeCell ref="AJ179:AM179"/>
    <mergeCell ref="R176:S176"/>
    <mergeCell ref="B55:AM55"/>
    <mergeCell ref="AA170:AC170"/>
    <mergeCell ref="AA131:AB131"/>
    <mergeCell ref="B122:AK122"/>
    <mergeCell ref="B49:K49"/>
    <mergeCell ref="R178:S178"/>
    <mergeCell ref="Z127:AB127"/>
    <mergeCell ref="AL65:AM65"/>
    <mergeCell ref="B200:AM200"/>
    <mergeCell ref="AE131:AJ131"/>
    <mergeCell ref="AL70:AM70"/>
    <mergeCell ref="L49:AM49"/>
    <mergeCell ref="B58:AM58"/>
    <mergeCell ref="AE91:AH91"/>
    <mergeCell ref="AJ192:AM192"/>
    <mergeCell ref="B52:AM52"/>
    <mergeCell ref="AE85:AH85"/>
    <mergeCell ref="B105:O105"/>
    <mergeCell ref="T154:W154"/>
    <mergeCell ref="L85:T85"/>
    <mergeCell ref="C196:Y196"/>
    <mergeCell ref="B185:W185"/>
    <mergeCell ref="B2:AM2"/>
    <mergeCell ref="L23:Y23"/>
    <mergeCell ref="B195:AM195"/>
    <mergeCell ref="C198:Y198"/>
    <mergeCell ref="AJ181:AM181"/>
    <mergeCell ref="Q128:AB128"/>
    <mergeCell ref="B53:AM53"/>
    <mergeCell ref="L86:T86"/>
    <mergeCell ref="F132:Z132"/>
    <mergeCell ref="AD177:AI177"/>
    <mergeCell ref="AK134:AM134"/>
    <mergeCell ref="AI92:AM92"/>
    <mergeCell ref="B84:AM84"/>
    <mergeCell ref="X184:Z184"/>
    <mergeCell ref="B72:AK72"/>
    <mergeCell ref="B110:F110"/>
    <mergeCell ref="B9:E9"/>
    <mergeCell ref="AA89:AD89"/>
    <mergeCell ref="B80:AM80"/>
    <mergeCell ref="B70:AK70"/>
    <mergeCell ref="AL124:AM124"/>
    <mergeCell ref="AI87:AM87"/>
    <mergeCell ref="B208:AM208"/>
    <mergeCell ref="B135:E135"/>
    <mergeCell ref="S60:AB60"/>
    <mergeCell ref="B127:D127"/>
    <mergeCell ref="C152:S152"/>
    <mergeCell ref="AK131:AM131"/>
    <mergeCell ref="AJ182:AM182"/>
    <mergeCell ref="X127:Y127"/>
    <mergeCell ref="H13:AB13"/>
    <mergeCell ref="X183:Z183"/>
    <mergeCell ref="AA87:AD87"/>
    <mergeCell ref="L25:Y25"/>
    <mergeCell ref="B23:K23"/>
    <mergeCell ref="X191:Z191"/>
    <mergeCell ref="B106:AB106"/>
    <mergeCell ref="B87:K87"/>
    <mergeCell ref="B182:W182"/>
    <mergeCell ref="B95:AM95"/>
    <mergeCell ref="AD187:AI187"/>
    <mergeCell ref="P103:AB103"/>
    <mergeCell ref="AD174:AI174"/>
    <mergeCell ref="B15:E15"/>
    <mergeCell ref="F11:G17"/>
    <mergeCell ref="B97:AM97"/>
    <mergeCell ref="B210:AM210"/>
    <mergeCell ref="AJ169:AM169"/>
    <mergeCell ref="X177:Z177"/>
    <mergeCell ref="B8:AM8"/>
    <mergeCell ref="L29:Y29"/>
    <mergeCell ref="H15:AB15"/>
    <mergeCell ref="AL71:AM71"/>
    <mergeCell ref="B126:P126"/>
    <mergeCell ref="AL73:AM73"/>
    <mergeCell ref="B99:AM99"/>
    <mergeCell ref="Z197:AB197"/>
    <mergeCell ref="AA168:AC168"/>
    <mergeCell ref="X172:Z172"/>
    <mergeCell ref="AJ186:AM186"/>
    <mergeCell ref="AD168:AI168"/>
    <mergeCell ref="B100:AM100"/>
    <mergeCell ref="B165:AM165"/>
    <mergeCell ref="AA92:AD92"/>
    <mergeCell ref="H16:AB16"/>
    <mergeCell ref="AI85:AM85"/>
    <mergeCell ref="U92:Z92"/>
    <mergeCell ref="B77:AM77"/>
    <mergeCell ref="AA134:AD134"/>
    <mergeCell ref="B131:E131"/>
    <mergeCell ref="B5:AM5"/>
    <mergeCell ref="AL74:AM74"/>
    <mergeCell ref="B76:AM76"/>
    <mergeCell ref="AA191:AC191"/>
    <mergeCell ref="AI89:AM89"/>
    <mergeCell ref="AA90:AD90"/>
    <mergeCell ref="AD184:AI184"/>
    <mergeCell ref="AD171:AI171"/>
    <mergeCell ref="AJ188:AM188"/>
    <mergeCell ref="B12:E12"/>
    <mergeCell ref="B145:AM145"/>
    <mergeCell ref="F109:AB109"/>
    <mergeCell ref="AA184:AC184"/>
    <mergeCell ref="AJ190:AM190"/>
    <mergeCell ref="B14:E14"/>
    <mergeCell ref="B136:E136"/>
    <mergeCell ref="AE134:AJ134"/>
    <mergeCell ref="B13:E13"/>
    <mergeCell ref="X178:Z178"/>
    <mergeCell ref="Q126:AB126"/>
    <mergeCell ref="AA179:AC179"/>
    <mergeCell ref="X170:Z170"/>
    <mergeCell ref="B36:AM36"/>
    <mergeCell ref="B163:AM163"/>
    <mergeCell ref="AJ193:AM193"/>
    <mergeCell ref="C197:Y197"/>
    <mergeCell ref="N128:P128"/>
    <mergeCell ref="AA189:AC189"/>
    <mergeCell ref="X171:Z171"/>
    <mergeCell ref="F131:Z131"/>
    <mergeCell ref="F19:G20"/>
    <mergeCell ref="B42:AM42"/>
    <mergeCell ref="B30:AB30"/>
    <mergeCell ref="AI91:AM91"/>
    <mergeCell ref="AA169:AC169"/>
    <mergeCell ref="X173:Z173"/>
    <mergeCell ref="B172:W172"/>
    <mergeCell ref="B186:W186"/>
    <mergeCell ref="X186:Z186"/>
    <mergeCell ref="AD190:AI190"/>
    <mergeCell ref="AA190:AC190"/>
    <mergeCell ref="B177:Q177"/>
    <mergeCell ref="AJ187:AM187"/>
    <mergeCell ref="AD185:AI185"/>
    <mergeCell ref="B173:W173"/>
    <mergeCell ref="B194:AL194"/>
    <mergeCell ref="B103:O103"/>
    <mergeCell ref="T152:W152"/>
    <mergeCell ref="B24:K24"/>
    <mergeCell ref="B115:F115"/>
    <mergeCell ref="B89:K89"/>
    <mergeCell ref="B102:O102"/>
    <mergeCell ref="C151:S151"/>
    <mergeCell ref="Z27:AM27"/>
    <mergeCell ref="AC131:AD131"/>
    <mergeCell ref="B47:AM47"/>
    <mergeCell ref="AE86:AH86"/>
    <mergeCell ref="B59:AM59"/>
    <mergeCell ref="Z25:AM25"/>
    <mergeCell ref="B48:AM48"/>
    <mergeCell ref="AE133:AJ133"/>
    <mergeCell ref="W111:AB111"/>
    <mergeCell ref="B65:AK65"/>
    <mergeCell ref="B78:AM78"/>
    <mergeCell ref="L28:Y28"/>
    <mergeCell ref="Z26:AM26"/>
    <mergeCell ref="P105:AB105"/>
    <mergeCell ref="B113:D113"/>
    <mergeCell ref="B51:AM51"/>
    <mergeCell ref="B69:AK69"/>
    <mergeCell ref="B64:AK64"/>
    <mergeCell ref="B79:AM79"/>
    <mergeCell ref="AD189:AI189"/>
    <mergeCell ref="B26:K26"/>
    <mergeCell ref="B121:AM121"/>
    <mergeCell ref="B96:AM96"/>
    <mergeCell ref="AD188:AI188"/>
    <mergeCell ref="B90:K90"/>
    <mergeCell ref="B98:AM98"/>
    <mergeCell ref="B27:K27"/>
    <mergeCell ref="U88:Z88"/>
    <mergeCell ref="AA188:AC188"/>
    <mergeCell ref="B162:AM162"/>
    <mergeCell ref="AA132:AD132"/>
    <mergeCell ref="U90:Z90"/>
    <mergeCell ref="X181:Z181"/>
    <mergeCell ref="AL63:AM63"/>
    <mergeCell ref="B62:AK62"/>
    <mergeCell ref="X174:Z174"/>
    <mergeCell ref="B171:W171"/>
    <mergeCell ref="R179:S179"/>
    <mergeCell ref="AA133:AD133"/>
    <mergeCell ref="T179:U179"/>
    <mergeCell ref="X189:Z189"/>
    <mergeCell ref="B166:AM166"/>
    <mergeCell ref="B37:AM37"/>
    <mergeCell ref="B201:AM201"/>
    <mergeCell ref="B139:AM139"/>
    <mergeCell ref="F10:G10"/>
    <mergeCell ref="B206:AM206"/>
    <mergeCell ref="B203:AM203"/>
    <mergeCell ref="U91:Z91"/>
    <mergeCell ref="L92:T92"/>
    <mergeCell ref="B192:W192"/>
    <mergeCell ref="AA135:AD135"/>
    <mergeCell ref="B111:F111"/>
    <mergeCell ref="L24:Y24"/>
    <mergeCell ref="AL66:AM66"/>
    <mergeCell ref="B117:AM117"/>
    <mergeCell ref="AJ189:AM189"/>
    <mergeCell ref="AA136:AD136"/>
    <mergeCell ref="L26:Y26"/>
    <mergeCell ref="AL68:AM68"/>
    <mergeCell ref="AE92:AH92"/>
    <mergeCell ref="B176:Q176"/>
    <mergeCell ref="AJ180:AM180"/>
    <mergeCell ref="AL67:AM67"/>
    <mergeCell ref="AD186:AI186"/>
    <mergeCell ref="AA88:AD88"/>
    <mergeCell ref="L27:Y27"/>
    <mergeCell ref="B6:AM6"/>
    <mergeCell ref="H9:AB9"/>
    <mergeCell ref="AL69:AM69"/>
    <mergeCell ref="B160:AM160"/>
    <mergeCell ref="AE89:AH89"/>
    <mergeCell ref="U87:Z87"/>
    <mergeCell ref="G111:V111"/>
    <mergeCell ref="AA91:AD91"/>
    <mergeCell ref="F134:Z134"/>
    <mergeCell ref="U89:Z89"/>
    <mergeCell ref="B60:R60"/>
    <mergeCell ref="AE90:AH90"/>
    <mergeCell ref="L90:T90"/>
    <mergeCell ref="B10:E10"/>
    <mergeCell ref="B140:AM140"/>
    <mergeCell ref="B134:E134"/>
    <mergeCell ref="E127:W127"/>
    <mergeCell ref="Z28:AM28"/>
    <mergeCell ref="B7:AM7"/>
    <mergeCell ref="T151:W151"/>
    <mergeCell ref="H18:AB18"/>
    <mergeCell ref="F9:G9"/>
    <mergeCell ref="B119:AK119"/>
    <mergeCell ref="B29:K29"/>
    <mergeCell ref="B190:W190"/>
    <mergeCell ref="B74:AK74"/>
    <mergeCell ref="B68:AK68"/>
    <mergeCell ref="B112:F112"/>
    <mergeCell ref="AA86:AD86"/>
    <mergeCell ref="B148:AM148"/>
    <mergeCell ref="AD180:AI180"/>
    <mergeCell ref="B129:D129"/>
    <mergeCell ref="AC151:AF151"/>
    <mergeCell ref="T178:U178"/>
    <mergeCell ref="L91:T91"/>
    <mergeCell ref="B146:AM146"/>
    <mergeCell ref="B83:AM83"/>
    <mergeCell ref="AC152:AF152"/>
    <mergeCell ref="G112:AB112"/>
    <mergeCell ref="B114:F114"/>
    <mergeCell ref="B158:AM158"/>
    <mergeCell ref="B169:W169"/>
    <mergeCell ref="R177:S177"/>
    <mergeCell ref="T177:U177"/>
    <mergeCell ref="AJ177:AM177"/>
    <mergeCell ref="AJ185:AM185"/>
    <mergeCell ref="AJ178:AM178"/>
    <mergeCell ref="AJ183:AM183"/>
  </mergeCells>
  <dataValidations count="10">
    <dataValidation type="list" allowBlank="1" showInputMessage="1" showErrorMessage="1" sqref="T151:W154 AC151:AF152 AL119 AL122:AL125" xr:uid="{00000000-0002-0000-1500-000000000000}">
      <formula1>"Yes, No"</formula1>
    </dataValidation>
    <dataValidation type="list" allowBlank="1" showErrorMessage="1" sqref="AD169:AI172 AD176:AI180 AD182:AI192" xr:uid="{00000000-0002-0000-1500-000001000000}">
      <formula1>"Committed,Intend to Fund or Provide,Not Committed"</formula1>
    </dataValidation>
    <dataValidation type="list" allowBlank="1" showErrorMessage="1" sqref="AA169:AC172 AA176:AC180 AA182:AC192" xr:uid="{00000000-0002-0000-1500-000002000000}">
      <formula1>"Cash,In-kind"</formula1>
    </dataValidation>
    <dataValidation type="list" allowBlank="1" showInputMessage="1" showErrorMessage="1" sqref="B9:E20 P102:AB102 P104:AB105 AL61:AL74" xr:uid="{00000000-0002-0000-1500-000003000000}">
      <formula1>"Yes,No"</formula1>
    </dataValidation>
    <dataValidation type="list" allowBlank="1" showErrorMessage="1" sqref="B87:B92 C88:K92" xr:uid="{00000000-0002-0000-1500-000004000000}">
      <formula1>"Resident Service Coordination,Vocational Transportation,Employment,Life Skills"</formula1>
    </dataValidation>
    <dataValidation type="list" allowBlank="1" showErrorMessage="1" sqref="AK133:AM136" xr:uid="{00000000-0002-0000-1500-000005000000}">
      <formula1>"On-Site,Off-Site"</formula1>
    </dataValidation>
    <dataValidation type="list" allowBlank="1" showErrorMessage="1" sqref="AE133:AJ136" xr:uid="{00000000-0002-0000-1500-000006000000}">
      <formula1>"Lead Service Provider,Sponsor,Project Partner"</formula1>
    </dataValidation>
    <dataValidation type="list" allowBlank="1" showErrorMessage="1" sqref="AA87:AA92 AD88:AD92" xr:uid="{00000000-0002-0000-1500-000007000000}">
      <formula1>"Sponsor,Division of Sponsor's Org,Project Partner"</formula1>
    </dataValidation>
    <dataValidation type="list" allowBlank="1" showErrorMessage="1" sqref="AE87:AE92 AI87:AJ92" xr:uid="{00000000-0002-0000-1500-000008000000}">
      <formula1>"Contract,Memorandum of Understanding,Commitment Letter"</formula1>
    </dataValidation>
    <dataValidation type="list" allowBlank="1" showErrorMessage="1" sqref="B133:E136" xr:uid="{00000000-0002-0000-1500-000009000000}">
      <formula1>"Case Manager,Peer Support,HMIS Administrator,Resident Services Coordinator"</formula1>
    </dataValidation>
  </dataValidations>
  <printOptions horizontalCentered="1"/>
  <pageMargins left="0.5" right="0" top="0.5" bottom="0.3" header="0" footer="0"/>
  <pageSetup scale="59" fitToHeight="0" orientation="portrait" r:id="rId1"/>
  <headerFooter scaleWithDoc="0" alignWithMargins="0">
    <oddFooter>&amp;L&amp;9 VHHP&amp;C&amp;9 Page &amp;P&amp;R&amp;9 &amp;A</oddFooter>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1">
    <tabColor rgb="FF7030A0"/>
  </sheetPr>
  <dimension ref="B1:BA486"/>
  <sheetViews>
    <sheetView showGridLines="0" showRowColHeaders="0" zoomScaleNormal="100" zoomScaleSheetLayoutView="100" workbookViewId="0"/>
  </sheetViews>
  <sheetFormatPr defaultColWidth="4.28515625" defaultRowHeight="14.25"/>
  <cols>
    <col min="1" max="1" width="8.7109375" style="387" customWidth="1"/>
    <col min="2" max="8" width="4.28515625" style="387" customWidth="1"/>
    <col min="9" max="9" width="4.28515625" style="381" customWidth="1"/>
    <col min="10" max="39" width="4.28515625" style="387" customWidth="1"/>
    <col min="40" max="40" width="36" style="387" hidden="1" customWidth="1"/>
    <col min="41" max="41" width="5.5703125" style="387" customWidth="1"/>
    <col min="42" max="42" width="4.28515625" style="387" customWidth="1"/>
    <col min="43" max="16384" width="4.28515625" style="387"/>
  </cols>
  <sheetData>
    <row r="1" spans="2:40" ht="18" customHeight="1"/>
    <row r="2" spans="2:40" s="388" customFormat="1" ht="18" customHeight="1">
      <c r="B2" s="3173" t="s">
        <v>2366</v>
      </c>
      <c r="C2" s="3174"/>
      <c r="D2" s="3174"/>
      <c r="E2" s="3174"/>
      <c r="F2" s="3174"/>
      <c r="G2" s="3174"/>
      <c r="H2" s="3174"/>
      <c r="I2" s="3174"/>
      <c r="J2" s="3174"/>
      <c r="K2" s="3174"/>
      <c r="L2" s="3174"/>
      <c r="M2" s="3174"/>
      <c r="N2" s="3174"/>
      <c r="O2" s="3174"/>
      <c r="P2" s="3174"/>
      <c r="Q2" s="3174"/>
      <c r="R2" s="3174"/>
      <c r="S2" s="3174"/>
      <c r="T2" s="3174"/>
      <c r="U2" s="3174"/>
      <c r="V2" s="3174"/>
      <c r="W2" s="3174"/>
      <c r="X2" s="3174"/>
      <c r="Y2" s="3174"/>
      <c r="Z2" s="3174"/>
      <c r="AA2" s="3174"/>
      <c r="AB2" s="3174"/>
      <c r="AC2" s="3174"/>
      <c r="AD2" s="3174"/>
      <c r="AE2" s="3174"/>
      <c r="AF2" s="3174"/>
      <c r="AG2" s="3174"/>
      <c r="AH2" s="3174"/>
      <c r="AI2" s="3174"/>
      <c r="AJ2" s="3174"/>
      <c r="AK2" s="3174"/>
      <c r="AL2" s="3174"/>
      <c r="AM2" s="3174"/>
      <c r="AN2" s="32"/>
    </row>
    <row r="3" spans="2:40" ht="54" customHeight="1">
      <c r="B3" s="1935" t="s">
        <v>2367</v>
      </c>
      <c r="C3" s="3021"/>
      <c r="D3" s="3021"/>
      <c r="E3" s="3021"/>
      <c r="F3" s="3021"/>
      <c r="G3" s="3021"/>
      <c r="H3" s="3021"/>
      <c r="I3" s="1935"/>
      <c r="J3" s="3021"/>
      <c r="K3" s="3021"/>
      <c r="L3" s="3021"/>
      <c r="M3" s="3021"/>
      <c r="N3" s="3021"/>
      <c r="O3" s="3021"/>
      <c r="P3" s="3021"/>
      <c r="Q3" s="3021"/>
      <c r="R3" s="3021"/>
      <c r="S3" s="3021"/>
      <c r="T3" s="3021"/>
      <c r="U3" s="3021"/>
      <c r="V3" s="3021"/>
      <c r="W3" s="3021"/>
      <c r="X3" s="3021"/>
      <c r="Y3" s="3021"/>
      <c r="Z3" s="3021"/>
      <c r="AA3" s="3021"/>
      <c r="AB3" s="3021"/>
      <c r="AC3" s="3021"/>
      <c r="AD3" s="3021"/>
      <c r="AE3" s="3021"/>
      <c r="AF3" s="3021"/>
      <c r="AG3" s="3021"/>
      <c r="AH3" s="3021"/>
      <c r="AI3" s="3021"/>
      <c r="AJ3" s="3021"/>
      <c r="AK3" s="3021"/>
      <c r="AL3" s="3021"/>
      <c r="AM3" s="3021"/>
    </row>
    <row r="4" spans="2:40" s="110" customFormat="1" ht="18" customHeight="1">
      <c r="B4" s="3026" t="s">
        <v>2183</v>
      </c>
      <c r="C4" s="1777"/>
      <c r="D4" s="1777"/>
      <c r="E4" s="1778"/>
      <c r="F4" s="3084" t="s">
        <v>2184</v>
      </c>
      <c r="G4" s="1777"/>
      <c r="H4" s="1777"/>
      <c r="I4" s="1777"/>
      <c r="J4" s="1777"/>
      <c r="K4" s="1777"/>
      <c r="L4" s="1777"/>
      <c r="M4" s="1777"/>
      <c r="N4" s="1777"/>
      <c r="O4" s="1777"/>
      <c r="P4" s="1777"/>
      <c r="Q4" s="1777"/>
      <c r="R4" s="1777"/>
      <c r="S4" s="1777"/>
      <c r="T4" s="1777"/>
      <c r="U4" s="1777"/>
      <c r="V4" s="1777"/>
      <c r="W4" s="1777"/>
      <c r="X4" s="1777"/>
      <c r="Y4" s="1777"/>
      <c r="Z4" s="1777"/>
      <c r="AA4" s="1777"/>
      <c r="AB4" s="1777"/>
      <c r="AC4" s="1777"/>
      <c r="AD4" s="1777"/>
      <c r="AE4" s="1777"/>
      <c r="AF4" s="1777"/>
      <c r="AG4" s="1777"/>
      <c r="AH4" s="1777"/>
      <c r="AI4" s="1777"/>
      <c r="AJ4" s="1777"/>
      <c r="AK4" s="1777"/>
      <c r="AL4" s="1777"/>
      <c r="AM4" s="1778"/>
    </row>
    <row r="5" spans="2:40" s="110" customFormat="1" ht="18" customHeight="1">
      <c r="B5" s="3031"/>
      <c r="C5" s="1861"/>
      <c r="D5" s="1861"/>
      <c r="E5" s="1862"/>
      <c r="F5" s="3084" t="s">
        <v>2368</v>
      </c>
      <c r="G5" s="1777"/>
      <c r="H5" s="1777"/>
      <c r="I5" s="1777"/>
      <c r="J5" s="1777"/>
      <c r="K5" s="1777"/>
      <c r="L5" s="1777"/>
      <c r="M5" s="1777"/>
      <c r="N5" s="1777"/>
      <c r="O5" s="1777"/>
      <c r="P5" s="1777"/>
      <c r="Q5" s="1777"/>
      <c r="R5" s="1777"/>
      <c r="S5" s="1777"/>
      <c r="T5" s="1777"/>
      <c r="U5" s="1777"/>
      <c r="V5" s="1777"/>
      <c r="W5" s="1777"/>
      <c r="X5" s="1777"/>
      <c r="Y5" s="1777"/>
      <c r="Z5" s="1777"/>
      <c r="AA5" s="1777"/>
      <c r="AB5" s="1777"/>
      <c r="AC5" s="1777"/>
      <c r="AD5" s="1777"/>
      <c r="AE5" s="1777"/>
      <c r="AF5" s="1777"/>
      <c r="AG5" s="1777"/>
      <c r="AH5" s="1777"/>
      <c r="AI5" s="1777"/>
      <c r="AJ5" s="1777"/>
      <c r="AK5" s="1777"/>
      <c r="AL5" s="1777"/>
      <c r="AM5" s="1778"/>
    </row>
    <row r="6" spans="2:40" s="110" customFormat="1" ht="18" customHeight="1">
      <c r="B6" s="3031"/>
      <c r="C6" s="1861"/>
      <c r="D6" s="1861"/>
      <c r="E6" s="1862"/>
      <c r="F6" s="3084" t="s">
        <v>2369</v>
      </c>
      <c r="G6" s="1777"/>
      <c r="H6" s="1777"/>
      <c r="I6" s="1777"/>
      <c r="J6" s="1777"/>
      <c r="K6" s="1777"/>
      <c r="L6" s="1777"/>
      <c r="M6" s="1777"/>
      <c r="N6" s="1777"/>
      <c r="O6" s="1777"/>
      <c r="P6" s="1777"/>
      <c r="Q6" s="1777"/>
      <c r="R6" s="1777"/>
      <c r="S6" s="1777"/>
      <c r="T6" s="1777"/>
      <c r="U6" s="1777"/>
      <c r="V6" s="1777"/>
      <c r="W6" s="1777"/>
      <c r="X6" s="1777"/>
      <c r="Y6" s="1777"/>
      <c r="Z6" s="1777"/>
      <c r="AA6" s="1777"/>
      <c r="AB6" s="1777"/>
      <c r="AC6" s="1777"/>
      <c r="AD6" s="1777"/>
      <c r="AE6" s="1777"/>
      <c r="AF6" s="1777"/>
      <c r="AG6" s="1777"/>
      <c r="AH6" s="1777"/>
      <c r="AI6" s="1777"/>
      <c r="AJ6" s="1777"/>
      <c r="AK6" s="1777"/>
      <c r="AL6" s="1777"/>
      <c r="AM6" s="1778"/>
    </row>
    <row r="7" spans="2:40" s="110" customFormat="1" ht="18" customHeight="1">
      <c r="B7" s="3026" t="s">
        <v>2185</v>
      </c>
      <c r="C7" s="1777"/>
      <c r="D7" s="1777"/>
      <c r="E7" s="1778"/>
      <c r="F7" s="3084" t="s">
        <v>2370</v>
      </c>
      <c r="G7" s="1777"/>
      <c r="H7" s="1777"/>
      <c r="I7" s="1777"/>
      <c r="J7" s="1777"/>
      <c r="K7" s="1777"/>
      <c r="L7" s="1777"/>
      <c r="M7" s="1777"/>
      <c r="N7" s="1777"/>
      <c r="O7" s="1777"/>
      <c r="P7" s="1777"/>
      <c r="Q7" s="1777"/>
      <c r="R7" s="1777"/>
      <c r="S7" s="1777"/>
      <c r="T7" s="1777"/>
      <c r="U7" s="1777"/>
      <c r="V7" s="1777"/>
      <c r="W7" s="1777"/>
      <c r="X7" s="1777"/>
      <c r="Y7" s="1777"/>
      <c r="Z7" s="1777"/>
      <c r="AA7" s="1777"/>
      <c r="AB7" s="1777"/>
      <c r="AC7" s="1777"/>
      <c r="AD7" s="1777"/>
      <c r="AE7" s="1777"/>
      <c r="AF7" s="1777"/>
      <c r="AG7" s="1777"/>
      <c r="AH7" s="1777"/>
      <c r="AI7" s="1777"/>
      <c r="AJ7" s="1777"/>
      <c r="AK7" s="1777"/>
      <c r="AL7" s="1777"/>
      <c r="AM7" s="1778"/>
    </row>
    <row r="8" spans="2:40" s="110" customFormat="1" ht="18" customHeight="1">
      <c r="B8" s="3031"/>
      <c r="C8" s="1861"/>
      <c r="D8" s="1861"/>
      <c r="E8" s="1862"/>
      <c r="F8" s="3084" t="s">
        <v>2371</v>
      </c>
      <c r="G8" s="1777"/>
      <c r="H8" s="1777"/>
      <c r="I8" s="1777"/>
      <c r="J8" s="1777"/>
      <c r="K8" s="1777"/>
      <c r="L8" s="1777"/>
      <c r="M8" s="1777"/>
      <c r="N8" s="1777"/>
      <c r="O8" s="1777"/>
      <c r="P8" s="1777"/>
      <c r="Q8" s="1777"/>
      <c r="R8" s="1777"/>
      <c r="S8" s="1777"/>
      <c r="T8" s="1777"/>
      <c r="U8" s="1777"/>
      <c r="V8" s="1777"/>
      <c r="W8" s="1777"/>
      <c r="X8" s="1777"/>
      <c r="Y8" s="1777"/>
      <c r="Z8" s="1777"/>
      <c r="AA8" s="1777"/>
      <c r="AB8" s="1777"/>
      <c r="AC8" s="1777"/>
      <c r="AD8" s="1777"/>
      <c r="AE8" s="1777"/>
      <c r="AF8" s="1777"/>
      <c r="AG8" s="1777"/>
      <c r="AH8" s="1777"/>
      <c r="AI8" s="1777"/>
      <c r="AJ8" s="1777"/>
      <c r="AK8" s="1777"/>
      <c r="AL8" s="1777"/>
      <c r="AM8" s="1778"/>
    </row>
    <row r="9" spans="2:40" s="110" customFormat="1" ht="18" customHeight="1">
      <c r="B9" s="3031"/>
      <c r="C9" s="1861"/>
      <c r="D9" s="1861"/>
      <c r="E9" s="1862"/>
      <c r="F9" s="3084" t="s">
        <v>2372</v>
      </c>
      <c r="G9" s="1777"/>
      <c r="H9" s="1777"/>
      <c r="I9" s="1777"/>
      <c r="J9" s="1777"/>
      <c r="K9" s="1777"/>
      <c r="L9" s="1777"/>
      <c r="M9" s="1777"/>
      <c r="N9" s="1777"/>
      <c r="O9" s="1777"/>
      <c r="P9" s="1777"/>
      <c r="Q9" s="1777"/>
      <c r="R9" s="1777"/>
      <c r="S9" s="1777"/>
      <c r="T9" s="1777"/>
      <c r="U9" s="1777"/>
      <c r="V9" s="1777"/>
      <c r="W9" s="1777"/>
      <c r="X9" s="1777"/>
      <c r="Y9" s="1777"/>
      <c r="Z9" s="1777"/>
      <c r="AA9" s="1777"/>
      <c r="AB9" s="1777"/>
      <c r="AC9" s="1777"/>
      <c r="AD9" s="1777"/>
      <c r="AE9" s="1777"/>
      <c r="AF9" s="1777"/>
      <c r="AG9" s="1777"/>
      <c r="AH9" s="1777"/>
      <c r="AI9" s="1777"/>
      <c r="AJ9" s="1777"/>
      <c r="AK9" s="1777"/>
      <c r="AL9" s="1777"/>
      <c r="AM9" s="1778"/>
    </row>
    <row r="10" spans="2:40" s="110" customFormat="1" ht="18" customHeight="1">
      <c r="B10" s="3026" t="s">
        <v>2194</v>
      </c>
      <c r="C10" s="1777"/>
      <c r="D10" s="1777"/>
      <c r="E10" s="1778"/>
      <c r="F10" s="3084" t="s">
        <v>2373</v>
      </c>
      <c r="G10" s="1777"/>
      <c r="H10" s="1777"/>
      <c r="I10" s="1777"/>
      <c r="J10" s="1777"/>
      <c r="K10" s="1777"/>
      <c r="L10" s="1777"/>
      <c r="M10" s="1777"/>
      <c r="N10" s="1777"/>
      <c r="O10" s="1777"/>
      <c r="P10" s="1777"/>
      <c r="Q10" s="1777"/>
      <c r="R10" s="1777"/>
      <c r="S10" s="1777"/>
      <c r="T10" s="1777"/>
      <c r="U10" s="1777"/>
      <c r="V10" s="1777"/>
      <c r="W10" s="1777"/>
      <c r="X10" s="1777"/>
      <c r="Y10" s="1777"/>
      <c r="Z10" s="1777"/>
      <c r="AA10" s="1777"/>
      <c r="AB10" s="1777"/>
      <c r="AC10" s="1777"/>
      <c r="AD10" s="1777"/>
      <c r="AE10" s="1777"/>
      <c r="AF10" s="1777"/>
      <c r="AG10" s="1777"/>
      <c r="AH10" s="1777"/>
      <c r="AI10" s="1777"/>
      <c r="AJ10" s="1777"/>
      <c r="AK10" s="1777"/>
      <c r="AL10" s="1777"/>
      <c r="AM10" s="1778"/>
    </row>
    <row r="11" spans="2:40" s="110" customFormat="1" ht="18" customHeight="1">
      <c r="B11" s="3031"/>
      <c r="C11" s="1861"/>
      <c r="D11" s="1861"/>
      <c r="E11" s="1862"/>
      <c r="F11" s="3084" t="s">
        <v>2374</v>
      </c>
      <c r="G11" s="1777"/>
      <c r="H11" s="1777"/>
      <c r="I11" s="1777"/>
      <c r="J11" s="1777"/>
      <c r="K11" s="1777"/>
      <c r="L11" s="1777"/>
      <c r="M11" s="1777"/>
      <c r="N11" s="1777"/>
      <c r="O11" s="1777"/>
      <c r="P11" s="1777"/>
      <c r="Q11" s="1777"/>
      <c r="R11" s="1777"/>
      <c r="S11" s="1777"/>
      <c r="T11" s="1777"/>
      <c r="U11" s="1777"/>
      <c r="V11" s="1777"/>
      <c r="W11" s="1777"/>
      <c r="X11" s="1777"/>
      <c r="Y11" s="1777"/>
      <c r="Z11" s="1777"/>
      <c r="AA11" s="1777"/>
      <c r="AB11" s="1777"/>
      <c r="AC11" s="1777"/>
      <c r="AD11" s="1777"/>
      <c r="AE11" s="1777"/>
      <c r="AF11" s="1777"/>
      <c r="AG11" s="1777"/>
      <c r="AH11" s="1777"/>
      <c r="AI11" s="1777"/>
      <c r="AJ11" s="1777"/>
      <c r="AK11" s="1777"/>
      <c r="AL11" s="1777"/>
      <c r="AM11" s="1778"/>
    </row>
    <row r="12" spans="2:40" s="110" customFormat="1" ht="18" customHeight="1">
      <c r="B12" s="3031"/>
      <c r="C12" s="1861"/>
      <c r="D12" s="1861"/>
      <c r="E12" s="1862"/>
      <c r="F12" s="3084" t="s">
        <v>2375</v>
      </c>
      <c r="G12" s="1777"/>
      <c r="H12" s="1777"/>
      <c r="I12" s="1777"/>
      <c r="J12" s="1777"/>
      <c r="K12" s="1777"/>
      <c r="L12" s="1777"/>
      <c r="M12" s="1777"/>
      <c r="N12" s="1777"/>
      <c r="O12" s="1777"/>
      <c r="P12" s="1777"/>
      <c r="Q12" s="1777"/>
      <c r="R12" s="1777"/>
      <c r="S12" s="1777"/>
      <c r="T12" s="1777"/>
      <c r="U12" s="1777"/>
      <c r="V12" s="1777"/>
      <c r="W12" s="1777"/>
      <c r="X12" s="1777"/>
      <c r="Y12" s="1777"/>
      <c r="Z12" s="1777"/>
      <c r="AA12" s="1777"/>
      <c r="AB12" s="1777"/>
      <c r="AC12" s="1777"/>
      <c r="AD12" s="1777"/>
      <c r="AE12" s="1777"/>
      <c r="AF12" s="1777"/>
      <c r="AG12" s="1777"/>
      <c r="AH12" s="1777"/>
      <c r="AI12" s="1777"/>
      <c r="AJ12" s="1777"/>
      <c r="AK12" s="1777"/>
      <c r="AL12" s="1777"/>
      <c r="AM12" s="1778"/>
    </row>
    <row r="13" spans="2:40" s="110" customFormat="1" ht="18" customHeight="1">
      <c r="B13" s="3031"/>
      <c r="C13" s="1861"/>
      <c r="D13" s="1861"/>
      <c r="E13" s="1862"/>
      <c r="F13" s="3084" t="s">
        <v>2376</v>
      </c>
      <c r="G13" s="1777"/>
      <c r="H13" s="1777"/>
      <c r="I13" s="1777"/>
      <c r="J13" s="1777"/>
      <c r="K13" s="1777"/>
      <c r="L13" s="1777"/>
      <c r="M13" s="1777"/>
      <c r="N13" s="1777"/>
      <c r="O13" s="1777"/>
      <c r="P13" s="1777"/>
      <c r="Q13" s="1777"/>
      <c r="R13" s="1777"/>
      <c r="S13" s="1777"/>
      <c r="T13" s="1777"/>
      <c r="U13" s="1777"/>
      <c r="V13" s="1777"/>
      <c r="W13" s="1777"/>
      <c r="X13" s="1777"/>
      <c r="Y13" s="1777"/>
      <c r="Z13" s="1777"/>
      <c r="AA13" s="1777"/>
      <c r="AB13" s="1777"/>
      <c r="AC13" s="1777"/>
      <c r="AD13" s="1777"/>
      <c r="AE13" s="1777"/>
      <c r="AF13" s="1777"/>
      <c r="AG13" s="1777"/>
      <c r="AH13" s="1777"/>
      <c r="AI13" s="1777"/>
      <c r="AJ13" s="1777"/>
      <c r="AK13" s="1777"/>
      <c r="AL13" s="1777"/>
      <c r="AM13" s="1778"/>
    </row>
    <row r="14" spans="2:40" s="110" customFormat="1" ht="18" customHeight="1">
      <c r="B14" s="3026" t="s">
        <v>2377</v>
      </c>
      <c r="C14" s="1777"/>
      <c r="D14" s="1777"/>
      <c r="E14" s="1778"/>
      <c r="F14" s="3084" t="s">
        <v>2378</v>
      </c>
      <c r="G14" s="1777"/>
      <c r="H14" s="1777"/>
      <c r="I14" s="1777"/>
      <c r="J14" s="1777"/>
      <c r="K14" s="1777"/>
      <c r="L14" s="1777"/>
      <c r="M14" s="1777"/>
      <c r="N14" s="1777"/>
      <c r="O14" s="1777"/>
      <c r="P14" s="1777"/>
      <c r="Q14" s="1777"/>
      <c r="R14" s="1777"/>
      <c r="S14" s="1777"/>
      <c r="T14" s="1777"/>
      <c r="U14" s="1777"/>
      <c r="V14" s="1777"/>
      <c r="W14" s="1777"/>
      <c r="X14" s="1777"/>
      <c r="Y14" s="1777"/>
      <c r="Z14" s="1777"/>
      <c r="AA14" s="1777"/>
      <c r="AB14" s="1777"/>
      <c r="AC14" s="1777"/>
      <c r="AD14" s="1777"/>
      <c r="AE14" s="1777"/>
      <c r="AF14" s="1777"/>
      <c r="AG14" s="1777"/>
      <c r="AH14" s="1777"/>
      <c r="AI14" s="1777"/>
      <c r="AJ14" s="1777"/>
      <c r="AK14" s="1777"/>
      <c r="AL14" s="1777"/>
      <c r="AM14" s="1778"/>
    </row>
    <row r="15" spans="2:40" s="110" customFormat="1" ht="18" customHeight="1">
      <c r="B15" s="3031"/>
      <c r="C15" s="1861"/>
      <c r="D15" s="1861"/>
      <c r="E15" s="1862"/>
      <c r="F15" s="3084" t="s">
        <v>2379</v>
      </c>
      <c r="G15" s="1777"/>
      <c r="H15" s="1777"/>
      <c r="I15" s="1777"/>
      <c r="J15" s="1777"/>
      <c r="K15" s="1777"/>
      <c r="L15" s="1777"/>
      <c r="M15" s="1777"/>
      <c r="N15" s="1777"/>
      <c r="O15" s="1777"/>
      <c r="P15" s="1777"/>
      <c r="Q15" s="1777"/>
      <c r="R15" s="1777"/>
      <c r="S15" s="1777"/>
      <c r="T15" s="1777"/>
      <c r="U15" s="1777"/>
      <c r="V15" s="1777"/>
      <c r="W15" s="1777"/>
      <c r="X15" s="1777"/>
      <c r="Y15" s="1777"/>
      <c r="Z15" s="1777"/>
      <c r="AA15" s="1777"/>
      <c r="AB15" s="1777"/>
      <c r="AC15" s="1777"/>
      <c r="AD15" s="1777"/>
      <c r="AE15" s="1777"/>
      <c r="AF15" s="1777"/>
      <c r="AG15" s="1777"/>
      <c r="AH15" s="1777"/>
      <c r="AI15" s="1777"/>
      <c r="AJ15" s="1777"/>
      <c r="AK15" s="1777"/>
      <c r="AL15" s="1777"/>
      <c r="AM15" s="1778"/>
    </row>
    <row r="16" spans="2:40" s="110" customFormat="1" ht="18" customHeight="1">
      <c r="B16" s="3031"/>
      <c r="C16" s="1861"/>
      <c r="D16" s="1861"/>
      <c r="E16" s="1862"/>
      <c r="F16" s="3084" t="s">
        <v>2380</v>
      </c>
      <c r="G16" s="1777"/>
      <c r="H16" s="1777"/>
      <c r="I16" s="1777"/>
      <c r="J16" s="1777"/>
      <c r="K16" s="1777"/>
      <c r="L16" s="1777"/>
      <c r="M16" s="1777"/>
      <c r="N16" s="1777"/>
      <c r="O16" s="1777"/>
      <c r="P16" s="1777"/>
      <c r="Q16" s="1777"/>
      <c r="R16" s="1777"/>
      <c r="S16" s="1777"/>
      <c r="T16" s="1777"/>
      <c r="U16" s="1777"/>
      <c r="V16" s="1777"/>
      <c r="W16" s="1777"/>
      <c r="X16" s="1777"/>
      <c r="Y16" s="1777"/>
      <c r="Z16" s="1777"/>
      <c r="AA16" s="1777"/>
      <c r="AB16" s="1777"/>
      <c r="AC16" s="1777"/>
      <c r="AD16" s="1777"/>
      <c r="AE16" s="1777"/>
      <c r="AF16" s="1777"/>
      <c r="AG16" s="1777"/>
      <c r="AH16" s="1777"/>
      <c r="AI16" s="1777"/>
      <c r="AJ16" s="1777"/>
      <c r="AK16" s="1777"/>
      <c r="AL16" s="1777"/>
      <c r="AM16" s="1778"/>
    </row>
    <row r="17" spans="2:39" s="110" customFormat="1" ht="18" customHeight="1">
      <c r="B17" s="3026" t="s">
        <v>2381</v>
      </c>
      <c r="C17" s="1777"/>
      <c r="D17" s="1777"/>
      <c r="E17" s="1778"/>
      <c r="F17" s="3084" t="s">
        <v>2382</v>
      </c>
      <c r="G17" s="1777"/>
      <c r="H17" s="1777"/>
      <c r="I17" s="1777"/>
      <c r="J17" s="1777"/>
      <c r="K17" s="1777"/>
      <c r="L17" s="1777"/>
      <c r="M17" s="1777"/>
      <c r="N17" s="1777"/>
      <c r="O17" s="1777"/>
      <c r="P17" s="1777"/>
      <c r="Q17" s="1777"/>
      <c r="R17" s="1777"/>
      <c r="S17" s="1777"/>
      <c r="T17" s="1777"/>
      <c r="U17" s="1777"/>
      <c r="V17" s="1777"/>
      <c r="W17" s="1777"/>
      <c r="X17" s="1777"/>
      <c r="Y17" s="1777"/>
      <c r="Z17" s="1777"/>
      <c r="AA17" s="1777"/>
      <c r="AB17" s="1777"/>
      <c r="AC17" s="1777"/>
      <c r="AD17" s="1777"/>
      <c r="AE17" s="1777"/>
      <c r="AF17" s="1777"/>
      <c r="AG17" s="1777"/>
      <c r="AH17" s="1777"/>
      <c r="AI17" s="1777"/>
      <c r="AJ17" s="1777"/>
      <c r="AK17" s="1777"/>
      <c r="AL17" s="1777"/>
      <c r="AM17" s="1778"/>
    </row>
    <row r="18" spans="2:39" s="110" customFormat="1" ht="18" customHeight="1">
      <c r="B18" s="3031"/>
      <c r="C18" s="1861"/>
      <c r="D18" s="1861"/>
      <c r="E18" s="1862"/>
      <c r="F18" s="3084" t="s">
        <v>2383</v>
      </c>
      <c r="G18" s="1777"/>
      <c r="H18" s="1777"/>
      <c r="I18" s="1777"/>
      <c r="J18" s="1777"/>
      <c r="K18" s="1777"/>
      <c r="L18" s="1777"/>
      <c r="M18" s="1777"/>
      <c r="N18" s="1777"/>
      <c r="O18" s="1777"/>
      <c r="P18" s="1777"/>
      <c r="Q18" s="1777"/>
      <c r="R18" s="1777"/>
      <c r="S18" s="1777"/>
      <c r="T18" s="1777"/>
      <c r="U18" s="1777"/>
      <c r="V18" s="1777"/>
      <c r="W18" s="1777"/>
      <c r="X18" s="1777"/>
      <c r="Y18" s="1777"/>
      <c r="Z18" s="1777"/>
      <c r="AA18" s="1777"/>
      <c r="AB18" s="1777"/>
      <c r="AC18" s="1777"/>
      <c r="AD18" s="1777"/>
      <c r="AE18" s="1777"/>
      <c r="AF18" s="1777"/>
      <c r="AG18" s="1777"/>
      <c r="AH18" s="1777"/>
      <c r="AI18" s="1777"/>
      <c r="AJ18" s="1777"/>
      <c r="AK18" s="1777"/>
      <c r="AL18" s="1777"/>
      <c r="AM18" s="1778"/>
    </row>
    <row r="19" spans="2:39" s="110" customFormat="1" ht="18" customHeight="1">
      <c r="B19" s="3031"/>
      <c r="C19" s="1861"/>
      <c r="D19" s="1861"/>
      <c r="E19" s="1862"/>
      <c r="F19" s="3084" t="s">
        <v>2384</v>
      </c>
      <c r="G19" s="1777"/>
      <c r="H19" s="1777"/>
      <c r="I19" s="1777"/>
      <c r="J19" s="1777"/>
      <c r="K19" s="1777"/>
      <c r="L19" s="1777"/>
      <c r="M19" s="1777"/>
      <c r="N19" s="1777"/>
      <c r="O19" s="1777"/>
      <c r="P19" s="1777"/>
      <c r="Q19" s="1777"/>
      <c r="R19" s="1777"/>
      <c r="S19" s="1777"/>
      <c r="T19" s="1777"/>
      <c r="U19" s="1777"/>
      <c r="V19" s="1777"/>
      <c r="W19" s="1777"/>
      <c r="X19" s="1777"/>
      <c r="Y19" s="1777"/>
      <c r="Z19" s="1777"/>
      <c r="AA19" s="1777"/>
      <c r="AB19" s="1777"/>
      <c r="AC19" s="1777"/>
      <c r="AD19" s="1777"/>
      <c r="AE19" s="1777"/>
      <c r="AF19" s="1777"/>
      <c r="AG19" s="1777"/>
      <c r="AH19" s="1777"/>
      <c r="AI19" s="1777"/>
      <c r="AJ19" s="1777"/>
      <c r="AK19" s="1777"/>
      <c r="AL19" s="1777"/>
      <c r="AM19" s="1778"/>
    </row>
    <row r="20" spans="2:39" s="110" customFormat="1" ht="18" customHeight="1">
      <c r="B20" s="3026" t="s">
        <v>2385</v>
      </c>
      <c r="C20" s="1777"/>
      <c r="D20" s="1777"/>
      <c r="E20" s="1778"/>
      <c r="F20" s="3084" t="s">
        <v>2386</v>
      </c>
      <c r="G20" s="1777"/>
      <c r="H20" s="1777"/>
      <c r="I20" s="1777"/>
      <c r="J20" s="1777"/>
      <c r="K20" s="1777"/>
      <c r="L20" s="1777"/>
      <c r="M20" s="1777"/>
      <c r="N20" s="1777"/>
      <c r="O20" s="1777"/>
      <c r="P20" s="1777"/>
      <c r="Q20" s="1777"/>
      <c r="R20" s="1777"/>
      <c r="S20" s="1777"/>
      <c r="T20" s="1777"/>
      <c r="U20" s="1777"/>
      <c r="V20" s="1777"/>
      <c r="W20" s="1777"/>
      <c r="X20" s="1777"/>
      <c r="Y20" s="1777"/>
      <c r="Z20" s="1777"/>
      <c r="AA20" s="1777"/>
      <c r="AB20" s="1777"/>
      <c r="AC20" s="1777"/>
      <c r="AD20" s="1777"/>
      <c r="AE20" s="1777"/>
      <c r="AF20" s="1777"/>
      <c r="AG20" s="1777"/>
      <c r="AH20" s="1777"/>
      <c r="AI20" s="1777"/>
      <c r="AJ20" s="1777"/>
      <c r="AK20" s="1777"/>
      <c r="AL20" s="1777"/>
      <c r="AM20" s="1778"/>
    </row>
    <row r="21" spans="2:39" s="110" customFormat="1" ht="18" customHeight="1">
      <c r="B21" s="3031"/>
      <c r="C21" s="1861"/>
      <c r="D21" s="1861"/>
      <c r="E21" s="1862"/>
      <c r="F21" s="3084" t="s">
        <v>2387</v>
      </c>
      <c r="G21" s="1777"/>
      <c r="H21" s="1777"/>
      <c r="I21" s="1777"/>
      <c r="J21" s="1777"/>
      <c r="K21" s="1777"/>
      <c r="L21" s="1777"/>
      <c r="M21" s="1777"/>
      <c r="N21" s="1777"/>
      <c r="O21" s="1777"/>
      <c r="P21" s="1777"/>
      <c r="Q21" s="1777"/>
      <c r="R21" s="1777"/>
      <c r="S21" s="1777"/>
      <c r="T21" s="1777"/>
      <c r="U21" s="1777"/>
      <c r="V21" s="1777"/>
      <c r="W21" s="1777"/>
      <c r="X21" s="1777"/>
      <c r="Y21" s="1777"/>
      <c r="Z21" s="1777"/>
      <c r="AA21" s="1777"/>
      <c r="AB21" s="1777"/>
      <c r="AC21" s="1777"/>
      <c r="AD21" s="1777"/>
      <c r="AE21" s="1777"/>
      <c r="AF21" s="1777"/>
      <c r="AG21" s="1777"/>
      <c r="AH21" s="1777"/>
      <c r="AI21" s="1777"/>
      <c r="AJ21" s="1777"/>
      <c r="AK21" s="1777"/>
      <c r="AL21" s="1777"/>
      <c r="AM21" s="1778"/>
    </row>
    <row r="22" spans="2:39" s="110" customFormat="1" ht="18" customHeight="1">
      <c r="B22" s="3031"/>
      <c r="C22" s="1861"/>
      <c r="D22" s="1861"/>
      <c r="E22" s="1862"/>
      <c r="F22" s="3084" t="s">
        <v>2388</v>
      </c>
      <c r="G22" s="1777"/>
      <c r="H22" s="1777"/>
      <c r="I22" s="1777"/>
      <c r="J22" s="1777"/>
      <c r="K22" s="1777"/>
      <c r="L22" s="1777"/>
      <c r="M22" s="1777"/>
      <c r="N22" s="1777"/>
      <c r="O22" s="1777"/>
      <c r="P22" s="1777"/>
      <c r="Q22" s="1777"/>
      <c r="R22" s="1777"/>
      <c r="S22" s="1777"/>
      <c r="T22" s="1777"/>
      <c r="U22" s="1777"/>
      <c r="V22" s="1777"/>
      <c r="W22" s="1777"/>
      <c r="X22" s="1777"/>
      <c r="Y22" s="1777"/>
      <c r="Z22" s="1777"/>
      <c r="AA22" s="1777"/>
      <c r="AB22" s="1777"/>
      <c r="AC22" s="1777"/>
      <c r="AD22" s="1777"/>
      <c r="AE22" s="1777"/>
      <c r="AF22" s="1777"/>
      <c r="AG22" s="1777"/>
      <c r="AH22" s="1777"/>
      <c r="AI22" s="1777"/>
      <c r="AJ22" s="1777"/>
      <c r="AK22" s="1777"/>
      <c r="AL22" s="1777"/>
      <c r="AM22" s="1778"/>
    </row>
    <row r="23" spans="2:39" s="110" customFormat="1" ht="18" customHeight="1">
      <c r="B23" s="3031"/>
      <c r="C23" s="1861"/>
      <c r="D23" s="1861"/>
      <c r="E23" s="1862"/>
      <c r="F23" s="3084" t="s">
        <v>2389</v>
      </c>
      <c r="G23" s="1777"/>
      <c r="H23" s="1777"/>
      <c r="I23" s="1777"/>
      <c r="J23" s="1777"/>
      <c r="K23" s="1777"/>
      <c r="L23" s="1777"/>
      <c r="M23" s="1777"/>
      <c r="N23" s="1777"/>
      <c r="O23" s="1777"/>
      <c r="P23" s="1777"/>
      <c r="Q23" s="1777"/>
      <c r="R23" s="1777"/>
      <c r="S23" s="1777"/>
      <c r="T23" s="1777"/>
      <c r="U23" s="1777"/>
      <c r="V23" s="1777"/>
      <c r="W23" s="1777"/>
      <c r="X23" s="1777"/>
      <c r="Y23" s="1777"/>
      <c r="Z23" s="1777"/>
      <c r="AA23" s="1777"/>
      <c r="AB23" s="1777"/>
      <c r="AC23" s="1777"/>
      <c r="AD23" s="1777"/>
      <c r="AE23" s="1777"/>
      <c r="AF23" s="1777"/>
      <c r="AG23" s="1777"/>
      <c r="AH23" s="1777"/>
      <c r="AI23" s="1777"/>
      <c r="AJ23" s="1777"/>
      <c r="AK23" s="1777"/>
      <c r="AL23" s="1777"/>
      <c r="AM23" s="1778"/>
    </row>
    <row r="24" spans="2:39" s="110" customFormat="1" ht="18" customHeight="1">
      <c r="B24" s="2675" t="s">
        <v>2390</v>
      </c>
      <c r="C24" s="1777"/>
      <c r="D24" s="1777"/>
      <c r="E24" s="1778"/>
      <c r="F24" s="3084" t="s">
        <v>2391</v>
      </c>
      <c r="G24" s="1777"/>
      <c r="H24" s="1777"/>
      <c r="I24" s="1777"/>
      <c r="J24" s="1777"/>
      <c r="K24" s="1777"/>
      <c r="L24" s="1777"/>
      <c r="M24" s="1777"/>
      <c r="N24" s="1777"/>
      <c r="O24" s="1777"/>
      <c r="P24" s="1777"/>
      <c r="Q24" s="1777"/>
      <c r="R24" s="1777"/>
      <c r="S24" s="1777"/>
      <c r="T24" s="1777"/>
      <c r="U24" s="1777"/>
      <c r="V24" s="1777"/>
      <c r="W24" s="1777"/>
      <c r="X24" s="1777"/>
      <c r="Y24" s="1777"/>
      <c r="Z24" s="1777"/>
      <c r="AA24" s="1777"/>
      <c r="AB24" s="1777"/>
      <c r="AC24" s="1777"/>
      <c r="AD24" s="1777"/>
      <c r="AE24" s="1777"/>
      <c r="AF24" s="1777"/>
      <c r="AG24" s="1777"/>
      <c r="AH24" s="1777"/>
      <c r="AI24" s="1777"/>
      <c r="AJ24" s="1777"/>
      <c r="AK24" s="1777"/>
      <c r="AL24" s="1777"/>
      <c r="AM24" s="1778"/>
    </row>
    <row r="25" spans="2:39" s="110" customFormat="1" ht="18" customHeight="1">
      <c r="B25" s="3031"/>
      <c r="C25" s="1861"/>
      <c r="D25" s="1861"/>
      <c r="E25" s="1862"/>
      <c r="F25" s="3084" t="s">
        <v>2392</v>
      </c>
      <c r="G25" s="1777"/>
      <c r="H25" s="1777"/>
      <c r="I25" s="1777"/>
      <c r="J25" s="1777"/>
      <c r="K25" s="1777"/>
      <c r="L25" s="1777"/>
      <c r="M25" s="1777"/>
      <c r="N25" s="1777"/>
      <c r="O25" s="1777"/>
      <c r="P25" s="1777"/>
      <c r="Q25" s="1777"/>
      <c r="R25" s="1777"/>
      <c r="S25" s="1777"/>
      <c r="T25" s="1777"/>
      <c r="U25" s="1777"/>
      <c r="V25" s="1777"/>
      <c r="W25" s="1777"/>
      <c r="X25" s="1777"/>
      <c r="Y25" s="1777"/>
      <c r="Z25" s="1777"/>
      <c r="AA25" s="1777"/>
      <c r="AB25" s="1777"/>
      <c r="AC25" s="1777"/>
      <c r="AD25" s="1777"/>
      <c r="AE25" s="1777"/>
      <c r="AF25" s="1777"/>
      <c r="AG25" s="1777"/>
      <c r="AH25" s="1777"/>
      <c r="AI25" s="1777"/>
      <c r="AJ25" s="1777"/>
      <c r="AK25" s="1777"/>
      <c r="AL25" s="1777"/>
      <c r="AM25" s="1778"/>
    </row>
    <row r="26" spans="2:39" s="110" customFormat="1" ht="18" customHeight="1">
      <c r="B26" s="3031"/>
      <c r="C26" s="1861"/>
      <c r="D26" s="1861"/>
      <c r="E26" s="1862"/>
      <c r="F26" s="3084" t="s">
        <v>2393</v>
      </c>
      <c r="G26" s="1777"/>
      <c r="H26" s="1777"/>
      <c r="I26" s="1777"/>
      <c r="J26" s="1777"/>
      <c r="K26" s="1777"/>
      <c r="L26" s="1777"/>
      <c r="M26" s="1777"/>
      <c r="N26" s="1777"/>
      <c r="O26" s="1777"/>
      <c r="P26" s="1777"/>
      <c r="Q26" s="1777"/>
      <c r="R26" s="1777"/>
      <c r="S26" s="1777"/>
      <c r="T26" s="1777"/>
      <c r="U26" s="1777"/>
      <c r="V26" s="1777"/>
      <c r="W26" s="1777"/>
      <c r="X26" s="1777"/>
      <c r="Y26" s="1777"/>
      <c r="Z26" s="1777"/>
      <c r="AA26" s="1777"/>
      <c r="AB26" s="1777"/>
      <c r="AC26" s="1777"/>
      <c r="AD26" s="1777"/>
      <c r="AE26" s="1777"/>
      <c r="AF26" s="1777"/>
      <c r="AG26" s="1777"/>
      <c r="AH26" s="1777"/>
      <c r="AI26" s="1777"/>
      <c r="AJ26" s="1777"/>
      <c r="AK26" s="1777"/>
      <c r="AL26" s="1777"/>
      <c r="AM26" s="1778"/>
    </row>
    <row r="27" spans="2:39" s="110" customFormat="1" ht="18" customHeight="1">
      <c r="B27" s="3119"/>
      <c r="C27" s="3019"/>
      <c r="D27" s="3019"/>
      <c r="E27" s="3019"/>
      <c r="F27" s="3019"/>
      <c r="G27" s="3019"/>
      <c r="H27" s="3019"/>
      <c r="I27" s="3019"/>
      <c r="J27" s="3019"/>
      <c r="K27" s="3019"/>
      <c r="L27" s="3019"/>
      <c r="M27" s="3019"/>
      <c r="N27" s="3019"/>
      <c r="O27" s="3019"/>
      <c r="P27" s="3019"/>
      <c r="Q27" s="3019"/>
      <c r="R27" s="3019"/>
      <c r="S27" s="3019"/>
      <c r="T27" s="3019"/>
      <c r="U27" s="3019"/>
      <c r="V27" s="3019"/>
      <c r="W27" s="3019"/>
      <c r="X27" s="3019"/>
      <c r="Y27" s="3019"/>
      <c r="Z27" s="3019"/>
      <c r="AA27" s="3019"/>
      <c r="AB27" s="3019"/>
    </row>
    <row r="28" spans="2:39" s="110" customFormat="1" ht="18" customHeight="1">
      <c r="B28" s="3166" t="s">
        <v>2198</v>
      </c>
      <c r="C28" s="3019"/>
      <c r="D28" s="3019"/>
      <c r="E28" s="3019"/>
      <c r="F28" s="3019"/>
      <c r="G28" s="3019"/>
      <c r="H28" s="3019"/>
      <c r="I28" s="3019"/>
      <c r="J28" s="3019"/>
      <c r="K28" s="3019"/>
      <c r="L28" s="3019"/>
      <c r="M28" s="3019"/>
      <c r="N28" s="3019"/>
      <c r="O28" s="3019"/>
      <c r="P28" s="3019"/>
      <c r="Q28" s="3019"/>
      <c r="R28" s="3019"/>
      <c r="S28" s="3019"/>
      <c r="T28" s="3019"/>
      <c r="U28" s="3019"/>
      <c r="V28" s="3019"/>
      <c r="W28" s="3019"/>
      <c r="X28" s="3019"/>
      <c r="Y28" s="3019"/>
      <c r="Z28" s="3019"/>
      <c r="AA28" s="3019"/>
      <c r="AB28" s="3019"/>
      <c r="AC28" s="3019"/>
      <c r="AD28" s="3019"/>
      <c r="AE28" s="3019"/>
      <c r="AF28" s="3019"/>
      <c r="AG28" s="3019"/>
      <c r="AH28" s="3019"/>
      <c r="AI28" s="3019"/>
      <c r="AJ28" s="3019"/>
      <c r="AK28" s="3019"/>
      <c r="AL28" s="3019"/>
      <c r="AM28" s="3019"/>
    </row>
    <row r="29" spans="2:39" s="110" customFormat="1" ht="18" customHeight="1">
      <c r="B29" s="3080" t="s">
        <v>1580</v>
      </c>
      <c r="C29" s="1778"/>
      <c r="D29" s="3083" t="s">
        <v>2394</v>
      </c>
      <c r="E29" s="1777"/>
      <c r="F29" s="1777"/>
      <c r="G29" s="1777"/>
      <c r="H29" s="1777"/>
      <c r="I29" s="1777"/>
      <c r="J29" s="1777"/>
      <c r="K29" s="1778"/>
      <c r="L29" s="3080" t="s">
        <v>2395</v>
      </c>
      <c r="M29" s="1778"/>
      <c r="N29" s="3083" t="s">
        <v>1531</v>
      </c>
      <c r="O29" s="1777"/>
      <c r="P29" s="1777"/>
      <c r="Q29" s="1777"/>
      <c r="R29" s="1777"/>
      <c r="S29" s="1777"/>
      <c r="T29" s="1778"/>
      <c r="U29" s="3080" t="s">
        <v>2396</v>
      </c>
      <c r="V29" s="1778"/>
      <c r="W29" s="3083" t="s">
        <v>2397</v>
      </c>
      <c r="X29" s="1777"/>
      <c r="Y29" s="1777"/>
      <c r="Z29" s="1777"/>
      <c r="AA29" s="1777"/>
      <c r="AB29" s="1777"/>
      <c r="AC29" s="1777"/>
      <c r="AD29" s="1777"/>
      <c r="AE29" s="1777"/>
      <c r="AF29" s="1777"/>
      <c r="AG29" s="1777"/>
      <c r="AH29" s="1777"/>
      <c r="AI29" s="1777"/>
      <c r="AJ29" s="1777"/>
      <c r="AK29" s="1777"/>
      <c r="AL29" s="1777"/>
      <c r="AM29" s="1778"/>
    </row>
    <row r="30" spans="2:39" s="110" customFormat="1" ht="18" customHeight="1">
      <c r="B30" s="3080" t="s">
        <v>2398</v>
      </c>
      <c r="C30" s="1778"/>
      <c r="D30" s="3083" t="s">
        <v>1529</v>
      </c>
      <c r="E30" s="1777"/>
      <c r="F30" s="1777"/>
      <c r="G30" s="1777"/>
      <c r="H30" s="1777"/>
      <c r="I30" s="1777"/>
      <c r="J30" s="1777"/>
      <c r="K30" s="1778"/>
      <c r="L30" s="3080" t="s">
        <v>2399</v>
      </c>
      <c r="M30" s="1778"/>
      <c r="N30" s="3083" t="s">
        <v>2400</v>
      </c>
      <c r="O30" s="1777"/>
      <c r="P30" s="1777"/>
      <c r="Q30" s="1777"/>
      <c r="R30" s="1777"/>
      <c r="S30" s="1777"/>
      <c r="T30" s="1778"/>
      <c r="U30" s="3080" t="s">
        <v>2401</v>
      </c>
      <c r="V30" s="1778"/>
      <c r="W30" s="3083" t="s">
        <v>2402</v>
      </c>
      <c r="X30" s="1777"/>
      <c r="Y30" s="1777"/>
      <c r="Z30" s="1777"/>
      <c r="AA30" s="1777"/>
      <c r="AB30" s="1777"/>
      <c r="AC30" s="1777"/>
      <c r="AD30" s="1777"/>
      <c r="AE30" s="1777"/>
      <c r="AF30" s="1777"/>
      <c r="AG30" s="1777"/>
      <c r="AH30" s="1777"/>
      <c r="AI30" s="1777"/>
      <c r="AJ30" s="1777"/>
      <c r="AK30" s="1777"/>
      <c r="AL30" s="1777"/>
      <c r="AM30" s="1778"/>
    </row>
    <row r="31" spans="2:39" s="110" customFormat="1" ht="18" customHeight="1">
      <c r="B31" s="3080" t="s">
        <v>2403</v>
      </c>
      <c r="C31" s="1778"/>
      <c r="D31" s="3083" t="s">
        <v>1530</v>
      </c>
      <c r="E31" s="1777"/>
      <c r="F31" s="1777"/>
      <c r="G31" s="1777"/>
      <c r="H31" s="1777"/>
      <c r="I31" s="1777"/>
      <c r="J31" s="1777"/>
      <c r="K31" s="1778"/>
      <c r="L31" s="3191" t="s">
        <v>2404</v>
      </c>
      <c r="M31" s="1770"/>
      <c r="N31" s="3194" t="s">
        <v>2405</v>
      </c>
      <c r="O31" s="1953"/>
      <c r="P31" s="1953"/>
      <c r="Q31" s="1953"/>
      <c r="R31" s="1953"/>
      <c r="S31" s="1953"/>
      <c r="T31" s="1770"/>
      <c r="U31" s="3080" t="s">
        <v>2406</v>
      </c>
      <c r="V31" s="1778"/>
      <c r="W31" s="3083" t="s">
        <v>2407</v>
      </c>
      <c r="X31" s="1777"/>
      <c r="Y31" s="1777"/>
      <c r="Z31" s="1777"/>
      <c r="AA31" s="1777"/>
      <c r="AB31" s="1777"/>
      <c r="AC31" s="1777"/>
      <c r="AD31" s="1777"/>
      <c r="AE31" s="1777"/>
      <c r="AF31" s="1777"/>
      <c r="AG31" s="1777"/>
      <c r="AH31" s="1777"/>
      <c r="AI31" s="1777"/>
      <c r="AJ31" s="1777"/>
      <c r="AK31" s="1777"/>
      <c r="AL31" s="1777"/>
      <c r="AM31" s="1778"/>
    </row>
    <row r="32" spans="2:39" s="110" customFormat="1" ht="18" customHeight="1">
      <c r="B32" s="3080" t="s">
        <v>2408</v>
      </c>
      <c r="C32" s="1778"/>
      <c r="D32" s="3083" t="s">
        <v>2409</v>
      </c>
      <c r="E32" s="1777"/>
      <c r="F32" s="1777"/>
      <c r="G32" s="1777"/>
      <c r="H32" s="1777"/>
      <c r="I32" s="1777"/>
      <c r="J32" s="1777"/>
      <c r="K32" s="1778"/>
      <c r="L32" s="3080" t="s">
        <v>2410</v>
      </c>
      <c r="M32" s="1778"/>
      <c r="N32" s="3083" t="s">
        <v>2411</v>
      </c>
      <c r="O32" s="1777"/>
      <c r="P32" s="1777"/>
      <c r="Q32" s="1777"/>
      <c r="R32" s="1777"/>
      <c r="S32" s="1777"/>
      <c r="T32" s="1778"/>
      <c r="U32" s="3080" t="s">
        <v>2412</v>
      </c>
      <c r="V32" s="1778"/>
      <c r="W32" s="3179" t="s">
        <v>2413</v>
      </c>
      <c r="X32" s="1777"/>
      <c r="Y32" s="1777"/>
      <c r="Z32" s="1777"/>
      <c r="AA32" s="1777"/>
      <c r="AB32" s="1777"/>
      <c r="AC32" s="1777"/>
      <c r="AD32" s="1777"/>
      <c r="AE32" s="1777"/>
      <c r="AF32" s="1777"/>
      <c r="AG32" s="1777"/>
      <c r="AH32" s="1777"/>
      <c r="AI32" s="1777"/>
      <c r="AJ32" s="1777"/>
      <c r="AK32" s="1777"/>
      <c r="AL32" s="1777"/>
      <c r="AM32" s="1778"/>
    </row>
    <row r="33" spans="2:53" s="110" customFormat="1" ht="18" customHeight="1">
      <c r="B33" s="3080" t="s">
        <v>2414</v>
      </c>
      <c r="C33" s="1778"/>
      <c r="D33" s="3083" t="s">
        <v>2415</v>
      </c>
      <c r="E33" s="1777"/>
      <c r="F33" s="1777"/>
      <c r="G33" s="1777"/>
      <c r="H33" s="1777"/>
      <c r="I33" s="1777"/>
      <c r="J33" s="1777"/>
      <c r="K33" s="1778"/>
      <c r="L33" s="3092" t="s">
        <v>2416</v>
      </c>
      <c r="M33" s="1778"/>
      <c r="N33" s="3104" t="s">
        <v>2417</v>
      </c>
      <c r="O33" s="1777"/>
      <c r="P33" s="1777"/>
      <c r="Q33" s="1777"/>
      <c r="R33" s="1777"/>
      <c r="S33" s="1777"/>
      <c r="T33" s="1778"/>
      <c r="U33" s="3125" t="s">
        <v>2418</v>
      </c>
      <c r="V33" s="1778"/>
      <c r="W33" s="3179" t="s">
        <v>2419</v>
      </c>
      <c r="X33" s="1777"/>
      <c r="Y33" s="1777"/>
      <c r="Z33" s="1777"/>
      <c r="AA33" s="1777"/>
      <c r="AB33" s="1777"/>
      <c r="AC33" s="1777"/>
      <c r="AD33" s="1777"/>
      <c r="AE33" s="1777"/>
      <c r="AF33" s="1777"/>
      <c r="AG33" s="1777"/>
      <c r="AH33" s="1777"/>
      <c r="AI33" s="1777"/>
      <c r="AJ33" s="1777"/>
      <c r="AK33" s="1777"/>
      <c r="AL33" s="1777"/>
      <c r="AM33" s="1778"/>
    </row>
    <row r="34" spans="2:53" s="110" customFormat="1" ht="18" customHeight="1">
      <c r="B34" s="3080" t="s">
        <v>2420</v>
      </c>
      <c r="C34" s="1778"/>
      <c r="D34" s="3083" t="s">
        <v>2421</v>
      </c>
      <c r="E34" s="1777"/>
      <c r="F34" s="1777"/>
      <c r="G34" s="1777"/>
      <c r="H34" s="1777"/>
      <c r="I34" s="1777"/>
      <c r="J34" s="1777"/>
      <c r="K34" s="1778"/>
      <c r="L34" s="3080" t="s">
        <v>2422</v>
      </c>
      <c r="M34" s="1778"/>
      <c r="N34" s="3083" t="s">
        <v>2423</v>
      </c>
      <c r="O34" s="1777"/>
      <c r="P34" s="1777"/>
      <c r="Q34" s="1777"/>
      <c r="R34" s="1777"/>
      <c r="S34" s="1777"/>
      <c r="T34" s="1778"/>
      <c r="U34" s="3162" t="s">
        <v>264</v>
      </c>
      <c r="V34" s="1953"/>
      <c r="W34" s="3183" t="s">
        <v>2424</v>
      </c>
      <c r="X34" s="1953"/>
      <c r="Y34" s="1953"/>
      <c r="Z34" s="1953"/>
      <c r="AA34" s="1953"/>
      <c r="AB34" s="1953"/>
      <c r="AC34" s="1953"/>
      <c r="AD34" s="1953"/>
      <c r="AE34" s="1953"/>
      <c r="AF34" s="1953"/>
      <c r="AG34" s="1953"/>
      <c r="AH34" s="1953"/>
      <c r="AI34" s="1953"/>
      <c r="AJ34" s="1953"/>
      <c r="AK34" s="1953"/>
      <c r="AL34" s="1953"/>
      <c r="AM34" s="1770"/>
    </row>
    <row r="35" spans="2:53" s="110" customFormat="1" ht="18" customHeight="1">
      <c r="B35" s="3080" t="s">
        <v>2425</v>
      </c>
      <c r="C35" s="1778"/>
      <c r="D35" s="3083" t="s">
        <v>2426</v>
      </c>
      <c r="E35" s="1777"/>
      <c r="F35" s="1777"/>
      <c r="G35" s="1777"/>
      <c r="H35" s="1777"/>
      <c r="I35" s="1777"/>
      <c r="J35" s="1777"/>
      <c r="K35" s="1778"/>
      <c r="L35" s="3080" t="s">
        <v>2427</v>
      </c>
      <c r="M35" s="1778"/>
      <c r="N35" s="3083" t="s">
        <v>2428</v>
      </c>
      <c r="O35" s="1777"/>
      <c r="P35" s="1777"/>
      <c r="Q35" s="1777"/>
      <c r="R35" s="1777"/>
      <c r="S35" s="1777"/>
      <c r="T35" s="1778"/>
      <c r="U35" s="2479"/>
      <c r="V35" s="1877"/>
      <c r="W35" s="2479"/>
      <c r="X35" s="1877"/>
      <c r="Y35" s="1877"/>
      <c r="Z35" s="1877"/>
      <c r="AA35" s="1877"/>
      <c r="AB35" s="1877"/>
      <c r="AC35" s="1877"/>
      <c r="AD35" s="1877"/>
      <c r="AE35" s="1877"/>
      <c r="AF35" s="1877"/>
      <c r="AG35" s="1877"/>
      <c r="AH35" s="1877"/>
      <c r="AI35" s="1877"/>
      <c r="AJ35" s="1877"/>
      <c r="AK35" s="1877"/>
      <c r="AL35" s="1877"/>
      <c r="AM35" s="1772"/>
      <c r="AT35" s="389"/>
      <c r="AU35" s="389"/>
      <c r="AV35" s="389"/>
      <c r="AW35" s="389"/>
      <c r="AX35" s="389"/>
      <c r="AY35" s="389"/>
      <c r="AZ35" s="389"/>
      <c r="BA35" s="389"/>
    </row>
    <row r="36" spans="2:53" s="110" customFormat="1" ht="18" customHeight="1">
      <c r="B36" s="1713"/>
      <c r="C36" s="1713"/>
      <c r="D36" s="2"/>
      <c r="E36" s="2"/>
      <c r="F36" s="2"/>
      <c r="G36" s="2"/>
      <c r="H36" s="2"/>
      <c r="I36" s="2"/>
      <c r="J36" s="28"/>
      <c r="K36" s="28"/>
      <c r="L36" s="2"/>
      <c r="M36" s="2"/>
      <c r="N36" s="2"/>
      <c r="O36" s="2"/>
      <c r="P36" s="2"/>
      <c r="Q36" s="2"/>
      <c r="R36" s="2"/>
      <c r="S36" s="1715"/>
      <c r="T36" s="1715"/>
      <c r="U36" s="1715"/>
      <c r="V36" s="1715"/>
      <c r="W36" s="1715"/>
      <c r="X36" s="1715"/>
      <c r="Y36" s="1715"/>
      <c r="Z36" s="1715"/>
      <c r="AA36" s="1715"/>
      <c r="AB36" s="1715"/>
    </row>
    <row r="37" spans="2:53" s="110" customFormat="1" ht="18" customHeight="1">
      <c r="B37" s="3144" t="s">
        <v>2429</v>
      </c>
      <c r="C37" s="3019"/>
      <c r="D37" s="3019"/>
      <c r="E37" s="3019"/>
      <c r="F37" s="3019"/>
      <c r="G37" s="3019"/>
      <c r="H37" s="3019"/>
      <c r="I37" s="3019"/>
      <c r="J37" s="3019"/>
      <c r="K37" s="3019"/>
      <c r="L37" s="3019"/>
      <c r="M37" s="3019"/>
      <c r="N37" s="3019"/>
      <c r="O37" s="3019"/>
      <c r="P37" s="3019"/>
      <c r="Q37" s="3019"/>
      <c r="R37" s="3019"/>
      <c r="S37" s="3019"/>
      <c r="T37" s="3019"/>
      <c r="U37" s="3019"/>
      <c r="V37" s="3019"/>
      <c r="W37" s="3019"/>
      <c r="X37" s="3019"/>
      <c r="Y37" s="3019"/>
      <c r="Z37" s="3019"/>
      <c r="AA37" s="3019"/>
      <c r="AB37" s="3019"/>
      <c r="AC37" s="3019"/>
      <c r="AD37" s="3019"/>
      <c r="AE37" s="3019"/>
      <c r="AF37" s="3019"/>
      <c r="AG37" s="3019"/>
      <c r="AH37" s="3019"/>
      <c r="AI37" s="3019"/>
      <c r="AJ37" s="3019"/>
      <c r="AK37" s="3019"/>
      <c r="AL37" s="3019"/>
      <c r="AM37" s="3019"/>
    </row>
    <row r="38" spans="2:53" s="110" customFormat="1" ht="53.25" customHeight="1">
      <c r="B38" s="2181" t="s">
        <v>2430</v>
      </c>
      <c r="C38" s="3019"/>
      <c r="D38" s="3019"/>
      <c r="E38" s="3019"/>
      <c r="F38" s="3019"/>
      <c r="G38" s="3019"/>
      <c r="H38" s="3019"/>
      <c r="I38" s="3019"/>
      <c r="J38" s="3019"/>
      <c r="K38" s="3019"/>
      <c r="L38" s="3019"/>
      <c r="M38" s="3019"/>
      <c r="N38" s="3019"/>
      <c r="O38" s="3019"/>
      <c r="P38" s="3019"/>
      <c r="Q38" s="3019"/>
      <c r="R38" s="3019"/>
      <c r="S38" s="3019"/>
      <c r="T38" s="3019"/>
      <c r="U38" s="3019"/>
      <c r="V38" s="3019"/>
      <c r="W38" s="3019"/>
      <c r="X38" s="3019"/>
      <c r="Y38" s="3019"/>
      <c r="Z38" s="3019"/>
      <c r="AA38" s="3019"/>
      <c r="AB38" s="3019"/>
      <c r="AC38" s="3019"/>
      <c r="AD38" s="3019"/>
      <c r="AE38" s="3019"/>
      <c r="AF38" s="3019"/>
      <c r="AG38" s="3019"/>
      <c r="AH38" s="3019"/>
      <c r="AI38" s="3019"/>
      <c r="AJ38" s="3019"/>
      <c r="AK38" s="3019"/>
      <c r="AL38" s="3019"/>
      <c r="AM38" s="3019"/>
    </row>
    <row r="39" spans="2:53" s="110" customFormat="1" ht="18" customHeight="1">
      <c r="B39" s="2181" t="s">
        <v>2431</v>
      </c>
      <c r="C39" s="3019"/>
      <c r="D39" s="3019"/>
      <c r="E39" s="3019"/>
      <c r="F39" s="3019"/>
      <c r="G39" s="3019"/>
      <c r="H39" s="3019"/>
      <c r="I39" s="3019"/>
      <c r="J39" s="3019"/>
      <c r="K39" s="3019"/>
      <c r="L39" s="3019"/>
      <c r="M39" s="3019"/>
      <c r="N39" s="3019"/>
      <c r="O39" s="3019"/>
      <c r="P39" s="3019"/>
      <c r="Q39" s="3019"/>
      <c r="R39" s="3019"/>
      <c r="S39" s="3019"/>
      <c r="T39" s="3019"/>
      <c r="U39" s="3019"/>
      <c r="V39" s="3019"/>
      <c r="W39" s="3019"/>
      <c r="X39" s="3019"/>
      <c r="Y39" s="3019"/>
      <c r="Z39" s="3019"/>
      <c r="AA39" s="3019"/>
      <c r="AB39" s="3019"/>
      <c r="AC39" s="3019"/>
      <c r="AD39" s="3019"/>
      <c r="AE39" s="3019"/>
      <c r="AF39" s="3019"/>
      <c r="AG39" s="3019"/>
      <c r="AH39" s="3019"/>
      <c r="AI39" s="3019"/>
      <c r="AJ39" s="3019"/>
      <c r="AK39" s="3019"/>
      <c r="AL39" s="3019"/>
      <c r="AM39" s="3019"/>
    </row>
    <row r="40" spans="2:53" s="110" customFormat="1" ht="18" customHeight="1">
      <c r="B40" s="2191" t="s">
        <v>2432</v>
      </c>
      <c r="C40" s="3019"/>
      <c r="D40" s="3019"/>
      <c r="E40" s="3019"/>
      <c r="F40" s="3019"/>
      <c r="G40" s="3019"/>
      <c r="H40" s="3019"/>
      <c r="I40" s="3019"/>
      <c r="J40" s="3019"/>
      <c r="K40" s="3019"/>
      <c r="L40" s="3019"/>
      <c r="M40" s="3019"/>
      <c r="N40" s="3019"/>
      <c r="O40" s="3019"/>
      <c r="P40" s="3019"/>
      <c r="Q40" s="3019"/>
      <c r="R40" s="3019"/>
      <c r="S40" s="3019"/>
      <c r="T40" s="3019"/>
      <c r="U40" s="3019"/>
      <c r="V40" s="3019"/>
      <c r="W40" s="3019"/>
      <c r="X40" s="3019"/>
      <c r="Y40" s="3019"/>
      <c r="Z40" s="3019"/>
      <c r="AA40" s="3019"/>
      <c r="AB40" s="3019"/>
      <c r="AC40" s="3019"/>
      <c r="AD40" s="3019"/>
      <c r="AE40" s="3019"/>
      <c r="AF40" s="3019"/>
      <c r="AG40" s="3019"/>
      <c r="AH40" s="3019"/>
      <c r="AI40" s="3019"/>
      <c r="AJ40" s="3019"/>
      <c r="AK40" s="3019"/>
      <c r="AL40" s="3019"/>
      <c r="AM40" s="3019"/>
    </row>
    <row r="41" spans="2:53" s="110" customFormat="1" ht="18" customHeight="1">
      <c r="B41" s="3047" t="s">
        <v>2433</v>
      </c>
      <c r="C41" s="1953"/>
      <c r="D41" s="1953"/>
      <c r="E41" s="1953"/>
      <c r="F41" s="1953"/>
      <c r="G41" s="1953"/>
      <c r="H41" s="1770"/>
      <c r="I41" s="3100" t="s">
        <v>2398</v>
      </c>
      <c r="J41" s="1777"/>
      <c r="K41" s="1777"/>
      <c r="L41" s="1777"/>
      <c r="M41" s="1777"/>
      <c r="N41" s="1778"/>
      <c r="O41" s="3100" t="s">
        <v>2403</v>
      </c>
      <c r="P41" s="1777"/>
      <c r="Q41" s="1777"/>
      <c r="R41" s="1777"/>
      <c r="S41" s="1777"/>
      <c r="T41" s="1778"/>
      <c r="U41" s="3100" t="s">
        <v>2395</v>
      </c>
      <c r="V41" s="1777"/>
      <c r="W41" s="1777"/>
      <c r="X41" s="1777"/>
      <c r="Y41" s="1777"/>
      <c r="Z41" s="1778"/>
      <c r="AA41" s="3100" t="s">
        <v>2434</v>
      </c>
      <c r="AB41" s="1777"/>
      <c r="AC41" s="1777"/>
      <c r="AD41" s="1777"/>
      <c r="AE41" s="1777"/>
      <c r="AF41" s="1778"/>
      <c r="AG41" s="3100" t="s">
        <v>2435</v>
      </c>
      <c r="AH41" s="1777"/>
      <c r="AI41" s="1777"/>
      <c r="AJ41" s="1777"/>
      <c r="AK41" s="1777"/>
      <c r="AL41" s="1778"/>
    </row>
    <row r="42" spans="2:53" s="110" customFormat="1" ht="18" customHeight="1">
      <c r="B42" s="2479"/>
      <c r="C42" s="1877"/>
      <c r="D42" s="1877"/>
      <c r="E42" s="1877"/>
      <c r="F42" s="1877"/>
      <c r="G42" s="1877"/>
      <c r="H42" s="1772"/>
      <c r="I42" s="1704">
        <v>0</v>
      </c>
      <c r="J42" s="1704">
        <v>1</v>
      </c>
      <c r="K42" s="1704">
        <v>2</v>
      </c>
      <c r="L42" s="1704">
        <v>3</v>
      </c>
      <c r="M42" s="3168" t="s">
        <v>1644</v>
      </c>
      <c r="N42" s="1778"/>
      <c r="O42" s="1704">
        <v>0</v>
      </c>
      <c r="P42" s="1704">
        <v>1</v>
      </c>
      <c r="Q42" s="1704">
        <v>2</v>
      </c>
      <c r="R42" s="1704">
        <v>3</v>
      </c>
      <c r="S42" s="3168" t="s">
        <v>1644</v>
      </c>
      <c r="T42" s="1778"/>
      <c r="U42" s="1704">
        <v>0</v>
      </c>
      <c r="V42" s="1704">
        <v>1</v>
      </c>
      <c r="W42" s="1704">
        <v>2</v>
      </c>
      <c r="X42" s="1704">
        <v>3</v>
      </c>
      <c r="Y42" s="3168" t="s">
        <v>1644</v>
      </c>
      <c r="Z42" s="1778"/>
      <c r="AA42" s="1704">
        <v>0</v>
      </c>
      <c r="AB42" s="1704">
        <v>1</v>
      </c>
      <c r="AC42" s="1704">
        <v>2</v>
      </c>
      <c r="AD42" s="1704">
        <v>3</v>
      </c>
      <c r="AE42" s="3168" t="s">
        <v>1644</v>
      </c>
      <c r="AF42" s="1778"/>
      <c r="AG42" s="1704">
        <v>0</v>
      </c>
      <c r="AH42" s="1704">
        <v>1</v>
      </c>
      <c r="AI42" s="1704">
        <v>2</v>
      </c>
      <c r="AJ42" s="1704">
        <v>3</v>
      </c>
      <c r="AK42" s="3168" t="s">
        <v>1644</v>
      </c>
      <c r="AL42" s="1778"/>
    </row>
    <row r="43" spans="2:53" s="110" customFormat="1" ht="18" customHeight="1">
      <c r="B43" s="3113" t="s">
        <v>106</v>
      </c>
      <c r="C43" s="1777"/>
      <c r="D43" s="1777"/>
      <c r="E43" s="1777"/>
      <c r="F43" s="1777"/>
      <c r="G43" s="1777"/>
      <c r="H43" s="1778"/>
      <c r="I43" s="1707">
        <f>SUM(I44:I47)</f>
        <v>0</v>
      </c>
      <c r="J43" s="1707">
        <f>SUM(J44:J47)</f>
        <v>0</v>
      </c>
      <c r="K43" s="1707">
        <f>SUM(K44:K47)</f>
        <v>0</v>
      </c>
      <c r="L43" s="1707">
        <f>SUM(L44:L47)</f>
        <v>0</v>
      </c>
      <c r="M43" s="3035">
        <f t="shared" ref="M43:M52" si="0">SUM(I43:L43)</f>
        <v>0</v>
      </c>
      <c r="N43" s="1778"/>
      <c r="O43" s="1707">
        <f>SUM(O44:O47)</f>
        <v>0</v>
      </c>
      <c r="P43" s="1707">
        <f>SUM(P44:P47)</f>
        <v>0</v>
      </c>
      <c r="Q43" s="1707">
        <f>SUM(Q44:Q47)</f>
        <v>0</v>
      </c>
      <c r="R43" s="1707">
        <f>SUM(R44:R47)</f>
        <v>0</v>
      </c>
      <c r="S43" s="3035">
        <f t="shared" ref="S43:S52" si="1">SUM(O43:R43)</f>
        <v>0</v>
      </c>
      <c r="T43" s="1778"/>
      <c r="U43" s="1707">
        <f>SUM(U44:U47)</f>
        <v>0</v>
      </c>
      <c r="V43" s="1707">
        <f>SUM(V44:V47)</f>
        <v>0</v>
      </c>
      <c r="W43" s="1707">
        <f>SUM(W44:W47)</f>
        <v>0</v>
      </c>
      <c r="X43" s="1707">
        <f>SUM(X44:X47)</f>
        <v>0</v>
      </c>
      <c r="Y43" s="3035">
        <f t="shared" ref="Y43:Y52" si="2">SUM(U43:X43)</f>
        <v>0</v>
      </c>
      <c r="Z43" s="1778"/>
      <c r="AA43" s="1707">
        <f>SUM(AA44:AA47)</f>
        <v>0</v>
      </c>
      <c r="AB43" s="1707">
        <f>SUM(AB44:AB47)</f>
        <v>0</v>
      </c>
      <c r="AC43" s="1707">
        <f>SUM(AC44:AC47)</f>
        <v>0</v>
      </c>
      <c r="AD43" s="1707">
        <f>SUM(AD44:AD47)</f>
        <v>0</v>
      </c>
      <c r="AE43" s="3035">
        <f t="shared" ref="AE43:AE52" si="3">SUM(AA43:AD43)</f>
        <v>0</v>
      </c>
      <c r="AF43" s="1778"/>
      <c r="AG43" s="1707">
        <f>SUM(AG44:AG47)</f>
        <v>0</v>
      </c>
      <c r="AH43" s="1707">
        <f>SUM(AH44:AH47)</f>
        <v>0</v>
      </c>
      <c r="AI43" s="1707">
        <f>SUM(AI44:AI47)</f>
        <v>0</v>
      </c>
      <c r="AJ43" s="1707">
        <f>SUM(AJ44:AJ47)</f>
        <v>0</v>
      </c>
      <c r="AK43" s="3035">
        <f t="shared" ref="AK43:AK52" si="4">SUM(AG43:AJ43)</f>
        <v>0</v>
      </c>
      <c r="AL43" s="1778"/>
    </row>
    <row r="44" spans="2:53" s="110" customFormat="1" ht="18" customHeight="1">
      <c r="B44" s="3087" t="s">
        <v>12</v>
      </c>
      <c r="C44" s="1777"/>
      <c r="D44" s="1777"/>
      <c r="E44" s="1777"/>
      <c r="F44" s="1777"/>
      <c r="G44" s="1777"/>
      <c r="H44" s="1778"/>
      <c r="I44" s="1633"/>
      <c r="J44" s="1633"/>
      <c r="K44" s="1633"/>
      <c r="L44" s="1633"/>
      <c r="M44" s="3026">
        <f t="shared" si="0"/>
        <v>0</v>
      </c>
      <c r="N44" s="1778"/>
      <c r="O44" s="1633"/>
      <c r="P44" s="1633"/>
      <c r="Q44" s="1633"/>
      <c r="R44" s="1633"/>
      <c r="S44" s="3026">
        <f t="shared" si="1"/>
        <v>0</v>
      </c>
      <c r="T44" s="1778"/>
      <c r="U44" s="1633"/>
      <c r="V44" s="1633"/>
      <c r="W44" s="1633"/>
      <c r="X44" s="1633"/>
      <c r="Y44" s="3026">
        <f t="shared" si="2"/>
        <v>0</v>
      </c>
      <c r="Z44" s="1778"/>
      <c r="AA44" s="1633"/>
      <c r="AB44" s="1633"/>
      <c r="AC44" s="1633"/>
      <c r="AD44" s="1633"/>
      <c r="AE44" s="3026">
        <f t="shared" si="3"/>
        <v>0</v>
      </c>
      <c r="AF44" s="1778"/>
      <c r="AG44" s="1633"/>
      <c r="AH44" s="1633"/>
      <c r="AI44" s="1633"/>
      <c r="AJ44" s="1633"/>
      <c r="AK44" s="3026">
        <f t="shared" si="4"/>
        <v>0</v>
      </c>
      <c r="AL44" s="1778"/>
    </row>
    <row r="45" spans="2:53" s="110" customFormat="1" ht="18" customHeight="1">
      <c r="B45" s="3087" t="s">
        <v>2436</v>
      </c>
      <c r="C45" s="1777"/>
      <c r="D45" s="1777"/>
      <c r="E45" s="1777"/>
      <c r="F45" s="1777"/>
      <c r="G45" s="1777"/>
      <c r="H45" s="1778"/>
      <c r="I45" s="1633"/>
      <c r="J45" s="1633"/>
      <c r="K45" s="1633"/>
      <c r="L45" s="1633"/>
      <c r="M45" s="3026">
        <f t="shared" si="0"/>
        <v>0</v>
      </c>
      <c r="N45" s="1778"/>
      <c r="O45" s="1633"/>
      <c r="P45" s="1633"/>
      <c r="Q45" s="1633"/>
      <c r="R45" s="1633"/>
      <c r="S45" s="3026">
        <f t="shared" si="1"/>
        <v>0</v>
      </c>
      <c r="T45" s="1778"/>
      <c r="U45" s="1633"/>
      <c r="V45" s="1633"/>
      <c r="W45" s="1633"/>
      <c r="X45" s="1633"/>
      <c r="Y45" s="3026">
        <f t="shared" si="2"/>
        <v>0</v>
      </c>
      <c r="Z45" s="1778"/>
      <c r="AA45" s="1633"/>
      <c r="AB45" s="1633"/>
      <c r="AC45" s="1633"/>
      <c r="AD45" s="1633"/>
      <c r="AE45" s="3026">
        <f t="shared" si="3"/>
        <v>0</v>
      </c>
      <c r="AF45" s="1778"/>
      <c r="AG45" s="1633"/>
      <c r="AH45" s="1633"/>
      <c r="AI45" s="1633"/>
      <c r="AJ45" s="1633"/>
      <c r="AK45" s="3026">
        <f t="shared" si="4"/>
        <v>0</v>
      </c>
      <c r="AL45" s="1778"/>
    </row>
    <row r="46" spans="2:53" s="110" customFormat="1" ht="18" customHeight="1">
      <c r="B46" s="3087" t="s">
        <v>1786</v>
      </c>
      <c r="C46" s="1777"/>
      <c r="D46" s="1777"/>
      <c r="E46" s="1777"/>
      <c r="F46" s="1777"/>
      <c r="G46" s="1777"/>
      <c r="H46" s="1778"/>
      <c r="I46" s="1633"/>
      <c r="J46" s="1633"/>
      <c r="K46" s="1633"/>
      <c r="L46" s="1633"/>
      <c r="M46" s="3026">
        <f t="shared" si="0"/>
        <v>0</v>
      </c>
      <c r="N46" s="1778"/>
      <c r="O46" s="1633"/>
      <c r="P46" s="1633"/>
      <c r="Q46" s="1633"/>
      <c r="R46" s="1633"/>
      <c r="S46" s="3026">
        <f t="shared" si="1"/>
        <v>0</v>
      </c>
      <c r="T46" s="1778"/>
      <c r="U46" s="1633"/>
      <c r="V46" s="1633"/>
      <c r="W46" s="1633"/>
      <c r="X46" s="1633"/>
      <c r="Y46" s="3026">
        <f t="shared" si="2"/>
        <v>0</v>
      </c>
      <c r="Z46" s="1778"/>
      <c r="AA46" s="1633"/>
      <c r="AB46" s="1633"/>
      <c r="AC46" s="1633"/>
      <c r="AD46" s="1633"/>
      <c r="AE46" s="3026">
        <f t="shared" si="3"/>
        <v>0</v>
      </c>
      <c r="AF46" s="1778"/>
      <c r="AG46" s="1633"/>
      <c r="AH46" s="1633"/>
      <c r="AI46" s="1633"/>
      <c r="AJ46" s="1633"/>
      <c r="AK46" s="3026">
        <f t="shared" si="4"/>
        <v>0</v>
      </c>
      <c r="AL46" s="1778"/>
    </row>
    <row r="47" spans="2:53" s="110" customFormat="1" ht="18" customHeight="1">
      <c r="B47" s="3087" t="s">
        <v>117</v>
      </c>
      <c r="C47" s="1777"/>
      <c r="D47" s="1777"/>
      <c r="E47" s="1777"/>
      <c r="F47" s="1777"/>
      <c r="G47" s="1777"/>
      <c r="H47" s="1778"/>
      <c r="I47" s="1633"/>
      <c r="J47" s="1633"/>
      <c r="K47" s="1633"/>
      <c r="L47" s="1633"/>
      <c r="M47" s="3026">
        <f t="shared" si="0"/>
        <v>0</v>
      </c>
      <c r="N47" s="1778"/>
      <c r="O47" s="1633"/>
      <c r="P47" s="1633"/>
      <c r="Q47" s="1633"/>
      <c r="R47" s="1633"/>
      <c r="S47" s="3026">
        <f t="shared" si="1"/>
        <v>0</v>
      </c>
      <c r="T47" s="1778"/>
      <c r="U47" s="1633"/>
      <c r="V47" s="1633"/>
      <c r="W47" s="1633"/>
      <c r="X47" s="1633"/>
      <c r="Y47" s="3026">
        <f t="shared" si="2"/>
        <v>0</v>
      </c>
      <c r="Z47" s="1778"/>
      <c r="AA47" s="1633"/>
      <c r="AB47" s="1633"/>
      <c r="AC47" s="1633"/>
      <c r="AD47" s="1633"/>
      <c r="AE47" s="3026">
        <f t="shared" si="3"/>
        <v>0</v>
      </c>
      <c r="AF47" s="1778"/>
      <c r="AG47" s="1633"/>
      <c r="AH47" s="1633"/>
      <c r="AI47" s="1633"/>
      <c r="AJ47" s="1633"/>
      <c r="AK47" s="3026">
        <f t="shared" si="4"/>
        <v>0</v>
      </c>
      <c r="AL47" s="1778"/>
    </row>
    <row r="48" spans="2:53" s="110" customFormat="1" ht="18" customHeight="1">
      <c r="B48" s="3113" t="s">
        <v>2437</v>
      </c>
      <c r="C48" s="1777"/>
      <c r="D48" s="1777"/>
      <c r="E48" s="1777"/>
      <c r="F48" s="1777"/>
      <c r="G48" s="1777"/>
      <c r="H48" s="1778"/>
      <c r="I48" s="1707">
        <f>SUM(I49:I52)</f>
        <v>0</v>
      </c>
      <c r="J48" s="1707">
        <f>SUM(J49:J52)</f>
        <v>0</v>
      </c>
      <c r="K48" s="1707">
        <f>SUM(K49:K52)</f>
        <v>0</v>
      </c>
      <c r="L48" s="1707">
        <f>SUM(L49:L52)</f>
        <v>0</v>
      </c>
      <c r="M48" s="3035">
        <f t="shared" si="0"/>
        <v>0</v>
      </c>
      <c r="N48" s="1778"/>
      <c r="O48" s="1707">
        <f>SUM(O49:O52)</f>
        <v>0</v>
      </c>
      <c r="P48" s="1707">
        <f>SUM(P49:P52)</f>
        <v>0</v>
      </c>
      <c r="Q48" s="1707">
        <f>SUM(Q49:Q52)</f>
        <v>0</v>
      </c>
      <c r="R48" s="1707">
        <f>SUM(R49:R52)</f>
        <v>0</v>
      </c>
      <c r="S48" s="3035">
        <f t="shared" si="1"/>
        <v>0</v>
      </c>
      <c r="T48" s="1778"/>
      <c r="U48" s="1707">
        <f>SUM(U49:U52)</f>
        <v>0</v>
      </c>
      <c r="V48" s="1707">
        <f>SUM(V49:V52)</f>
        <v>0</v>
      </c>
      <c r="W48" s="1707">
        <f>SUM(W49:W52)</f>
        <v>0</v>
      </c>
      <c r="X48" s="1707">
        <f>SUM(X49:X52)</f>
        <v>0</v>
      </c>
      <c r="Y48" s="3035">
        <f t="shared" si="2"/>
        <v>0</v>
      </c>
      <c r="Z48" s="1778"/>
      <c r="AA48" s="1707">
        <f>SUM(AA49:AA52)</f>
        <v>0</v>
      </c>
      <c r="AB48" s="1707">
        <f>SUM(AB49:AB52)</f>
        <v>0</v>
      </c>
      <c r="AC48" s="1707">
        <f>SUM(AC49:AC52)</f>
        <v>0</v>
      </c>
      <c r="AD48" s="1707">
        <f>SUM(AD49:AD52)</f>
        <v>0</v>
      </c>
      <c r="AE48" s="3035">
        <f t="shared" si="3"/>
        <v>0</v>
      </c>
      <c r="AF48" s="1778"/>
      <c r="AG48" s="1707">
        <f>SUM(AG49:AG52)</f>
        <v>0</v>
      </c>
      <c r="AH48" s="1707">
        <f>SUM(AH49:AH52)</f>
        <v>0</v>
      </c>
      <c r="AI48" s="1707">
        <f>SUM(AI49:AI52)</f>
        <v>0</v>
      </c>
      <c r="AJ48" s="1707">
        <f>SUM(AJ49:AJ52)</f>
        <v>0</v>
      </c>
      <c r="AK48" s="3035">
        <f t="shared" si="4"/>
        <v>0</v>
      </c>
      <c r="AL48" s="1778"/>
    </row>
    <row r="49" spans="2:40" s="110" customFormat="1" ht="18" customHeight="1">
      <c r="B49" s="3087" t="s">
        <v>12</v>
      </c>
      <c r="C49" s="1777"/>
      <c r="D49" s="1777"/>
      <c r="E49" s="1777"/>
      <c r="F49" s="1777"/>
      <c r="G49" s="1777"/>
      <c r="H49" s="1778"/>
      <c r="I49" s="1633"/>
      <c r="J49" s="1633"/>
      <c r="K49" s="1633"/>
      <c r="L49" s="1633"/>
      <c r="M49" s="3026">
        <f t="shared" si="0"/>
        <v>0</v>
      </c>
      <c r="N49" s="1778"/>
      <c r="O49" s="1633"/>
      <c r="P49" s="1633"/>
      <c r="Q49" s="1633"/>
      <c r="R49" s="1633"/>
      <c r="S49" s="3026">
        <f t="shared" si="1"/>
        <v>0</v>
      </c>
      <c r="T49" s="1778"/>
      <c r="U49" s="1633"/>
      <c r="V49" s="1633"/>
      <c r="W49" s="1633"/>
      <c r="X49" s="1633"/>
      <c r="Y49" s="3026">
        <f t="shared" si="2"/>
        <v>0</v>
      </c>
      <c r="Z49" s="1778"/>
      <c r="AA49" s="1633"/>
      <c r="AB49" s="1633"/>
      <c r="AC49" s="1633"/>
      <c r="AD49" s="1633"/>
      <c r="AE49" s="3026">
        <f t="shared" si="3"/>
        <v>0</v>
      </c>
      <c r="AF49" s="1778"/>
      <c r="AG49" s="1633"/>
      <c r="AH49" s="1633"/>
      <c r="AI49" s="1633"/>
      <c r="AJ49" s="1633"/>
      <c r="AK49" s="3026">
        <f t="shared" si="4"/>
        <v>0</v>
      </c>
      <c r="AL49" s="1778"/>
    </row>
    <row r="50" spans="2:40" s="110" customFormat="1" ht="18" customHeight="1">
      <c r="B50" s="3087" t="s">
        <v>2436</v>
      </c>
      <c r="C50" s="1777"/>
      <c r="D50" s="1777"/>
      <c r="E50" s="1777"/>
      <c r="F50" s="1777"/>
      <c r="G50" s="1777"/>
      <c r="H50" s="1778"/>
      <c r="I50" s="1633"/>
      <c r="J50" s="1633"/>
      <c r="K50" s="1633"/>
      <c r="L50" s="1633"/>
      <c r="M50" s="3026">
        <f t="shared" si="0"/>
        <v>0</v>
      </c>
      <c r="N50" s="1778"/>
      <c r="O50" s="1633"/>
      <c r="P50" s="1633"/>
      <c r="Q50" s="1633"/>
      <c r="R50" s="1633"/>
      <c r="S50" s="3026">
        <f t="shared" si="1"/>
        <v>0</v>
      </c>
      <c r="T50" s="1778"/>
      <c r="U50" s="1633"/>
      <c r="V50" s="1633"/>
      <c r="W50" s="1633"/>
      <c r="X50" s="1633"/>
      <c r="Y50" s="3026">
        <f t="shared" si="2"/>
        <v>0</v>
      </c>
      <c r="Z50" s="1778"/>
      <c r="AA50" s="1633"/>
      <c r="AB50" s="1633"/>
      <c r="AC50" s="1633"/>
      <c r="AD50" s="1633"/>
      <c r="AE50" s="3026">
        <f t="shared" si="3"/>
        <v>0</v>
      </c>
      <c r="AF50" s="1778"/>
      <c r="AG50" s="1633"/>
      <c r="AH50" s="1633"/>
      <c r="AI50" s="1633"/>
      <c r="AJ50" s="1633"/>
      <c r="AK50" s="3026">
        <f t="shared" si="4"/>
        <v>0</v>
      </c>
      <c r="AL50" s="1778"/>
    </row>
    <row r="51" spans="2:40" s="110" customFormat="1" ht="18" customHeight="1">
      <c r="B51" s="3087" t="s">
        <v>1786</v>
      </c>
      <c r="C51" s="1777"/>
      <c r="D51" s="1777"/>
      <c r="E51" s="1777"/>
      <c r="F51" s="1777"/>
      <c r="G51" s="1777"/>
      <c r="H51" s="1778"/>
      <c r="I51" s="1633"/>
      <c r="J51" s="1633"/>
      <c r="K51" s="1633"/>
      <c r="L51" s="1633"/>
      <c r="M51" s="3026">
        <f t="shared" si="0"/>
        <v>0</v>
      </c>
      <c r="N51" s="1778"/>
      <c r="O51" s="1633"/>
      <c r="P51" s="1633"/>
      <c r="Q51" s="1633"/>
      <c r="R51" s="1633"/>
      <c r="S51" s="3026">
        <f t="shared" si="1"/>
        <v>0</v>
      </c>
      <c r="T51" s="1778"/>
      <c r="U51" s="1633"/>
      <c r="V51" s="1633"/>
      <c r="W51" s="1633"/>
      <c r="X51" s="1633"/>
      <c r="Y51" s="3026">
        <f t="shared" si="2"/>
        <v>0</v>
      </c>
      <c r="Z51" s="1778"/>
      <c r="AA51" s="1633"/>
      <c r="AB51" s="1633"/>
      <c r="AC51" s="1633"/>
      <c r="AD51" s="1633"/>
      <c r="AE51" s="3026">
        <f t="shared" si="3"/>
        <v>0</v>
      </c>
      <c r="AF51" s="1778"/>
      <c r="AG51" s="1633"/>
      <c r="AH51" s="1633"/>
      <c r="AI51" s="1633"/>
      <c r="AJ51" s="1633"/>
      <c r="AK51" s="3026">
        <f t="shared" si="4"/>
        <v>0</v>
      </c>
      <c r="AL51" s="1778"/>
    </row>
    <row r="52" spans="2:40" s="110" customFormat="1" ht="18" customHeight="1">
      <c r="B52" s="3087" t="s">
        <v>117</v>
      </c>
      <c r="C52" s="1777"/>
      <c r="D52" s="1777"/>
      <c r="E52" s="1777"/>
      <c r="F52" s="1777"/>
      <c r="G52" s="1777"/>
      <c r="H52" s="1778"/>
      <c r="I52" s="1633"/>
      <c r="J52" s="1633"/>
      <c r="K52" s="1633"/>
      <c r="L52" s="1633"/>
      <c r="M52" s="3026">
        <f t="shared" si="0"/>
        <v>0</v>
      </c>
      <c r="N52" s="1778"/>
      <c r="O52" s="1633"/>
      <c r="P52" s="1633"/>
      <c r="Q52" s="1633"/>
      <c r="R52" s="1633"/>
      <c r="S52" s="3026">
        <f t="shared" si="1"/>
        <v>0</v>
      </c>
      <c r="T52" s="1778"/>
      <c r="U52" s="1633"/>
      <c r="V52" s="1633"/>
      <c r="W52" s="1633"/>
      <c r="X52" s="1633"/>
      <c r="Y52" s="3026">
        <f t="shared" si="2"/>
        <v>0</v>
      </c>
      <c r="Z52" s="1778"/>
      <c r="AA52" s="1633"/>
      <c r="AB52" s="1633"/>
      <c r="AC52" s="1633"/>
      <c r="AD52" s="1633"/>
      <c r="AE52" s="3026">
        <f t="shared" si="3"/>
        <v>0</v>
      </c>
      <c r="AF52" s="1778"/>
      <c r="AG52" s="1633"/>
      <c r="AH52" s="1633"/>
      <c r="AI52" s="1633"/>
      <c r="AJ52" s="1633"/>
      <c r="AK52" s="3026">
        <f t="shared" si="4"/>
        <v>0</v>
      </c>
      <c r="AL52" s="1778"/>
    </row>
    <row r="53" spans="2:40" s="110" customFormat="1" ht="18" customHeight="1">
      <c r="B53" s="3090" t="s">
        <v>276</v>
      </c>
      <c r="C53" s="1953"/>
      <c r="D53" s="1953"/>
      <c r="E53" s="1953"/>
      <c r="F53" s="1953"/>
      <c r="G53" s="1953"/>
      <c r="H53" s="1770"/>
      <c r="I53" s="3193">
        <f>SUM(I48:L48)+SUM(I43:L43)</f>
        <v>0</v>
      </c>
      <c r="J53" s="1953"/>
      <c r="K53" s="1953"/>
      <c r="L53" s="1953"/>
      <c r="M53" s="1953"/>
      <c r="N53" s="1770"/>
      <c r="O53" s="3113">
        <f>SUM(O48:R48)+SUM(O43:R43)</f>
        <v>0</v>
      </c>
      <c r="P53" s="1777"/>
      <c r="Q53" s="1777"/>
      <c r="R53" s="1777"/>
      <c r="S53" s="1777"/>
      <c r="T53" s="1778"/>
      <c r="U53" s="3113">
        <f>SUM(U48:X48)+SUM(U43:X43)</f>
        <v>0</v>
      </c>
      <c r="V53" s="1777"/>
      <c r="W53" s="1777"/>
      <c r="X53" s="1777"/>
      <c r="Y53" s="1777"/>
      <c r="Z53" s="1778"/>
      <c r="AA53" s="3113">
        <f>SUM(AA48:AD48)+SUM(AA43:AD43)</f>
        <v>0</v>
      </c>
      <c r="AB53" s="1777"/>
      <c r="AC53" s="1777"/>
      <c r="AD53" s="1777"/>
      <c r="AE53" s="1777"/>
      <c r="AF53" s="1778"/>
      <c r="AG53" s="3113">
        <f>SUM(AG48:AJ48)+SUM(AG43:AJ43)</f>
        <v>0</v>
      </c>
      <c r="AH53" s="1777"/>
      <c r="AI53" s="1777"/>
      <c r="AJ53" s="1777"/>
      <c r="AK53" s="1777"/>
      <c r="AL53" s="1778"/>
    </row>
    <row r="54" spans="2:40" s="110" customFormat="1" ht="18" customHeight="1">
      <c r="B54" s="3035" t="s">
        <v>1465</v>
      </c>
      <c r="C54" s="1953"/>
      <c r="D54" s="1953"/>
      <c r="E54" s="1953"/>
      <c r="F54" s="1953"/>
      <c r="G54" s="1953"/>
      <c r="H54" s="1770"/>
      <c r="I54" s="3100" t="s">
        <v>2438</v>
      </c>
      <c r="J54" s="1777"/>
      <c r="K54" s="1777"/>
      <c r="L54" s="1777"/>
      <c r="M54" s="1777"/>
      <c r="N54" s="1778"/>
      <c r="O54" s="390"/>
      <c r="P54" s="1389"/>
      <c r="Q54" s="1389"/>
      <c r="R54" s="1389"/>
      <c r="S54" s="1389"/>
      <c r="T54" s="1389"/>
      <c r="U54" s="1389"/>
      <c r="V54" s="1389"/>
      <c r="W54" s="1389"/>
      <c r="X54" s="1389"/>
      <c r="Y54" s="1389"/>
      <c r="Z54" s="1389"/>
      <c r="AA54" s="1389"/>
      <c r="AB54" s="1390"/>
      <c r="AC54" s="3035" t="s">
        <v>1465</v>
      </c>
      <c r="AD54" s="1953"/>
      <c r="AE54" s="1953"/>
      <c r="AF54" s="1770"/>
      <c r="AG54" s="3047" t="s">
        <v>2438</v>
      </c>
      <c r="AH54" s="1777"/>
      <c r="AI54" s="1777"/>
      <c r="AJ54" s="1777"/>
      <c r="AK54" s="1777"/>
      <c r="AL54" s="1778"/>
    </row>
    <row r="55" spans="2:40" s="110" customFormat="1" ht="18" customHeight="1">
      <c r="B55" s="2479"/>
      <c r="C55" s="1877"/>
      <c r="D55" s="1877"/>
      <c r="E55" s="1877"/>
      <c r="F55" s="1877"/>
      <c r="G55" s="1877"/>
      <c r="H55" s="1772"/>
      <c r="I55" s="1704">
        <v>0</v>
      </c>
      <c r="J55" s="1704">
        <v>1</v>
      </c>
      <c r="K55" s="1704">
        <v>2</v>
      </c>
      <c r="L55" s="1704">
        <v>3</v>
      </c>
      <c r="M55" s="3152" t="s">
        <v>1644</v>
      </c>
      <c r="N55" s="1778"/>
      <c r="O55" s="804"/>
      <c r="P55" s="1391"/>
      <c r="Q55" s="1391"/>
      <c r="R55" s="1391"/>
      <c r="S55" s="1391"/>
      <c r="T55" s="1391"/>
      <c r="U55" s="1391"/>
      <c r="V55" s="1391"/>
      <c r="W55" s="1391"/>
      <c r="X55" s="1391"/>
      <c r="Y55" s="1391"/>
      <c r="Z55" s="1391"/>
      <c r="AA55" s="1391"/>
      <c r="AB55" s="1474"/>
      <c r="AC55" s="2479"/>
      <c r="AD55" s="1877"/>
      <c r="AE55" s="1877"/>
      <c r="AF55" s="1772"/>
      <c r="AG55" s="1704">
        <v>0</v>
      </c>
      <c r="AH55" s="1704">
        <v>1</v>
      </c>
      <c r="AI55" s="1704">
        <v>2</v>
      </c>
      <c r="AJ55" s="1704">
        <v>3</v>
      </c>
      <c r="AK55" s="3152" t="s">
        <v>1644</v>
      </c>
      <c r="AL55" s="1778"/>
    </row>
    <row r="56" spans="2:40" s="110" customFormat="1" ht="18" customHeight="1">
      <c r="B56" s="3113" t="s">
        <v>106</v>
      </c>
      <c r="C56" s="1777"/>
      <c r="D56" s="1777"/>
      <c r="E56" s="1777"/>
      <c r="F56" s="1777"/>
      <c r="G56" s="1777"/>
      <c r="H56" s="1778"/>
      <c r="I56" s="1707">
        <f>SUM(I57:I60)</f>
        <v>0</v>
      </c>
      <c r="J56" s="1707">
        <f>SUM(J57:J60)</f>
        <v>0</v>
      </c>
      <c r="K56" s="1707">
        <f>SUM(K57:K60)</f>
        <v>0</v>
      </c>
      <c r="L56" s="1707">
        <f>SUM(L57:L60)</f>
        <v>0</v>
      </c>
      <c r="M56" s="3035">
        <f>SUM(I56:L56)</f>
        <v>0</v>
      </c>
      <c r="N56" s="1778"/>
      <c r="O56" s="1392" t="s">
        <v>2439</v>
      </c>
      <c r="P56" s="1393"/>
      <c r="Q56" s="1393"/>
      <c r="R56" s="1393"/>
      <c r="S56" s="1393"/>
      <c r="T56" s="1393"/>
      <c r="U56" s="1393"/>
      <c r="V56" s="1393"/>
      <c r="W56" s="1393"/>
      <c r="X56" s="1393"/>
      <c r="Y56" s="1393"/>
      <c r="Z56" s="1393"/>
      <c r="AA56" s="1393"/>
      <c r="AB56" s="1394"/>
      <c r="AC56" s="3101" t="s">
        <v>2437</v>
      </c>
      <c r="AD56" s="1777"/>
      <c r="AE56" s="1777"/>
      <c r="AF56" s="1778"/>
      <c r="AG56" s="1707">
        <f>SUM(AG57:AG60)</f>
        <v>0</v>
      </c>
      <c r="AH56" s="1707">
        <f>SUM(AH57:AH60)</f>
        <v>0</v>
      </c>
      <c r="AI56" s="1707">
        <f>SUM(AI57:AI60)</f>
        <v>0</v>
      </c>
      <c r="AJ56" s="1707">
        <f>SUM(AJ57:AJ60)</f>
        <v>0</v>
      </c>
      <c r="AK56" s="3035">
        <f>SUM(AG56:AJ56)</f>
        <v>0</v>
      </c>
      <c r="AL56" s="1778"/>
    </row>
    <row r="57" spans="2:40" s="110" customFormat="1" ht="18" customHeight="1">
      <c r="B57" s="3087" t="s">
        <v>12</v>
      </c>
      <c r="C57" s="1777"/>
      <c r="D57" s="1777"/>
      <c r="E57" s="1777"/>
      <c r="F57" s="1777"/>
      <c r="G57" s="1777"/>
      <c r="H57" s="1778"/>
      <c r="I57" s="1706">
        <f t="shared" ref="I57:L60" si="5">I44+O44+U44+AA44+AG44</f>
        <v>0</v>
      </c>
      <c r="J57" s="1706">
        <f t="shared" si="5"/>
        <v>0</v>
      </c>
      <c r="K57" s="1706">
        <f t="shared" si="5"/>
        <v>0</v>
      </c>
      <c r="L57" s="1706">
        <f t="shared" si="5"/>
        <v>0</v>
      </c>
      <c r="M57" s="3026">
        <f>SUM(I57:L57)</f>
        <v>0</v>
      </c>
      <c r="N57" s="1778"/>
      <c r="O57" s="390"/>
      <c r="P57" s="1389"/>
      <c r="Q57" s="1389"/>
      <c r="R57" s="1389"/>
      <c r="S57" s="1389"/>
      <c r="T57" s="1389"/>
      <c r="U57" s="1389"/>
      <c r="V57" s="1389"/>
      <c r="W57" s="1389"/>
      <c r="X57" s="1389"/>
      <c r="Y57" s="1389"/>
      <c r="Z57" s="1389"/>
      <c r="AA57" s="1389"/>
      <c r="AB57" s="1390"/>
      <c r="AC57" s="3142" t="s">
        <v>12</v>
      </c>
      <c r="AD57" s="1777"/>
      <c r="AE57" s="1777"/>
      <c r="AF57" s="1778"/>
      <c r="AG57" s="1706">
        <f t="shared" ref="AG57:AJ60" si="6">I49+O49+U49+AA49+AG49</f>
        <v>0</v>
      </c>
      <c r="AH57" s="1706">
        <f t="shared" si="6"/>
        <v>0</v>
      </c>
      <c r="AI57" s="1706">
        <f t="shared" si="6"/>
        <v>0</v>
      </c>
      <c r="AJ57" s="1706">
        <f t="shared" si="6"/>
        <v>0</v>
      </c>
      <c r="AK57" s="3026">
        <f>SUM(AG57:AJ57)</f>
        <v>0</v>
      </c>
      <c r="AL57" s="1778"/>
    </row>
    <row r="58" spans="2:40" s="110" customFormat="1" ht="18" customHeight="1">
      <c r="B58" s="3087" t="s">
        <v>2436</v>
      </c>
      <c r="C58" s="1777"/>
      <c r="D58" s="1777"/>
      <c r="E58" s="1777"/>
      <c r="F58" s="1777"/>
      <c r="G58" s="1777"/>
      <c r="H58" s="1778"/>
      <c r="I58" s="1706">
        <f t="shared" si="5"/>
        <v>0</v>
      </c>
      <c r="J58" s="1706">
        <f t="shared" si="5"/>
        <v>0</v>
      </c>
      <c r="K58" s="1706">
        <f t="shared" si="5"/>
        <v>0</v>
      </c>
      <c r="L58" s="1706">
        <f t="shared" si="5"/>
        <v>0</v>
      </c>
      <c r="M58" s="3026">
        <f>SUM(I58:L58)</f>
        <v>0</v>
      </c>
      <c r="N58" s="1778"/>
      <c r="O58" s="391"/>
      <c r="P58" s="2"/>
      <c r="Q58" s="2"/>
      <c r="R58" s="2"/>
      <c r="S58" s="2"/>
      <c r="T58" s="2"/>
      <c r="U58" s="2"/>
      <c r="V58" s="2"/>
      <c r="W58" s="2"/>
      <c r="X58" s="2"/>
      <c r="Y58" s="2"/>
      <c r="Z58" s="2"/>
      <c r="AA58" s="2"/>
      <c r="AB58" s="1395"/>
      <c r="AC58" s="3142" t="s">
        <v>2436</v>
      </c>
      <c r="AD58" s="1777"/>
      <c r="AE58" s="1777"/>
      <c r="AF58" s="1778"/>
      <c r="AG58" s="1706">
        <f t="shared" si="6"/>
        <v>0</v>
      </c>
      <c r="AH58" s="1706">
        <f t="shared" si="6"/>
        <v>0</v>
      </c>
      <c r="AI58" s="1706">
        <f t="shared" si="6"/>
        <v>0</v>
      </c>
      <c r="AJ58" s="1706">
        <f t="shared" si="6"/>
        <v>0</v>
      </c>
      <c r="AK58" s="3026">
        <f>SUM(AG58:AJ58)</f>
        <v>0</v>
      </c>
      <c r="AL58" s="1778"/>
    </row>
    <row r="59" spans="2:40" s="110" customFormat="1" ht="18" customHeight="1">
      <c r="B59" s="3087" t="s">
        <v>1786</v>
      </c>
      <c r="C59" s="1777"/>
      <c r="D59" s="1777"/>
      <c r="E59" s="1777"/>
      <c r="F59" s="1777"/>
      <c r="G59" s="1777"/>
      <c r="H59" s="1778"/>
      <c r="I59" s="1706">
        <f t="shared" si="5"/>
        <v>0</v>
      </c>
      <c r="J59" s="1706">
        <f t="shared" si="5"/>
        <v>0</v>
      </c>
      <c r="K59" s="1706">
        <f t="shared" si="5"/>
        <v>0</v>
      </c>
      <c r="L59" s="1706">
        <f t="shared" si="5"/>
        <v>0</v>
      </c>
      <c r="M59" s="3026">
        <f>SUM(I59:L59)</f>
        <v>0</v>
      </c>
      <c r="N59" s="1778"/>
      <c r="O59" s="391"/>
      <c r="P59" s="2"/>
      <c r="Q59" s="2"/>
      <c r="R59" s="2"/>
      <c r="S59" s="2"/>
      <c r="T59" s="2"/>
      <c r="U59" s="2"/>
      <c r="V59" s="2"/>
      <c r="W59" s="2"/>
      <c r="X59" s="2"/>
      <c r="Y59" s="2"/>
      <c r="Z59" s="2"/>
      <c r="AA59" s="2"/>
      <c r="AB59" s="1395"/>
      <c r="AC59" s="3142" t="s">
        <v>1786</v>
      </c>
      <c r="AD59" s="1777"/>
      <c r="AE59" s="1777"/>
      <c r="AF59" s="1778"/>
      <c r="AG59" s="1706">
        <f t="shared" si="6"/>
        <v>0</v>
      </c>
      <c r="AH59" s="1706">
        <f t="shared" si="6"/>
        <v>0</v>
      </c>
      <c r="AI59" s="1706">
        <f t="shared" si="6"/>
        <v>0</v>
      </c>
      <c r="AJ59" s="1706">
        <f t="shared" si="6"/>
        <v>0</v>
      </c>
      <c r="AK59" s="3026">
        <f>SUM(AG59:AJ59)</f>
        <v>0</v>
      </c>
      <c r="AL59" s="1778"/>
    </row>
    <row r="60" spans="2:40" s="110" customFormat="1" ht="18" customHeight="1">
      <c r="B60" s="3087" t="s">
        <v>117</v>
      </c>
      <c r="C60" s="1777"/>
      <c r="D60" s="1777"/>
      <c r="E60" s="1777"/>
      <c r="F60" s="1777"/>
      <c r="G60" s="1777"/>
      <c r="H60" s="1778"/>
      <c r="I60" s="1706">
        <f t="shared" si="5"/>
        <v>0</v>
      </c>
      <c r="J60" s="1706">
        <f t="shared" si="5"/>
        <v>0</v>
      </c>
      <c r="K60" s="1706">
        <f t="shared" si="5"/>
        <v>0</v>
      </c>
      <c r="L60" s="1706">
        <f t="shared" si="5"/>
        <v>0</v>
      </c>
      <c r="M60" s="3026">
        <f>SUM(I60:L60)</f>
        <v>0</v>
      </c>
      <c r="N60" s="1778"/>
      <c r="O60" s="804"/>
      <c r="P60" s="1391"/>
      <c r="Q60" s="1391"/>
      <c r="R60" s="1391"/>
      <c r="S60" s="1391"/>
      <c r="T60" s="1391"/>
      <c r="U60" s="1391"/>
      <c r="V60" s="1391"/>
      <c r="W60" s="1391"/>
      <c r="X60" s="1391"/>
      <c r="Y60" s="1391"/>
      <c r="Z60" s="1391"/>
      <c r="AA60" s="1391"/>
      <c r="AB60" s="1474"/>
      <c r="AC60" s="3142" t="s">
        <v>117</v>
      </c>
      <c r="AD60" s="1777"/>
      <c r="AE60" s="1777"/>
      <c r="AF60" s="1778"/>
      <c r="AG60" s="1706">
        <f t="shared" si="6"/>
        <v>0</v>
      </c>
      <c r="AH60" s="1706">
        <f t="shared" si="6"/>
        <v>0</v>
      </c>
      <c r="AI60" s="1706">
        <f t="shared" si="6"/>
        <v>0</v>
      </c>
      <c r="AJ60" s="1706">
        <f t="shared" si="6"/>
        <v>0</v>
      </c>
      <c r="AK60" s="3026">
        <f>SUM(AG60:AJ60)</f>
        <v>0</v>
      </c>
      <c r="AL60" s="1778"/>
    </row>
    <row r="61" spans="2:40" s="110" customFormat="1" ht="18" customHeight="1">
      <c r="B61" s="3085" t="s">
        <v>2440</v>
      </c>
      <c r="C61" s="1777"/>
      <c r="D61" s="1777"/>
      <c r="E61" s="1777"/>
      <c r="F61" s="1777"/>
      <c r="G61" s="1777"/>
      <c r="H61" s="1777"/>
      <c r="I61" s="1777"/>
      <c r="J61" s="1777"/>
      <c r="K61" s="1777"/>
      <c r="L61" s="1777"/>
      <c r="M61" s="1777"/>
      <c r="N61" s="1777"/>
      <c r="O61" s="1777"/>
      <c r="P61" s="1777"/>
      <c r="Q61" s="1777"/>
      <c r="R61" s="1777"/>
      <c r="S61" s="1777"/>
      <c r="T61" s="1778"/>
      <c r="U61" s="3147" t="s">
        <v>276</v>
      </c>
      <c r="V61" s="1777"/>
      <c r="W61" s="1778"/>
      <c r="X61" s="3035">
        <f>SUM(AG56:AJ56)+SUM(I56:L56)</f>
        <v>0</v>
      </c>
      <c r="Y61" s="1777"/>
      <c r="Z61" s="1777"/>
      <c r="AA61" s="1777"/>
      <c r="AB61" s="1778"/>
    </row>
    <row r="62" spans="2:40" s="110" customFormat="1" ht="18" customHeight="1">
      <c r="B62" s="3094" t="s">
        <v>2441</v>
      </c>
      <c r="C62" s="1777"/>
      <c r="D62" s="1777"/>
      <c r="E62" s="1777"/>
      <c r="F62" s="1777"/>
      <c r="G62" s="1777"/>
      <c r="H62" s="1777"/>
      <c r="I62" s="1777"/>
      <c r="J62" s="1777"/>
      <c r="K62" s="1777"/>
      <c r="L62" s="1777"/>
      <c r="M62" s="1777"/>
      <c r="N62" s="1777"/>
      <c r="O62" s="1777"/>
      <c r="P62" s="1777"/>
      <c r="Q62" s="1778"/>
      <c r="R62" s="3175"/>
      <c r="S62" s="1861"/>
      <c r="T62" s="1861"/>
      <c r="U62" s="1861"/>
      <c r="V62" s="1861"/>
      <c r="W62" s="1861"/>
      <c r="X62" s="1861"/>
      <c r="Y62" s="1861"/>
      <c r="Z62" s="1861"/>
      <c r="AA62" s="1861"/>
      <c r="AB62" s="1862"/>
      <c r="AE62" s="392"/>
      <c r="AF62" s="392"/>
      <c r="AG62" s="392"/>
      <c r="AH62" s="392"/>
      <c r="AI62" s="392"/>
      <c r="AN62" s="392"/>
    </row>
    <row r="63" spans="2:40" s="393" customFormat="1" ht="18" customHeight="1">
      <c r="B63" s="3089" t="s">
        <v>2442</v>
      </c>
      <c r="C63" s="1777"/>
      <c r="D63" s="1777"/>
      <c r="E63" s="1777"/>
      <c r="F63" s="1777"/>
      <c r="G63" s="1777"/>
      <c r="H63" s="1777"/>
      <c r="I63" s="1777"/>
      <c r="J63" s="1777"/>
      <c r="K63" s="1777"/>
      <c r="L63" s="1777"/>
      <c r="M63" s="1777"/>
      <c r="N63" s="1777"/>
      <c r="O63" s="1777"/>
      <c r="P63" s="1777"/>
      <c r="Q63" s="1778"/>
      <c r="R63" s="3175"/>
      <c r="S63" s="1861"/>
      <c r="T63" s="1861"/>
      <c r="U63" s="1861"/>
      <c r="V63" s="1861"/>
      <c r="W63" s="1861"/>
      <c r="X63" s="1861"/>
      <c r="Y63" s="1861"/>
      <c r="Z63" s="1861"/>
      <c r="AA63" s="1861"/>
      <c r="AB63" s="1862"/>
      <c r="AD63" s="392"/>
      <c r="AE63" s="394"/>
      <c r="AF63" s="394"/>
      <c r="AG63" s="394"/>
      <c r="AH63" s="394"/>
      <c r="AI63" s="394"/>
    </row>
    <row r="64" spans="2:40" s="393" customFormat="1" ht="18" customHeight="1">
      <c r="B64" s="110"/>
      <c r="C64" s="110"/>
      <c r="D64" s="110"/>
      <c r="E64" s="110"/>
      <c r="F64" s="110"/>
      <c r="G64" s="110"/>
      <c r="H64" s="110"/>
      <c r="I64" s="110"/>
      <c r="J64" s="110"/>
      <c r="K64" s="110"/>
      <c r="L64" s="110"/>
      <c r="M64" s="110"/>
      <c r="N64" s="110"/>
      <c r="O64" s="110"/>
      <c r="P64" s="110"/>
      <c r="Q64" s="110"/>
      <c r="R64" s="395"/>
      <c r="S64" s="395"/>
      <c r="T64" s="395"/>
      <c r="U64" s="395"/>
      <c r="V64" s="395"/>
      <c r="W64" s="395"/>
      <c r="X64" s="395"/>
      <c r="Y64" s="395"/>
      <c r="Z64" s="395"/>
      <c r="AA64" s="395"/>
      <c r="AB64" s="395"/>
      <c r="AD64" s="110"/>
    </row>
    <row r="65" spans="2:39" s="110" customFormat="1" ht="18" customHeight="1">
      <c r="B65" s="3102" t="s">
        <v>2369</v>
      </c>
      <c r="C65" s="3019"/>
      <c r="D65" s="3019"/>
      <c r="E65" s="3019"/>
      <c r="F65" s="3019"/>
      <c r="G65" s="3019"/>
      <c r="H65" s="3019"/>
      <c r="I65" s="3019"/>
      <c r="J65" s="3019"/>
      <c r="K65" s="3019"/>
      <c r="L65" s="3019"/>
      <c r="M65" s="3019"/>
      <c r="N65" s="3019"/>
      <c r="O65" s="3019"/>
      <c r="P65" s="3019"/>
      <c r="Q65" s="3019"/>
      <c r="R65" s="3019"/>
      <c r="S65" s="3019"/>
      <c r="T65" s="3019"/>
      <c r="U65" s="3019"/>
      <c r="V65" s="3019"/>
      <c r="W65" s="3019"/>
      <c r="X65" s="3019"/>
      <c r="Y65" s="3019"/>
      <c r="Z65" s="3019"/>
      <c r="AA65" s="3019"/>
      <c r="AB65" s="3019"/>
      <c r="AC65" s="3019"/>
      <c r="AD65" s="3019"/>
      <c r="AE65" s="3019"/>
      <c r="AF65" s="3019"/>
      <c r="AG65" s="3019"/>
      <c r="AH65" s="3019"/>
      <c r="AI65" s="3019"/>
      <c r="AJ65" s="3019"/>
      <c r="AK65" s="3019"/>
      <c r="AL65" s="3019"/>
      <c r="AM65" s="3019"/>
    </row>
    <row r="66" spans="2:39" s="110" customFormat="1" ht="18" customHeight="1">
      <c r="B66" s="3176" t="s">
        <v>2443</v>
      </c>
      <c r="C66" s="3019"/>
      <c r="D66" s="3019"/>
      <c r="E66" s="3019"/>
      <c r="F66" s="3019"/>
      <c r="G66" s="3019"/>
      <c r="H66" s="3019"/>
      <c r="I66" s="3019"/>
      <c r="J66" s="3019"/>
      <c r="K66" s="3019"/>
      <c r="L66" s="3019"/>
      <c r="M66" s="3019"/>
      <c r="N66" s="3019"/>
      <c r="O66" s="3019"/>
      <c r="P66" s="3019"/>
      <c r="Q66" s="3019"/>
      <c r="R66" s="3019"/>
      <c r="S66" s="3019"/>
      <c r="T66" s="3019"/>
      <c r="U66" s="3019"/>
      <c r="V66" s="3019"/>
      <c r="W66" s="3019"/>
      <c r="X66" s="3019"/>
      <c r="Y66" s="3019"/>
      <c r="Z66" s="3019"/>
      <c r="AA66" s="3019"/>
      <c r="AB66" s="3019"/>
      <c r="AC66" s="3019"/>
      <c r="AD66" s="3019"/>
      <c r="AE66" s="3019"/>
      <c r="AF66" s="3019"/>
      <c r="AG66" s="3019"/>
      <c r="AH66" s="3019"/>
      <c r="AI66" s="3019"/>
      <c r="AJ66" s="3019"/>
      <c r="AK66" s="3019"/>
      <c r="AL66" s="3019"/>
      <c r="AM66" s="3019"/>
    </row>
    <row r="67" spans="2:39" s="110" customFormat="1" ht="18" customHeight="1">
      <c r="B67" s="3184" t="s">
        <v>2444</v>
      </c>
      <c r="C67" s="3019"/>
      <c r="D67" s="3019"/>
      <c r="E67" s="3019"/>
      <c r="F67" s="3019"/>
      <c r="G67" s="3019"/>
      <c r="H67" s="3019"/>
      <c r="I67" s="3019"/>
      <c r="J67" s="3019"/>
      <c r="K67" s="3019"/>
      <c r="L67" s="3019"/>
      <c r="M67" s="3019"/>
      <c r="N67" s="1968"/>
      <c r="O67" s="1861"/>
      <c r="P67" s="1862"/>
      <c r="Q67" s="396"/>
      <c r="R67" s="396"/>
      <c r="S67" s="396"/>
      <c r="T67" s="396"/>
      <c r="U67" s="396"/>
      <c r="V67" s="396"/>
      <c r="W67" s="396"/>
      <c r="X67" s="396"/>
      <c r="Y67" s="396"/>
      <c r="Z67" s="396"/>
      <c r="AA67" s="396"/>
      <c r="AB67" s="396"/>
    </row>
    <row r="68" spans="2:39" s="397" customFormat="1" ht="18" customHeight="1">
      <c r="B68" s="3043" t="s">
        <v>2445</v>
      </c>
      <c r="C68" s="3015"/>
      <c r="D68" s="3015"/>
      <c r="E68" s="3015"/>
      <c r="F68" s="3015"/>
      <c r="G68" s="3015"/>
      <c r="H68" s="3015"/>
      <c r="I68" s="3015"/>
      <c r="J68" s="3015"/>
      <c r="K68" s="3015"/>
      <c r="L68" s="3015"/>
      <c r="M68" s="3015"/>
      <c r="N68" s="3015"/>
      <c r="O68" s="3015"/>
      <c r="P68" s="3015"/>
      <c r="Q68" s="3015"/>
      <c r="R68" s="3015"/>
      <c r="S68" s="3015"/>
      <c r="T68" s="3015"/>
      <c r="U68" s="3015"/>
      <c r="V68" s="3015"/>
      <c r="W68" s="3015"/>
      <c r="X68" s="3015"/>
      <c r="Y68" s="3015"/>
      <c r="Z68" s="3015"/>
      <c r="AA68" s="3015"/>
      <c r="AB68" s="3015"/>
      <c r="AC68" s="3015"/>
      <c r="AD68" s="3015"/>
      <c r="AE68" s="3015"/>
      <c r="AF68" s="3015"/>
      <c r="AG68" s="3015"/>
      <c r="AH68" s="3015"/>
      <c r="AI68" s="3015"/>
      <c r="AJ68" s="3015"/>
      <c r="AK68" s="3015"/>
      <c r="AL68" s="3015"/>
      <c r="AM68" s="3015"/>
    </row>
    <row r="69" spans="2:39" s="397" customFormat="1" ht="75" customHeight="1">
      <c r="B69" s="3023"/>
      <c r="C69" s="1861"/>
      <c r="D69" s="1861"/>
      <c r="E69" s="1861"/>
      <c r="F69" s="1861"/>
      <c r="G69" s="1861"/>
      <c r="H69" s="1861"/>
      <c r="I69" s="1861"/>
      <c r="J69" s="1861"/>
      <c r="K69" s="1861"/>
      <c r="L69" s="1861"/>
      <c r="M69" s="1861"/>
      <c r="N69" s="1861"/>
      <c r="O69" s="1861"/>
      <c r="P69" s="1861"/>
      <c r="Q69" s="1861"/>
      <c r="R69" s="1861"/>
      <c r="S69" s="1861"/>
      <c r="T69" s="1861"/>
      <c r="U69" s="1861"/>
      <c r="V69" s="1861"/>
      <c r="W69" s="1861"/>
      <c r="X69" s="1861"/>
      <c r="Y69" s="1861"/>
      <c r="Z69" s="1861"/>
      <c r="AA69" s="1861"/>
      <c r="AB69" s="1861"/>
      <c r="AC69" s="1861"/>
      <c r="AD69" s="1861"/>
      <c r="AE69" s="1861"/>
      <c r="AF69" s="1861"/>
      <c r="AG69" s="1861"/>
      <c r="AH69" s="1861"/>
      <c r="AI69" s="1861"/>
      <c r="AJ69" s="1861"/>
      <c r="AK69" s="1861"/>
      <c r="AL69" s="1861"/>
      <c r="AM69" s="1862"/>
    </row>
    <row r="70" spans="2:39" s="397" customFormat="1" ht="54" customHeight="1">
      <c r="B70" s="2181" t="s">
        <v>2446</v>
      </c>
      <c r="C70" s="3015"/>
      <c r="D70" s="3015"/>
      <c r="E70" s="3015"/>
      <c r="F70" s="3015"/>
      <c r="G70" s="3015"/>
      <c r="H70" s="3015"/>
      <c r="I70" s="3015"/>
      <c r="J70" s="3015"/>
      <c r="K70" s="3015"/>
      <c r="L70" s="3015"/>
      <c r="M70" s="3015"/>
      <c r="N70" s="3015"/>
      <c r="O70" s="3015"/>
      <c r="P70" s="3015"/>
      <c r="Q70" s="3015"/>
      <c r="R70" s="3015"/>
      <c r="S70" s="3015"/>
      <c r="T70" s="3015"/>
      <c r="U70" s="3015"/>
      <c r="V70" s="3015"/>
      <c r="W70" s="3015"/>
      <c r="X70" s="3015"/>
      <c r="Y70" s="3015"/>
      <c r="Z70" s="3015"/>
      <c r="AA70" s="3015"/>
      <c r="AB70" s="3015"/>
      <c r="AC70" s="3015"/>
      <c r="AD70" s="3015"/>
      <c r="AE70" s="3015"/>
      <c r="AF70" s="3015"/>
      <c r="AG70" s="3015"/>
      <c r="AH70" s="3015"/>
      <c r="AI70" s="3015"/>
      <c r="AJ70" s="3015"/>
      <c r="AK70" s="3015"/>
      <c r="AL70" s="3015"/>
      <c r="AM70" s="3015"/>
    </row>
    <row r="71" spans="2:39" s="397" customFormat="1" ht="75" customHeight="1">
      <c r="B71" s="2445"/>
      <c r="C71" s="1861"/>
      <c r="D71" s="1861"/>
      <c r="E71" s="1861"/>
      <c r="F71" s="1861"/>
      <c r="G71" s="1861"/>
      <c r="H71" s="1861"/>
      <c r="I71" s="1861"/>
      <c r="J71" s="1861"/>
      <c r="K71" s="1861"/>
      <c r="L71" s="1861"/>
      <c r="M71" s="1861"/>
      <c r="N71" s="1861"/>
      <c r="O71" s="1861"/>
      <c r="P71" s="1861"/>
      <c r="Q71" s="1861"/>
      <c r="R71" s="1861"/>
      <c r="S71" s="1861"/>
      <c r="T71" s="1861"/>
      <c r="U71" s="1861"/>
      <c r="V71" s="1861"/>
      <c r="W71" s="1861"/>
      <c r="X71" s="1861"/>
      <c r="Y71" s="1861"/>
      <c r="Z71" s="1861"/>
      <c r="AA71" s="1861"/>
      <c r="AB71" s="1861"/>
      <c r="AC71" s="1861"/>
      <c r="AD71" s="1861"/>
      <c r="AE71" s="1861"/>
      <c r="AF71" s="1861"/>
      <c r="AG71" s="1861"/>
      <c r="AH71" s="1861"/>
      <c r="AI71" s="1861"/>
      <c r="AJ71" s="1861"/>
      <c r="AK71" s="1861"/>
      <c r="AL71" s="1861"/>
      <c r="AM71" s="1862"/>
    </row>
    <row r="72" spans="2:39" s="397" customFormat="1" ht="54" customHeight="1">
      <c r="B72" s="3043" t="s">
        <v>2447</v>
      </c>
      <c r="C72" s="3015"/>
      <c r="D72" s="3015"/>
      <c r="E72" s="3015"/>
      <c r="F72" s="3015"/>
      <c r="G72" s="3015"/>
      <c r="H72" s="3015"/>
      <c r="I72" s="3015"/>
      <c r="J72" s="3015"/>
      <c r="K72" s="3015"/>
      <c r="L72" s="3015"/>
      <c r="M72" s="3015"/>
      <c r="N72" s="3015"/>
      <c r="O72" s="3015"/>
      <c r="P72" s="3015"/>
      <c r="Q72" s="3015"/>
      <c r="R72" s="3015"/>
      <c r="S72" s="3015"/>
      <c r="T72" s="3015"/>
      <c r="U72" s="3015"/>
      <c r="V72" s="3015"/>
      <c r="W72" s="3015"/>
      <c r="X72" s="3015"/>
      <c r="Y72" s="3015"/>
      <c r="Z72" s="3015"/>
      <c r="AA72" s="3015"/>
      <c r="AB72" s="3015"/>
      <c r="AC72" s="3015"/>
      <c r="AD72" s="3015"/>
      <c r="AE72" s="3015"/>
      <c r="AF72" s="3015"/>
      <c r="AG72" s="3015"/>
      <c r="AH72" s="3015"/>
      <c r="AI72" s="3015"/>
      <c r="AJ72" s="3015"/>
      <c r="AK72" s="3015"/>
      <c r="AL72" s="3015"/>
      <c r="AM72" s="3015"/>
    </row>
    <row r="73" spans="2:39" s="397" customFormat="1" ht="75" customHeight="1">
      <c r="B73" s="3023"/>
      <c r="C73" s="1861"/>
      <c r="D73" s="1861"/>
      <c r="E73" s="1861"/>
      <c r="F73" s="1861"/>
      <c r="G73" s="1861"/>
      <c r="H73" s="1861"/>
      <c r="I73" s="1861"/>
      <c r="J73" s="1861"/>
      <c r="K73" s="1861"/>
      <c r="L73" s="1861"/>
      <c r="M73" s="1861"/>
      <c r="N73" s="1861"/>
      <c r="O73" s="1861"/>
      <c r="P73" s="1861"/>
      <c r="Q73" s="1861"/>
      <c r="R73" s="1861"/>
      <c r="S73" s="1861"/>
      <c r="T73" s="1861"/>
      <c r="U73" s="1861"/>
      <c r="V73" s="1861"/>
      <c r="W73" s="1861"/>
      <c r="X73" s="1861"/>
      <c r="Y73" s="1861"/>
      <c r="Z73" s="1861"/>
      <c r="AA73" s="1861"/>
      <c r="AB73" s="1861"/>
      <c r="AC73" s="1861"/>
      <c r="AD73" s="1861"/>
      <c r="AE73" s="1861"/>
      <c r="AF73" s="1861"/>
      <c r="AG73" s="1861"/>
      <c r="AH73" s="1861"/>
      <c r="AI73" s="1861"/>
      <c r="AJ73" s="1861"/>
      <c r="AK73" s="1861"/>
      <c r="AL73" s="1861"/>
      <c r="AM73" s="1862"/>
    </row>
    <row r="74" spans="2:39" s="397" customFormat="1" ht="54" customHeight="1">
      <c r="B74" s="3139" t="s">
        <v>2448</v>
      </c>
      <c r="C74" s="3015"/>
      <c r="D74" s="3015"/>
      <c r="E74" s="3015"/>
      <c r="F74" s="3015"/>
      <c r="G74" s="3015"/>
      <c r="H74" s="3015"/>
      <c r="I74" s="3015"/>
      <c r="J74" s="3015"/>
      <c r="K74" s="3015"/>
      <c r="L74" s="3015"/>
      <c r="M74" s="3015"/>
      <c r="N74" s="3015"/>
      <c r="O74" s="3015"/>
      <c r="P74" s="3015"/>
      <c r="Q74" s="3015"/>
      <c r="R74" s="3015"/>
      <c r="S74" s="3015"/>
      <c r="T74" s="3015"/>
      <c r="U74" s="3015"/>
      <c r="V74" s="3015"/>
      <c r="W74" s="3015"/>
      <c r="X74" s="3015"/>
      <c r="Y74" s="3015"/>
      <c r="Z74" s="3015"/>
      <c r="AA74" s="3015"/>
      <c r="AB74" s="3015"/>
      <c r="AC74" s="3015"/>
      <c r="AD74" s="3015"/>
      <c r="AE74" s="3015"/>
      <c r="AF74" s="3015"/>
      <c r="AG74" s="3015"/>
      <c r="AH74" s="3015"/>
      <c r="AI74" s="3015"/>
      <c r="AJ74" s="3015"/>
      <c r="AK74" s="3015"/>
      <c r="AL74" s="3015"/>
      <c r="AM74" s="3015"/>
    </row>
    <row r="75" spans="2:39" s="110" customFormat="1" ht="75" customHeight="1">
      <c r="B75" s="3023"/>
      <c r="C75" s="1861"/>
      <c r="D75" s="1861"/>
      <c r="E75" s="1861"/>
      <c r="F75" s="1861"/>
      <c r="G75" s="1861"/>
      <c r="H75" s="1861"/>
      <c r="I75" s="1861"/>
      <c r="J75" s="1861"/>
      <c r="K75" s="1861"/>
      <c r="L75" s="1861"/>
      <c r="M75" s="1861"/>
      <c r="N75" s="1861"/>
      <c r="O75" s="1861"/>
      <c r="P75" s="1861"/>
      <c r="Q75" s="1861"/>
      <c r="R75" s="1861"/>
      <c r="S75" s="1861"/>
      <c r="T75" s="1861"/>
      <c r="U75" s="1861"/>
      <c r="V75" s="1861"/>
      <c r="W75" s="1861"/>
      <c r="X75" s="1861"/>
      <c r="Y75" s="1861"/>
      <c r="Z75" s="1861"/>
      <c r="AA75" s="1861"/>
      <c r="AB75" s="1861"/>
      <c r="AC75" s="1861"/>
      <c r="AD75" s="1861"/>
      <c r="AE75" s="1861"/>
      <c r="AF75" s="1861"/>
      <c r="AG75" s="1861"/>
      <c r="AH75" s="1861"/>
      <c r="AI75" s="1861"/>
      <c r="AJ75" s="1861"/>
      <c r="AK75" s="1861"/>
      <c r="AL75" s="1861"/>
      <c r="AM75" s="1862"/>
    </row>
    <row r="76" spans="2:39" s="397" customFormat="1" ht="36" customHeight="1">
      <c r="B76" s="3043" t="s">
        <v>2449</v>
      </c>
      <c r="C76" s="3015"/>
      <c r="D76" s="3015"/>
      <c r="E76" s="3015"/>
      <c r="F76" s="3015"/>
      <c r="G76" s="3015"/>
      <c r="H76" s="3015"/>
      <c r="I76" s="3015"/>
      <c r="J76" s="3015"/>
      <c r="K76" s="3015"/>
      <c r="L76" s="3015"/>
      <c r="M76" s="3015"/>
      <c r="N76" s="3015"/>
      <c r="O76" s="3015"/>
      <c r="P76" s="3015"/>
      <c r="Q76" s="3015"/>
      <c r="R76" s="3015"/>
      <c r="S76" s="3015"/>
      <c r="T76" s="3015"/>
      <c r="U76" s="3015"/>
      <c r="V76" s="3015"/>
      <c r="W76" s="3015"/>
      <c r="X76" s="3015"/>
      <c r="Y76" s="3015"/>
      <c r="Z76" s="3015"/>
      <c r="AA76" s="3015"/>
      <c r="AB76" s="3015"/>
      <c r="AC76" s="3015"/>
      <c r="AD76" s="3015"/>
      <c r="AE76" s="3015"/>
      <c r="AF76" s="3015"/>
      <c r="AG76" s="3015"/>
      <c r="AH76" s="3015"/>
      <c r="AI76" s="3015"/>
      <c r="AJ76" s="3015"/>
      <c r="AK76" s="3015"/>
      <c r="AL76" s="3015"/>
      <c r="AM76" s="3015"/>
    </row>
    <row r="77" spans="2:39" s="397" customFormat="1" ht="75" customHeight="1">
      <c r="B77" s="3023"/>
      <c r="C77" s="1861"/>
      <c r="D77" s="1861"/>
      <c r="E77" s="1861"/>
      <c r="F77" s="1861"/>
      <c r="G77" s="1861"/>
      <c r="H77" s="1861"/>
      <c r="I77" s="1861"/>
      <c r="J77" s="1861"/>
      <c r="K77" s="1861"/>
      <c r="L77" s="1861"/>
      <c r="M77" s="1861"/>
      <c r="N77" s="1861"/>
      <c r="O77" s="1861"/>
      <c r="P77" s="1861"/>
      <c r="Q77" s="1861"/>
      <c r="R77" s="1861"/>
      <c r="S77" s="1861"/>
      <c r="T77" s="1861"/>
      <c r="U77" s="1861"/>
      <c r="V77" s="1861"/>
      <c r="W77" s="1861"/>
      <c r="X77" s="1861"/>
      <c r="Y77" s="1861"/>
      <c r="Z77" s="1861"/>
      <c r="AA77" s="1861"/>
      <c r="AB77" s="1861"/>
      <c r="AC77" s="1861"/>
      <c r="AD77" s="1861"/>
      <c r="AE77" s="1861"/>
      <c r="AF77" s="1861"/>
      <c r="AG77" s="1861"/>
      <c r="AH77" s="1861"/>
      <c r="AI77" s="1861"/>
      <c r="AJ77" s="1861"/>
      <c r="AK77" s="1861"/>
      <c r="AL77" s="1861"/>
      <c r="AM77" s="1862"/>
    </row>
    <row r="78" spans="2:39" s="397" customFormat="1" ht="54" customHeight="1">
      <c r="B78" s="2181" t="s">
        <v>2450</v>
      </c>
      <c r="C78" s="3015"/>
      <c r="D78" s="3015"/>
      <c r="E78" s="3015"/>
      <c r="F78" s="3015"/>
      <c r="G78" s="3015"/>
      <c r="H78" s="3015"/>
      <c r="I78" s="3015"/>
      <c r="J78" s="3015"/>
      <c r="K78" s="3015"/>
      <c r="L78" s="3015"/>
      <c r="M78" s="3015"/>
      <c r="N78" s="3015"/>
      <c r="O78" s="3015"/>
      <c r="P78" s="3015"/>
      <c r="Q78" s="3015"/>
      <c r="R78" s="3015"/>
      <c r="S78" s="3015"/>
      <c r="T78" s="3015"/>
      <c r="U78" s="3015"/>
      <c r="V78" s="3015"/>
      <c r="W78" s="3015"/>
      <c r="X78" s="3015"/>
      <c r="Y78" s="3015"/>
      <c r="Z78" s="3015"/>
      <c r="AA78" s="3015"/>
      <c r="AB78" s="3015"/>
      <c r="AC78" s="3015"/>
      <c r="AD78" s="3015"/>
      <c r="AE78" s="3015"/>
      <c r="AF78" s="3015"/>
      <c r="AG78" s="3015"/>
      <c r="AH78" s="3015"/>
      <c r="AI78" s="3015"/>
      <c r="AJ78" s="3015"/>
      <c r="AK78" s="3015"/>
      <c r="AL78" s="3015"/>
      <c r="AM78" s="3015"/>
    </row>
    <row r="79" spans="2:39" s="397" customFormat="1" ht="75" customHeight="1">
      <c r="B79" s="3023"/>
      <c r="C79" s="1861"/>
      <c r="D79" s="1861"/>
      <c r="E79" s="1861"/>
      <c r="F79" s="1861"/>
      <c r="G79" s="1861"/>
      <c r="H79" s="1861"/>
      <c r="I79" s="1861"/>
      <c r="J79" s="1861"/>
      <c r="K79" s="1861"/>
      <c r="L79" s="1861"/>
      <c r="M79" s="1861"/>
      <c r="N79" s="1861"/>
      <c r="O79" s="1861"/>
      <c r="P79" s="1861"/>
      <c r="Q79" s="1861"/>
      <c r="R79" s="1861"/>
      <c r="S79" s="1861"/>
      <c r="T79" s="1861"/>
      <c r="U79" s="1861"/>
      <c r="V79" s="1861"/>
      <c r="W79" s="1861"/>
      <c r="X79" s="1861"/>
      <c r="Y79" s="1861"/>
      <c r="Z79" s="1861"/>
      <c r="AA79" s="1861"/>
      <c r="AB79" s="1861"/>
      <c r="AC79" s="1861"/>
      <c r="AD79" s="1861"/>
      <c r="AE79" s="1861"/>
      <c r="AF79" s="1861"/>
      <c r="AG79" s="1861"/>
      <c r="AH79" s="1861"/>
      <c r="AI79" s="1861"/>
      <c r="AJ79" s="1861"/>
      <c r="AK79" s="1861"/>
      <c r="AL79" s="1861"/>
      <c r="AM79" s="1862"/>
    </row>
    <row r="80" spans="2:39" s="110" customFormat="1" ht="54" customHeight="1">
      <c r="B80" s="3139" t="s">
        <v>2451</v>
      </c>
      <c r="C80" s="3019"/>
      <c r="D80" s="3019"/>
      <c r="E80" s="3019"/>
      <c r="F80" s="3019"/>
      <c r="G80" s="3019"/>
      <c r="H80" s="3019"/>
      <c r="I80" s="3019"/>
      <c r="J80" s="3019"/>
      <c r="K80" s="3019"/>
      <c r="L80" s="3019"/>
      <c r="M80" s="3019"/>
      <c r="N80" s="3019"/>
      <c r="O80" s="3019"/>
      <c r="P80" s="3019"/>
      <c r="Q80" s="3019"/>
      <c r="R80" s="3019"/>
      <c r="S80" s="3019"/>
      <c r="T80" s="3019"/>
      <c r="U80" s="3019"/>
      <c r="V80" s="3019"/>
      <c r="W80" s="3019"/>
      <c r="X80" s="3019"/>
      <c r="Y80" s="3019"/>
      <c r="Z80" s="3019"/>
      <c r="AA80" s="3019"/>
      <c r="AB80" s="3019"/>
      <c r="AC80" s="3019"/>
      <c r="AD80" s="3019"/>
      <c r="AE80" s="3019"/>
      <c r="AF80" s="3019"/>
      <c r="AG80" s="3019"/>
      <c r="AH80" s="3019"/>
      <c r="AI80" s="3019"/>
      <c r="AJ80" s="3019"/>
      <c r="AK80" s="3019"/>
      <c r="AL80" s="3019"/>
      <c r="AM80" s="3019"/>
    </row>
    <row r="81" spans="2:39" s="110" customFormat="1" ht="75" customHeight="1">
      <c r="B81" s="3023"/>
      <c r="C81" s="1861"/>
      <c r="D81" s="1861"/>
      <c r="E81" s="1861"/>
      <c r="F81" s="1861"/>
      <c r="G81" s="1861"/>
      <c r="H81" s="1861"/>
      <c r="I81" s="1861"/>
      <c r="J81" s="1861"/>
      <c r="K81" s="1861"/>
      <c r="L81" s="1861"/>
      <c r="M81" s="1861"/>
      <c r="N81" s="1861"/>
      <c r="O81" s="1861"/>
      <c r="P81" s="1861"/>
      <c r="Q81" s="1861"/>
      <c r="R81" s="1861"/>
      <c r="S81" s="1861"/>
      <c r="T81" s="1861"/>
      <c r="U81" s="1861"/>
      <c r="V81" s="1861"/>
      <c r="W81" s="1861"/>
      <c r="X81" s="1861"/>
      <c r="Y81" s="1861"/>
      <c r="Z81" s="1861"/>
      <c r="AA81" s="1861"/>
      <c r="AB81" s="1861"/>
      <c r="AC81" s="1861"/>
      <c r="AD81" s="1861"/>
      <c r="AE81" s="1861"/>
      <c r="AF81" s="1861"/>
      <c r="AG81" s="1861"/>
      <c r="AH81" s="1861"/>
      <c r="AI81" s="1861"/>
      <c r="AJ81" s="1861"/>
      <c r="AK81" s="1861"/>
      <c r="AL81" s="1861"/>
      <c r="AM81" s="1862"/>
    </row>
    <row r="82" spans="2:39" s="110" customFormat="1" ht="36" customHeight="1">
      <c r="B82" s="3034" t="s">
        <v>2452</v>
      </c>
      <c r="C82" s="1777"/>
      <c r="D82" s="1777"/>
      <c r="E82" s="1777"/>
      <c r="F82" s="1777"/>
      <c r="G82" s="1777"/>
      <c r="H82" s="1777"/>
      <c r="I82" s="1777"/>
      <c r="J82" s="1777"/>
      <c r="K82" s="1777"/>
      <c r="L82" s="1777"/>
      <c r="M82" s="1777"/>
      <c r="N82" s="1777"/>
      <c r="O82" s="1777"/>
      <c r="P82" s="1777"/>
      <c r="Q82" s="1777"/>
      <c r="R82" s="1777"/>
      <c r="S82" s="1777"/>
      <c r="T82" s="1777"/>
      <c r="U82" s="1777"/>
      <c r="V82" s="1777"/>
      <c r="W82" s="1777"/>
      <c r="X82" s="1777"/>
      <c r="Y82" s="1777"/>
      <c r="Z82" s="1777"/>
      <c r="AA82" s="1777"/>
      <c r="AB82" s="1777"/>
      <c r="AC82" s="1777"/>
      <c r="AD82" s="1777"/>
      <c r="AE82" s="1777"/>
      <c r="AF82" s="1777"/>
      <c r="AG82" s="1777"/>
      <c r="AH82" s="1777"/>
      <c r="AI82" s="1777"/>
      <c r="AJ82" s="1777"/>
      <c r="AK82" s="1777"/>
      <c r="AL82" s="1777"/>
      <c r="AM82" s="1778"/>
    </row>
    <row r="83" spans="2:39" s="398" customFormat="1" ht="75" customHeight="1">
      <c r="B83" s="3025"/>
      <c r="C83" s="1861"/>
      <c r="D83" s="1861"/>
      <c r="E83" s="1861"/>
      <c r="F83" s="1861"/>
      <c r="G83" s="1861"/>
      <c r="H83" s="1861"/>
      <c r="I83" s="1861"/>
      <c r="J83" s="1861"/>
      <c r="K83" s="1861"/>
      <c r="L83" s="1861"/>
      <c r="M83" s="1861"/>
      <c r="N83" s="1861"/>
      <c r="O83" s="1861"/>
      <c r="P83" s="1861"/>
      <c r="Q83" s="1861"/>
      <c r="R83" s="1861"/>
      <c r="S83" s="1861"/>
      <c r="T83" s="1861"/>
      <c r="U83" s="1861"/>
      <c r="V83" s="1861"/>
      <c r="W83" s="1861"/>
      <c r="X83" s="1861"/>
      <c r="Y83" s="1861"/>
      <c r="Z83" s="1861"/>
      <c r="AA83" s="1861"/>
      <c r="AB83" s="1861"/>
      <c r="AC83" s="1861"/>
      <c r="AD83" s="1861"/>
      <c r="AE83" s="1861"/>
      <c r="AF83" s="1861"/>
      <c r="AG83" s="1861"/>
      <c r="AH83" s="1861"/>
      <c r="AI83" s="1861"/>
      <c r="AJ83" s="1861"/>
      <c r="AK83" s="1861"/>
      <c r="AL83" s="1861"/>
      <c r="AM83" s="1862"/>
    </row>
    <row r="84" spans="2:39" s="397" customFormat="1" ht="18" customHeight="1">
      <c r="B84" s="3176" t="s">
        <v>2225</v>
      </c>
      <c r="C84" s="3015"/>
      <c r="D84" s="3015"/>
      <c r="E84" s="3015"/>
      <c r="F84" s="3015"/>
      <c r="G84" s="3015"/>
      <c r="H84" s="3015"/>
      <c r="I84" s="3015"/>
      <c r="J84" s="3015"/>
      <c r="K84" s="3015"/>
      <c r="L84" s="3015"/>
      <c r="M84" s="3015"/>
      <c r="N84" s="3015"/>
      <c r="O84" s="3015"/>
      <c r="P84" s="3015"/>
      <c r="Q84" s="3015"/>
      <c r="R84" s="3015"/>
      <c r="S84" s="3015"/>
      <c r="T84" s="3015"/>
      <c r="U84" s="3015"/>
      <c r="V84" s="3015"/>
      <c r="W84" s="3015"/>
      <c r="X84" s="3015"/>
      <c r="Y84" s="3015"/>
      <c r="Z84" s="3015"/>
      <c r="AA84" s="3015"/>
      <c r="AB84" s="3015"/>
      <c r="AC84" s="3015"/>
      <c r="AD84" s="3015"/>
      <c r="AE84" s="3015"/>
      <c r="AF84" s="3015"/>
      <c r="AG84" s="3015"/>
      <c r="AH84" s="3015"/>
      <c r="AI84" s="3015"/>
      <c r="AJ84" s="3015"/>
      <c r="AK84" s="3015"/>
      <c r="AL84" s="3015"/>
      <c r="AM84" s="3015"/>
    </row>
    <row r="85" spans="2:39" ht="18" customHeight="1">
      <c r="B85" s="2181" t="s">
        <v>2453</v>
      </c>
      <c r="C85" s="3021"/>
      <c r="D85" s="3021"/>
      <c r="E85" s="3021"/>
      <c r="F85" s="3021"/>
      <c r="G85" s="3021"/>
      <c r="H85" s="3021"/>
      <c r="I85" s="1935"/>
      <c r="J85" s="3021"/>
      <c r="K85" s="3021"/>
      <c r="L85" s="3021"/>
      <c r="M85" s="3021"/>
      <c r="N85" s="3021"/>
      <c r="O85" s="3021"/>
      <c r="P85" s="3021"/>
      <c r="Q85" s="3021"/>
      <c r="R85" s="3021"/>
      <c r="S85" s="3021"/>
      <c r="T85" s="3021"/>
      <c r="U85" s="3021"/>
      <c r="V85" s="3021"/>
      <c r="W85" s="3021"/>
      <c r="X85" s="3021"/>
      <c r="Y85" s="3021"/>
      <c r="Z85" s="3021"/>
      <c r="AA85" s="3021"/>
      <c r="AB85" s="3021"/>
      <c r="AC85" s="3021"/>
      <c r="AD85" s="3021"/>
      <c r="AE85" s="3021"/>
      <c r="AF85" s="3021"/>
      <c r="AG85" s="3021"/>
      <c r="AH85" s="3021"/>
      <c r="AI85" s="3021"/>
      <c r="AJ85" s="3021"/>
      <c r="AK85" s="3021"/>
      <c r="AL85" s="3021"/>
      <c r="AM85" s="3021"/>
    </row>
    <row r="86" spans="2:39" s="397" customFormat="1" ht="75" customHeight="1">
      <c r="B86" s="3023"/>
      <c r="C86" s="1861"/>
      <c r="D86" s="1861"/>
      <c r="E86" s="1861"/>
      <c r="F86" s="1861"/>
      <c r="G86" s="1861"/>
      <c r="H86" s="1861"/>
      <c r="I86" s="1861"/>
      <c r="J86" s="1861"/>
      <c r="K86" s="1861"/>
      <c r="L86" s="1861"/>
      <c r="M86" s="1861"/>
      <c r="N86" s="1861"/>
      <c r="O86" s="1861"/>
      <c r="P86" s="1861"/>
      <c r="Q86" s="1861"/>
      <c r="R86" s="1861"/>
      <c r="S86" s="1861"/>
      <c r="T86" s="1861"/>
      <c r="U86" s="1861"/>
      <c r="V86" s="1861"/>
      <c r="W86" s="1861"/>
      <c r="X86" s="1861"/>
      <c r="Y86" s="1861"/>
      <c r="Z86" s="1861"/>
      <c r="AA86" s="1861"/>
      <c r="AB86" s="1861"/>
      <c r="AC86" s="1861"/>
      <c r="AD86" s="1861"/>
      <c r="AE86" s="1861"/>
      <c r="AF86" s="1861"/>
      <c r="AG86" s="1861"/>
      <c r="AH86" s="1861"/>
      <c r="AI86" s="1861"/>
      <c r="AJ86" s="1861"/>
      <c r="AK86" s="1861"/>
      <c r="AL86" s="1861"/>
      <c r="AM86" s="1862"/>
    </row>
    <row r="87" spans="2:39" s="397" customFormat="1" ht="36.75" customHeight="1">
      <c r="B87" s="3161" t="s">
        <v>2454</v>
      </c>
      <c r="C87" s="3015"/>
      <c r="D87" s="3015"/>
      <c r="E87" s="3015"/>
      <c r="F87" s="3015"/>
      <c r="G87" s="3015"/>
      <c r="H87" s="3015"/>
      <c r="I87" s="3015"/>
      <c r="J87" s="3015"/>
      <c r="K87" s="3015"/>
      <c r="L87" s="3015"/>
      <c r="M87" s="3015"/>
      <c r="N87" s="3015"/>
      <c r="O87" s="3015"/>
      <c r="P87" s="3015"/>
      <c r="Q87" s="3015"/>
      <c r="R87" s="3015"/>
      <c r="S87" s="3015"/>
      <c r="T87" s="3015"/>
      <c r="U87" s="3015"/>
      <c r="V87" s="3015"/>
      <c r="W87" s="3015"/>
      <c r="X87" s="3015"/>
      <c r="Y87" s="3015"/>
      <c r="Z87" s="3015"/>
      <c r="AA87" s="3015"/>
      <c r="AB87" s="3015"/>
      <c r="AC87" s="3015"/>
      <c r="AD87" s="3015"/>
      <c r="AE87" s="3015"/>
      <c r="AF87" s="3015"/>
      <c r="AG87" s="3015"/>
      <c r="AH87" s="3015"/>
      <c r="AI87" s="3015"/>
      <c r="AJ87" s="3015"/>
      <c r="AK87" s="3015"/>
      <c r="AL87" s="3015"/>
      <c r="AM87" s="3015"/>
    </row>
    <row r="88" spans="2:39" s="397" customFormat="1" ht="75" customHeight="1">
      <c r="B88" s="3023"/>
      <c r="C88" s="1861"/>
      <c r="D88" s="1861"/>
      <c r="E88" s="1861"/>
      <c r="F88" s="1861"/>
      <c r="G88" s="1861"/>
      <c r="H88" s="1861"/>
      <c r="I88" s="1861"/>
      <c r="J88" s="1861"/>
      <c r="K88" s="1861"/>
      <c r="L88" s="1861"/>
      <c r="M88" s="1861"/>
      <c r="N88" s="1861"/>
      <c r="O88" s="1861"/>
      <c r="P88" s="1861"/>
      <c r="Q88" s="1861"/>
      <c r="R88" s="1861"/>
      <c r="S88" s="1861"/>
      <c r="T88" s="1861"/>
      <c r="U88" s="1861"/>
      <c r="V88" s="1861"/>
      <c r="W88" s="1861"/>
      <c r="X88" s="1861"/>
      <c r="Y88" s="1861"/>
      <c r="Z88" s="1861"/>
      <c r="AA88" s="1861"/>
      <c r="AB88" s="1861"/>
      <c r="AC88" s="1861"/>
      <c r="AD88" s="1861"/>
      <c r="AE88" s="1861"/>
      <c r="AF88" s="1861"/>
      <c r="AG88" s="1861"/>
      <c r="AH88" s="1861"/>
      <c r="AI88" s="1861"/>
      <c r="AJ88" s="1861"/>
      <c r="AK88" s="1861"/>
      <c r="AL88" s="1861"/>
      <c r="AM88" s="1862"/>
    </row>
    <row r="89" spans="2:39" s="397" customFormat="1" ht="18" customHeight="1">
      <c r="B89" s="3151" t="s">
        <v>2455</v>
      </c>
      <c r="C89" s="1777"/>
      <c r="D89" s="1777"/>
      <c r="E89" s="1777"/>
      <c r="F89" s="1777"/>
      <c r="G89" s="1777"/>
      <c r="H89" s="1777"/>
      <c r="I89" s="1777"/>
      <c r="J89" s="1777"/>
      <c r="K89" s="1777"/>
      <c r="L89" s="1777"/>
      <c r="M89" s="1777"/>
      <c r="N89" s="1777"/>
      <c r="O89" s="1777"/>
      <c r="P89" s="1777"/>
      <c r="Q89" s="1777"/>
      <c r="R89" s="1777"/>
      <c r="S89" s="1777"/>
      <c r="T89" s="1777"/>
      <c r="U89" s="1777"/>
      <c r="V89" s="1777"/>
      <c r="W89" s="1777"/>
      <c r="X89" s="1777"/>
      <c r="Y89" s="1777"/>
      <c r="Z89" s="1777"/>
      <c r="AA89" s="1777"/>
      <c r="AB89" s="1777"/>
      <c r="AC89" s="1777"/>
      <c r="AD89" s="1777"/>
      <c r="AE89" s="1777"/>
      <c r="AF89" s="1777"/>
      <c r="AG89" s="1777"/>
      <c r="AH89" s="1777"/>
      <c r="AI89" s="1777"/>
      <c r="AJ89" s="1777"/>
      <c r="AK89" s="1777"/>
      <c r="AL89" s="1777"/>
      <c r="AM89" s="1777"/>
    </row>
    <row r="90" spans="2:39" s="398" customFormat="1" ht="75" customHeight="1">
      <c r="B90" s="3023"/>
      <c r="C90" s="1861"/>
      <c r="D90" s="1861"/>
      <c r="E90" s="1861"/>
      <c r="F90" s="1861"/>
      <c r="G90" s="1861"/>
      <c r="H90" s="1861"/>
      <c r="I90" s="1861"/>
      <c r="J90" s="1861"/>
      <c r="K90" s="1861"/>
      <c r="L90" s="1861"/>
      <c r="M90" s="1861"/>
      <c r="N90" s="1861"/>
      <c r="O90" s="1861"/>
      <c r="P90" s="1861"/>
      <c r="Q90" s="1861"/>
      <c r="R90" s="1861"/>
      <c r="S90" s="1861"/>
      <c r="T90" s="1861"/>
      <c r="U90" s="1861"/>
      <c r="V90" s="1861"/>
      <c r="W90" s="1861"/>
      <c r="X90" s="1861"/>
      <c r="Y90" s="1861"/>
      <c r="Z90" s="1861"/>
      <c r="AA90" s="1861"/>
      <c r="AB90" s="1861"/>
      <c r="AC90" s="1861"/>
      <c r="AD90" s="1861"/>
      <c r="AE90" s="1861"/>
      <c r="AF90" s="1861"/>
      <c r="AG90" s="1861"/>
      <c r="AH90" s="1861"/>
      <c r="AI90" s="1861"/>
      <c r="AJ90" s="1861"/>
      <c r="AK90" s="1861"/>
      <c r="AL90" s="1861"/>
      <c r="AM90" s="1862"/>
    </row>
    <row r="91" spans="2:39" ht="18" customHeight="1">
      <c r="B91" s="3015" t="s">
        <v>2456</v>
      </c>
      <c r="C91" s="3021"/>
      <c r="D91" s="3021"/>
      <c r="E91" s="3021"/>
      <c r="F91" s="3021"/>
      <c r="G91" s="3021"/>
      <c r="H91" s="3021"/>
      <c r="I91" s="1935"/>
      <c r="J91" s="3021"/>
      <c r="K91" s="3021"/>
      <c r="L91" s="3021"/>
      <c r="M91" s="3021"/>
      <c r="N91" s="3021"/>
      <c r="O91" s="3021"/>
      <c r="P91" s="3021"/>
      <c r="Q91" s="3021"/>
      <c r="R91" s="3021"/>
      <c r="S91" s="3021"/>
      <c r="T91" s="3021"/>
      <c r="U91" s="3031"/>
      <c r="V91" s="1862"/>
    </row>
    <row r="92" spans="2:39" ht="18" customHeight="1">
      <c r="B92" s="2466" t="s">
        <v>2457</v>
      </c>
      <c r="C92" s="3021"/>
      <c r="D92" s="3021"/>
      <c r="E92" s="3021"/>
      <c r="F92" s="3021"/>
      <c r="G92" s="3021"/>
      <c r="H92" s="3021"/>
      <c r="I92" s="1935"/>
      <c r="J92" s="3021"/>
      <c r="K92" s="3021"/>
      <c r="L92" s="3021"/>
      <c r="M92" s="3021"/>
      <c r="N92" s="3021"/>
      <c r="O92" s="3021"/>
      <c r="P92" s="3021"/>
      <c r="Q92" s="3021"/>
      <c r="R92" s="3021"/>
      <c r="S92" s="3021"/>
      <c r="T92" s="3021"/>
      <c r="U92" s="3021"/>
      <c r="V92" s="3021"/>
      <c r="W92" s="3021"/>
      <c r="X92" s="3021"/>
      <c r="Y92" s="3021"/>
      <c r="Z92" s="3021"/>
      <c r="AA92" s="3021"/>
      <c r="AB92" s="3021"/>
      <c r="AC92" s="3021"/>
      <c r="AD92" s="3021"/>
      <c r="AE92" s="3021"/>
      <c r="AF92" s="3021"/>
      <c r="AG92" s="3021"/>
      <c r="AH92" s="3021"/>
      <c r="AI92" s="3021"/>
      <c r="AJ92" s="3021"/>
      <c r="AK92" s="3021"/>
      <c r="AL92" s="3021"/>
      <c r="AM92" s="3021"/>
    </row>
    <row r="93" spans="2:39" ht="18" customHeight="1">
      <c r="B93" s="2181" t="s">
        <v>2458</v>
      </c>
      <c r="C93" s="3021"/>
      <c r="D93" s="3021"/>
      <c r="E93" s="3021"/>
      <c r="F93" s="3021"/>
      <c r="G93" s="3021"/>
      <c r="H93" s="3021"/>
      <c r="I93" s="1935"/>
      <c r="J93" s="3021"/>
      <c r="K93" s="3021"/>
      <c r="L93" s="3021"/>
      <c r="M93" s="3021"/>
      <c r="N93" s="3021"/>
      <c r="O93" s="3021"/>
      <c r="P93" s="3021"/>
      <c r="Q93" s="3021"/>
      <c r="R93" s="3021"/>
      <c r="S93" s="3021"/>
      <c r="T93" s="3021"/>
      <c r="U93" s="3021"/>
      <c r="V93" s="3021"/>
      <c r="W93" s="3021"/>
      <c r="X93" s="3021"/>
      <c r="Y93" s="3021"/>
      <c r="Z93" s="3021"/>
      <c r="AA93" s="3021"/>
      <c r="AB93" s="3021"/>
      <c r="AC93" s="3021"/>
      <c r="AD93" s="3021"/>
      <c r="AE93" s="3021"/>
      <c r="AF93" s="3021"/>
      <c r="AG93" s="3021"/>
      <c r="AH93" s="3021"/>
      <c r="AI93" s="3021"/>
      <c r="AJ93" s="3021"/>
      <c r="AK93" s="3021"/>
      <c r="AL93" s="3021"/>
      <c r="AM93" s="3021"/>
    </row>
    <row r="94" spans="2:39" ht="18" customHeight="1">
      <c r="B94" s="2181" t="s">
        <v>2459</v>
      </c>
      <c r="C94" s="3021"/>
      <c r="D94" s="3021"/>
      <c r="E94" s="3021"/>
      <c r="F94" s="3021"/>
      <c r="G94" s="3021"/>
      <c r="H94" s="3021"/>
      <c r="I94" s="1935"/>
      <c r="J94" s="3021"/>
      <c r="K94" s="3021"/>
      <c r="L94" s="3021"/>
      <c r="M94" s="3021"/>
      <c r="N94" s="3021"/>
      <c r="O94" s="3021"/>
      <c r="P94" s="3021"/>
      <c r="Q94" s="3021"/>
      <c r="R94" s="3021"/>
      <c r="S94" s="3021"/>
      <c r="T94" s="3021"/>
      <c r="U94" s="3021"/>
      <c r="V94" s="3021"/>
      <c r="W94" s="3021"/>
      <c r="X94" s="3021"/>
      <c r="Y94" s="3021"/>
      <c r="Z94" s="3021"/>
      <c r="AA94" s="3021"/>
      <c r="AB94" s="3021"/>
      <c r="AC94" s="3021"/>
      <c r="AD94" s="3021"/>
      <c r="AE94" s="3021"/>
      <c r="AF94" s="3021"/>
      <c r="AG94" s="3021"/>
      <c r="AH94" s="3021"/>
      <c r="AI94" s="3021"/>
      <c r="AJ94" s="3021"/>
      <c r="AK94" s="1968"/>
      <c r="AL94" s="1861"/>
      <c r="AM94" s="1862"/>
    </row>
    <row r="95" spans="2:39" ht="18" customHeight="1">
      <c r="B95" s="2181" t="s">
        <v>2460</v>
      </c>
      <c r="C95" s="3021"/>
      <c r="D95" s="3021"/>
      <c r="E95" s="3021"/>
      <c r="F95" s="3021"/>
      <c r="G95" s="3021"/>
      <c r="H95" s="3021"/>
      <c r="I95" s="1935"/>
      <c r="J95" s="3021"/>
      <c r="K95" s="3021"/>
      <c r="L95" s="3021"/>
      <c r="M95" s="3021"/>
      <c r="N95" s="3021"/>
      <c r="O95" s="3021"/>
      <c r="P95" s="3021"/>
      <c r="Q95" s="3021"/>
      <c r="R95" s="3021"/>
      <c r="S95" s="3021"/>
      <c r="T95" s="3021"/>
      <c r="U95" s="3021"/>
      <c r="V95" s="3021"/>
      <c r="W95" s="3021"/>
      <c r="X95" s="3021"/>
      <c r="Y95" s="3021"/>
      <c r="Z95" s="3021"/>
      <c r="AA95" s="3021"/>
      <c r="AB95" s="3021"/>
      <c r="AC95" s="3021"/>
      <c r="AD95" s="3021"/>
      <c r="AE95" s="3021"/>
      <c r="AF95" s="3021"/>
      <c r="AG95" s="3021"/>
      <c r="AH95" s="3021"/>
      <c r="AI95" s="3021"/>
      <c r="AJ95" s="3021"/>
      <c r="AK95" s="1968"/>
      <c r="AL95" s="1861"/>
      <c r="AM95" s="1862"/>
    </row>
    <row r="96" spans="2:39" ht="18" customHeight="1">
      <c r="B96" s="2181" t="s">
        <v>2461</v>
      </c>
      <c r="C96" s="3021"/>
      <c r="D96" s="3021"/>
      <c r="E96" s="3021"/>
      <c r="F96" s="3021"/>
      <c r="G96" s="3021"/>
      <c r="H96" s="3021"/>
      <c r="I96" s="1935"/>
      <c r="J96" s="3021"/>
      <c r="K96" s="3021"/>
      <c r="L96" s="3021"/>
      <c r="M96" s="3021"/>
      <c r="N96" s="3021"/>
      <c r="O96" s="3021"/>
      <c r="P96" s="3021"/>
      <c r="Q96" s="3021"/>
      <c r="R96" s="3021"/>
      <c r="S96" s="3021"/>
      <c r="T96" s="3021"/>
      <c r="U96" s="3021"/>
      <c r="V96" s="3021"/>
      <c r="W96" s="3021"/>
      <c r="X96" s="3021"/>
      <c r="Y96" s="3021"/>
      <c r="Z96" s="3021"/>
      <c r="AA96" s="3021"/>
      <c r="AB96" s="3021"/>
      <c r="AC96" s="3021"/>
      <c r="AD96" s="3021"/>
      <c r="AE96" s="3021"/>
      <c r="AF96" s="3021"/>
      <c r="AG96" s="3021"/>
      <c r="AH96" s="3021"/>
      <c r="AI96" s="3021"/>
      <c r="AJ96" s="3021"/>
      <c r="AK96" s="1968"/>
      <c r="AL96" s="1861"/>
      <c r="AM96" s="1862"/>
    </row>
    <row r="97" spans="2:39" ht="18" customHeight="1">
      <c r="B97" s="2181" t="s">
        <v>2462</v>
      </c>
      <c r="C97" s="3021"/>
      <c r="D97" s="3021"/>
      <c r="E97" s="3021"/>
      <c r="F97" s="3021"/>
      <c r="G97" s="3021"/>
      <c r="H97" s="3021"/>
      <c r="I97" s="1935"/>
      <c r="J97" s="3021"/>
      <c r="K97" s="3021"/>
      <c r="L97" s="3021"/>
      <c r="M97" s="3021"/>
      <c r="N97" s="3021"/>
      <c r="O97" s="3021"/>
      <c r="P97" s="3021"/>
      <c r="Q97" s="3021"/>
      <c r="R97" s="3021"/>
      <c r="S97" s="3021"/>
      <c r="T97" s="3021"/>
      <c r="U97" s="3021"/>
      <c r="V97" s="3021"/>
      <c r="W97" s="3021"/>
      <c r="X97" s="3021"/>
      <c r="Y97" s="3021"/>
      <c r="Z97" s="3021"/>
      <c r="AA97" s="3021"/>
      <c r="AB97" s="3021"/>
      <c r="AC97" s="3021"/>
      <c r="AD97" s="3021"/>
      <c r="AE97" s="3021"/>
      <c r="AF97" s="3021"/>
      <c r="AG97" s="3021"/>
      <c r="AH97" s="3021"/>
      <c r="AI97" s="3021"/>
      <c r="AJ97" s="3021"/>
      <c r="AK97" s="1968"/>
      <c r="AL97" s="1861"/>
      <c r="AM97" s="1862"/>
    </row>
    <row r="98" spans="2:39" ht="30" customHeight="1">
      <c r="B98" s="2181" t="s">
        <v>2463</v>
      </c>
      <c r="C98" s="3021"/>
      <c r="D98" s="3021"/>
      <c r="E98" s="3021"/>
      <c r="F98" s="3021"/>
      <c r="G98" s="3021"/>
      <c r="H98" s="3021"/>
      <c r="I98" s="1935"/>
      <c r="J98" s="3021"/>
      <c r="K98" s="3021"/>
      <c r="L98" s="3021"/>
      <c r="M98" s="3021"/>
      <c r="N98" s="3021"/>
      <c r="O98" s="3021"/>
      <c r="P98" s="3021"/>
      <c r="Q98" s="3021"/>
      <c r="R98" s="3021"/>
      <c r="S98" s="3021"/>
      <c r="T98" s="3021"/>
      <c r="U98" s="3021"/>
      <c r="V98" s="3021"/>
      <c r="W98" s="3021"/>
      <c r="X98" s="3021"/>
      <c r="Y98" s="3021"/>
      <c r="Z98" s="3021"/>
      <c r="AA98" s="3021"/>
      <c r="AB98" s="3021"/>
      <c r="AC98" s="3021"/>
      <c r="AD98" s="3021"/>
      <c r="AE98" s="3021"/>
      <c r="AF98" s="3021"/>
      <c r="AG98" s="3021"/>
      <c r="AH98" s="3021"/>
      <c r="AI98" s="3021"/>
      <c r="AJ98" s="3021"/>
      <c r="AK98" s="3021"/>
      <c r="AL98" s="3021"/>
      <c r="AM98" s="3021"/>
    </row>
    <row r="99" spans="2:39" s="397" customFormat="1" ht="75" customHeight="1">
      <c r="B99" s="3023"/>
      <c r="C99" s="1861"/>
      <c r="D99" s="1861"/>
      <c r="E99" s="1861"/>
      <c r="F99" s="1861"/>
      <c r="G99" s="1861"/>
      <c r="H99" s="1861"/>
      <c r="I99" s="1861"/>
      <c r="J99" s="1861"/>
      <c r="K99" s="1861"/>
      <c r="L99" s="1861"/>
      <c r="M99" s="1861"/>
      <c r="N99" s="1861"/>
      <c r="O99" s="1861"/>
      <c r="P99" s="1861"/>
      <c r="Q99" s="1861"/>
      <c r="R99" s="1861"/>
      <c r="S99" s="1861"/>
      <c r="T99" s="1861"/>
      <c r="U99" s="1861"/>
      <c r="V99" s="1861"/>
      <c r="W99" s="1861"/>
      <c r="X99" s="1861"/>
      <c r="Y99" s="1861"/>
      <c r="Z99" s="1861"/>
      <c r="AA99" s="1861"/>
      <c r="AB99" s="1861"/>
      <c r="AC99" s="1861"/>
      <c r="AD99" s="1861"/>
      <c r="AE99" s="1861"/>
      <c r="AF99" s="1861"/>
      <c r="AG99" s="1861"/>
      <c r="AH99" s="1861"/>
      <c r="AI99" s="1861"/>
      <c r="AJ99" s="1861"/>
      <c r="AK99" s="1861"/>
      <c r="AL99" s="1861"/>
      <c r="AM99" s="1862"/>
    </row>
    <row r="100" spans="2:39" ht="18" customHeight="1">
      <c r="B100" s="2181" t="s">
        <v>2464</v>
      </c>
      <c r="C100" s="3021"/>
      <c r="D100" s="3021"/>
      <c r="E100" s="3021"/>
      <c r="F100" s="3021"/>
      <c r="G100" s="3021"/>
      <c r="H100" s="3021"/>
      <c r="I100" s="1935"/>
      <c r="J100" s="3021"/>
      <c r="K100" s="3021"/>
      <c r="L100" s="3021"/>
      <c r="M100" s="3021"/>
      <c r="N100" s="3021"/>
      <c r="O100" s="3021"/>
      <c r="P100" s="3021"/>
      <c r="Q100" s="3021"/>
      <c r="R100" s="3021"/>
      <c r="S100" s="3021"/>
      <c r="T100" s="1968"/>
      <c r="U100" s="1862"/>
    </row>
    <row r="101" spans="2:39" ht="18" customHeight="1">
      <c r="B101" s="2466" t="s">
        <v>2465</v>
      </c>
      <c r="C101" s="3021"/>
      <c r="D101" s="3021"/>
      <c r="E101" s="3021"/>
      <c r="F101" s="3021"/>
      <c r="G101" s="3021"/>
      <c r="H101" s="3021"/>
      <c r="I101" s="1935"/>
      <c r="J101" s="3021"/>
      <c r="K101" s="3021"/>
      <c r="L101" s="3021"/>
      <c r="M101" s="3021"/>
      <c r="N101" s="3021"/>
      <c r="O101" s="3021"/>
      <c r="P101" s="3021"/>
      <c r="Q101" s="3021"/>
      <c r="R101" s="3021"/>
      <c r="S101" s="3021"/>
      <c r="T101" s="3021"/>
      <c r="U101" s="3021"/>
      <c r="V101" s="3021"/>
      <c r="W101" s="3021"/>
      <c r="X101" s="3021"/>
      <c r="Y101" s="3021"/>
      <c r="Z101" s="3021"/>
      <c r="AA101" s="3021"/>
      <c r="AB101" s="3021"/>
      <c r="AC101" s="3021"/>
      <c r="AD101" s="3021"/>
      <c r="AE101" s="3021"/>
      <c r="AF101" s="3021"/>
      <c r="AG101" s="3021"/>
      <c r="AH101" s="3021"/>
      <c r="AI101" s="3021"/>
      <c r="AJ101" s="3021"/>
      <c r="AK101" s="3021"/>
      <c r="AL101" s="3021"/>
      <c r="AM101" s="3021"/>
    </row>
    <row r="102" spans="2:39" ht="54" customHeight="1">
      <c r="B102" s="2181" t="s">
        <v>2466</v>
      </c>
      <c r="C102" s="3021"/>
      <c r="D102" s="3021"/>
      <c r="E102" s="3021"/>
      <c r="F102" s="3021"/>
      <c r="G102" s="3021"/>
      <c r="H102" s="3021"/>
      <c r="I102" s="1935"/>
      <c r="J102" s="3021"/>
      <c r="K102" s="3021"/>
      <c r="L102" s="3021"/>
      <c r="M102" s="3021"/>
      <c r="N102" s="3021"/>
      <c r="O102" s="3021"/>
      <c r="P102" s="3021"/>
      <c r="Q102" s="3021"/>
      <c r="R102" s="3021"/>
      <c r="S102" s="3021"/>
      <c r="T102" s="3021"/>
      <c r="U102" s="3021"/>
      <c r="V102" s="3021"/>
      <c r="W102" s="3021"/>
      <c r="X102" s="3021"/>
      <c r="Y102" s="3021"/>
      <c r="Z102" s="3021"/>
      <c r="AA102" s="3021"/>
      <c r="AB102" s="3021"/>
      <c r="AC102" s="3021"/>
      <c r="AD102" s="3021"/>
      <c r="AE102" s="3021"/>
      <c r="AF102" s="3021"/>
      <c r="AG102" s="3021"/>
      <c r="AH102" s="3021"/>
      <c r="AI102" s="3021"/>
      <c r="AJ102" s="3021"/>
      <c r="AK102" s="3021"/>
      <c r="AL102" s="3021"/>
      <c r="AM102" s="3021"/>
    </row>
    <row r="103" spans="2:39" s="397" customFormat="1" ht="75" customHeight="1">
      <c r="B103" s="3023"/>
      <c r="C103" s="1861"/>
      <c r="D103" s="1861"/>
      <c r="E103" s="1861"/>
      <c r="F103" s="1861"/>
      <c r="G103" s="1861"/>
      <c r="H103" s="1861"/>
      <c r="I103" s="1861"/>
      <c r="J103" s="1861"/>
      <c r="K103" s="1861"/>
      <c r="L103" s="1861"/>
      <c r="M103" s="1861"/>
      <c r="N103" s="1861"/>
      <c r="O103" s="1861"/>
      <c r="P103" s="1861"/>
      <c r="Q103" s="1861"/>
      <c r="R103" s="1861"/>
      <c r="S103" s="1861"/>
      <c r="T103" s="1861"/>
      <c r="U103" s="1861"/>
      <c r="V103" s="1861"/>
      <c r="W103" s="1861"/>
      <c r="X103" s="1861"/>
      <c r="Y103" s="1861"/>
      <c r="Z103" s="1861"/>
      <c r="AA103" s="1861"/>
      <c r="AB103" s="1861"/>
      <c r="AC103" s="1861"/>
      <c r="AD103" s="1861"/>
      <c r="AE103" s="1861"/>
      <c r="AF103" s="1861"/>
      <c r="AG103" s="1861"/>
      <c r="AH103" s="1861"/>
      <c r="AI103" s="1861"/>
      <c r="AJ103" s="1861"/>
      <c r="AK103" s="1861"/>
      <c r="AL103" s="1861"/>
      <c r="AM103" s="1862"/>
    </row>
    <row r="104" spans="2:39" s="398" customFormat="1" ht="36" customHeight="1">
      <c r="B104" s="2181" t="s">
        <v>2467</v>
      </c>
      <c r="C104" s="2181"/>
      <c r="D104" s="2181"/>
      <c r="E104" s="2181"/>
      <c r="F104" s="2181"/>
      <c r="G104" s="2181"/>
      <c r="H104" s="2181"/>
      <c r="I104" s="2181"/>
      <c r="J104" s="2181"/>
      <c r="K104" s="2181"/>
      <c r="L104" s="2181"/>
      <c r="M104" s="2181"/>
      <c r="N104" s="2181"/>
      <c r="O104" s="2181"/>
      <c r="P104" s="2181"/>
      <c r="Q104" s="2181"/>
      <c r="R104" s="2181"/>
      <c r="S104" s="2181"/>
      <c r="T104" s="2181"/>
      <c r="U104" s="2181"/>
      <c r="V104" s="2181"/>
      <c r="W104" s="2181"/>
      <c r="X104" s="2181"/>
      <c r="Y104" s="2181"/>
      <c r="Z104" s="2181"/>
      <c r="AA104" s="2181"/>
      <c r="AB104" s="2181"/>
      <c r="AC104" s="2181"/>
      <c r="AD104" s="2181"/>
      <c r="AE104" s="2181"/>
      <c r="AF104" s="2181"/>
      <c r="AG104" s="2181"/>
      <c r="AH104" s="2181"/>
      <c r="AI104" s="2181"/>
      <c r="AJ104" s="2181"/>
      <c r="AK104" s="2181"/>
      <c r="AL104" s="2181"/>
      <c r="AM104" s="2181"/>
    </row>
    <row r="105" spans="2:39" s="397" customFormat="1" ht="75" customHeight="1">
      <c r="B105" s="3023"/>
      <c r="C105" s="1861"/>
      <c r="D105" s="1861"/>
      <c r="E105" s="1861"/>
      <c r="F105" s="1861"/>
      <c r="G105" s="1861"/>
      <c r="H105" s="1861"/>
      <c r="I105" s="1861"/>
      <c r="J105" s="1861"/>
      <c r="K105" s="1861"/>
      <c r="L105" s="1861"/>
      <c r="M105" s="1861"/>
      <c r="N105" s="1861"/>
      <c r="O105" s="1861"/>
      <c r="P105" s="1861"/>
      <c r="Q105" s="1861"/>
      <c r="R105" s="1861"/>
      <c r="S105" s="1861"/>
      <c r="T105" s="1861"/>
      <c r="U105" s="1861"/>
      <c r="V105" s="1861"/>
      <c r="W105" s="1861"/>
      <c r="X105" s="1861"/>
      <c r="Y105" s="1861"/>
      <c r="Z105" s="1861"/>
      <c r="AA105" s="1861"/>
      <c r="AB105" s="1861"/>
      <c r="AC105" s="1861"/>
      <c r="AD105" s="1861"/>
      <c r="AE105" s="1861"/>
      <c r="AF105" s="1861"/>
      <c r="AG105" s="1861"/>
      <c r="AH105" s="1861"/>
      <c r="AI105" s="1861"/>
      <c r="AJ105" s="1861"/>
      <c r="AK105" s="1861"/>
      <c r="AL105" s="1861"/>
      <c r="AM105" s="1862"/>
    </row>
    <row r="106" spans="2:39" s="398" customFormat="1" ht="60" customHeight="1">
      <c r="B106" s="2181" t="s">
        <v>2468</v>
      </c>
      <c r="C106" s="2181"/>
      <c r="D106" s="2181"/>
      <c r="E106" s="2181"/>
      <c r="F106" s="2181"/>
      <c r="G106" s="2181"/>
      <c r="H106" s="2181"/>
      <c r="I106" s="2181"/>
      <c r="J106" s="2181"/>
      <c r="K106" s="2181"/>
      <c r="L106" s="2181"/>
      <c r="M106" s="2181"/>
      <c r="N106" s="2181"/>
      <c r="O106" s="2181"/>
      <c r="P106" s="2181"/>
      <c r="Q106" s="2181"/>
      <c r="R106" s="2181"/>
      <c r="S106" s="2181"/>
      <c r="T106" s="2181"/>
      <c r="U106" s="2181"/>
      <c r="V106" s="2181"/>
      <c r="W106" s="2181"/>
      <c r="X106" s="2181"/>
      <c r="Y106" s="2181"/>
      <c r="Z106" s="2181"/>
      <c r="AA106" s="2181"/>
      <c r="AB106" s="2181"/>
      <c r="AC106" s="2181"/>
      <c r="AD106" s="2181"/>
      <c r="AE106" s="2181"/>
      <c r="AF106" s="2181"/>
      <c r="AG106" s="2181"/>
      <c r="AH106" s="2181"/>
      <c r="AI106" s="2181"/>
      <c r="AJ106" s="2181"/>
      <c r="AK106" s="2181"/>
      <c r="AL106" s="2181"/>
      <c r="AM106" s="2181"/>
    </row>
    <row r="107" spans="2:39" s="397" customFormat="1" ht="75" customHeight="1">
      <c r="B107" s="3023"/>
      <c r="C107" s="1861"/>
      <c r="D107" s="1861"/>
      <c r="E107" s="1861"/>
      <c r="F107" s="1861"/>
      <c r="G107" s="1861"/>
      <c r="H107" s="1861"/>
      <c r="I107" s="1861"/>
      <c r="J107" s="1861"/>
      <c r="K107" s="1861"/>
      <c r="L107" s="1861"/>
      <c r="M107" s="1861"/>
      <c r="N107" s="1861"/>
      <c r="O107" s="1861"/>
      <c r="P107" s="1861"/>
      <c r="Q107" s="1861"/>
      <c r="R107" s="1861"/>
      <c r="S107" s="1861"/>
      <c r="T107" s="1861"/>
      <c r="U107" s="1861"/>
      <c r="V107" s="1861"/>
      <c r="W107" s="1861"/>
      <c r="X107" s="1861"/>
      <c r="Y107" s="1861"/>
      <c r="Z107" s="1861"/>
      <c r="AA107" s="1861"/>
      <c r="AB107" s="1861"/>
      <c r="AC107" s="1861"/>
      <c r="AD107" s="1861"/>
      <c r="AE107" s="1861"/>
      <c r="AF107" s="1861"/>
      <c r="AG107" s="1861"/>
      <c r="AH107" s="1861"/>
      <c r="AI107" s="1861"/>
      <c r="AJ107" s="1861"/>
      <c r="AK107" s="1861"/>
      <c r="AL107" s="1861"/>
      <c r="AM107" s="1862"/>
    </row>
    <row r="108" spans="2:39" ht="18" customHeight="1">
      <c r="B108" s="3102" t="s">
        <v>2469</v>
      </c>
      <c r="C108" s="3021"/>
      <c r="D108" s="3021"/>
      <c r="E108" s="3021"/>
      <c r="F108" s="3021"/>
      <c r="G108" s="3021"/>
      <c r="H108" s="3021"/>
      <c r="I108" s="1935"/>
      <c r="J108" s="3021"/>
      <c r="K108" s="3021"/>
      <c r="L108" s="3021"/>
      <c r="M108" s="3021"/>
      <c r="N108" s="3021"/>
      <c r="O108" s="3021"/>
      <c r="P108" s="3021"/>
      <c r="Q108" s="3021"/>
      <c r="R108" s="3021"/>
      <c r="S108" s="3021"/>
      <c r="T108" s="3021"/>
      <c r="U108" s="3021"/>
      <c r="V108" s="3021"/>
      <c r="W108" s="3021"/>
      <c r="X108" s="3021"/>
      <c r="Y108" s="3021"/>
      <c r="Z108" s="3021"/>
      <c r="AA108" s="3021"/>
      <c r="AB108" s="3021"/>
      <c r="AC108" s="3021"/>
      <c r="AD108" s="3021"/>
      <c r="AE108" s="3021"/>
      <c r="AF108" s="3021"/>
      <c r="AG108" s="3021"/>
      <c r="AH108" s="3021"/>
      <c r="AI108" s="3021"/>
      <c r="AJ108" s="3021"/>
      <c r="AK108" s="3021"/>
      <c r="AL108" s="3021"/>
      <c r="AM108" s="3021"/>
    </row>
    <row r="109" spans="2:39" ht="18" customHeight="1">
      <c r="B109" s="3130" t="s">
        <v>2470</v>
      </c>
      <c r="C109" s="3021"/>
      <c r="D109" s="3021"/>
      <c r="E109" s="3021"/>
      <c r="F109" s="3021"/>
      <c r="G109" s="3021"/>
      <c r="H109" s="3021"/>
      <c r="I109" s="1935"/>
      <c r="J109" s="3021"/>
      <c r="K109" s="3021"/>
      <c r="L109" s="3021"/>
      <c r="M109" s="3021"/>
      <c r="N109" s="3021"/>
      <c r="O109" s="3021"/>
      <c r="P109" s="3021"/>
      <c r="Q109" s="3021"/>
      <c r="R109" s="3021"/>
      <c r="S109" s="3021"/>
      <c r="T109" s="3021"/>
      <c r="U109" s="3021"/>
      <c r="V109" s="3021"/>
      <c r="W109" s="3021"/>
      <c r="X109" s="3021"/>
      <c r="Y109" s="3021"/>
      <c r="Z109" s="3021"/>
      <c r="AA109" s="3021"/>
      <c r="AB109" s="3021"/>
      <c r="AC109" s="3021"/>
      <c r="AD109" s="3021"/>
      <c r="AE109" s="3021"/>
      <c r="AF109" s="3021"/>
      <c r="AG109" s="3021"/>
      <c r="AH109" s="3021"/>
      <c r="AI109" s="3021"/>
      <c r="AJ109" s="3021"/>
      <c r="AK109" s="3021"/>
      <c r="AL109" s="3021"/>
      <c r="AM109" s="3021"/>
    </row>
    <row r="110" spans="2:39" ht="63" customHeight="1">
      <c r="B110" s="2181" t="s">
        <v>2471</v>
      </c>
      <c r="C110" s="3021"/>
      <c r="D110" s="3021"/>
      <c r="E110" s="3021"/>
      <c r="F110" s="3021"/>
      <c r="G110" s="3021"/>
      <c r="H110" s="3021"/>
      <c r="I110" s="1935"/>
      <c r="J110" s="3021"/>
      <c r="K110" s="3021"/>
      <c r="L110" s="3021"/>
      <c r="M110" s="3021"/>
      <c r="N110" s="3021"/>
      <c r="O110" s="3021"/>
      <c r="P110" s="3021"/>
      <c r="Q110" s="3021"/>
      <c r="R110" s="3021"/>
      <c r="S110" s="3021"/>
      <c r="T110" s="3021"/>
      <c r="U110" s="3021"/>
      <c r="V110" s="3021"/>
      <c r="W110" s="3021"/>
      <c r="X110" s="3021"/>
      <c r="Y110" s="3021"/>
      <c r="Z110" s="3021"/>
      <c r="AA110" s="3021"/>
      <c r="AB110" s="3021"/>
      <c r="AC110" s="3021"/>
      <c r="AD110" s="3021"/>
      <c r="AE110" s="3021"/>
      <c r="AF110" s="3021"/>
      <c r="AG110" s="3021"/>
      <c r="AH110" s="3021"/>
      <c r="AI110" s="3021"/>
      <c r="AJ110" s="3021"/>
      <c r="AK110" s="3021"/>
      <c r="AL110" s="3021"/>
      <c r="AM110" s="3021"/>
    </row>
    <row r="111" spans="2:39" ht="54" customHeight="1">
      <c r="B111" s="3043" t="s">
        <v>2472</v>
      </c>
      <c r="C111" s="3021"/>
      <c r="D111" s="3021"/>
      <c r="E111" s="3021"/>
      <c r="F111" s="3021"/>
      <c r="G111" s="3021"/>
      <c r="H111" s="3021"/>
      <c r="I111" s="1935"/>
      <c r="J111" s="3021"/>
      <c r="K111" s="3021"/>
      <c r="L111" s="3021"/>
      <c r="M111" s="3021"/>
      <c r="N111" s="3021"/>
      <c r="O111" s="3021"/>
      <c r="P111" s="3021"/>
      <c r="Q111" s="3021"/>
      <c r="R111" s="3021"/>
      <c r="S111" s="3021"/>
      <c r="T111" s="3021"/>
      <c r="U111" s="3021"/>
      <c r="V111" s="3021"/>
      <c r="W111" s="3021"/>
      <c r="X111" s="3021"/>
      <c r="Y111" s="3021"/>
      <c r="Z111" s="3021"/>
      <c r="AA111" s="3021"/>
      <c r="AB111" s="3021"/>
      <c r="AC111" s="3021"/>
      <c r="AD111" s="3021"/>
      <c r="AE111" s="3021"/>
      <c r="AF111" s="3021"/>
      <c r="AG111" s="3021"/>
      <c r="AH111" s="3021"/>
      <c r="AI111" s="3021"/>
      <c r="AJ111" s="3021"/>
      <c r="AK111" s="3021"/>
      <c r="AL111" s="3021"/>
      <c r="AM111" s="3021"/>
    </row>
    <row r="112" spans="2:39" ht="18" customHeight="1">
      <c r="B112" s="1935" t="s">
        <v>2473</v>
      </c>
      <c r="C112" s="3021"/>
      <c r="D112" s="3021"/>
      <c r="E112" s="3021"/>
      <c r="F112" s="3021"/>
      <c r="G112" s="3160"/>
      <c r="H112" s="1861"/>
      <c r="I112" s="1861"/>
      <c r="J112" s="1861"/>
      <c r="K112" s="1861"/>
      <c r="L112" s="1861"/>
      <c r="M112" s="1861"/>
      <c r="N112" s="1861"/>
      <c r="O112" s="1861"/>
      <c r="P112" s="1861"/>
      <c r="Q112" s="1861"/>
      <c r="R112" s="1861"/>
      <c r="S112" s="1861"/>
      <c r="T112" s="1861"/>
      <c r="U112" s="1861"/>
      <c r="V112" s="1861"/>
      <c r="W112" s="1861"/>
      <c r="X112" s="1861"/>
      <c r="Y112" s="1861"/>
      <c r="Z112" s="1861"/>
      <c r="AA112" s="1861"/>
      <c r="AB112" s="1861"/>
      <c r="AC112" s="1861"/>
      <c r="AD112" s="1861"/>
      <c r="AE112" s="1861"/>
      <c r="AF112" s="1861"/>
      <c r="AG112" s="1861"/>
      <c r="AH112" s="1861"/>
      <c r="AI112" s="1861"/>
      <c r="AJ112" s="1861"/>
      <c r="AK112" s="1861"/>
      <c r="AL112" s="1861"/>
      <c r="AM112" s="1862"/>
    </row>
    <row r="113" spans="2:39" ht="18" customHeight="1">
      <c r="B113" s="2181" t="s">
        <v>2474</v>
      </c>
      <c r="C113" s="3021"/>
      <c r="D113" s="3021"/>
      <c r="E113" s="3021"/>
      <c r="F113" s="3021"/>
      <c r="G113" s="3021"/>
      <c r="H113" s="3029"/>
      <c r="I113" s="1861"/>
      <c r="J113" s="1861"/>
      <c r="K113" s="1861"/>
      <c r="L113" s="1861"/>
      <c r="M113" s="1861"/>
      <c r="N113" s="1861"/>
      <c r="O113" s="1861"/>
      <c r="P113" s="1862"/>
    </row>
    <row r="114" spans="2:39" s="384" customFormat="1" ht="53.25" customHeight="1">
      <c r="B114" s="3110" t="s">
        <v>2475</v>
      </c>
      <c r="C114" s="3111"/>
      <c r="D114" s="3111"/>
      <c r="E114" s="3111"/>
      <c r="F114" s="3111"/>
      <c r="G114" s="3111"/>
      <c r="H114" s="3111"/>
      <c r="I114" s="3111"/>
      <c r="J114" s="3111"/>
      <c r="K114" s="3111"/>
      <c r="L114" s="3111"/>
      <c r="M114" s="3111"/>
      <c r="N114" s="3111"/>
      <c r="O114" s="3111"/>
      <c r="P114" s="3111"/>
      <c r="Q114" s="3111"/>
      <c r="R114" s="3111"/>
      <c r="S114" s="3111"/>
      <c r="T114" s="3111"/>
      <c r="U114" s="3111"/>
      <c r="V114" s="3111"/>
      <c r="W114" s="3111"/>
      <c r="X114" s="3111"/>
      <c r="Y114" s="3111"/>
      <c r="Z114" s="3111"/>
      <c r="AA114" s="3111"/>
      <c r="AB114" s="3111"/>
      <c r="AC114" s="3111"/>
      <c r="AD114" s="3111"/>
      <c r="AE114" s="3111"/>
      <c r="AF114" s="1889"/>
      <c r="AG114" s="1705"/>
      <c r="AH114" s="3017" t="s">
        <v>2476</v>
      </c>
      <c r="AI114" s="1778"/>
      <c r="AJ114" s="1705"/>
      <c r="AK114" s="3017" t="s">
        <v>2477</v>
      </c>
      <c r="AL114" s="1777"/>
      <c r="AM114" s="1778"/>
    </row>
    <row r="115" spans="2:39" ht="36" customHeight="1">
      <c r="B115" s="3110" t="s">
        <v>2478</v>
      </c>
      <c r="C115" s="3021"/>
      <c r="D115" s="3021"/>
      <c r="E115" s="3021"/>
      <c r="F115" s="3021"/>
      <c r="G115" s="3021"/>
      <c r="H115" s="3021"/>
      <c r="I115" s="1935"/>
      <c r="J115" s="3021"/>
      <c r="K115" s="3021"/>
      <c r="L115" s="3021"/>
      <c r="M115" s="3021"/>
      <c r="N115" s="3021"/>
      <c r="O115" s="3021"/>
      <c r="P115" s="3021"/>
      <c r="Q115" s="3021"/>
      <c r="R115" s="3021"/>
      <c r="S115" s="3021"/>
      <c r="T115" s="3021"/>
      <c r="U115" s="3021"/>
      <c r="V115" s="3021"/>
      <c r="W115" s="3021"/>
      <c r="X115" s="3021"/>
      <c r="Y115" s="3021"/>
      <c r="Z115" s="3021"/>
      <c r="AA115" s="3021"/>
      <c r="AB115" s="3021"/>
      <c r="AC115" s="3021"/>
      <c r="AD115" s="3021"/>
      <c r="AE115" s="3021"/>
      <c r="AF115" s="1889"/>
      <c r="AG115" s="1705"/>
      <c r="AH115" s="3017" t="s">
        <v>2476</v>
      </c>
      <c r="AI115" s="1778"/>
      <c r="AJ115" s="1705"/>
      <c r="AK115" s="3017" t="s">
        <v>2477</v>
      </c>
      <c r="AL115" s="1777"/>
      <c r="AM115" s="1778"/>
    </row>
    <row r="116" spans="2:39" s="384" customFormat="1" ht="18" customHeight="1">
      <c r="B116" s="3110" t="s">
        <v>2479</v>
      </c>
      <c r="C116" s="3111"/>
      <c r="D116" s="3111"/>
      <c r="E116" s="3111"/>
      <c r="F116" s="3111"/>
      <c r="G116" s="3111"/>
      <c r="H116" s="3111"/>
      <c r="I116" s="3111"/>
      <c r="J116" s="3111"/>
      <c r="K116" s="3111"/>
      <c r="L116" s="3111"/>
      <c r="M116" s="3111"/>
      <c r="N116" s="3111"/>
      <c r="O116" s="3111"/>
      <c r="P116" s="3111"/>
      <c r="Q116" s="3111"/>
      <c r="R116" s="3111"/>
      <c r="S116" s="3111"/>
      <c r="T116" s="3111"/>
      <c r="U116" s="3111"/>
      <c r="V116" s="3111"/>
      <c r="W116" s="3111"/>
      <c r="X116" s="3111"/>
      <c r="Y116" s="3111"/>
      <c r="Z116" s="3111"/>
      <c r="AA116" s="3111"/>
      <c r="AB116" s="3111"/>
      <c r="AC116" s="3111"/>
      <c r="AD116" s="3111"/>
      <c r="AE116" s="3111"/>
      <c r="AF116" s="3111"/>
      <c r="AG116" s="3111"/>
      <c r="AH116" s="3111"/>
      <c r="AI116" s="3111"/>
      <c r="AJ116" s="3111"/>
      <c r="AK116" s="1889"/>
      <c r="AL116" s="1911"/>
      <c r="AM116" s="1862"/>
    </row>
    <row r="117" spans="2:39" ht="18" customHeight="1">
      <c r="B117" s="3182" t="s">
        <v>2480</v>
      </c>
      <c r="C117" s="1877"/>
      <c r="D117" s="1877"/>
      <c r="E117" s="1877"/>
      <c r="F117" s="1877"/>
      <c r="G117" s="1877"/>
      <c r="H117" s="1877"/>
      <c r="I117" s="1877"/>
      <c r="J117" s="1877"/>
      <c r="K117" s="1877"/>
      <c r="L117" s="1877"/>
      <c r="M117" s="1877"/>
      <c r="N117" s="1877"/>
      <c r="O117" s="1877"/>
      <c r="P117" s="1877"/>
      <c r="Q117" s="1877"/>
      <c r="R117" s="1877"/>
      <c r="S117" s="1877"/>
      <c r="T117" s="1877"/>
      <c r="U117" s="1877"/>
      <c r="V117" s="1877"/>
      <c r="W117" s="1877"/>
      <c r="X117" s="1877"/>
      <c r="Y117" s="1877"/>
      <c r="Z117" s="1877"/>
      <c r="AA117" s="1877"/>
      <c r="AB117" s="1877"/>
      <c r="AC117" s="1877"/>
      <c r="AD117" s="1877"/>
      <c r="AE117" s="1772"/>
      <c r="AF117" s="3029"/>
      <c r="AG117" s="1861"/>
      <c r="AH117" s="1862"/>
    </row>
    <row r="118" spans="2:39" ht="36" customHeight="1">
      <c r="B118" s="3107" t="s">
        <v>558</v>
      </c>
      <c r="C118" s="1777"/>
      <c r="D118" s="1777"/>
      <c r="E118" s="3177" t="str">
        <f>'Document Checklist-Full List'!$E$128</f>
        <v>56. LSP List of projects or contracts</v>
      </c>
      <c r="F118" s="1777"/>
      <c r="G118" s="1777"/>
      <c r="H118" s="1777"/>
      <c r="I118" s="1777"/>
      <c r="J118" s="1777"/>
      <c r="K118" s="1777"/>
      <c r="L118" s="1777"/>
      <c r="M118" s="1777"/>
      <c r="N118" s="3141" t="str">
        <f>'Document Checklist-Full List'!$N$128</f>
        <v>Provide list of current and completed Projects or contracts when submitting application</v>
      </c>
      <c r="O118" s="1777"/>
      <c r="P118" s="1777"/>
      <c r="Q118" s="1777"/>
      <c r="R118" s="1777"/>
      <c r="S118" s="1777"/>
      <c r="T118" s="1777"/>
      <c r="U118" s="1777"/>
      <c r="V118" s="1777"/>
      <c r="W118" s="1777"/>
      <c r="X118" s="1777"/>
      <c r="Y118" s="1777"/>
      <c r="Z118" s="1777"/>
      <c r="AA118" s="1777"/>
      <c r="AB118" s="1777"/>
      <c r="AC118" s="1777"/>
      <c r="AD118" s="1777"/>
      <c r="AE118" s="1778"/>
      <c r="AF118" s="1886" t="s">
        <v>559</v>
      </c>
      <c r="AG118" s="1777"/>
      <c r="AH118" s="1777"/>
      <c r="AI118" s="1777"/>
      <c r="AJ118" s="1777"/>
      <c r="AK118" s="1778"/>
      <c r="AL118" s="3126"/>
      <c r="AM118" s="1862"/>
    </row>
    <row r="119" spans="2:39" ht="30" customHeight="1">
      <c r="B119" s="3115" t="s">
        <v>2481</v>
      </c>
      <c r="C119" s="1953"/>
      <c r="D119" s="1953"/>
      <c r="E119" s="1953"/>
      <c r="F119" s="1953"/>
      <c r="G119" s="1953"/>
      <c r="H119" s="1953"/>
      <c r="I119" s="1953"/>
      <c r="J119" s="1953"/>
      <c r="K119" s="1953"/>
      <c r="L119" s="1953"/>
      <c r="M119" s="1953"/>
      <c r="N119" s="1953"/>
      <c r="O119" s="1953"/>
      <c r="P119" s="1953"/>
      <c r="Q119" s="1953"/>
      <c r="R119" s="1953"/>
      <c r="S119" s="1953"/>
      <c r="T119" s="1953"/>
      <c r="U119" s="1953"/>
      <c r="V119" s="1953"/>
      <c r="W119" s="1953"/>
      <c r="X119" s="1953"/>
      <c r="Y119" s="1953"/>
      <c r="Z119" s="1953"/>
      <c r="AA119" s="1953"/>
      <c r="AB119" s="1953"/>
      <c r="AC119" s="1953"/>
      <c r="AD119" s="1953"/>
      <c r="AE119" s="1953"/>
      <c r="AF119" s="1953"/>
      <c r="AG119" s="1953"/>
      <c r="AH119" s="1953"/>
      <c r="AI119" s="1953"/>
      <c r="AJ119" s="1953"/>
      <c r="AK119" s="1953"/>
      <c r="AL119" s="1953"/>
      <c r="AM119" s="1953"/>
    </row>
    <row r="120" spans="2:39" ht="18" customHeight="1">
      <c r="B120" s="3028" t="s">
        <v>2482</v>
      </c>
      <c r="C120" s="1777"/>
      <c r="D120" s="1777"/>
      <c r="E120" s="1777"/>
      <c r="F120" s="1777"/>
      <c r="G120" s="1777"/>
      <c r="H120" s="1777"/>
      <c r="I120" s="1777"/>
      <c r="J120" s="1777"/>
      <c r="K120" s="1777"/>
      <c r="L120" s="1777"/>
      <c r="M120" s="1777"/>
      <c r="N120" s="1778"/>
      <c r="O120" s="3028" t="s">
        <v>2483</v>
      </c>
      <c r="P120" s="1777"/>
      <c r="Q120" s="1777"/>
      <c r="R120" s="1777"/>
      <c r="S120" s="1777"/>
      <c r="T120" s="1777"/>
      <c r="U120" s="1777"/>
      <c r="V120" s="1777"/>
      <c r="W120" s="1777"/>
      <c r="X120" s="1777"/>
      <c r="Y120" s="1777"/>
      <c r="Z120" s="1777"/>
      <c r="AA120" s="1777"/>
      <c r="AB120" s="1777"/>
      <c r="AC120" s="1777"/>
      <c r="AD120" s="1777"/>
      <c r="AE120" s="1777"/>
      <c r="AF120" s="1777"/>
      <c r="AG120" s="1777"/>
      <c r="AH120" s="1777"/>
      <c r="AI120" s="1777"/>
      <c r="AJ120" s="1777"/>
      <c r="AK120" s="1777"/>
      <c r="AL120" s="1777"/>
      <c r="AM120" s="1778"/>
    </row>
    <row r="121" spans="2:39" ht="18" customHeight="1">
      <c r="B121" s="3029"/>
      <c r="C121" s="1861"/>
      <c r="D121" s="1861"/>
      <c r="E121" s="1861"/>
      <c r="F121" s="1861"/>
      <c r="G121" s="1861"/>
      <c r="H121" s="1861"/>
      <c r="I121" s="1861"/>
      <c r="J121" s="1861"/>
      <c r="K121" s="1861"/>
      <c r="L121" s="1861"/>
      <c r="M121" s="1861"/>
      <c r="N121" s="1862"/>
      <c r="O121" s="3029"/>
      <c r="P121" s="1861"/>
      <c r="Q121" s="1861"/>
      <c r="R121" s="1861"/>
      <c r="S121" s="1861"/>
      <c r="T121" s="1861"/>
      <c r="U121" s="1861"/>
      <c r="V121" s="1861"/>
      <c r="W121" s="1861"/>
      <c r="X121" s="1861"/>
      <c r="Y121" s="1861"/>
      <c r="Z121" s="1861"/>
      <c r="AA121" s="1861"/>
      <c r="AB121" s="1861"/>
      <c r="AC121" s="1861"/>
      <c r="AD121" s="1861"/>
      <c r="AE121" s="1861"/>
      <c r="AF121" s="1861"/>
      <c r="AG121" s="1861"/>
      <c r="AH121" s="1861"/>
      <c r="AI121" s="1861"/>
      <c r="AJ121" s="1861"/>
      <c r="AK121" s="1861"/>
      <c r="AL121" s="1861"/>
      <c r="AM121" s="1862"/>
    </row>
    <row r="122" spans="2:39" ht="18" customHeight="1">
      <c r="B122" s="3028" t="s">
        <v>2484</v>
      </c>
      <c r="C122" s="1777"/>
      <c r="D122" s="1777"/>
      <c r="E122" s="1777"/>
      <c r="F122" s="1777"/>
      <c r="G122" s="1777"/>
      <c r="H122" s="1777"/>
      <c r="I122" s="1777"/>
      <c r="J122" s="1777"/>
      <c r="K122" s="1777"/>
      <c r="L122" s="1777"/>
      <c r="M122" s="1777"/>
      <c r="N122" s="1777"/>
      <c r="O122" s="1777"/>
      <c r="P122" s="1777"/>
      <c r="Q122" s="1777"/>
      <c r="R122" s="1777"/>
      <c r="S122" s="1777"/>
      <c r="T122" s="1777"/>
      <c r="U122" s="1777"/>
      <c r="V122" s="1777"/>
      <c r="W122" s="1777"/>
      <c r="X122" s="1777"/>
      <c r="Y122" s="1777"/>
      <c r="Z122" s="1777"/>
      <c r="AA122" s="1777"/>
      <c r="AB122" s="1777"/>
      <c r="AC122" s="1777"/>
      <c r="AD122" s="1777"/>
      <c r="AE122" s="1777"/>
      <c r="AF122" s="1777"/>
      <c r="AG122" s="1777"/>
      <c r="AH122" s="1777"/>
      <c r="AI122" s="1777"/>
      <c r="AJ122" s="1777"/>
      <c r="AK122" s="1777"/>
      <c r="AL122" s="1777"/>
      <c r="AM122" s="1778"/>
    </row>
    <row r="123" spans="2:39" ht="36" customHeight="1">
      <c r="B123" s="3023"/>
      <c r="C123" s="1861"/>
      <c r="D123" s="1861"/>
      <c r="E123" s="1861"/>
      <c r="F123" s="1861"/>
      <c r="G123" s="1861"/>
      <c r="H123" s="1861"/>
      <c r="I123" s="1861"/>
      <c r="J123" s="1861"/>
      <c r="K123" s="1861"/>
      <c r="L123" s="1861"/>
      <c r="M123" s="1861"/>
      <c r="N123" s="1861"/>
      <c r="O123" s="1861"/>
      <c r="P123" s="1861"/>
      <c r="Q123" s="1861"/>
      <c r="R123" s="1861"/>
      <c r="S123" s="1861"/>
      <c r="T123" s="1861"/>
      <c r="U123" s="1861"/>
      <c r="V123" s="1861"/>
      <c r="W123" s="1861"/>
      <c r="X123" s="1861"/>
      <c r="Y123" s="1861"/>
      <c r="Z123" s="1861"/>
      <c r="AA123" s="1861"/>
      <c r="AB123" s="1861"/>
      <c r="AC123" s="1861"/>
      <c r="AD123" s="1861"/>
      <c r="AE123" s="1861"/>
      <c r="AF123" s="1861"/>
      <c r="AG123" s="1861"/>
      <c r="AH123" s="1861"/>
      <c r="AI123" s="1861"/>
      <c r="AJ123" s="1861"/>
      <c r="AK123" s="1861"/>
      <c r="AL123" s="1861"/>
      <c r="AM123" s="1862"/>
    </row>
    <row r="124" spans="2:39" ht="18" customHeight="1">
      <c r="B124" s="3028" t="s">
        <v>2482</v>
      </c>
      <c r="C124" s="1777"/>
      <c r="D124" s="1777"/>
      <c r="E124" s="1777"/>
      <c r="F124" s="1777"/>
      <c r="G124" s="1777"/>
      <c r="H124" s="1777"/>
      <c r="I124" s="1777"/>
      <c r="J124" s="1777"/>
      <c r="K124" s="1777"/>
      <c r="L124" s="1777"/>
      <c r="M124" s="1777"/>
      <c r="N124" s="1778"/>
      <c r="O124" s="3028" t="s">
        <v>2483</v>
      </c>
      <c r="P124" s="1777"/>
      <c r="Q124" s="1777"/>
      <c r="R124" s="1777"/>
      <c r="S124" s="1777"/>
      <c r="T124" s="1777"/>
      <c r="U124" s="1777"/>
      <c r="V124" s="1777"/>
      <c r="W124" s="1777"/>
      <c r="X124" s="1777"/>
      <c r="Y124" s="1777"/>
      <c r="Z124" s="1777"/>
      <c r="AA124" s="1777"/>
      <c r="AB124" s="1777"/>
      <c r="AC124" s="1777"/>
      <c r="AD124" s="1777"/>
      <c r="AE124" s="1777"/>
      <c r="AF124" s="1777"/>
      <c r="AG124" s="1777"/>
      <c r="AH124" s="1777"/>
      <c r="AI124" s="1777"/>
      <c r="AJ124" s="1777"/>
      <c r="AK124" s="1777"/>
      <c r="AL124" s="1777"/>
      <c r="AM124" s="1778"/>
    </row>
    <row r="125" spans="2:39" ht="18" customHeight="1">
      <c r="B125" s="3029"/>
      <c r="C125" s="1861"/>
      <c r="D125" s="1861"/>
      <c r="E125" s="1861"/>
      <c r="F125" s="1861"/>
      <c r="G125" s="1861"/>
      <c r="H125" s="1861"/>
      <c r="I125" s="1861"/>
      <c r="J125" s="1861"/>
      <c r="K125" s="1861"/>
      <c r="L125" s="1861"/>
      <c r="M125" s="1861"/>
      <c r="N125" s="1862"/>
      <c r="O125" s="3029"/>
      <c r="P125" s="1861"/>
      <c r="Q125" s="1861"/>
      <c r="R125" s="1861"/>
      <c r="S125" s="1861"/>
      <c r="T125" s="1861"/>
      <c r="U125" s="1861"/>
      <c r="V125" s="1861"/>
      <c r="W125" s="1861"/>
      <c r="X125" s="1861"/>
      <c r="Y125" s="1861"/>
      <c r="Z125" s="1861"/>
      <c r="AA125" s="1861"/>
      <c r="AB125" s="1861"/>
      <c r="AC125" s="1861"/>
      <c r="AD125" s="1861"/>
      <c r="AE125" s="1861"/>
      <c r="AF125" s="1861"/>
      <c r="AG125" s="1861"/>
      <c r="AH125" s="1861"/>
      <c r="AI125" s="1861"/>
      <c r="AJ125" s="1861"/>
      <c r="AK125" s="1861"/>
      <c r="AL125" s="1861"/>
      <c r="AM125" s="1862"/>
    </row>
    <row r="126" spans="2:39" ht="18" customHeight="1">
      <c r="B126" s="3028" t="s">
        <v>2484</v>
      </c>
      <c r="C126" s="1777"/>
      <c r="D126" s="1777"/>
      <c r="E126" s="1777"/>
      <c r="F126" s="1777"/>
      <c r="G126" s="1777"/>
      <c r="H126" s="1777"/>
      <c r="I126" s="1777"/>
      <c r="J126" s="1777"/>
      <c r="K126" s="1777"/>
      <c r="L126" s="1777"/>
      <c r="M126" s="1777"/>
      <c r="N126" s="1777"/>
      <c r="O126" s="1777"/>
      <c r="P126" s="1777"/>
      <c r="Q126" s="1777"/>
      <c r="R126" s="1777"/>
      <c r="S126" s="1777"/>
      <c r="T126" s="1777"/>
      <c r="U126" s="1777"/>
      <c r="V126" s="1777"/>
      <c r="W126" s="1777"/>
      <c r="X126" s="1777"/>
      <c r="Y126" s="1777"/>
      <c r="Z126" s="1777"/>
      <c r="AA126" s="1777"/>
      <c r="AB126" s="1777"/>
      <c r="AC126" s="1777"/>
      <c r="AD126" s="1777"/>
      <c r="AE126" s="1777"/>
      <c r="AF126" s="1777"/>
      <c r="AG126" s="1777"/>
      <c r="AH126" s="1777"/>
      <c r="AI126" s="1777"/>
      <c r="AJ126" s="1777"/>
      <c r="AK126" s="1777"/>
      <c r="AL126" s="1777"/>
      <c r="AM126" s="1778"/>
    </row>
    <row r="127" spans="2:39" ht="36" customHeight="1">
      <c r="B127" s="3023"/>
      <c r="C127" s="1861"/>
      <c r="D127" s="1861"/>
      <c r="E127" s="1861"/>
      <c r="F127" s="1861"/>
      <c r="G127" s="1861"/>
      <c r="H127" s="1861"/>
      <c r="I127" s="1861"/>
      <c r="J127" s="1861"/>
      <c r="K127" s="1861"/>
      <c r="L127" s="1861"/>
      <c r="M127" s="1861"/>
      <c r="N127" s="1861"/>
      <c r="O127" s="1861"/>
      <c r="P127" s="1861"/>
      <c r="Q127" s="1861"/>
      <c r="R127" s="1861"/>
      <c r="S127" s="1861"/>
      <c r="T127" s="1861"/>
      <c r="U127" s="1861"/>
      <c r="V127" s="1861"/>
      <c r="W127" s="1861"/>
      <c r="X127" s="1861"/>
      <c r="Y127" s="1861"/>
      <c r="Z127" s="1861"/>
      <c r="AA127" s="1861"/>
      <c r="AB127" s="1861"/>
      <c r="AC127" s="1861"/>
      <c r="AD127" s="1861"/>
      <c r="AE127" s="1861"/>
      <c r="AF127" s="1861"/>
      <c r="AG127" s="1861"/>
      <c r="AH127" s="1861"/>
      <c r="AI127" s="1861"/>
      <c r="AJ127" s="1861"/>
      <c r="AK127" s="1861"/>
      <c r="AL127" s="1861"/>
      <c r="AM127" s="1862"/>
    </row>
    <row r="128" spans="2:39" ht="18" customHeight="1">
      <c r="B128" s="3028" t="s">
        <v>2482</v>
      </c>
      <c r="C128" s="1777"/>
      <c r="D128" s="1777"/>
      <c r="E128" s="1777"/>
      <c r="F128" s="1777"/>
      <c r="G128" s="1777"/>
      <c r="H128" s="1777"/>
      <c r="I128" s="1777"/>
      <c r="J128" s="1777"/>
      <c r="K128" s="1777"/>
      <c r="L128" s="1777"/>
      <c r="M128" s="1777"/>
      <c r="N128" s="1778"/>
      <c r="O128" s="3028" t="s">
        <v>2483</v>
      </c>
      <c r="P128" s="1777"/>
      <c r="Q128" s="1777"/>
      <c r="R128" s="1777"/>
      <c r="S128" s="1777"/>
      <c r="T128" s="1777"/>
      <c r="U128" s="1777"/>
      <c r="V128" s="1777"/>
      <c r="W128" s="1777"/>
      <c r="X128" s="1777"/>
      <c r="Y128" s="1777"/>
      <c r="Z128" s="1777"/>
      <c r="AA128" s="1777"/>
      <c r="AB128" s="1777"/>
      <c r="AC128" s="1777"/>
      <c r="AD128" s="1777"/>
      <c r="AE128" s="1777"/>
      <c r="AF128" s="1777"/>
      <c r="AG128" s="1777"/>
      <c r="AH128" s="1777"/>
      <c r="AI128" s="1777"/>
      <c r="AJ128" s="1777"/>
      <c r="AK128" s="1777"/>
      <c r="AL128" s="1777"/>
      <c r="AM128" s="1778"/>
    </row>
    <row r="129" spans="2:39" ht="18" customHeight="1">
      <c r="B129" s="3029"/>
      <c r="C129" s="1861"/>
      <c r="D129" s="1861"/>
      <c r="E129" s="1861"/>
      <c r="F129" s="1861"/>
      <c r="G129" s="1861"/>
      <c r="H129" s="1861"/>
      <c r="I129" s="1861"/>
      <c r="J129" s="1861"/>
      <c r="K129" s="1861"/>
      <c r="L129" s="1861"/>
      <c r="M129" s="1861"/>
      <c r="N129" s="1862"/>
      <c r="O129" s="3029"/>
      <c r="P129" s="1861"/>
      <c r="Q129" s="1861"/>
      <c r="R129" s="1861"/>
      <c r="S129" s="1861"/>
      <c r="T129" s="1861"/>
      <c r="U129" s="1861"/>
      <c r="V129" s="1861"/>
      <c r="W129" s="1861"/>
      <c r="X129" s="1861"/>
      <c r="Y129" s="1861"/>
      <c r="Z129" s="1861"/>
      <c r="AA129" s="1861"/>
      <c r="AB129" s="1861"/>
      <c r="AC129" s="1861"/>
      <c r="AD129" s="1861"/>
      <c r="AE129" s="1861"/>
      <c r="AF129" s="1861"/>
      <c r="AG129" s="1861"/>
      <c r="AH129" s="1861"/>
      <c r="AI129" s="1861"/>
      <c r="AJ129" s="1861"/>
      <c r="AK129" s="1861"/>
      <c r="AL129" s="1861"/>
      <c r="AM129" s="1862"/>
    </row>
    <row r="130" spans="2:39" ht="18" customHeight="1">
      <c r="B130" s="3028" t="s">
        <v>2484</v>
      </c>
      <c r="C130" s="1777"/>
      <c r="D130" s="1777"/>
      <c r="E130" s="1777"/>
      <c r="F130" s="1777"/>
      <c r="G130" s="1777"/>
      <c r="H130" s="1777"/>
      <c r="I130" s="1777"/>
      <c r="J130" s="1777"/>
      <c r="K130" s="1777"/>
      <c r="L130" s="1777"/>
      <c r="M130" s="1777"/>
      <c r="N130" s="1777"/>
      <c r="O130" s="1777"/>
      <c r="P130" s="1777"/>
      <c r="Q130" s="1777"/>
      <c r="R130" s="1777"/>
      <c r="S130" s="1777"/>
      <c r="T130" s="1777"/>
      <c r="U130" s="1777"/>
      <c r="V130" s="1777"/>
      <c r="W130" s="1777"/>
      <c r="X130" s="1777"/>
      <c r="Y130" s="1777"/>
      <c r="Z130" s="1777"/>
      <c r="AA130" s="1777"/>
      <c r="AB130" s="1777"/>
      <c r="AC130" s="1777"/>
      <c r="AD130" s="1777"/>
      <c r="AE130" s="1777"/>
      <c r="AF130" s="1777"/>
      <c r="AG130" s="1777"/>
      <c r="AH130" s="1777"/>
      <c r="AI130" s="1777"/>
      <c r="AJ130" s="1777"/>
      <c r="AK130" s="1777"/>
      <c r="AL130" s="1777"/>
      <c r="AM130" s="1778"/>
    </row>
    <row r="131" spans="2:39" ht="36" customHeight="1">
      <c r="B131" s="3023"/>
      <c r="C131" s="1861"/>
      <c r="D131" s="1861"/>
      <c r="E131" s="1861"/>
      <c r="F131" s="1861"/>
      <c r="G131" s="1861"/>
      <c r="H131" s="1861"/>
      <c r="I131" s="1861"/>
      <c r="J131" s="1861"/>
      <c r="K131" s="1861"/>
      <c r="L131" s="1861"/>
      <c r="M131" s="1861"/>
      <c r="N131" s="1861"/>
      <c r="O131" s="1861"/>
      <c r="P131" s="1861"/>
      <c r="Q131" s="1861"/>
      <c r="R131" s="1861"/>
      <c r="S131" s="1861"/>
      <c r="T131" s="1861"/>
      <c r="U131" s="1861"/>
      <c r="V131" s="1861"/>
      <c r="W131" s="1861"/>
      <c r="X131" s="1861"/>
      <c r="Y131" s="1861"/>
      <c r="Z131" s="1861"/>
      <c r="AA131" s="1861"/>
      <c r="AB131" s="1861"/>
      <c r="AC131" s="1861"/>
      <c r="AD131" s="1861"/>
      <c r="AE131" s="1861"/>
      <c r="AF131" s="1861"/>
      <c r="AG131" s="1861"/>
      <c r="AH131" s="1861"/>
      <c r="AI131" s="1861"/>
      <c r="AJ131" s="1861"/>
      <c r="AK131" s="1861"/>
      <c r="AL131" s="1861"/>
      <c r="AM131" s="1862"/>
    </row>
    <row r="132" spans="2:39" s="397" customFormat="1" ht="18" customHeight="1">
      <c r="B132" s="3102" t="s">
        <v>2372</v>
      </c>
      <c r="C132" s="3015"/>
      <c r="D132" s="3015"/>
      <c r="E132" s="3015"/>
      <c r="F132" s="3015"/>
      <c r="G132" s="3015"/>
      <c r="H132" s="3015"/>
      <c r="I132" s="3015"/>
      <c r="J132" s="3015"/>
      <c r="K132" s="3015"/>
      <c r="L132" s="3015"/>
      <c r="M132" s="3015"/>
      <c r="N132" s="3015"/>
      <c r="O132" s="3015"/>
      <c r="P132" s="3015"/>
      <c r="Q132" s="3015"/>
      <c r="R132" s="3015"/>
      <c r="S132" s="3015"/>
      <c r="T132" s="3015"/>
      <c r="U132" s="3015"/>
      <c r="V132" s="3015"/>
      <c r="W132" s="3015"/>
      <c r="X132" s="3015"/>
      <c r="Y132" s="3015"/>
      <c r="Z132" s="3015"/>
      <c r="AA132" s="3015"/>
      <c r="AB132" s="3015"/>
      <c r="AC132" s="3015"/>
      <c r="AD132" s="3015"/>
      <c r="AE132" s="3015"/>
      <c r="AF132" s="3015"/>
      <c r="AG132" s="3015"/>
      <c r="AH132" s="3015"/>
      <c r="AI132" s="3015"/>
      <c r="AJ132" s="3015"/>
      <c r="AK132" s="3015"/>
      <c r="AL132" s="3015"/>
      <c r="AM132" s="3015"/>
    </row>
    <row r="133" spans="2:39" s="397" customFormat="1" ht="36" customHeight="1">
      <c r="B133" s="3043" t="s">
        <v>2485</v>
      </c>
      <c r="C133" s="3015"/>
      <c r="D133" s="3015"/>
      <c r="E133" s="3015"/>
      <c r="F133" s="3015"/>
      <c r="G133" s="3015"/>
      <c r="H133" s="3015"/>
      <c r="I133" s="3015"/>
      <c r="J133" s="3015"/>
      <c r="K133" s="3015"/>
      <c r="L133" s="3015"/>
      <c r="M133" s="3015"/>
      <c r="N133" s="3015"/>
      <c r="O133" s="3015"/>
      <c r="P133" s="3015"/>
      <c r="Q133" s="3015"/>
      <c r="R133" s="3015"/>
      <c r="S133" s="3015"/>
      <c r="T133" s="3015"/>
      <c r="U133" s="3015"/>
      <c r="V133" s="3015"/>
      <c r="W133" s="3015"/>
      <c r="X133" s="3015"/>
      <c r="Y133" s="3015"/>
      <c r="Z133" s="3015"/>
      <c r="AA133" s="3015"/>
      <c r="AB133" s="3015"/>
      <c r="AC133" s="3015"/>
      <c r="AD133" s="3015"/>
      <c r="AE133" s="3015"/>
      <c r="AF133" s="3015"/>
      <c r="AG133" s="3015"/>
      <c r="AH133" s="3015"/>
      <c r="AI133" s="3015"/>
      <c r="AJ133" s="3015"/>
      <c r="AK133" s="3015"/>
      <c r="AL133" s="3015"/>
      <c r="AM133" s="3015"/>
    </row>
    <row r="134" spans="2:39" s="397" customFormat="1" ht="18" customHeight="1">
      <c r="B134" s="3015" t="s">
        <v>2486</v>
      </c>
      <c r="C134" s="3015"/>
      <c r="D134" s="3015"/>
      <c r="E134" s="3015"/>
      <c r="F134" s="3015"/>
      <c r="G134" s="3015"/>
      <c r="H134" s="3015"/>
      <c r="I134" s="3015"/>
      <c r="J134" s="3015"/>
      <c r="K134" s="3015"/>
      <c r="L134" s="3015"/>
      <c r="M134" s="3015"/>
      <c r="N134" s="3015"/>
      <c r="O134" s="3015"/>
      <c r="P134" s="3015"/>
      <c r="Q134" s="3015"/>
      <c r="R134" s="3015"/>
      <c r="S134" s="3015"/>
      <c r="T134" s="3015"/>
      <c r="U134" s="3015"/>
      <c r="V134" s="3015"/>
      <c r="W134" s="3015"/>
      <c r="X134" s="3015"/>
      <c r="Y134" s="3015"/>
      <c r="Z134" s="3015"/>
      <c r="AA134" s="3015"/>
      <c r="AB134" s="3015"/>
      <c r="AC134" s="3015"/>
      <c r="AD134" s="3015"/>
      <c r="AE134" s="3015"/>
      <c r="AF134" s="3015"/>
      <c r="AG134" s="3015"/>
      <c r="AH134" s="3015"/>
      <c r="AI134" s="3015"/>
      <c r="AJ134" s="3015"/>
      <c r="AK134" s="3015"/>
      <c r="AL134" s="3015"/>
      <c r="AM134" s="3015"/>
    </row>
    <row r="135" spans="2:39" s="397" customFormat="1" ht="75" customHeight="1">
      <c r="B135" s="3023"/>
      <c r="C135" s="1861"/>
      <c r="D135" s="1861"/>
      <c r="E135" s="1861"/>
      <c r="F135" s="1861"/>
      <c r="G135" s="1861"/>
      <c r="H135" s="1861"/>
      <c r="I135" s="1861"/>
      <c r="J135" s="1861"/>
      <c r="K135" s="1861"/>
      <c r="L135" s="1861"/>
      <c r="M135" s="1861"/>
      <c r="N135" s="1861"/>
      <c r="O135" s="1861"/>
      <c r="P135" s="1861"/>
      <c r="Q135" s="1861"/>
      <c r="R135" s="1861"/>
      <c r="S135" s="1861"/>
      <c r="T135" s="1861"/>
      <c r="U135" s="1861"/>
      <c r="V135" s="1861"/>
      <c r="W135" s="1861"/>
      <c r="X135" s="1861"/>
      <c r="Y135" s="1861"/>
      <c r="Z135" s="1861"/>
      <c r="AA135" s="1861"/>
      <c r="AB135" s="1861"/>
      <c r="AC135" s="1861"/>
      <c r="AD135" s="1861"/>
      <c r="AE135" s="1861"/>
      <c r="AF135" s="1861"/>
      <c r="AG135" s="1861"/>
      <c r="AH135" s="1861"/>
      <c r="AI135" s="1861"/>
      <c r="AJ135" s="1861"/>
      <c r="AK135" s="1861"/>
      <c r="AL135" s="1861"/>
      <c r="AM135" s="1862"/>
    </row>
    <row r="136" spans="2:39" s="397" customFormat="1" ht="18" customHeight="1">
      <c r="B136" s="2181" t="s">
        <v>2487</v>
      </c>
      <c r="C136" s="3015"/>
      <c r="D136" s="3015"/>
      <c r="E136" s="3015"/>
      <c r="F136" s="3015"/>
      <c r="G136" s="3015"/>
      <c r="H136" s="3015"/>
      <c r="I136" s="3015"/>
      <c r="J136" s="3015"/>
      <c r="K136" s="3015"/>
      <c r="L136" s="3015"/>
      <c r="M136" s="3015"/>
      <c r="N136" s="3015"/>
      <c r="O136" s="3015"/>
      <c r="P136" s="3015"/>
      <c r="Q136" s="3015"/>
      <c r="R136" s="3015"/>
      <c r="S136" s="3015"/>
      <c r="T136" s="3015"/>
      <c r="U136" s="3015"/>
      <c r="V136" s="3015"/>
      <c r="W136" s="3015"/>
      <c r="X136" s="3015"/>
      <c r="Y136" s="3015"/>
      <c r="Z136" s="3015"/>
      <c r="AA136" s="3015"/>
      <c r="AB136" s="3015"/>
      <c r="AC136" s="3015"/>
      <c r="AD136" s="3015"/>
      <c r="AE136" s="3015"/>
      <c r="AF136" s="3015"/>
      <c r="AG136" s="3015"/>
      <c r="AH136" s="3015"/>
      <c r="AI136" s="3015"/>
      <c r="AJ136" s="3015"/>
      <c r="AK136" s="3015"/>
      <c r="AL136" s="3015"/>
      <c r="AM136" s="3015"/>
    </row>
    <row r="137" spans="2:39" s="397" customFormat="1" ht="75" customHeight="1">
      <c r="B137" s="3023"/>
      <c r="C137" s="1861"/>
      <c r="D137" s="1861"/>
      <c r="E137" s="1861"/>
      <c r="F137" s="1861"/>
      <c r="G137" s="1861"/>
      <c r="H137" s="1861"/>
      <c r="I137" s="1861"/>
      <c r="J137" s="1861"/>
      <c r="K137" s="1861"/>
      <c r="L137" s="1861"/>
      <c r="M137" s="1861"/>
      <c r="N137" s="1861"/>
      <c r="O137" s="1861"/>
      <c r="P137" s="1861"/>
      <c r="Q137" s="1861"/>
      <c r="R137" s="1861"/>
      <c r="S137" s="1861"/>
      <c r="T137" s="1861"/>
      <c r="U137" s="1861"/>
      <c r="V137" s="1861"/>
      <c r="W137" s="1861"/>
      <c r="X137" s="1861"/>
      <c r="Y137" s="1861"/>
      <c r="Z137" s="1861"/>
      <c r="AA137" s="1861"/>
      <c r="AB137" s="1861"/>
      <c r="AC137" s="1861"/>
      <c r="AD137" s="1861"/>
      <c r="AE137" s="1861"/>
      <c r="AF137" s="1861"/>
      <c r="AG137" s="1861"/>
      <c r="AH137" s="1861"/>
      <c r="AI137" s="1861"/>
      <c r="AJ137" s="1861"/>
      <c r="AK137" s="1861"/>
      <c r="AL137" s="1861"/>
      <c r="AM137" s="1862"/>
    </row>
    <row r="138" spans="2:39" s="397" customFormat="1" ht="18" customHeight="1">
      <c r="B138" s="3015" t="s">
        <v>2488</v>
      </c>
      <c r="C138" s="3015"/>
      <c r="D138" s="3015"/>
      <c r="E138" s="3015"/>
      <c r="F138" s="3015"/>
      <c r="G138" s="3015"/>
      <c r="H138" s="3015"/>
      <c r="I138" s="3015"/>
      <c r="J138" s="3015"/>
      <c r="K138" s="3015"/>
      <c r="L138" s="3015"/>
      <c r="M138" s="3015"/>
      <c r="N138" s="3015"/>
      <c r="O138" s="3015"/>
      <c r="P138" s="3015"/>
      <c r="Q138" s="3015"/>
      <c r="R138" s="3015"/>
      <c r="S138" s="3015"/>
      <c r="T138" s="3015"/>
      <c r="U138" s="3015"/>
      <c r="V138" s="3015"/>
      <c r="W138" s="3015"/>
      <c r="X138" s="3015"/>
      <c r="Y138" s="3015"/>
      <c r="Z138" s="3015"/>
      <c r="AA138" s="3015"/>
      <c r="AB138" s="3015"/>
      <c r="AC138" s="3015"/>
      <c r="AD138" s="3015"/>
      <c r="AE138" s="3015"/>
      <c r="AF138" s="3015"/>
      <c r="AG138" s="3015"/>
      <c r="AH138" s="3015"/>
      <c r="AI138" s="3015"/>
      <c r="AJ138" s="3015"/>
      <c r="AK138" s="3015"/>
      <c r="AL138" s="3015"/>
      <c r="AM138" s="3015"/>
    </row>
    <row r="139" spans="2:39" s="397" customFormat="1" ht="75" customHeight="1">
      <c r="B139" s="3023"/>
      <c r="C139" s="1861"/>
      <c r="D139" s="1861"/>
      <c r="E139" s="1861"/>
      <c r="F139" s="1861"/>
      <c r="G139" s="1861"/>
      <c r="H139" s="1861"/>
      <c r="I139" s="1861"/>
      <c r="J139" s="1861"/>
      <c r="K139" s="1861"/>
      <c r="L139" s="1861"/>
      <c r="M139" s="1861"/>
      <c r="N139" s="1861"/>
      <c r="O139" s="1861"/>
      <c r="P139" s="1861"/>
      <c r="Q139" s="1861"/>
      <c r="R139" s="1861"/>
      <c r="S139" s="1861"/>
      <c r="T139" s="1861"/>
      <c r="U139" s="1861"/>
      <c r="V139" s="1861"/>
      <c r="W139" s="1861"/>
      <c r="X139" s="1861"/>
      <c r="Y139" s="1861"/>
      <c r="Z139" s="1861"/>
      <c r="AA139" s="1861"/>
      <c r="AB139" s="1861"/>
      <c r="AC139" s="1861"/>
      <c r="AD139" s="1861"/>
      <c r="AE139" s="1861"/>
      <c r="AF139" s="1861"/>
      <c r="AG139" s="1861"/>
      <c r="AH139" s="1861"/>
      <c r="AI139" s="1861"/>
      <c r="AJ139" s="1861"/>
      <c r="AK139" s="1861"/>
      <c r="AL139" s="1861"/>
      <c r="AM139" s="1862"/>
    </row>
    <row r="140" spans="2:39" s="397" customFormat="1" ht="18" customHeight="1">
      <c r="B140" s="3015" t="s">
        <v>2487</v>
      </c>
      <c r="C140" s="3015"/>
      <c r="D140" s="3015"/>
      <c r="E140" s="3015"/>
      <c r="F140" s="3015"/>
      <c r="G140" s="3015"/>
      <c r="H140" s="3015"/>
      <c r="I140" s="3015"/>
      <c r="J140" s="3015"/>
      <c r="K140" s="3015"/>
      <c r="L140" s="3015"/>
      <c r="M140" s="3015"/>
      <c r="N140" s="3015"/>
      <c r="O140" s="3015"/>
      <c r="P140" s="3015"/>
      <c r="Q140" s="3015"/>
      <c r="R140" s="3015"/>
      <c r="S140" s="3015"/>
      <c r="T140" s="3015"/>
      <c r="U140" s="3015"/>
      <c r="V140" s="3015"/>
      <c r="W140" s="3015"/>
      <c r="X140" s="3015"/>
      <c r="Y140" s="3015"/>
      <c r="Z140" s="3015"/>
      <c r="AA140" s="3015"/>
      <c r="AB140" s="3015"/>
      <c r="AC140" s="3015"/>
      <c r="AD140" s="3015"/>
      <c r="AE140" s="3015"/>
      <c r="AF140" s="3015"/>
      <c r="AG140" s="3015"/>
      <c r="AH140" s="3015"/>
      <c r="AI140" s="3015"/>
      <c r="AJ140" s="3015"/>
      <c r="AK140" s="3015"/>
      <c r="AL140" s="3015"/>
      <c r="AM140" s="3015"/>
    </row>
    <row r="141" spans="2:39" s="397" customFormat="1" ht="75" customHeight="1">
      <c r="B141" s="3023"/>
      <c r="C141" s="1861"/>
      <c r="D141" s="1861"/>
      <c r="E141" s="1861"/>
      <c r="F141" s="1861"/>
      <c r="G141" s="1861"/>
      <c r="H141" s="1861"/>
      <c r="I141" s="1861"/>
      <c r="J141" s="1861"/>
      <c r="K141" s="1861"/>
      <c r="L141" s="1861"/>
      <c r="M141" s="1861"/>
      <c r="N141" s="1861"/>
      <c r="O141" s="1861"/>
      <c r="P141" s="1861"/>
      <c r="Q141" s="1861"/>
      <c r="R141" s="1861"/>
      <c r="S141" s="1861"/>
      <c r="T141" s="1861"/>
      <c r="U141" s="1861"/>
      <c r="V141" s="1861"/>
      <c r="W141" s="1861"/>
      <c r="X141" s="1861"/>
      <c r="Y141" s="1861"/>
      <c r="Z141" s="1861"/>
      <c r="AA141" s="1861"/>
      <c r="AB141" s="1861"/>
      <c r="AC141" s="1861"/>
      <c r="AD141" s="1861"/>
      <c r="AE141" s="1861"/>
      <c r="AF141" s="1861"/>
      <c r="AG141" s="1861"/>
      <c r="AH141" s="1861"/>
      <c r="AI141" s="1861"/>
      <c r="AJ141" s="1861"/>
      <c r="AK141" s="1861"/>
      <c r="AL141" s="1861"/>
      <c r="AM141" s="1862"/>
    </row>
    <row r="142" spans="2:39" s="397" customFormat="1" ht="18" customHeight="1">
      <c r="B142" s="3015" t="s">
        <v>2489</v>
      </c>
      <c r="C142" s="3015"/>
      <c r="D142" s="3015"/>
      <c r="E142" s="3015"/>
      <c r="F142" s="3015"/>
      <c r="G142" s="3015"/>
      <c r="H142" s="3015"/>
      <c r="I142" s="3015"/>
      <c r="J142" s="3015"/>
      <c r="K142" s="3015"/>
      <c r="L142" s="3015"/>
      <c r="M142" s="3015"/>
      <c r="N142" s="3015"/>
      <c r="O142" s="3015"/>
      <c r="P142" s="3015"/>
      <c r="Q142" s="3015"/>
      <c r="R142" s="3015"/>
      <c r="S142" s="3015"/>
      <c r="T142" s="3015"/>
      <c r="U142" s="3015"/>
      <c r="V142" s="3015"/>
      <c r="W142" s="3015"/>
      <c r="X142" s="3015"/>
      <c r="Y142" s="3015"/>
      <c r="Z142" s="3015"/>
      <c r="AA142" s="3015"/>
      <c r="AB142" s="3015"/>
      <c r="AC142" s="3015"/>
      <c r="AD142" s="3015"/>
      <c r="AE142" s="3015"/>
      <c r="AF142" s="3015"/>
      <c r="AG142" s="3015"/>
      <c r="AH142" s="3015"/>
      <c r="AI142" s="3015"/>
      <c r="AJ142" s="3015"/>
      <c r="AK142" s="3015"/>
      <c r="AL142" s="3015"/>
      <c r="AM142" s="3015"/>
    </row>
    <row r="143" spans="2:39" s="397" customFormat="1" ht="75" customHeight="1">
      <c r="B143" s="3023"/>
      <c r="C143" s="1861"/>
      <c r="D143" s="1861"/>
      <c r="E143" s="1861"/>
      <c r="F143" s="1861"/>
      <c r="G143" s="1861"/>
      <c r="H143" s="1861"/>
      <c r="I143" s="1861"/>
      <c r="J143" s="1861"/>
      <c r="K143" s="1861"/>
      <c r="L143" s="1861"/>
      <c r="M143" s="1861"/>
      <c r="N143" s="1861"/>
      <c r="O143" s="1861"/>
      <c r="P143" s="1861"/>
      <c r="Q143" s="1861"/>
      <c r="R143" s="1861"/>
      <c r="S143" s="1861"/>
      <c r="T143" s="1861"/>
      <c r="U143" s="1861"/>
      <c r="V143" s="1861"/>
      <c r="W143" s="1861"/>
      <c r="X143" s="1861"/>
      <c r="Y143" s="1861"/>
      <c r="Z143" s="1861"/>
      <c r="AA143" s="1861"/>
      <c r="AB143" s="1861"/>
      <c r="AC143" s="1861"/>
      <c r="AD143" s="1861"/>
      <c r="AE143" s="1861"/>
      <c r="AF143" s="1861"/>
      <c r="AG143" s="1861"/>
      <c r="AH143" s="1861"/>
      <c r="AI143" s="1861"/>
      <c r="AJ143" s="1861"/>
      <c r="AK143" s="1861"/>
      <c r="AL143" s="1861"/>
      <c r="AM143" s="1862"/>
    </row>
    <row r="144" spans="2:39" s="397" customFormat="1" ht="18" customHeight="1">
      <c r="B144" s="3015" t="s">
        <v>2487</v>
      </c>
      <c r="C144" s="3015"/>
      <c r="D144" s="3015"/>
      <c r="E144" s="3015"/>
      <c r="F144" s="3015"/>
      <c r="G144" s="3015"/>
      <c r="H144" s="3015"/>
      <c r="I144" s="3015"/>
      <c r="J144" s="3015"/>
      <c r="K144" s="3015"/>
      <c r="L144" s="3015"/>
      <c r="M144" s="3015"/>
      <c r="N144" s="3015"/>
      <c r="O144" s="3015"/>
      <c r="P144" s="3015"/>
      <c r="Q144" s="3015"/>
      <c r="R144" s="3015"/>
      <c r="S144" s="3015"/>
      <c r="T144" s="3015"/>
      <c r="U144" s="3015"/>
      <c r="V144" s="3015"/>
      <c r="W144" s="3015"/>
      <c r="X144" s="3015"/>
      <c r="Y144" s="3015"/>
      <c r="Z144" s="3015"/>
      <c r="AA144" s="3015"/>
      <c r="AB144" s="3015"/>
      <c r="AC144" s="3015"/>
      <c r="AD144" s="3015"/>
      <c r="AE144" s="3015"/>
      <c r="AF144" s="3015"/>
      <c r="AG144" s="3015"/>
      <c r="AH144" s="3015"/>
      <c r="AI144" s="3015"/>
      <c r="AJ144" s="3015"/>
      <c r="AK144" s="3015"/>
      <c r="AL144" s="3015"/>
      <c r="AM144" s="3015"/>
    </row>
    <row r="145" spans="2:41" s="397" customFormat="1" ht="75" customHeight="1">
      <c r="B145" s="3023"/>
      <c r="C145" s="1861"/>
      <c r="D145" s="1861"/>
      <c r="E145" s="1861"/>
      <c r="F145" s="1861"/>
      <c r="G145" s="1861"/>
      <c r="H145" s="1861"/>
      <c r="I145" s="1861"/>
      <c r="J145" s="1861"/>
      <c r="K145" s="1861"/>
      <c r="L145" s="1861"/>
      <c r="M145" s="1861"/>
      <c r="N145" s="1861"/>
      <c r="O145" s="1861"/>
      <c r="P145" s="1861"/>
      <c r="Q145" s="1861"/>
      <c r="R145" s="1861"/>
      <c r="S145" s="1861"/>
      <c r="T145" s="1861"/>
      <c r="U145" s="1861"/>
      <c r="V145" s="1861"/>
      <c r="W145" s="1861"/>
      <c r="X145" s="1861"/>
      <c r="Y145" s="1861"/>
      <c r="Z145" s="1861"/>
      <c r="AA145" s="1861"/>
      <c r="AB145" s="1861"/>
      <c r="AC145" s="1861"/>
      <c r="AD145" s="1861"/>
      <c r="AE145" s="1861"/>
      <c r="AF145" s="1861"/>
      <c r="AG145" s="1861"/>
      <c r="AH145" s="1861"/>
      <c r="AI145" s="1861"/>
      <c r="AJ145" s="1861"/>
      <c r="AK145" s="1861"/>
      <c r="AL145" s="1861"/>
      <c r="AM145" s="1862"/>
    </row>
    <row r="146" spans="2:41" s="397" customFormat="1" ht="18" customHeight="1">
      <c r="B146" s="3015" t="s">
        <v>2490</v>
      </c>
      <c r="C146" s="3015"/>
      <c r="D146" s="3015"/>
      <c r="E146" s="3015"/>
      <c r="F146" s="3015"/>
      <c r="G146" s="3015"/>
      <c r="H146" s="3015"/>
      <c r="I146" s="3015"/>
      <c r="J146" s="3015"/>
      <c r="K146" s="3015"/>
      <c r="L146" s="3015"/>
      <c r="M146" s="3015"/>
      <c r="N146" s="3015"/>
      <c r="O146" s="3015"/>
      <c r="P146" s="3015"/>
      <c r="Q146" s="3015"/>
      <c r="R146" s="3015"/>
      <c r="S146" s="3015"/>
      <c r="T146" s="3015"/>
      <c r="U146" s="3015"/>
      <c r="V146" s="3015"/>
      <c r="W146" s="3015"/>
      <c r="X146" s="3015"/>
      <c r="Y146" s="3015"/>
      <c r="Z146" s="3015"/>
      <c r="AA146" s="3015"/>
      <c r="AB146" s="3015"/>
      <c r="AC146" s="3015"/>
      <c r="AD146" s="3015"/>
      <c r="AE146" s="3015"/>
      <c r="AF146" s="3015"/>
      <c r="AG146" s="3015"/>
      <c r="AH146" s="3015"/>
      <c r="AI146" s="3015"/>
      <c r="AJ146" s="3015"/>
      <c r="AK146" s="3015"/>
      <c r="AL146" s="3015"/>
      <c r="AM146" s="3015"/>
    </row>
    <row r="147" spans="2:41" s="397" customFormat="1" ht="75" customHeight="1">
      <c r="B147" s="3023"/>
      <c r="C147" s="1861"/>
      <c r="D147" s="1861"/>
      <c r="E147" s="1861"/>
      <c r="F147" s="1861"/>
      <c r="G147" s="1861"/>
      <c r="H147" s="1861"/>
      <c r="I147" s="1861"/>
      <c r="J147" s="1861"/>
      <c r="K147" s="1861"/>
      <c r="L147" s="1861"/>
      <c r="M147" s="1861"/>
      <c r="N147" s="1861"/>
      <c r="O147" s="1861"/>
      <c r="P147" s="1861"/>
      <c r="Q147" s="1861"/>
      <c r="R147" s="1861"/>
      <c r="S147" s="1861"/>
      <c r="T147" s="1861"/>
      <c r="U147" s="1861"/>
      <c r="V147" s="1861"/>
      <c r="W147" s="1861"/>
      <c r="X147" s="1861"/>
      <c r="Y147" s="1861"/>
      <c r="Z147" s="1861"/>
      <c r="AA147" s="1861"/>
      <c r="AB147" s="1861"/>
      <c r="AC147" s="1861"/>
      <c r="AD147" s="1861"/>
      <c r="AE147" s="1861"/>
      <c r="AF147" s="1861"/>
      <c r="AG147" s="1861"/>
      <c r="AH147" s="1861"/>
      <c r="AI147" s="1861"/>
      <c r="AJ147" s="1861"/>
      <c r="AK147" s="1861"/>
      <c r="AL147" s="1861"/>
      <c r="AM147" s="1862"/>
    </row>
    <row r="148" spans="2:41" s="397" customFormat="1" ht="18" customHeight="1">
      <c r="B148" s="3015" t="s">
        <v>2487</v>
      </c>
      <c r="C148" s="3015"/>
      <c r="D148" s="3015"/>
      <c r="E148" s="3015"/>
      <c r="F148" s="3015"/>
      <c r="G148" s="3015"/>
      <c r="H148" s="3015"/>
      <c r="I148" s="3015"/>
      <c r="J148" s="3015"/>
      <c r="K148" s="3015"/>
      <c r="L148" s="3015"/>
      <c r="M148" s="3015"/>
      <c r="N148" s="3015"/>
      <c r="O148" s="3015"/>
      <c r="P148" s="3015"/>
      <c r="Q148" s="3015"/>
      <c r="R148" s="3015"/>
      <c r="S148" s="3015"/>
      <c r="T148" s="3015"/>
      <c r="U148" s="3015"/>
      <c r="V148" s="3015"/>
      <c r="W148" s="3015"/>
      <c r="X148" s="3015"/>
      <c r="Y148" s="3015"/>
      <c r="Z148" s="3015"/>
      <c r="AA148" s="3015"/>
      <c r="AB148" s="3015"/>
      <c r="AC148" s="3015"/>
      <c r="AD148" s="3015"/>
      <c r="AE148" s="3015"/>
      <c r="AF148" s="3015"/>
      <c r="AG148" s="3015"/>
      <c r="AH148" s="3015"/>
      <c r="AI148" s="3015"/>
      <c r="AJ148" s="3015"/>
      <c r="AK148" s="3015"/>
      <c r="AL148" s="3015"/>
      <c r="AM148" s="3015"/>
    </row>
    <row r="149" spans="2:41" s="397" customFormat="1" ht="75" customHeight="1">
      <c r="B149" s="3023"/>
      <c r="C149" s="1861"/>
      <c r="D149" s="1861"/>
      <c r="E149" s="1861"/>
      <c r="F149" s="1861"/>
      <c r="G149" s="1861"/>
      <c r="H149" s="1861"/>
      <c r="I149" s="1861"/>
      <c r="J149" s="1861"/>
      <c r="K149" s="1861"/>
      <c r="L149" s="1861"/>
      <c r="M149" s="1861"/>
      <c r="N149" s="1861"/>
      <c r="O149" s="1861"/>
      <c r="P149" s="1861"/>
      <c r="Q149" s="1861"/>
      <c r="R149" s="1861"/>
      <c r="S149" s="1861"/>
      <c r="T149" s="1861"/>
      <c r="U149" s="1861"/>
      <c r="V149" s="1861"/>
      <c r="W149" s="1861"/>
      <c r="X149" s="1861"/>
      <c r="Y149" s="1861"/>
      <c r="Z149" s="1861"/>
      <c r="AA149" s="1861"/>
      <c r="AB149" s="1861"/>
      <c r="AC149" s="1861"/>
      <c r="AD149" s="1861"/>
      <c r="AE149" s="1861"/>
      <c r="AF149" s="1861"/>
      <c r="AG149" s="1861"/>
      <c r="AH149" s="1861"/>
      <c r="AI149" s="1861"/>
      <c r="AJ149" s="1861"/>
      <c r="AK149" s="1861"/>
      <c r="AL149" s="1861"/>
      <c r="AM149" s="1862"/>
    </row>
    <row r="150" spans="2:41" s="397" customFormat="1" ht="36" customHeight="1">
      <c r="B150" s="2181" t="s">
        <v>2491</v>
      </c>
      <c r="C150" s="3015"/>
      <c r="D150" s="3015"/>
      <c r="E150" s="3015"/>
      <c r="F150" s="3015"/>
      <c r="G150" s="3015"/>
      <c r="H150" s="3015"/>
      <c r="I150" s="3015"/>
      <c r="J150" s="3015"/>
      <c r="K150" s="3015"/>
      <c r="L150" s="3015"/>
      <c r="M150" s="3015"/>
      <c r="N150" s="3015"/>
      <c r="O150" s="3015"/>
      <c r="P150" s="3015"/>
      <c r="Q150" s="3015"/>
      <c r="R150" s="3015"/>
      <c r="S150" s="3015"/>
      <c r="T150" s="3015"/>
      <c r="U150" s="3015"/>
      <c r="V150" s="3015"/>
      <c r="W150" s="3015"/>
      <c r="X150" s="3015"/>
      <c r="Y150" s="3015"/>
      <c r="Z150" s="3015"/>
      <c r="AA150" s="3015"/>
      <c r="AB150" s="3015"/>
      <c r="AC150" s="3015"/>
      <c r="AD150" s="3015"/>
      <c r="AE150" s="3015"/>
      <c r="AF150" s="3015"/>
      <c r="AG150" s="3015"/>
      <c r="AH150" s="3015"/>
      <c r="AI150" s="3015"/>
      <c r="AJ150" s="3015"/>
      <c r="AK150" s="3015"/>
      <c r="AL150" s="3015"/>
      <c r="AM150" s="3015"/>
    </row>
    <row r="151" spans="2:41" s="397" customFormat="1" ht="75" customHeight="1">
      <c r="B151" s="3023"/>
      <c r="C151" s="1861"/>
      <c r="D151" s="1861"/>
      <c r="E151" s="1861"/>
      <c r="F151" s="1861"/>
      <c r="G151" s="1861"/>
      <c r="H151" s="1861"/>
      <c r="I151" s="1861"/>
      <c r="J151" s="1861"/>
      <c r="K151" s="1861"/>
      <c r="L151" s="1861"/>
      <c r="M151" s="1861"/>
      <c r="N151" s="1861"/>
      <c r="O151" s="1861"/>
      <c r="P151" s="1861"/>
      <c r="Q151" s="1861"/>
      <c r="R151" s="1861"/>
      <c r="S151" s="1861"/>
      <c r="T151" s="1861"/>
      <c r="U151" s="1861"/>
      <c r="V151" s="1861"/>
      <c r="W151" s="1861"/>
      <c r="X151" s="1861"/>
      <c r="Y151" s="1861"/>
      <c r="Z151" s="1861"/>
      <c r="AA151" s="1861"/>
      <c r="AB151" s="1861"/>
      <c r="AC151" s="1861"/>
      <c r="AD151" s="1861"/>
      <c r="AE151" s="1861"/>
      <c r="AF151" s="1861"/>
      <c r="AG151" s="1861"/>
      <c r="AH151" s="1861"/>
      <c r="AI151" s="1861"/>
      <c r="AJ151" s="1861"/>
      <c r="AK151" s="1861"/>
      <c r="AL151" s="1861"/>
      <c r="AM151" s="1862"/>
    </row>
    <row r="152" spans="2:41" s="397" customFormat="1" ht="18" customHeight="1">
      <c r="B152" s="3015" t="s">
        <v>2487</v>
      </c>
      <c r="C152" s="3015"/>
      <c r="D152" s="3015"/>
      <c r="E152" s="3015"/>
      <c r="F152" s="3015"/>
      <c r="G152" s="3015"/>
      <c r="H152" s="3015"/>
      <c r="I152" s="3015"/>
      <c r="J152" s="3015"/>
      <c r="K152" s="3015"/>
      <c r="L152" s="3015"/>
      <c r="M152" s="3015"/>
      <c r="N152" s="3015"/>
      <c r="O152" s="3015"/>
      <c r="P152" s="3015"/>
      <c r="Q152" s="3015"/>
      <c r="R152" s="3015"/>
      <c r="S152" s="3015"/>
      <c r="T152" s="3015"/>
      <c r="U152" s="3015"/>
      <c r="V152" s="3015"/>
      <c r="W152" s="3015"/>
      <c r="X152" s="3015"/>
      <c r="Y152" s="3015"/>
      <c r="Z152" s="3015"/>
      <c r="AA152" s="3015"/>
      <c r="AB152" s="3015"/>
      <c r="AC152" s="3015"/>
      <c r="AD152" s="3015"/>
      <c r="AE152" s="3015"/>
      <c r="AF152" s="3015"/>
      <c r="AG152" s="3015"/>
      <c r="AH152" s="3015"/>
      <c r="AI152" s="3015"/>
      <c r="AJ152" s="3015"/>
      <c r="AK152" s="3015"/>
      <c r="AL152" s="3015"/>
      <c r="AM152" s="3015"/>
    </row>
    <row r="153" spans="2:41" s="397" customFormat="1" ht="75" customHeight="1">
      <c r="B153" s="3023"/>
      <c r="C153" s="1861"/>
      <c r="D153" s="1861"/>
      <c r="E153" s="1861"/>
      <c r="F153" s="1861"/>
      <c r="G153" s="1861"/>
      <c r="H153" s="1861"/>
      <c r="I153" s="1861"/>
      <c r="J153" s="1861"/>
      <c r="K153" s="1861"/>
      <c r="L153" s="1861"/>
      <c r="M153" s="1861"/>
      <c r="N153" s="1861"/>
      <c r="O153" s="1861"/>
      <c r="P153" s="1861"/>
      <c r="Q153" s="1861"/>
      <c r="R153" s="1861"/>
      <c r="S153" s="1861"/>
      <c r="T153" s="1861"/>
      <c r="U153" s="1861"/>
      <c r="V153" s="1861"/>
      <c r="W153" s="1861"/>
      <c r="X153" s="1861"/>
      <c r="Y153" s="1861"/>
      <c r="Z153" s="1861"/>
      <c r="AA153" s="1861"/>
      <c r="AB153" s="1861"/>
      <c r="AC153" s="1861"/>
      <c r="AD153" s="1861"/>
      <c r="AE153" s="1861"/>
      <c r="AF153" s="1861"/>
      <c r="AG153" s="1861"/>
      <c r="AH153" s="1861"/>
      <c r="AI153" s="1861"/>
      <c r="AJ153" s="1861"/>
      <c r="AK153" s="1861"/>
      <c r="AL153" s="1861"/>
      <c r="AM153" s="1862"/>
    </row>
    <row r="154" spans="2:41" s="397" customFormat="1" ht="18" customHeight="1">
      <c r="B154" s="2181" t="s">
        <v>2492</v>
      </c>
      <c r="C154" s="3015"/>
      <c r="D154" s="3015"/>
      <c r="E154" s="3015"/>
      <c r="F154" s="3015"/>
      <c r="G154" s="3015"/>
      <c r="H154" s="3015"/>
      <c r="I154" s="3015"/>
      <c r="J154" s="3015"/>
      <c r="K154" s="3015"/>
      <c r="L154" s="3015"/>
      <c r="M154" s="3015"/>
      <c r="N154" s="3015"/>
      <c r="O154" s="3015"/>
      <c r="P154" s="3015"/>
      <c r="Q154" s="3015"/>
      <c r="R154" s="3015"/>
      <c r="S154" s="3015"/>
      <c r="T154" s="3015"/>
      <c r="U154" s="3015"/>
      <c r="V154" s="3015"/>
      <c r="W154" s="3015"/>
      <c r="X154" s="3015"/>
      <c r="Y154" s="3015"/>
      <c r="Z154" s="3015"/>
      <c r="AA154" s="3015"/>
      <c r="AB154" s="3015"/>
      <c r="AC154" s="3015"/>
      <c r="AD154" s="3015"/>
      <c r="AE154" s="3015"/>
      <c r="AF154" s="3015"/>
      <c r="AG154" s="3015"/>
      <c r="AH154" s="3015"/>
      <c r="AI154" s="3015"/>
      <c r="AJ154" s="3015"/>
      <c r="AK154" s="3015"/>
      <c r="AL154" s="3015"/>
      <c r="AM154" s="3015"/>
    </row>
    <row r="155" spans="2:41" s="397" customFormat="1" ht="75" customHeight="1">
      <c r="B155" s="3023"/>
      <c r="C155" s="1861"/>
      <c r="D155" s="1861"/>
      <c r="E155" s="1861"/>
      <c r="F155" s="1861"/>
      <c r="G155" s="1861"/>
      <c r="H155" s="1861"/>
      <c r="I155" s="1861"/>
      <c r="J155" s="1861"/>
      <c r="K155" s="1861"/>
      <c r="L155" s="1861"/>
      <c r="M155" s="1861"/>
      <c r="N155" s="1861"/>
      <c r="O155" s="1861"/>
      <c r="P155" s="1861"/>
      <c r="Q155" s="1861"/>
      <c r="R155" s="1861"/>
      <c r="S155" s="1861"/>
      <c r="T155" s="1861"/>
      <c r="U155" s="1861"/>
      <c r="V155" s="1861"/>
      <c r="W155" s="1861"/>
      <c r="X155" s="1861"/>
      <c r="Y155" s="1861"/>
      <c r="Z155" s="1861"/>
      <c r="AA155" s="1861"/>
      <c r="AB155" s="1861"/>
      <c r="AC155" s="1861"/>
      <c r="AD155" s="1861"/>
      <c r="AE155" s="1861"/>
      <c r="AF155" s="1861"/>
      <c r="AG155" s="1861"/>
      <c r="AH155" s="1861"/>
      <c r="AI155" s="1861"/>
      <c r="AJ155" s="1861"/>
      <c r="AK155" s="1861"/>
      <c r="AL155" s="1861"/>
      <c r="AM155" s="1862"/>
    </row>
    <row r="156" spans="2:41" s="397" customFormat="1" ht="18" customHeight="1">
      <c r="B156" s="3015" t="s">
        <v>2487</v>
      </c>
      <c r="C156" s="3015"/>
      <c r="D156" s="3015"/>
      <c r="E156" s="3015"/>
      <c r="F156" s="3015"/>
      <c r="G156" s="3015"/>
      <c r="H156" s="3015"/>
      <c r="I156" s="3015"/>
      <c r="J156" s="3015"/>
      <c r="K156" s="3015"/>
      <c r="L156" s="3015"/>
      <c r="M156" s="3015"/>
      <c r="N156" s="3015"/>
      <c r="O156" s="3015"/>
      <c r="P156" s="3015"/>
      <c r="Q156" s="3015"/>
      <c r="R156" s="3015"/>
      <c r="S156" s="3015"/>
      <c r="T156" s="3015"/>
      <c r="U156" s="3015"/>
      <c r="V156" s="3015"/>
      <c r="W156" s="3015"/>
      <c r="X156" s="3015"/>
      <c r="Y156" s="3015"/>
      <c r="Z156" s="3015"/>
      <c r="AA156" s="3015"/>
      <c r="AB156" s="3015"/>
      <c r="AC156" s="3015"/>
      <c r="AD156" s="3015"/>
      <c r="AE156" s="3015"/>
      <c r="AF156" s="3015"/>
      <c r="AG156" s="3015"/>
      <c r="AH156" s="3015"/>
      <c r="AI156" s="3015"/>
      <c r="AJ156" s="3015"/>
      <c r="AK156" s="3015"/>
      <c r="AL156" s="3015"/>
      <c r="AM156" s="3015"/>
    </row>
    <row r="157" spans="2:41" s="397" customFormat="1" ht="75" customHeight="1">
      <c r="B157" s="3023"/>
      <c r="C157" s="1861"/>
      <c r="D157" s="1861"/>
      <c r="E157" s="1861"/>
      <c r="F157" s="1861"/>
      <c r="G157" s="1861"/>
      <c r="H157" s="1861"/>
      <c r="I157" s="1861"/>
      <c r="J157" s="1861"/>
      <c r="K157" s="1861"/>
      <c r="L157" s="1861"/>
      <c r="M157" s="1861"/>
      <c r="N157" s="1861"/>
      <c r="O157" s="1861"/>
      <c r="P157" s="1861"/>
      <c r="Q157" s="1861"/>
      <c r="R157" s="1861"/>
      <c r="S157" s="1861"/>
      <c r="T157" s="1861"/>
      <c r="U157" s="1861"/>
      <c r="V157" s="1861"/>
      <c r="W157" s="1861"/>
      <c r="X157" s="1861"/>
      <c r="Y157" s="1861"/>
      <c r="Z157" s="1861"/>
      <c r="AA157" s="1861"/>
      <c r="AB157" s="1861"/>
      <c r="AC157" s="1861"/>
      <c r="AD157" s="1861"/>
      <c r="AE157" s="1861"/>
      <c r="AF157" s="1861"/>
      <c r="AG157" s="1861"/>
      <c r="AH157" s="1861"/>
      <c r="AI157" s="1861"/>
      <c r="AJ157" s="1861"/>
      <c r="AK157" s="1861"/>
      <c r="AL157" s="1861"/>
      <c r="AM157" s="1862"/>
    </row>
    <row r="158" spans="2:41" s="397" customFormat="1" ht="36" customHeight="1">
      <c r="B158" s="2181" t="s">
        <v>2493</v>
      </c>
      <c r="C158" s="3015"/>
      <c r="D158" s="3015"/>
      <c r="E158" s="3015"/>
      <c r="F158" s="3015"/>
      <c r="G158" s="3015"/>
      <c r="H158" s="3015"/>
      <c r="I158" s="3015"/>
      <c r="J158" s="3015"/>
      <c r="K158" s="3015"/>
      <c r="L158" s="3015"/>
      <c r="M158" s="3015"/>
      <c r="N158" s="3015"/>
      <c r="O158" s="3015"/>
      <c r="P158" s="3015"/>
      <c r="Q158" s="3015"/>
      <c r="R158" s="3015"/>
      <c r="S158" s="3015"/>
      <c r="T158" s="3015"/>
      <c r="U158" s="3015"/>
      <c r="V158" s="3015"/>
      <c r="W158" s="3015"/>
      <c r="X158" s="3015"/>
      <c r="Y158" s="3015"/>
      <c r="Z158" s="3015"/>
      <c r="AA158" s="3015"/>
      <c r="AB158" s="3015"/>
      <c r="AC158" s="3015"/>
      <c r="AD158" s="3015"/>
      <c r="AE158" s="3015"/>
      <c r="AF158" s="3015"/>
      <c r="AG158" s="3015"/>
      <c r="AH158" s="3015"/>
      <c r="AI158" s="3015"/>
      <c r="AJ158" s="3015"/>
      <c r="AK158" s="3015"/>
      <c r="AL158" s="3015"/>
      <c r="AM158" s="3015"/>
      <c r="AO158" s="399"/>
    </row>
    <row r="159" spans="2:41" s="397" customFormat="1" ht="18" customHeight="1">
      <c r="B159" s="2466" t="s">
        <v>2494</v>
      </c>
      <c r="C159" s="3015"/>
      <c r="D159" s="3015"/>
      <c r="E159" s="3015"/>
      <c r="F159" s="3015"/>
      <c r="G159" s="3015"/>
      <c r="H159" s="3015"/>
      <c r="I159" s="3015"/>
      <c r="J159" s="3015"/>
      <c r="K159" s="3015"/>
      <c r="L159" s="3015"/>
      <c r="M159" s="3015"/>
      <c r="N159" s="3015"/>
      <c r="O159" s="3015"/>
      <c r="P159" s="3015"/>
      <c r="Q159" s="3015"/>
      <c r="R159" s="3015"/>
      <c r="S159" s="3015"/>
      <c r="T159" s="3015"/>
      <c r="U159" s="3015"/>
      <c r="V159" s="3015"/>
      <c r="W159" s="3015"/>
      <c r="X159" s="3015"/>
      <c r="Y159" s="3015"/>
      <c r="Z159" s="3015"/>
      <c r="AA159" s="3015"/>
      <c r="AB159" s="3015"/>
      <c r="AC159" s="3015"/>
      <c r="AD159" s="3015"/>
      <c r="AE159" s="3015"/>
      <c r="AF159" s="3015"/>
      <c r="AG159" s="3015"/>
      <c r="AH159" s="3015"/>
      <c r="AI159" s="3015"/>
      <c r="AJ159" s="3015"/>
      <c r="AK159" s="3015"/>
      <c r="AL159" s="3015"/>
      <c r="AM159" s="3015"/>
    </row>
    <row r="160" spans="2:41" s="397" customFormat="1" ht="75" customHeight="1">
      <c r="B160" s="2445"/>
      <c r="C160" s="1861"/>
      <c r="D160" s="1861"/>
      <c r="E160" s="1861"/>
      <c r="F160" s="1861"/>
      <c r="G160" s="1861"/>
      <c r="H160" s="1861"/>
      <c r="I160" s="1861"/>
      <c r="J160" s="1861"/>
      <c r="K160" s="1861"/>
      <c r="L160" s="1861"/>
      <c r="M160" s="1861"/>
      <c r="N160" s="1861"/>
      <c r="O160" s="1861"/>
      <c r="P160" s="1861"/>
      <c r="Q160" s="1861"/>
      <c r="R160" s="1861"/>
      <c r="S160" s="1861"/>
      <c r="T160" s="1861"/>
      <c r="U160" s="1861"/>
      <c r="V160" s="1861"/>
      <c r="W160" s="1861"/>
      <c r="X160" s="1861"/>
      <c r="Y160" s="1861"/>
      <c r="Z160" s="1861"/>
      <c r="AA160" s="1861"/>
      <c r="AB160" s="1861"/>
      <c r="AC160" s="1861"/>
      <c r="AD160" s="1861"/>
      <c r="AE160" s="1861"/>
      <c r="AF160" s="1861"/>
      <c r="AG160" s="1861"/>
      <c r="AH160" s="1861"/>
      <c r="AI160" s="1861"/>
      <c r="AJ160" s="1861"/>
      <c r="AK160" s="1861"/>
      <c r="AL160" s="1861"/>
      <c r="AM160" s="1862"/>
    </row>
    <row r="161" spans="2:39" s="397" customFormat="1" ht="18" customHeight="1">
      <c r="B161" s="2181" t="s">
        <v>2495</v>
      </c>
      <c r="C161" s="3015"/>
      <c r="D161" s="3015"/>
      <c r="E161" s="3015"/>
      <c r="F161" s="3015"/>
      <c r="G161" s="3015"/>
      <c r="H161" s="3015"/>
      <c r="I161" s="3015"/>
      <c r="J161" s="3015"/>
      <c r="K161" s="3015"/>
      <c r="L161" s="3015"/>
      <c r="M161" s="3015"/>
      <c r="N161" s="3015"/>
      <c r="O161" s="3015"/>
      <c r="P161" s="3015"/>
      <c r="Q161" s="3015"/>
      <c r="R161" s="3015"/>
      <c r="S161" s="3015"/>
      <c r="T161" s="3015"/>
      <c r="U161" s="3015"/>
      <c r="V161" s="3015"/>
      <c r="W161" s="3015"/>
      <c r="X161" s="3015"/>
      <c r="Y161" s="3015"/>
      <c r="Z161" s="3015"/>
      <c r="AA161" s="3015"/>
      <c r="AB161" s="3015"/>
      <c r="AC161" s="3015"/>
      <c r="AD161" s="3015"/>
      <c r="AE161" s="3015"/>
      <c r="AF161" s="3015"/>
      <c r="AG161" s="3015"/>
      <c r="AH161" s="3015"/>
      <c r="AI161" s="3015"/>
      <c r="AJ161" s="3015"/>
      <c r="AK161" s="3015"/>
      <c r="AL161" s="3015"/>
      <c r="AM161" s="3015"/>
    </row>
    <row r="162" spans="2:39" s="397" customFormat="1" ht="75" customHeight="1">
      <c r="B162" s="2445"/>
      <c r="C162" s="1861"/>
      <c r="D162" s="1861"/>
      <c r="E162" s="1861"/>
      <c r="F162" s="1861"/>
      <c r="G162" s="1861"/>
      <c r="H162" s="1861"/>
      <c r="I162" s="1861"/>
      <c r="J162" s="1861"/>
      <c r="K162" s="1861"/>
      <c r="L162" s="1861"/>
      <c r="M162" s="1861"/>
      <c r="N162" s="1861"/>
      <c r="O162" s="1861"/>
      <c r="P162" s="1861"/>
      <c r="Q162" s="1861"/>
      <c r="R162" s="1861"/>
      <c r="S162" s="1861"/>
      <c r="T162" s="1861"/>
      <c r="U162" s="1861"/>
      <c r="V162" s="1861"/>
      <c r="W162" s="1861"/>
      <c r="X162" s="1861"/>
      <c r="Y162" s="1861"/>
      <c r="Z162" s="1861"/>
      <c r="AA162" s="1861"/>
      <c r="AB162" s="1861"/>
      <c r="AC162" s="1861"/>
      <c r="AD162" s="1861"/>
      <c r="AE162" s="1861"/>
      <c r="AF162" s="1861"/>
      <c r="AG162" s="1861"/>
      <c r="AH162" s="1861"/>
      <c r="AI162" s="1861"/>
      <c r="AJ162" s="1861"/>
      <c r="AK162" s="1861"/>
      <c r="AL162" s="1861"/>
      <c r="AM162" s="1862"/>
    </row>
    <row r="163" spans="2:39" s="397" customFormat="1" ht="18" customHeight="1">
      <c r="B163" s="2466" t="s">
        <v>2496</v>
      </c>
      <c r="C163" s="3015"/>
      <c r="D163" s="3015"/>
      <c r="E163" s="3015"/>
      <c r="F163" s="3015"/>
      <c r="G163" s="3015"/>
      <c r="H163" s="3015"/>
      <c r="I163" s="3015"/>
      <c r="J163" s="3015"/>
      <c r="K163" s="3015"/>
      <c r="L163" s="3015"/>
      <c r="M163" s="3015"/>
      <c r="N163" s="3015"/>
      <c r="O163" s="3015"/>
      <c r="P163" s="3015"/>
      <c r="Q163" s="3015"/>
      <c r="R163" s="3015"/>
      <c r="S163" s="3015"/>
      <c r="T163" s="3015"/>
      <c r="U163" s="3015"/>
      <c r="V163" s="3015"/>
      <c r="W163" s="3015"/>
      <c r="X163" s="3015"/>
      <c r="Y163" s="3015"/>
      <c r="Z163" s="3015"/>
      <c r="AA163" s="3015"/>
      <c r="AB163" s="3015"/>
      <c r="AC163" s="3015"/>
      <c r="AD163" s="3015"/>
      <c r="AE163" s="3015"/>
      <c r="AF163" s="3015"/>
      <c r="AG163" s="3015"/>
      <c r="AH163" s="3015"/>
      <c r="AI163" s="3015"/>
      <c r="AJ163" s="3015"/>
      <c r="AK163" s="3015"/>
      <c r="AL163" s="3015"/>
      <c r="AM163" s="3015"/>
    </row>
    <row r="164" spans="2:39" s="397" customFormat="1" ht="75" customHeight="1">
      <c r="B164" s="2445"/>
      <c r="C164" s="1861"/>
      <c r="D164" s="1861"/>
      <c r="E164" s="1861"/>
      <c r="F164" s="1861"/>
      <c r="G164" s="1861"/>
      <c r="H164" s="1861"/>
      <c r="I164" s="1861"/>
      <c r="J164" s="1861"/>
      <c r="K164" s="1861"/>
      <c r="L164" s="1861"/>
      <c r="M164" s="1861"/>
      <c r="N164" s="1861"/>
      <c r="O164" s="1861"/>
      <c r="P164" s="1861"/>
      <c r="Q164" s="1861"/>
      <c r="R164" s="1861"/>
      <c r="S164" s="1861"/>
      <c r="T164" s="1861"/>
      <c r="U164" s="1861"/>
      <c r="V164" s="1861"/>
      <c r="W164" s="1861"/>
      <c r="X164" s="1861"/>
      <c r="Y164" s="1861"/>
      <c r="Z164" s="1861"/>
      <c r="AA164" s="1861"/>
      <c r="AB164" s="1861"/>
      <c r="AC164" s="1861"/>
      <c r="AD164" s="1861"/>
      <c r="AE164" s="1861"/>
      <c r="AF164" s="1861"/>
      <c r="AG164" s="1861"/>
      <c r="AH164" s="1861"/>
      <c r="AI164" s="1861"/>
      <c r="AJ164" s="1861"/>
      <c r="AK164" s="1861"/>
      <c r="AL164" s="1861"/>
      <c r="AM164" s="1862"/>
    </row>
    <row r="165" spans="2:39" s="397" customFormat="1" ht="18" customHeight="1">
      <c r="B165" s="2181" t="s">
        <v>2495</v>
      </c>
      <c r="C165" s="3015"/>
      <c r="D165" s="3015"/>
      <c r="E165" s="3015"/>
      <c r="F165" s="3015"/>
      <c r="G165" s="3015"/>
      <c r="H165" s="3015"/>
      <c r="I165" s="3015"/>
      <c r="J165" s="3015"/>
      <c r="K165" s="3015"/>
      <c r="L165" s="3015"/>
      <c r="M165" s="3015"/>
      <c r="N165" s="3015"/>
      <c r="O165" s="3015"/>
      <c r="P165" s="3015"/>
      <c r="Q165" s="3015"/>
      <c r="R165" s="3015"/>
      <c r="S165" s="3015"/>
      <c r="T165" s="3015"/>
      <c r="U165" s="3015"/>
      <c r="V165" s="3015"/>
      <c r="W165" s="3015"/>
      <c r="X165" s="3015"/>
      <c r="Y165" s="3015"/>
      <c r="Z165" s="3015"/>
      <c r="AA165" s="3015"/>
      <c r="AB165" s="3015"/>
      <c r="AC165" s="3015"/>
      <c r="AD165" s="3015"/>
      <c r="AE165" s="3015"/>
      <c r="AF165" s="3015"/>
      <c r="AG165" s="3015"/>
      <c r="AH165" s="3015"/>
      <c r="AI165" s="3015"/>
      <c r="AJ165" s="3015"/>
      <c r="AK165" s="3015"/>
      <c r="AL165" s="3015"/>
      <c r="AM165" s="3015"/>
    </row>
    <row r="166" spans="2:39" s="397" customFormat="1" ht="75" customHeight="1">
      <c r="B166" s="3023"/>
      <c r="C166" s="1861"/>
      <c r="D166" s="1861"/>
      <c r="E166" s="1861"/>
      <c r="F166" s="1861"/>
      <c r="G166" s="1861"/>
      <c r="H166" s="1861"/>
      <c r="I166" s="1861"/>
      <c r="J166" s="1861"/>
      <c r="K166" s="1861"/>
      <c r="L166" s="1861"/>
      <c r="M166" s="1861"/>
      <c r="N166" s="1861"/>
      <c r="O166" s="1861"/>
      <c r="P166" s="1861"/>
      <c r="Q166" s="1861"/>
      <c r="R166" s="1861"/>
      <c r="S166" s="1861"/>
      <c r="T166" s="1861"/>
      <c r="U166" s="1861"/>
      <c r="V166" s="1861"/>
      <c r="W166" s="1861"/>
      <c r="X166" s="1861"/>
      <c r="Y166" s="1861"/>
      <c r="Z166" s="1861"/>
      <c r="AA166" s="1861"/>
      <c r="AB166" s="1861"/>
      <c r="AC166" s="1861"/>
      <c r="AD166" s="1861"/>
      <c r="AE166" s="1861"/>
      <c r="AF166" s="1861"/>
      <c r="AG166" s="1861"/>
      <c r="AH166" s="1861"/>
      <c r="AI166" s="1861"/>
      <c r="AJ166" s="1861"/>
      <c r="AK166" s="1861"/>
      <c r="AL166" s="1861"/>
      <c r="AM166" s="1862"/>
    </row>
    <row r="167" spans="2:39" s="397" customFormat="1" ht="18" customHeight="1">
      <c r="B167" s="3015" t="s">
        <v>2497</v>
      </c>
      <c r="C167" s="3015"/>
      <c r="D167" s="3015"/>
      <c r="E167" s="3015"/>
      <c r="F167" s="3015"/>
      <c r="G167" s="3015"/>
      <c r="H167" s="3015"/>
      <c r="I167" s="3015"/>
      <c r="J167" s="3015"/>
      <c r="K167" s="3015"/>
      <c r="L167" s="3015"/>
      <c r="M167" s="3015"/>
      <c r="N167" s="3015"/>
      <c r="O167" s="3015"/>
      <c r="P167" s="3015"/>
      <c r="Q167" s="3015"/>
      <c r="R167" s="3015"/>
      <c r="S167" s="3015"/>
      <c r="T167" s="3015"/>
      <c r="U167" s="3015"/>
      <c r="V167" s="3015"/>
      <c r="W167" s="3015"/>
      <c r="X167" s="3015"/>
      <c r="Y167" s="3015"/>
      <c r="Z167" s="3015"/>
      <c r="AA167" s="3015"/>
      <c r="AB167" s="3015"/>
      <c r="AC167" s="3015"/>
      <c r="AD167" s="3015"/>
      <c r="AE167" s="3015"/>
      <c r="AF167" s="3015"/>
      <c r="AG167" s="3015"/>
      <c r="AH167" s="3015"/>
      <c r="AI167" s="3015"/>
      <c r="AJ167" s="3015"/>
      <c r="AK167" s="3015"/>
      <c r="AL167" s="3015"/>
      <c r="AM167" s="3015"/>
    </row>
    <row r="168" spans="2:39" s="397" customFormat="1" ht="75" customHeight="1">
      <c r="B168" s="3023"/>
      <c r="C168" s="1861"/>
      <c r="D168" s="1861"/>
      <c r="E168" s="1861"/>
      <c r="F168" s="1861"/>
      <c r="G168" s="1861"/>
      <c r="H168" s="1861"/>
      <c r="I168" s="1861"/>
      <c r="J168" s="1861"/>
      <c r="K168" s="1861"/>
      <c r="L168" s="1861"/>
      <c r="M168" s="1861"/>
      <c r="N168" s="1861"/>
      <c r="O168" s="1861"/>
      <c r="P168" s="1861"/>
      <c r="Q168" s="1861"/>
      <c r="R168" s="1861"/>
      <c r="S168" s="1861"/>
      <c r="T168" s="1861"/>
      <c r="U168" s="1861"/>
      <c r="V168" s="1861"/>
      <c r="W168" s="1861"/>
      <c r="X168" s="1861"/>
      <c r="Y168" s="1861"/>
      <c r="Z168" s="1861"/>
      <c r="AA168" s="1861"/>
      <c r="AB168" s="1861"/>
      <c r="AC168" s="1861"/>
      <c r="AD168" s="1861"/>
      <c r="AE168" s="1861"/>
      <c r="AF168" s="1861"/>
      <c r="AG168" s="1861"/>
      <c r="AH168" s="1861"/>
      <c r="AI168" s="1861"/>
      <c r="AJ168" s="1861"/>
      <c r="AK168" s="1861"/>
      <c r="AL168" s="1861"/>
      <c r="AM168" s="1862"/>
    </row>
    <row r="169" spans="2:39" s="397" customFormat="1" ht="18" customHeight="1">
      <c r="B169" s="2181" t="s">
        <v>2495</v>
      </c>
      <c r="C169" s="3015"/>
      <c r="D169" s="3015"/>
      <c r="E169" s="3015"/>
      <c r="F169" s="3015"/>
      <c r="G169" s="3015"/>
      <c r="H169" s="3015"/>
      <c r="I169" s="3015"/>
      <c r="J169" s="3015"/>
      <c r="K169" s="3015"/>
      <c r="L169" s="3015"/>
      <c r="M169" s="3015"/>
      <c r="N169" s="3015"/>
      <c r="O169" s="3015"/>
      <c r="P169" s="3015"/>
      <c r="Q169" s="3015"/>
      <c r="R169" s="3015"/>
      <c r="S169" s="3015"/>
      <c r="T169" s="3015"/>
      <c r="U169" s="3015"/>
      <c r="V169" s="3015"/>
      <c r="W169" s="3015"/>
      <c r="X169" s="3015"/>
      <c r="Y169" s="3015"/>
      <c r="Z169" s="3015"/>
      <c r="AA169" s="3015"/>
      <c r="AB169" s="3015"/>
      <c r="AC169" s="3015"/>
      <c r="AD169" s="3015"/>
      <c r="AE169" s="3015"/>
      <c r="AF169" s="3015"/>
      <c r="AG169" s="3015"/>
      <c r="AH169" s="3015"/>
      <c r="AI169" s="3015"/>
      <c r="AJ169" s="3015"/>
      <c r="AK169" s="3015"/>
      <c r="AL169" s="3015"/>
      <c r="AM169" s="3015"/>
    </row>
    <row r="170" spans="2:39" s="397" customFormat="1" ht="75" customHeight="1">
      <c r="B170" s="3023"/>
      <c r="C170" s="1861"/>
      <c r="D170" s="1861"/>
      <c r="E170" s="1861"/>
      <c r="F170" s="1861"/>
      <c r="G170" s="1861"/>
      <c r="H170" s="1861"/>
      <c r="I170" s="1861"/>
      <c r="J170" s="1861"/>
      <c r="K170" s="1861"/>
      <c r="L170" s="1861"/>
      <c r="M170" s="1861"/>
      <c r="N170" s="1861"/>
      <c r="O170" s="1861"/>
      <c r="P170" s="1861"/>
      <c r="Q170" s="1861"/>
      <c r="R170" s="1861"/>
      <c r="S170" s="1861"/>
      <c r="T170" s="1861"/>
      <c r="U170" s="1861"/>
      <c r="V170" s="1861"/>
      <c r="W170" s="1861"/>
      <c r="X170" s="1861"/>
      <c r="Y170" s="1861"/>
      <c r="Z170" s="1861"/>
      <c r="AA170" s="1861"/>
      <c r="AB170" s="1861"/>
      <c r="AC170" s="1861"/>
      <c r="AD170" s="1861"/>
      <c r="AE170" s="1861"/>
      <c r="AF170" s="1861"/>
      <c r="AG170" s="1861"/>
      <c r="AH170" s="1861"/>
      <c r="AI170" s="1861"/>
      <c r="AJ170" s="1861"/>
      <c r="AK170" s="1861"/>
      <c r="AL170" s="1861"/>
      <c r="AM170" s="1862"/>
    </row>
    <row r="171" spans="2:39" s="397" customFormat="1" ht="18.75" customHeight="1">
      <c r="B171" s="3015" t="s">
        <v>2498</v>
      </c>
      <c r="C171" s="3015"/>
      <c r="D171" s="3015"/>
      <c r="E171" s="3015"/>
      <c r="F171" s="3015"/>
      <c r="G171" s="3015"/>
      <c r="H171" s="3015"/>
      <c r="I171" s="3015"/>
      <c r="J171" s="3015"/>
      <c r="K171" s="3015"/>
      <c r="L171" s="3015"/>
      <c r="M171" s="3015"/>
      <c r="N171" s="3015"/>
      <c r="O171" s="3015"/>
      <c r="P171" s="3015"/>
      <c r="Q171" s="3015"/>
      <c r="R171" s="3015"/>
      <c r="S171" s="3015"/>
      <c r="T171" s="3015"/>
      <c r="U171" s="3015"/>
      <c r="V171" s="3015"/>
      <c r="W171" s="3015"/>
      <c r="X171" s="3015"/>
      <c r="Y171" s="3015"/>
      <c r="Z171" s="3015"/>
      <c r="AA171" s="3015"/>
      <c r="AB171" s="3015"/>
      <c r="AC171" s="3015"/>
      <c r="AD171" s="3015"/>
      <c r="AE171" s="3015"/>
      <c r="AF171" s="3015"/>
      <c r="AG171" s="3015"/>
      <c r="AH171" s="3015"/>
      <c r="AI171" s="3015"/>
      <c r="AJ171" s="3015"/>
      <c r="AK171" s="3015"/>
      <c r="AL171" s="3015"/>
      <c r="AM171" s="3015"/>
    </row>
    <row r="172" spans="2:39" s="397" customFormat="1" ht="75" customHeight="1">
      <c r="B172" s="3023"/>
      <c r="C172" s="1861"/>
      <c r="D172" s="1861"/>
      <c r="E172" s="1861"/>
      <c r="F172" s="1861"/>
      <c r="G172" s="1861"/>
      <c r="H172" s="1861"/>
      <c r="I172" s="1861"/>
      <c r="J172" s="1861"/>
      <c r="K172" s="1861"/>
      <c r="L172" s="1861"/>
      <c r="M172" s="1861"/>
      <c r="N172" s="1861"/>
      <c r="O172" s="1861"/>
      <c r="P172" s="1861"/>
      <c r="Q172" s="1861"/>
      <c r="R172" s="1861"/>
      <c r="S172" s="1861"/>
      <c r="T172" s="1861"/>
      <c r="U172" s="1861"/>
      <c r="V172" s="1861"/>
      <c r="W172" s="1861"/>
      <c r="X172" s="1861"/>
      <c r="Y172" s="1861"/>
      <c r="Z172" s="1861"/>
      <c r="AA172" s="1861"/>
      <c r="AB172" s="1861"/>
      <c r="AC172" s="1861"/>
      <c r="AD172" s="1861"/>
      <c r="AE172" s="1861"/>
      <c r="AF172" s="1861"/>
      <c r="AG172" s="1861"/>
      <c r="AH172" s="1861"/>
      <c r="AI172" s="1861"/>
      <c r="AJ172" s="1861"/>
      <c r="AK172" s="1861"/>
      <c r="AL172" s="1861"/>
      <c r="AM172" s="1862"/>
    </row>
    <row r="173" spans="2:39" s="397" customFormat="1" ht="18" customHeight="1">
      <c r="B173" s="2181" t="s">
        <v>2495</v>
      </c>
      <c r="C173" s="3015"/>
      <c r="D173" s="3015"/>
      <c r="E173" s="3015"/>
      <c r="F173" s="3015"/>
      <c r="G173" s="3015"/>
      <c r="H173" s="3015"/>
      <c r="I173" s="3015"/>
      <c r="J173" s="3015"/>
      <c r="K173" s="3015"/>
      <c r="L173" s="3015"/>
      <c r="M173" s="3015"/>
      <c r="N173" s="3015"/>
      <c r="O173" s="3015"/>
      <c r="P173" s="3015"/>
      <c r="Q173" s="3015"/>
      <c r="R173" s="3015"/>
      <c r="S173" s="3015"/>
      <c r="T173" s="3015"/>
      <c r="U173" s="3015"/>
      <c r="V173" s="3015"/>
      <c r="W173" s="3015"/>
      <c r="X173" s="3015"/>
      <c r="Y173" s="3015"/>
      <c r="Z173" s="3015"/>
      <c r="AA173" s="3015"/>
      <c r="AB173" s="3015"/>
      <c r="AC173" s="3015"/>
      <c r="AD173" s="3015"/>
      <c r="AE173" s="3015"/>
      <c r="AF173" s="3015"/>
      <c r="AG173" s="3015"/>
      <c r="AH173" s="3015"/>
      <c r="AI173" s="3015"/>
      <c r="AJ173" s="3015"/>
      <c r="AK173" s="3015"/>
      <c r="AL173" s="3015"/>
      <c r="AM173" s="3015"/>
    </row>
    <row r="174" spans="2:39" s="397" customFormat="1" ht="75" customHeight="1">
      <c r="B174" s="3023"/>
      <c r="C174" s="1861"/>
      <c r="D174" s="1861"/>
      <c r="E174" s="1861"/>
      <c r="F174" s="1861"/>
      <c r="G174" s="1861"/>
      <c r="H174" s="1861"/>
      <c r="I174" s="1861"/>
      <c r="J174" s="1861"/>
      <c r="K174" s="1861"/>
      <c r="L174" s="1861"/>
      <c r="M174" s="1861"/>
      <c r="N174" s="1861"/>
      <c r="O174" s="1861"/>
      <c r="P174" s="1861"/>
      <c r="Q174" s="1861"/>
      <c r="R174" s="1861"/>
      <c r="S174" s="1861"/>
      <c r="T174" s="1861"/>
      <c r="U174" s="1861"/>
      <c r="V174" s="1861"/>
      <c r="W174" s="1861"/>
      <c r="X174" s="1861"/>
      <c r="Y174" s="1861"/>
      <c r="Z174" s="1861"/>
      <c r="AA174" s="1861"/>
      <c r="AB174" s="1861"/>
      <c r="AC174" s="1861"/>
      <c r="AD174" s="1861"/>
      <c r="AE174" s="1861"/>
      <c r="AF174" s="1861"/>
      <c r="AG174" s="1861"/>
      <c r="AH174" s="1861"/>
      <c r="AI174" s="1861"/>
      <c r="AJ174" s="1861"/>
      <c r="AK174" s="1861"/>
      <c r="AL174" s="1861"/>
      <c r="AM174" s="1862"/>
    </row>
    <row r="175" spans="2:39" s="397" customFormat="1" ht="36" customHeight="1">
      <c r="B175" s="2181" t="s">
        <v>2499</v>
      </c>
      <c r="C175" s="3015"/>
      <c r="D175" s="3015"/>
      <c r="E175" s="3015"/>
      <c r="F175" s="3015"/>
      <c r="G175" s="3015"/>
      <c r="H175" s="3015"/>
      <c r="I175" s="3015"/>
      <c r="J175" s="3015"/>
      <c r="K175" s="3015"/>
      <c r="L175" s="3015"/>
      <c r="M175" s="3015"/>
      <c r="N175" s="3015"/>
      <c r="O175" s="3015"/>
      <c r="P175" s="3015"/>
      <c r="Q175" s="3015"/>
      <c r="R175" s="3015"/>
      <c r="S175" s="3015"/>
      <c r="T175" s="3015"/>
      <c r="U175" s="3015"/>
      <c r="V175" s="3015"/>
      <c r="W175" s="3015"/>
      <c r="X175" s="3015"/>
      <c r="Y175" s="3015"/>
      <c r="Z175" s="3015"/>
      <c r="AA175" s="3015"/>
      <c r="AB175" s="3015"/>
      <c r="AC175" s="3015"/>
      <c r="AD175" s="3015"/>
      <c r="AE175" s="3015"/>
      <c r="AF175" s="3015"/>
      <c r="AG175" s="3015"/>
      <c r="AH175" s="3015"/>
      <c r="AI175" s="3015"/>
      <c r="AJ175" s="3015"/>
      <c r="AK175" s="3015"/>
      <c r="AL175" s="3015"/>
      <c r="AM175" s="3015"/>
    </row>
    <row r="176" spans="2:39" s="397" customFormat="1" ht="75" customHeight="1">
      <c r="B176" s="3023"/>
      <c r="C176" s="1861"/>
      <c r="D176" s="1861"/>
      <c r="E176" s="1861"/>
      <c r="F176" s="1861"/>
      <c r="G176" s="1861"/>
      <c r="H176" s="1861"/>
      <c r="I176" s="1861"/>
      <c r="J176" s="1861"/>
      <c r="K176" s="1861"/>
      <c r="L176" s="1861"/>
      <c r="M176" s="1861"/>
      <c r="N176" s="1861"/>
      <c r="O176" s="1861"/>
      <c r="P176" s="1861"/>
      <c r="Q176" s="1861"/>
      <c r="R176" s="1861"/>
      <c r="S176" s="1861"/>
      <c r="T176" s="1861"/>
      <c r="U176" s="1861"/>
      <c r="V176" s="1861"/>
      <c r="W176" s="1861"/>
      <c r="X176" s="1861"/>
      <c r="Y176" s="1861"/>
      <c r="Z176" s="1861"/>
      <c r="AA176" s="1861"/>
      <c r="AB176" s="1861"/>
      <c r="AC176" s="1861"/>
      <c r="AD176" s="1861"/>
      <c r="AE176" s="1861"/>
      <c r="AF176" s="1861"/>
      <c r="AG176" s="1861"/>
      <c r="AH176" s="1861"/>
      <c r="AI176" s="1861"/>
      <c r="AJ176" s="1861"/>
      <c r="AK176" s="1861"/>
      <c r="AL176" s="1861"/>
      <c r="AM176" s="1862"/>
    </row>
    <row r="177" spans="2:39" s="397" customFormat="1" ht="18" customHeight="1">
      <c r="B177" s="2181" t="s">
        <v>2495</v>
      </c>
      <c r="C177" s="3015"/>
      <c r="D177" s="3015"/>
      <c r="E177" s="3015"/>
      <c r="F177" s="3015"/>
      <c r="G177" s="3015"/>
      <c r="H177" s="3015"/>
      <c r="I177" s="3015"/>
      <c r="J177" s="3015"/>
      <c r="K177" s="3015"/>
      <c r="L177" s="3015"/>
      <c r="M177" s="3015"/>
      <c r="N177" s="3015"/>
      <c r="O177" s="3015"/>
      <c r="P177" s="3015"/>
      <c r="Q177" s="3015"/>
      <c r="R177" s="3015"/>
      <c r="S177" s="3015"/>
      <c r="T177" s="3015"/>
      <c r="U177" s="3015"/>
      <c r="V177" s="3015"/>
      <c r="W177" s="3015"/>
      <c r="X177" s="3015"/>
      <c r="Y177" s="3015"/>
      <c r="Z177" s="3015"/>
      <c r="AA177" s="3015"/>
      <c r="AB177" s="3015"/>
      <c r="AC177" s="3015"/>
      <c r="AD177" s="3015"/>
      <c r="AE177" s="3015"/>
      <c r="AF177" s="3015"/>
      <c r="AG177" s="3015"/>
      <c r="AH177" s="3015"/>
      <c r="AI177" s="3015"/>
      <c r="AJ177" s="3015"/>
      <c r="AK177" s="3015"/>
      <c r="AL177" s="3015"/>
      <c r="AM177" s="3015"/>
    </row>
    <row r="178" spans="2:39" s="397" customFormat="1" ht="75" customHeight="1">
      <c r="B178" s="3023"/>
      <c r="C178" s="1861"/>
      <c r="D178" s="1861"/>
      <c r="E178" s="1861"/>
      <c r="F178" s="1861"/>
      <c r="G178" s="1861"/>
      <c r="H178" s="1861"/>
      <c r="I178" s="1861"/>
      <c r="J178" s="1861"/>
      <c r="K178" s="1861"/>
      <c r="L178" s="1861"/>
      <c r="M178" s="1861"/>
      <c r="N178" s="1861"/>
      <c r="O178" s="1861"/>
      <c r="P178" s="1861"/>
      <c r="Q178" s="1861"/>
      <c r="R178" s="1861"/>
      <c r="S178" s="1861"/>
      <c r="T178" s="1861"/>
      <c r="U178" s="1861"/>
      <c r="V178" s="1861"/>
      <c r="W178" s="1861"/>
      <c r="X178" s="1861"/>
      <c r="Y178" s="1861"/>
      <c r="Z178" s="1861"/>
      <c r="AA178" s="1861"/>
      <c r="AB178" s="1861"/>
      <c r="AC178" s="1861"/>
      <c r="AD178" s="1861"/>
      <c r="AE178" s="1861"/>
      <c r="AF178" s="1861"/>
      <c r="AG178" s="1861"/>
      <c r="AH178" s="1861"/>
      <c r="AI178" s="1861"/>
      <c r="AJ178" s="1861"/>
      <c r="AK178" s="1861"/>
      <c r="AL178" s="1861"/>
      <c r="AM178" s="1862"/>
    </row>
    <row r="179" spans="2:39" s="397" customFormat="1" ht="18" customHeight="1">
      <c r="B179" s="3015" t="s">
        <v>2500</v>
      </c>
      <c r="C179" s="3015"/>
      <c r="D179" s="3015"/>
      <c r="E179" s="3015"/>
      <c r="F179" s="3015"/>
      <c r="G179" s="3015"/>
      <c r="H179" s="3015"/>
      <c r="I179" s="3015"/>
      <c r="J179" s="3015"/>
      <c r="K179" s="3015"/>
      <c r="L179" s="3015"/>
      <c r="M179" s="3015"/>
      <c r="N179" s="3015"/>
      <c r="O179" s="3015"/>
      <c r="P179" s="3015"/>
      <c r="Q179" s="3015"/>
      <c r="R179" s="3015"/>
      <c r="S179" s="3015"/>
      <c r="T179" s="3015"/>
      <c r="U179" s="3015"/>
      <c r="V179" s="3015"/>
      <c r="W179" s="3015"/>
      <c r="X179" s="3015"/>
      <c r="Y179" s="3015"/>
      <c r="Z179" s="3015"/>
      <c r="AA179" s="3015"/>
      <c r="AB179" s="3015"/>
      <c r="AC179" s="3015"/>
      <c r="AD179" s="3015"/>
      <c r="AE179" s="3015"/>
      <c r="AF179" s="3015"/>
      <c r="AG179" s="3015"/>
      <c r="AH179" s="3015"/>
      <c r="AI179" s="3015"/>
      <c r="AJ179" s="3015"/>
      <c r="AK179" s="3015"/>
      <c r="AL179" s="3015"/>
      <c r="AM179" s="3015"/>
    </row>
    <row r="180" spans="2:39" s="397" customFormat="1" ht="75" customHeight="1">
      <c r="B180" s="3023"/>
      <c r="C180" s="1861"/>
      <c r="D180" s="1861"/>
      <c r="E180" s="1861"/>
      <c r="F180" s="1861"/>
      <c r="G180" s="1861"/>
      <c r="H180" s="1861"/>
      <c r="I180" s="1861"/>
      <c r="J180" s="1861"/>
      <c r="K180" s="1861"/>
      <c r="L180" s="1861"/>
      <c r="M180" s="1861"/>
      <c r="N180" s="1861"/>
      <c r="O180" s="1861"/>
      <c r="P180" s="1861"/>
      <c r="Q180" s="1861"/>
      <c r="R180" s="1861"/>
      <c r="S180" s="1861"/>
      <c r="T180" s="1861"/>
      <c r="U180" s="1861"/>
      <c r="V180" s="1861"/>
      <c r="W180" s="1861"/>
      <c r="X180" s="1861"/>
      <c r="Y180" s="1861"/>
      <c r="Z180" s="1861"/>
      <c r="AA180" s="1861"/>
      <c r="AB180" s="1861"/>
      <c r="AC180" s="1861"/>
      <c r="AD180" s="1861"/>
      <c r="AE180" s="1861"/>
      <c r="AF180" s="1861"/>
      <c r="AG180" s="1861"/>
      <c r="AH180" s="1861"/>
      <c r="AI180" s="1861"/>
      <c r="AJ180" s="1861"/>
      <c r="AK180" s="1861"/>
      <c r="AL180" s="1861"/>
      <c r="AM180" s="1862"/>
    </row>
    <row r="181" spans="2:39" s="397" customFormat="1" ht="18" customHeight="1">
      <c r="B181" s="2181" t="s">
        <v>2495</v>
      </c>
      <c r="C181" s="3015"/>
      <c r="D181" s="3015"/>
      <c r="E181" s="3015"/>
      <c r="F181" s="3015"/>
      <c r="G181" s="3015"/>
      <c r="H181" s="3015"/>
      <c r="I181" s="3015"/>
      <c r="J181" s="3015"/>
      <c r="K181" s="3015"/>
      <c r="L181" s="3015"/>
      <c r="M181" s="3015"/>
      <c r="N181" s="3015"/>
      <c r="O181" s="3015"/>
      <c r="P181" s="3015"/>
      <c r="Q181" s="3015"/>
      <c r="R181" s="3015"/>
      <c r="S181" s="3015"/>
      <c r="T181" s="3015"/>
      <c r="U181" s="3015"/>
      <c r="V181" s="3015"/>
      <c r="W181" s="3015"/>
      <c r="X181" s="3015"/>
      <c r="Y181" s="3015"/>
      <c r="Z181" s="3015"/>
      <c r="AA181" s="3015"/>
      <c r="AB181" s="3015"/>
      <c r="AC181" s="3015"/>
      <c r="AD181" s="3015"/>
      <c r="AE181" s="3015"/>
      <c r="AF181" s="3015"/>
      <c r="AG181" s="3015"/>
      <c r="AH181" s="3015"/>
      <c r="AI181" s="3015"/>
      <c r="AJ181" s="3015"/>
      <c r="AK181" s="3015"/>
      <c r="AL181" s="3015"/>
      <c r="AM181" s="3015"/>
    </row>
    <row r="182" spans="2:39" s="397" customFormat="1" ht="75" customHeight="1">
      <c r="B182" s="3023"/>
      <c r="C182" s="1861"/>
      <c r="D182" s="1861"/>
      <c r="E182" s="1861"/>
      <c r="F182" s="1861"/>
      <c r="G182" s="1861"/>
      <c r="H182" s="1861"/>
      <c r="I182" s="1861"/>
      <c r="J182" s="1861"/>
      <c r="K182" s="1861"/>
      <c r="L182" s="1861"/>
      <c r="M182" s="1861"/>
      <c r="N182" s="1861"/>
      <c r="O182" s="1861"/>
      <c r="P182" s="1861"/>
      <c r="Q182" s="1861"/>
      <c r="R182" s="1861"/>
      <c r="S182" s="1861"/>
      <c r="T182" s="1861"/>
      <c r="U182" s="1861"/>
      <c r="V182" s="1861"/>
      <c r="W182" s="1861"/>
      <c r="X182" s="1861"/>
      <c r="Y182" s="1861"/>
      <c r="Z182" s="1861"/>
      <c r="AA182" s="1861"/>
      <c r="AB182" s="1861"/>
      <c r="AC182" s="1861"/>
      <c r="AD182" s="1861"/>
      <c r="AE182" s="1861"/>
      <c r="AF182" s="1861"/>
      <c r="AG182" s="1861"/>
      <c r="AH182" s="1861"/>
      <c r="AI182" s="1861"/>
      <c r="AJ182" s="1861"/>
      <c r="AK182" s="1861"/>
      <c r="AL182" s="1861"/>
      <c r="AM182" s="1862"/>
    </row>
    <row r="183" spans="2:39" s="397" customFormat="1" ht="18" customHeight="1">
      <c r="B183" s="3015" t="s">
        <v>2501</v>
      </c>
      <c r="C183" s="3015"/>
      <c r="D183" s="3015"/>
      <c r="E183" s="3015"/>
      <c r="F183" s="3015"/>
      <c r="G183" s="3015"/>
      <c r="H183" s="3015"/>
      <c r="I183" s="3015"/>
      <c r="J183" s="3015"/>
      <c r="K183" s="3015"/>
      <c r="L183" s="3015"/>
      <c r="M183" s="3015"/>
      <c r="N183" s="3015"/>
      <c r="O183" s="3015"/>
      <c r="P183" s="3015"/>
      <c r="Q183" s="3015"/>
      <c r="R183" s="3015"/>
      <c r="S183" s="3015"/>
      <c r="T183" s="3015"/>
      <c r="U183" s="3015"/>
      <c r="V183" s="3015"/>
      <c r="W183" s="3015"/>
      <c r="X183" s="3015"/>
      <c r="Y183" s="3015"/>
      <c r="Z183" s="3015"/>
      <c r="AA183" s="3015"/>
      <c r="AB183" s="3015"/>
      <c r="AC183" s="3015"/>
      <c r="AD183" s="3015"/>
      <c r="AE183" s="3015"/>
      <c r="AF183" s="3015"/>
      <c r="AG183" s="3015"/>
      <c r="AH183" s="3015"/>
      <c r="AI183" s="3015"/>
      <c r="AJ183" s="3015"/>
      <c r="AK183" s="3015"/>
      <c r="AL183" s="3015"/>
      <c r="AM183" s="3015"/>
    </row>
    <row r="184" spans="2:39" s="397" customFormat="1" ht="75" customHeight="1">
      <c r="B184" s="3023"/>
      <c r="C184" s="1861"/>
      <c r="D184" s="1861"/>
      <c r="E184" s="1861"/>
      <c r="F184" s="1861"/>
      <c r="G184" s="1861"/>
      <c r="H184" s="1861"/>
      <c r="I184" s="1861"/>
      <c r="J184" s="1861"/>
      <c r="K184" s="1861"/>
      <c r="L184" s="1861"/>
      <c r="M184" s="1861"/>
      <c r="N184" s="1861"/>
      <c r="O184" s="1861"/>
      <c r="P184" s="1861"/>
      <c r="Q184" s="1861"/>
      <c r="R184" s="1861"/>
      <c r="S184" s="1861"/>
      <c r="T184" s="1861"/>
      <c r="U184" s="1861"/>
      <c r="V184" s="1861"/>
      <c r="W184" s="1861"/>
      <c r="X184" s="1861"/>
      <c r="Y184" s="1861"/>
      <c r="Z184" s="1861"/>
      <c r="AA184" s="1861"/>
      <c r="AB184" s="1861"/>
      <c r="AC184" s="1861"/>
      <c r="AD184" s="1861"/>
      <c r="AE184" s="1861"/>
      <c r="AF184" s="1861"/>
      <c r="AG184" s="1861"/>
      <c r="AH184" s="1861"/>
      <c r="AI184" s="1861"/>
      <c r="AJ184" s="1861"/>
      <c r="AK184" s="1861"/>
      <c r="AL184" s="1861"/>
      <c r="AM184" s="1862"/>
    </row>
    <row r="185" spans="2:39" s="397" customFormat="1" ht="18" customHeight="1">
      <c r="B185" s="2181" t="s">
        <v>2495</v>
      </c>
      <c r="C185" s="3015"/>
      <c r="D185" s="3015"/>
      <c r="E185" s="3015"/>
      <c r="F185" s="3015"/>
      <c r="G185" s="3015"/>
      <c r="H185" s="3015"/>
      <c r="I185" s="3015"/>
      <c r="J185" s="3015"/>
      <c r="K185" s="3015"/>
      <c r="L185" s="3015"/>
      <c r="M185" s="3015"/>
      <c r="N185" s="3015"/>
      <c r="O185" s="3015"/>
      <c r="P185" s="3015"/>
      <c r="Q185" s="3015"/>
      <c r="R185" s="3015"/>
      <c r="S185" s="3015"/>
      <c r="T185" s="3015"/>
      <c r="U185" s="3015"/>
      <c r="V185" s="3015"/>
      <c r="W185" s="3015"/>
      <c r="X185" s="3015"/>
      <c r="Y185" s="3015"/>
      <c r="Z185" s="3015"/>
      <c r="AA185" s="3015"/>
      <c r="AB185" s="3015"/>
      <c r="AC185" s="3015"/>
      <c r="AD185" s="3015"/>
      <c r="AE185" s="3015"/>
      <c r="AF185" s="3015"/>
      <c r="AG185" s="3015"/>
      <c r="AH185" s="3015"/>
      <c r="AI185" s="3015"/>
      <c r="AJ185" s="3015"/>
      <c r="AK185" s="3015"/>
      <c r="AL185" s="3015"/>
      <c r="AM185" s="3015"/>
    </row>
    <row r="186" spans="2:39" s="397" customFormat="1" ht="75" customHeight="1">
      <c r="B186" s="3023"/>
      <c r="C186" s="1861"/>
      <c r="D186" s="1861"/>
      <c r="E186" s="1861"/>
      <c r="F186" s="1861"/>
      <c r="G186" s="1861"/>
      <c r="H186" s="1861"/>
      <c r="I186" s="1861"/>
      <c r="J186" s="1861"/>
      <c r="K186" s="1861"/>
      <c r="L186" s="1861"/>
      <c r="M186" s="1861"/>
      <c r="N186" s="1861"/>
      <c r="O186" s="1861"/>
      <c r="P186" s="1861"/>
      <c r="Q186" s="1861"/>
      <c r="R186" s="1861"/>
      <c r="S186" s="1861"/>
      <c r="T186" s="1861"/>
      <c r="U186" s="1861"/>
      <c r="V186" s="1861"/>
      <c r="W186" s="1861"/>
      <c r="X186" s="1861"/>
      <c r="Y186" s="1861"/>
      <c r="Z186" s="1861"/>
      <c r="AA186" s="1861"/>
      <c r="AB186" s="1861"/>
      <c r="AC186" s="1861"/>
      <c r="AD186" s="1861"/>
      <c r="AE186" s="1861"/>
      <c r="AF186" s="1861"/>
      <c r="AG186" s="1861"/>
      <c r="AH186" s="1861"/>
      <c r="AI186" s="1861"/>
      <c r="AJ186" s="1861"/>
      <c r="AK186" s="1861"/>
      <c r="AL186" s="1861"/>
      <c r="AM186" s="1862"/>
    </row>
    <row r="187" spans="2:39" s="397" customFormat="1" ht="18" customHeight="1">
      <c r="B187" s="3015" t="s">
        <v>2502</v>
      </c>
      <c r="C187" s="3015"/>
      <c r="D187" s="3015"/>
      <c r="E187" s="3015"/>
      <c r="F187" s="3015"/>
      <c r="G187" s="3015"/>
      <c r="H187" s="3015"/>
      <c r="I187" s="3015"/>
      <c r="J187" s="3015"/>
      <c r="K187" s="3015"/>
      <c r="L187" s="3015"/>
      <c r="M187" s="3015"/>
      <c r="N187" s="3015"/>
      <c r="O187" s="3015"/>
      <c r="P187" s="3015"/>
      <c r="Q187" s="3015"/>
      <c r="R187" s="3015"/>
      <c r="S187" s="3015"/>
      <c r="T187" s="3015"/>
      <c r="U187" s="3015"/>
      <c r="V187" s="3015"/>
      <c r="W187" s="3015"/>
      <c r="X187" s="3015"/>
      <c r="Y187" s="3015"/>
      <c r="Z187" s="3015"/>
      <c r="AA187" s="3015"/>
      <c r="AB187" s="3015"/>
      <c r="AC187" s="3015"/>
      <c r="AD187" s="3015"/>
      <c r="AE187" s="3015"/>
      <c r="AF187" s="3015"/>
      <c r="AG187" s="3015"/>
      <c r="AH187" s="3015"/>
      <c r="AI187" s="3015"/>
      <c r="AJ187" s="3015"/>
      <c r="AK187" s="3015"/>
      <c r="AL187" s="3015"/>
      <c r="AM187" s="3015"/>
    </row>
    <row r="188" spans="2:39" s="397" customFormat="1" ht="75" customHeight="1">
      <c r="B188" s="3023"/>
      <c r="C188" s="1861"/>
      <c r="D188" s="1861"/>
      <c r="E188" s="1861"/>
      <c r="F188" s="1861"/>
      <c r="G188" s="1861"/>
      <c r="H188" s="1861"/>
      <c r="I188" s="1861"/>
      <c r="J188" s="1861"/>
      <c r="K188" s="1861"/>
      <c r="L188" s="1861"/>
      <c r="M188" s="1861"/>
      <c r="N188" s="1861"/>
      <c r="O188" s="1861"/>
      <c r="P188" s="1861"/>
      <c r="Q188" s="1861"/>
      <c r="R188" s="1861"/>
      <c r="S188" s="1861"/>
      <c r="T188" s="1861"/>
      <c r="U188" s="1861"/>
      <c r="V188" s="1861"/>
      <c r="W188" s="1861"/>
      <c r="X188" s="1861"/>
      <c r="Y188" s="1861"/>
      <c r="Z188" s="1861"/>
      <c r="AA188" s="1861"/>
      <c r="AB188" s="1861"/>
      <c r="AC188" s="1861"/>
      <c r="AD188" s="1861"/>
      <c r="AE188" s="1861"/>
      <c r="AF188" s="1861"/>
      <c r="AG188" s="1861"/>
      <c r="AH188" s="1861"/>
      <c r="AI188" s="1861"/>
      <c r="AJ188" s="1861"/>
      <c r="AK188" s="1861"/>
      <c r="AL188" s="1861"/>
      <c r="AM188" s="1862"/>
    </row>
    <row r="189" spans="2:39" s="397" customFormat="1" ht="18" customHeight="1">
      <c r="B189" s="2181" t="s">
        <v>2495</v>
      </c>
      <c r="C189" s="3015"/>
      <c r="D189" s="3015"/>
      <c r="E189" s="3015"/>
      <c r="F189" s="3015"/>
      <c r="G189" s="3015"/>
      <c r="H189" s="3015"/>
      <c r="I189" s="3015"/>
      <c r="J189" s="3015"/>
      <c r="K189" s="3015"/>
      <c r="L189" s="3015"/>
      <c r="M189" s="3015"/>
      <c r="N189" s="3015"/>
      <c r="O189" s="3015"/>
      <c r="P189" s="3015"/>
      <c r="Q189" s="3015"/>
      <c r="R189" s="3015"/>
      <c r="S189" s="3015"/>
      <c r="T189" s="3015"/>
      <c r="U189" s="3015"/>
      <c r="V189" s="3015"/>
      <c r="W189" s="3015"/>
      <c r="X189" s="3015"/>
      <c r="Y189" s="3015"/>
      <c r="Z189" s="3015"/>
      <c r="AA189" s="3015"/>
      <c r="AB189" s="3015"/>
      <c r="AC189" s="3015"/>
      <c r="AD189" s="3015"/>
      <c r="AE189" s="3015"/>
      <c r="AF189" s="3015"/>
      <c r="AG189" s="3015"/>
      <c r="AH189" s="3015"/>
      <c r="AI189" s="3015"/>
      <c r="AJ189" s="3015"/>
      <c r="AK189" s="3015"/>
      <c r="AL189" s="3015"/>
      <c r="AM189" s="3015"/>
    </row>
    <row r="190" spans="2:39" s="397" customFormat="1" ht="75" customHeight="1">
      <c r="B190" s="3023"/>
      <c r="C190" s="1861"/>
      <c r="D190" s="1861"/>
      <c r="E190" s="1861"/>
      <c r="F190" s="1861"/>
      <c r="G190" s="1861"/>
      <c r="H190" s="1861"/>
      <c r="I190" s="1861"/>
      <c r="J190" s="1861"/>
      <c r="K190" s="1861"/>
      <c r="L190" s="1861"/>
      <c r="M190" s="1861"/>
      <c r="N190" s="1861"/>
      <c r="O190" s="1861"/>
      <c r="P190" s="1861"/>
      <c r="Q190" s="1861"/>
      <c r="R190" s="1861"/>
      <c r="S190" s="1861"/>
      <c r="T190" s="1861"/>
      <c r="U190" s="1861"/>
      <c r="V190" s="1861"/>
      <c r="W190" s="1861"/>
      <c r="X190" s="1861"/>
      <c r="Y190" s="1861"/>
      <c r="Z190" s="1861"/>
      <c r="AA190" s="1861"/>
      <c r="AB190" s="1861"/>
      <c r="AC190" s="1861"/>
      <c r="AD190" s="1861"/>
      <c r="AE190" s="1861"/>
      <c r="AF190" s="1861"/>
      <c r="AG190" s="1861"/>
      <c r="AH190" s="1861"/>
      <c r="AI190" s="1861"/>
      <c r="AJ190" s="1861"/>
      <c r="AK190" s="1861"/>
      <c r="AL190" s="1861"/>
      <c r="AM190" s="1862"/>
    </row>
    <row r="191" spans="2:39" s="397" customFormat="1" ht="18" customHeight="1">
      <c r="B191" s="3015" t="s">
        <v>2503</v>
      </c>
      <c r="C191" s="3015"/>
      <c r="D191" s="3015"/>
      <c r="E191" s="3015"/>
      <c r="F191" s="3015"/>
      <c r="G191" s="3015"/>
      <c r="H191" s="3015"/>
      <c r="I191" s="3015"/>
      <c r="J191" s="3015"/>
      <c r="K191" s="3015"/>
      <c r="L191" s="3015"/>
      <c r="M191" s="3015"/>
      <c r="N191" s="3015"/>
      <c r="O191" s="3015"/>
      <c r="P191" s="3015"/>
      <c r="Q191" s="3015"/>
      <c r="R191" s="3015"/>
      <c r="S191" s="3015"/>
      <c r="T191" s="3015"/>
      <c r="U191" s="3015"/>
      <c r="V191" s="3015"/>
      <c r="W191" s="3015"/>
      <c r="X191" s="3015"/>
      <c r="Y191" s="3015"/>
      <c r="Z191" s="3015"/>
      <c r="AA191" s="3015"/>
      <c r="AB191" s="3015"/>
      <c r="AC191" s="3015"/>
      <c r="AD191" s="3015"/>
      <c r="AE191" s="3015"/>
      <c r="AF191" s="3015"/>
      <c r="AG191" s="3015"/>
      <c r="AH191" s="3015"/>
      <c r="AI191" s="3015"/>
      <c r="AJ191" s="3015"/>
      <c r="AK191" s="3015"/>
      <c r="AL191" s="3015"/>
      <c r="AM191" s="3015"/>
    </row>
    <row r="192" spans="2:39" s="397" customFormat="1" ht="75" customHeight="1">
      <c r="B192" s="3023"/>
      <c r="C192" s="1861"/>
      <c r="D192" s="1861"/>
      <c r="E192" s="1861"/>
      <c r="F192" s="1861"/>
      <c r="G192" s="1861"/>
      <c r="H192" s="1861"/>
      <c r="I192" s="1861"/>
      <c r="J192" s="1861"/>
      <c r="K192" s="1861"/>
      <c r="L192" s="1861"/>
      <c r="M192" s="1861"/>
      <c r="N192" s="1861"/>
      <c r="O192" s="1861"/>
      <c r="P192" s="1861"/>
      <c r="Q192" s="1861"/>
      <c r="R192" s="1861"/>
      <c r="S192" s="1861"/>
      <c r="T192" s="1861"/>
      <c r="U192" s="1861"/>
      <c r="V192" s="1861"/>
      <c r="W192" s="1861"/>
      <c r="X192" s="1861"/>
      <c r="Y192" s="1861"/>
      <c r="Z192" s="1861"/>
      <c r="AA192" s="1861"/>
      <c r="AB192" s="1861"/>
      <c r="AC192" s="1861"/>
      <c r="AD192" s="1861"/>
      <c r="AE192" s="1861"/>
      <c r="AF192" s="1861"/>
      <c r="AG192" s="1861"/>
      <c r="AH192" s="1861"/>
      <c r="AI192" s="1861"/>
      <c r="AJ192" s="1861"/>
      <c r="AK192" s="1861"/>
      <c r="AL192" s="1861"/>
      <c r="AM192" s="1862"/>
    </row>
    <row r="193" spans="2:39" s="397" customFormat="1" ht="18.75" customHeight="1">
      <c r="B193" s="2181" t="s">
        <v>2495</v>
      </c>
      <c r="C193" s="3015"/>
      <c r="D193" s="3015"/>
      <c r="E193" s="3015"/>
      <c r="F193" s="3015"/>
      <c r="G193" s="3015"/>
      <c r="H193" s="3015"/>
      <c r="I193" s="3015"/>
      <c r="J193" s="3015"/>
      <c r="K193" s="3015"/>
      <c r="L193" s="3015"/>
      <c r="M193" s="3015"/>
      <c r="N193" s="3015"/>
      <c r="O193" s="3015"/>
      <c r="P193" s="3015"/>
      <c r="Q193" s="3015"/>
      <c r="R193" s="3015"/>
      <c r="S193" s="3015"/>
      <c r="T193" s="3015"/>
      <c r="U193" s="3015"/>
      <c r="V193" s="3015"/>
      <c r="W193" s="3015"/>
      <c r="X193" s="3015"/>
      <c r="Y193" s="3015"/>
      <c r="Z193" s="3015"/>
      <c r="AA193" s="3015"/>
      <c r="AB193" s="3015"/>
      <c r="AC193" s="3015"/>
      <c r="AD193" s="3015"/>
      <c r="AE193" s="3015"/>
      <c r="AF193" s="3015"/>
      <c r="AG193" s="3015"/>
      <c r="AH193" s="3015"/>
      <c r="AI193" s="3015"/>
      <c r="AJ193" s="3015"/>
      <c r="AK193" s="3015"/>
      <c r="AL193" s="3015"/>
      <c r="AM193" s="3015"/>
    </row>
    <row r="194" spans="2:39" s="397" customFormat="1" ht="75" customHeight="1">
      <c r="B194" s="3023"/>
      <c r="C194" s="1861"/>
      <c r="D194" s="1861"/>
      <c r="E194" s="1861"/>
      <c r="F194" s="1861"/>
      <c r="G194" s="1861"/>
      <c r="H194" s="1861"/>
      <c r="I194" s="1861"/>
      <c r="J194" s="1861"/>
      <c r="K194" s="1861"/>
      <c r="L194" s="1861"/>
      <c r="M194" s="1861"/>
      <c r="N194" s="1861"/>
      <c r="O194" s="1861"/>
      <c r="P194" s="1861"/>
      <c r="Q194" s="1861"/>
      <c r="R194" s="1861"/>
      <c r="S194" s="1861"/>
      <c r="T194" s="1861"/>
      <c r="U194" s="1861"/>
      <c r="V194" s="1861"/>
      <c r="W194" s="1861"/>
      <c r="X194" s="1861"/>
      <c r="Y194" s="1861"/>
      <c r="Z194" s="1861"/>
      <c r="AA194" s="1861"/>
      <c r="AB194" s="1861"/>
      <c r="AC194" s="1861"/>
      <c r="AD194" s="1861"/>
      <c r="AE194" s="1861"/>
      <c r="AF194" s="1861"/>
      <c r="AG194" s="1861"/>
      <c r="AH194" s="1861"/>
      <c r="AI194" s="1861"/>
      <c r="AJ194" s="1861"/>
      <c r="AK194" s="1861"/>
      <c r="AL194" s="1861"/>
      <c r="AM194" s="1862"/>
    </row>
    <row r="195" spans="2:39" s="397" customFormat="1" ht="36" customHeight="1">
      <c r="B195" s="3043" t="s">
        <v>2504</v>
      </c>
      <c r="C195" s="3015"/>
      <c r="D195" s="3015"/>
      <c r="E195" s="3015"/>
      <c r="F195" s="3015"/>
      <c r="G195" s="3015"/>
      <c r="H195" s="3015"/>
      <c r="I195" s="3015"/>
      <c r="J195" s="3015"/>
      <c r="K195" s="3015"/>
      <c r="L195" s="3015"/>
      <c r="M195" s="3015"/>
      <c r="N195" s="3015"/>
      <c r="O195" s="3015"/>
      <c r="P195" s="3015"/>
      <c r="Q195" s="3015"/>
      <c r="R195" s="3015"/>
      <c r="S195" s="3015"/>
      <c r="T195" s="3015"/>
      <c r="U195" s="3015"/>
      <c r="V195" s="3015"/>
      <c r="W195" s="3015"/>
      <c r="X195" s="3015"/>
      <c r="Y195" s="3015"/>
      <c r="Z195" s="3015"/>
      <c r="AA195" s="3015"/>
      <c r="AB195" s="3015"/>
      <c r="AC195" s="3015"/>
      <c r="AD195" s="3015"/>
      <c r="AE195" s="3015"/>
      <c r="AF195" s="3015"/>
      <c r="AG195" s="3015"/>
      <c r="AH195" s="3015"/>
      <c r="AI195" s="3015"/>
      <c r="AJ195" s="3015"/>
      <c r="AK195" s="3015"/>
      <c r="AL195" s="3015"/>
      <c r="AM195" s="3015"/>
    </row>
    <row r="196" spans="2:39" s="397" customFormat="1" ht="36" customHeight="1">
      <c r="B196" s="3021" t="s">
        <v>2505</v>
      </c>
      <c r="C196" s="3015"/>
      <c r="D196" s="3015"/>
      <c r="E196" s="3015"/>
      <c r="F196" s="3015"/>
      <c r="G196" s="3015"/>
      <c r="H196" s="3015"/>
      <c r="I196" s="3015"/>
      <c r="J196" s="3015"/>
      <c r="K196" s="3015"/>
      <c r="L196" s="3015"/>
      <c r="M196" s="3015"/>
      <c r="N196" s="3015"/>
      <c r="O196" s="3015"/>
      <c r="P196" s="3015"/>
      <c r="Q196" s="3015"/>
      <c r="R196" s="3015"/>
      <c r="S196" s="3015"/>
      <c r="T196" s="3015"/>
      <c r="U196" s="3015"/>
      <c r="V196" s="3015"/>
      <c r="W196" s="3015"/>
      <c r="X196" s="3015"/>
      <c r="Y196" s="3015"/>
      <c r="Z196" s="3015"/>
      <c r="AA196" s="3015"/>
      <c r="AB196" s="3015"/>
      <c r="AC196" s="3015"/>
      <c r="AD196" s="3015"/>
      <c r="AE196" s="3015"/>
      <c r="AF196" s="3015"/>
      <c r="AG196" s="3015"/>
      <c r="AH196" s="3015"/>
      <c r="AI196" s="3015"/>
      <c r="AJ196" s="3015"/>
      <c r="AK196" s="3015"/>
      <c r="AL196" s="3015"/>
      <c r="AM196" s="3015"/>
    </row>
    <row r="197" spans="2:39" s="397" customFormat="1" ht="75" customHeight="1">
      <c r="B197" s="3023"/>
      <c r="C197" s="1861"/>
      <c r="D197" s="1861"/>
      <c r="E197" s="1861"/>
      <c r="F197" s="1861"/>
      <c r="G197" s="1861"/>
      <c r="H197" s="1861"/>
      <c r="I197" s="1861"/>
      <c r="J197" s="1861"/>
      <c r="K197" s="1861"/>
      <c r="L197" s="1861"/>
      <c r="M197" s="1861"/>
      <c r="N197" s="1861"/>
      <c r="O197" s="1861"/>
      <c r="P197" s="1861"/>
      <c r="Q197" s="1861"/>
      <c r="R197" s="1861"/>
      <c r="S197" s="1861"/>
      <c r="T197" s="1861"/>
      <c r="U197" s="1861"/>
      <c r="V197" s="1861"/>
      <c r="W197" s="1861"/>
      <c r="X197" s="1861"/>
      <c r="Y197" s="1861"/>
      <c r="Z197" s="1861"/>
      <c r="AA197" s="1861"/>
      <c r="AB197" s="1861"/>
      <c r="AC197" s="1861"/>
      <c r="AD197" s="1861"/>
      <c r="AE197" s="1861"/>
      <c r="AF197" s="1861"/>
      <c r="AG197" s="1861"/>
      <c r="AH197" s="1861"/>
      <c r="AI197" s="1861"/>
      <c r="AJ197" s="1861"/>
      <c r="AK197" s="1861"/>
      <c r="AL197" s="1861"/>
      <c r="AM197" s="1862"/>
    </row>
    <row r="198" spans="2:39" ht="18" customHeight="1">
      <c r="B198" s="2181" t="s">
        <v>2495</v>
      </c>
      <c r="C198" s="3021"/>
      <c r="D198" s="3021"/>
      <c r="E198" s="3021"/>
      <c r="F198" s="3021"/>
      <c r="G198" s="3021"/>
      <c r="H198" s="3021"/>
      <c r="I198" s="1935"/>
      <c r="J198" s="3021"/>
      <c r="K198" s="3021"/>
      <c r="L198" s="3021"/>
      <c r="M198" s="3021"/>
      <c r="N198" s="3021"/>
      <c r="O198" s="3021"/>
      <c r="P198" s="3021"/>
      <c r="Q198" s="3021"/>
      <c r="R198" s="3021"/>
      <c r="S198" s="3021"/>
      <c r="T198" s="3021"/>
      <c r="U198" s="3021"/>
      <c r="V198" s="3021"/>
      <c r="W198" s="3021"/>
      <c r="X198" s="3021"/>
      <c r="Y198" s="3021"/>
      <c r="Z198" s="3021"/>
      <c r="AA198" s="3021"/>
      <c r="AB198" s="3021"/>
      <c r="AC198" s="3021"/>
      <c r="AD198" s="3021"/>
      <c r="AE198" s="3021"/>
      <c r="AF198" s="3021"/>
      <c r="AG198" s="3021"/>
      <c r="AH198" s="3021"/>
      <c r="AI198" s="3021"/>
      <c r="AJ198" s="3021"/>
      <c r="AK198" s="3021"/>
      <c r="AL198" s="3021"/>
      <c r="AM198" s="3021"/>
    </row>
    <row r="199" spans="2:39" ht="75" customHeight="1">
      <c r="B199" s="3023"/>
      <c r="C199" s="1861"/>
      <c r="D199" s="1861"/>
      <c r="E199" s="1861"/>
      <c r="F199" s="1861"/>
      <c r="G199" s="1861"/>
      <c r="H199" s="1861"/>
      <c r="I199" s="1861"/>
      <c r="J199" s="1861"/>
      <c r="K199" s="1861"/>
      <c r="L199" s="1861"/>
      <c r="M199" s="1861"/>
      <c r="N199" s="1861"/>
      <c r="O199" s="1861"/>
      <c r="P199" s="1861"/>
      <c r="Q199" s="1861"/>
      <c r="R199" s="1861"/>
      <c r="S199" s="1861"/>
      <c r="T199" s="1861"/>
      <c r="U199" s="1861"/>
      <c r="V199" s="1861"/>
      <c r="W199" s="1861"/>
      <c r="X199" s="1861"/>
      <c r="Y199" s="1861"/>
      <c r="Z199" s="1861"/>
      <c r="AA199" s="1861"/>
      <c r="AB199" s="1861"/>
      <c r="AC199" s="1861"/>
      <c r="AD199" s="1861"/>
      <c r="AE199" s="1861"/>
      <c r="AF199" s="1861"/>
      <c r="AG199" s="1861"/>
      <c r="AH199" s="1861"/>
      <c r="AI199" s="1861"/>
      <c r="AJ199" s="1861"/>
      <c r="AK199" s="1861"/>
      <c r="AL199" s="1861"/>
      <c r="AM199" s="1862"/>
    </row>
    <row r="200" spans="2:39" ht="18" customHeight="1">
      <c r="B200" s="3121" t="s">
        <v>2506</v>
      </c>
      <c r="C200" s="3021"/>
      <c r="D200" s="3021"/>
      <c r="E200" s="3021"/>
      <c r="F200" s="3021"/>
      <c r="G200" s="3021"/>
      <c r="H200" s="3021"/>
      <c r="I200" s="1935"/>
      <c r="J200" s="3021"/>
      <c r="K200" s="3021"/>
      <c r="L200" s="3021"/>
      <c r="M200" s="3021"/>
      <c r="N200" s="3021"/>
      <c r="O200" s="3021"/>
      <c r="P200" s="3021"/>
      <c r="Q200" s="3021"/>
      <c r="R200" s="3021"/>
      <c r="S200" s="3021"/>
      <c r="T200" s="3021"/>
      <c r="U200" s="3021"/>
      <c r="V200" s="3021"/>
      <c r="W200" s="3021"/>
      <c r="X200" s="3021"/>
      <c r="Y200" s="3021"/>
      <c r="Z200" s="3021"/>
      <c r="AA200" s="3021"/>
      <c r="AB200" s="3021"/>
      <c r="AC200" s="3021"/>
      <c r="AD200" s="3021"/>
      <c r="AE200" s="3021"/>
      <c r="AF200" s="3021"/>
      <c r="AG200" s="3021"/>
      <c r="AH200" s="3021"/>
      <c r="AI200" s="3021"/>
      <c r="AJ200" s="3021"/>
      <c r="AK200" s="3021"/>
      <c r="AL200" s="3021"/>
      <c r="AM200" s="3021"/>
    </row>
    <row r="201" spans="2:39" ht="75" customHeight="1">
      <c r="B201" s="3023"/>
      <c r="C201" s="1861"/>
      <c r="D201" s="1861"/>
      <c r="E201" s="1861"/>
      <c r="F201" s="1861"/>
      <c r="G201" s="1861"/>
      <c r="H201" s="1861"/>
      <c r="I201" s="1861"/>
      <c r="J201" s="1861"/>
      <c r="K201" s="1861"/>
      <c r="L201" s="1861"/>
      <c r="M201" s="1861"/>
      <c r="N201" s="1861"/>
      <c r="O201" s="1861"/>
      <c r="P201" s="1861"/>
      <c r="Q201" s="1861"/>
      <c r="R201" s="1861"/>
      <c r="S201" s="1861"/>
      <c r="T201" s="1861"/>
      <c r="U201" s="1861"/>
      <c r="V201" s="1861"/>
      <c r="W201" s="1861"/>
      <c r="X201" s="1861"/>
      <c r="Y201" s="1861"/>
      <c r="Z201" s="1861"/>
      <c r="AA201" s="1861"/>
      <c r="AB201" s="1861"/>
      <c r="AC201" s="1861"/>
      <c r="AD201" s="1861"/>
      <c r="AE201" s="1861"/>
      <c r="AF201" s="1861"/>
      <c r="AG201" s="1861"/>
      <c r="AH201" s="1861"/>
      <c r="AI201" s="1861"/>
      <c r="AJ201" s="1861"/>
      <c r="AK201" s="1861"/>
      <c r="AL201" s="1861"/>
      <c r="AM201" s="1862"/>
    </row>
    <row r="202" spans="2:39" ht="18" customHeight="1">
      <c r="B202" s="2181" t="s">
        <v>2495</v>
      </c>
      <c r="C202" s="3021"/>
      <c r="D202" s="3021"/>
      <c r="E202" s="3021"/>
      <c r="F202" s="3021"/>
      <c r="G202" s="3021"/>
      <c r="H202" s="3021"/>
      <c r="I202" s="1935"/>
      <c r="J202" s="3021"/>
      <c r="K202" s="3021"/>
      <c r="L202" s="3021"/>
      <c r="M202" s="3021"/>
      <c r="N202" s="3021"/>
      <c r="O202" s="3021"/>
      <c r="P202" s="3021"/>
      <c r="Q202" s="3021"/>
      <c r="R202" s="3021"/>
      <c r="S202" s="3021"/>
      <c r="T202" s="3021"/>
      <c r="U202" s="3021"/>
      <c r="V202" s="3021"/>
      <c r="W202" s="3021"/>
      <c r="X202" s="3021"/>
      <c r="Y202" s="3021"/>
      <c r="Z202" s="3021"/>
      <c r="AA202" s="3021"/>
      <c r="AB202" s="3021"/>
      <c r="AC202" s="3021"/>
      <c r="AD202" s="3021"/>
      <c r="AE202" s="3021"/>
      <c r="AF202" s="3021"/>
      <c r="AG202" s="3021"/>
      <c r="AH202" s="3021"/>
      <c r="AI202" s="3021"/>
      <c r="AJ202" s="3021"/>
      <c r="AK202" s="3021"/>
      <c r="AL202" s="3021"/>
      <c r="AM202" s="3021"/>
    </row>
    <row r="203" spans="2:39" ht="75" customHeight="1">
      <c r="B203" s="3023"/>
      <c r="C203" s="1861"/>
      <c r="D203" s="1861"/>
      <c r="E203" s="1861"/>
      <c r="F203" s="1861"/>
      <c r="G203" s="1861"/>
      <c r="H203" s="1861"/>
      <c r="I203" s="1861"/>
      <c r="J203" s="1861"/>
      <c r="K203" s="1861"/>
      <c r="L203" s="1861"/>
      <c r="M203" s="1861"/>
      <c r="N203" s="1861"/>
      <c r="O203" s="1861"/>
      <c r="P203" s="1861"/>
      <c r="Q203" s="1861"/>
      <c r="R203" s="1861"/>
      <c r="S203" s="1861"/>
      <c r="T203" s="1861"/>
      <c r="U203" s="1861"/>
      <c r="V203" s="1861"/>
      <c r="W203" s="1861"/>
      <c r="X203" s="1861"/>
      <c r="Y203" s="1861"/>
      <c r="Z203" s="1861"/>
      <c r="AA203" s="1861"/>
      <c r="AB203" s="1861"/>
      <c r="AC203" s="1861"/>
      <c r="AD203" s="1861"/>
      <c r="AE203" s="1861"/>
      <c r="AF203" s="1861"/>
      <c r="AG203" s="1861"/>
      <c r="AH203" s="1861"/>
      <c r="AI203" s="1861"/>
      <c r="AJ203" s="1861"/>
      <c r="AK203" s="1861"/>
      <c r="AL203" s="1861"/>
      <c r="AM203" s="1862"/>
    </row>
    <row r="204" spans="2:39" ht="18.75" customHeight="1">
      <c r="B204" s="3121" t="s">
        <v>2507</v>
      </c>
      <c r="C204" s="3021"/>
      <c r="D204" s="3021"/>
      <c r="E204" s="3021"/>
      <c r="F204" s="3021"/>
      <c r="G204" s="3021"/>
      <c r="H204" s="3021"/>
      <c r="I204" s="1935"/>
      <c r="J204" s="3021"/>
      <c r="K204" s="3021"/>
      <c r="L204" s="3021"/>
      <c r="M204" s="3021"/>
      <c r="N204" s="3021"/>
      <c r="O204" s="3021"/>
      <c r="P204" s="3021"/>
      <c r="Q204" s="3021"/>
      <c r="R204" s="3021"/>
      <c r="S204" s="3021"/>
      <c r="T204" s="3021"/>
      <c r="U204" s="3021"/>
      <c r="V204" s="3021"/>
      <c r="W204" s="3021"/>
      <c r="X204" s="3021"/>
      <c r="Y204" s="3021"/>
      <c r="Z204" s="3021"/>
      <c r="AA204" s="3021"/>
      <c r="AB204" s="3021"/>
      <c r="AC204" s="3021"/>
      <c r="AD204" s="3021"/>
      <c r="AE204" s="3021"/>
      <c r="AF204" s="3021"/>
      <c r="AG204" s="3021"/>
      <c r="AH204" s="3021"/>
      <c r="AI204" s="3021"/>
      <c r="AJ204" s="3021"/>
      <c r="AK204" s="3021"/>
      <c r="AL204" s="3021"/>
      <c r="AM204" s="3021"/>
    </row>
    <row r="205" spans="2:39" ht="75" customHeight="1">
      <c r="B205" s="3023"/>
      <c r="C205" s="1861"/>
      <c r="D205" s="1861"/>
      <c r="E205" s="1861"/>
      <c r="F205" s="1861"/>
      <c r="G205" s="1861"/>
      <c r="H205" s="1861"/>
      <c r="I205" s="1861"/>
      <c r="J205" s="1861"/>
      <c r="K205" s="1861"/>
      <c r="L205" s="1861"/>
      <c r="M205" s="1861"/>
      <c r="N205" s="1861"/>
      <c r="O205" s="1861"/>
      <c r="P205" s="1861"/>
      <c r="Q205" s="1861"/>
      <c r="R205" s="1861"/>
      <c r="S205" s="1861"/>
      <c r="T205" s="1861"/>
      <c r="U205" s="1861"/>
      <c r="V205" s="1861"/>
      <c r="W205" s="1861"/>
      <c r="X205" s="1861"/>
      <c r="Y205" s="1861"/>
      <c r="Z205" s="1861"/>
      <c r="AA205" s="1861"/>
      <c r="AB205" s="1861"/>
      <c r="AC205" s="1861"/>
      <c r="AD205" s="1861"/>
      <c r="AE205" s="1861"/>
      <c r="AF205" s="1861"/>
      <c r="AG205" s="1861"/>
      <c r="AH205" s="1861"/>
      <c r="AI205" s="1861"/>
      <c r="AJ205" s="1861"/>
      <c r="AK205" s="1861"/>
      <c r="AL205" s="1861"/>
      <c r="AM205" s="1862"/>
    </row>
    <row r="206" spans="2:39" ht="18" customHeight="1">
      <c r="B206" s="2181" t="s">
        <v>2495</v>
      </c>
      <c r="C206" s="3021"/>
      <c r="D206" s="3021"/>
      <c r="E206" s="3021"/>
      <c r="F206" s="3021"/>
      <c r="G206" s="3021"/>
      <c r="H206" s="3021"/>
      <c r="I206" s="1935"/>
      <c r="J206" s="3021"/>
      <c r="K206" s="3021"/>
      <c r="L206" s="3021"/>
      <c r="M206" s="3021"/>
      <c r="N206" s="3021"/>
      <c r="O206" s="3021"/>
      <c r="P206" s="3021"/>
      <c r="Q206" s="3021"/>
      <c r="R206" s="3021"/>
      <c r="S206" s="3021"/>
      <c r="T206" s="3021"/>
      <c r="U206" s="3021"/>
      <c r="V206" s="3021"/>
      <c r="W206" s="3021"/>
      <c r="X206" s="3021"/>
      <c r="Y206" s="3021"/>
      <c r="Z206" s="3021"/>
      <c r="AA206" s="3021"/>
      <c r="AB206" s="3021"/>
      <c r="AC206" s="3021"/>
      <c r="AD206" s="3021"/>
      <c r="AE206" s="3021"/>
      <c r="AF206" s="3021"/>
      <c r="AG206" s="3021"/>
      <c r="AH206" s="3021"/>
      <c r="AI206" s="3021"/>
      <c r="AJ206" s="3021"/>
      <c r="AK206" s="3021"/>
      <c r="AL206" s="3021"/>
      <c r="AM206" s="3021"/>
    </row>
    <row r="207" spans="2:39" ht="75" customHeight="1">
      <c r="B207" s="3023"/>
      <c r="C207" s="1861"/>
      <c r="D207" s="1861"/>
      <c r="E207" s="1861"/>
      <c r="F207" s="1861"/>
      <c r="G207" s="1861"/>
      <c r="H207" s="1861"/>
      <c r="I207" s="1861"/>
      <c r="J207" s="1861"/>
      <c r="K207" s="1861"/>
      <c r="L207" s="1861"/>
      <c r="M207" s="1861"/>
      <c r="N207" s="1861"/>
      <c r="O207" s="1861"/>
      <c r="P207" s="1861"/>
      <c r="Q207" s="1861"/>
      <c r="R207" s="1861"/>
      <c r="S207" s="1861"/>
      <c r="T207" s="1861"/>
      <c r="U207" s="1861"/>
      <c r="V207" s="1861"/>
      <c r="W207" s="1861"/>
      <c r="X207" s="1861"/>
      <c r="Y207" s="1861"/>
      <c r="Z207" s="1861"/>
      <c r="AA207" s="1861"/>
      <c r="AB207" s="1861"/>
      <c r="AC207" s="1861"/>
      <c r="AD207" s="1861"/>
      <c r="AE207" s="1861"/>
      <c r="AF207" s="1861"/>
      <c r="AG207" s="1861"/>
      <c r="AH207" s="1861"/>
      <c r="AI207" s="1861"/>
      <c r="AJ207" s="1861"/>
      <c r="AK207" s="1861"/>
      <c r="AL207" s="1861"/>
      <c r="AM207" s="1862"/>
    </row>
    <row r="208" spans="2:39" ht="18" customHeight="1">
      <c r="B208" s="3170" t="s">
        <v>2508</v>
      </c>
      <c r="C208" s="3021"/>
      <c r="D208" s="3021"/>
      <c r="E208" s="3021"/>
      <c r="F208" s="3021"/>
      <c r="G208" s="3021"/>
      <c r="H208" s="3021"/>
      <c r="I208" s="1935"/>
      <c r="J208" s="3021"/>
      <c r="K208" s="3021"/>
      <c r="L208" s="3021"/>
      <c r="M208" s="3021"/>
      <c r="N208" s="3021"/>
      <c r="O208" s="3021"/>
      <c r="P208" s="3021"/>
      <c r="Q208" s="3021"/>
      <c r="R208" s="3021"/>
      <c r="S208" s="3021"/>
      <c r="T208" s="3021"/>
      <c r="U208" s="3021"/>
      <c r="V208" s="3021"/>
      <c r="W208" s="3021"/>
      <c r="X208" s="3021"/>
      <c r="Y208" s="3021"/>
      <c r="Z208" s="3021"/>
      <c r="AA208" s="3021"/>
      <c r="AB208" s="3021"/>
      <c r="AC208" s="3021"/>
      <c r="AD208" s="3021"/>
      <c r="AE208" s="3021"/>
      <c r="AF208" s="3021"/>
      <c r="AG208" s="3021"/>
      <c r="AH208" s="3021"/>
      <c r="AI208" s="3021"/>
      <c r="AJ208" s="3021"/>
      <c r="AK208" s="3021"/>
      <c r="AL208" s="3021"/>
      <c r="AM208" s="3021"/>
    </row>
    <row r="209" spans="2:39" ht="75" customHeight="1">
      <c r="B209" s="2445"/>
      <c r="C209" s="1861"/>
      <c r="D209" s="1861"/>
      <c r="E209" s="1861"/>
      <c r="F209" s="1861"/>
      <c r="G209" s="1861"/>
      <c r="H209" s="1861"/>
      <c r="I209" s="1861"/>
      <c r="J209" s="1861"/>
      <c r="K209" s="1861"/>
      <c r="L209" s="1861"/>
      <c r="M209" s="1861"/>
      <c r="N209" s="1861"/>
      <c r="O209" s="1861"/>
      <c r="P209" s="1861"/>
      <c r="Q209" s="1861"/>
      <c r="R209" s="1861"/>
      <c r="S209" s="1861"/>
      <c r="T209" s="1861"/>
      <c r="U209" s="1861"/>
      <c r="V209" s="1861"/>
      <c r="W209" s="1861"/>
      <c r="X209" s="1861"/>
      <c r="Y209" s="1861"/>
      <c r="Z209" s="1861"/>
      <c r="AA209" s="1861"/>
      <c r="AB209" s="1861"/>
      <c r="AC209" s="1861"/>
      <c r="AD209" s="1861"/>
      <c r="AE209" s="1861"/>
      <c r="AF209" s="1861"/>
      <c r="AG209" s="1861"/>
      <c r="AH209" s="1861"/>
      <c r="AI209" s="1861"/>
      <c r="AJ209" s="1861"/>
      <c r="AK209" s="1861"/>
      <c r="AL209" s="1861"/>
      <c r="AM209" s="1862"/>
    </row>
    <row r="210" spans="2:39" ht="18.75" customHeight="1">
      <c r="B210" s="2181" t="s">
        <v>2495</v>
      </c>
      <c r="C210" s="3021"/>
      <c r="D210" s="3021"/>
      <c r="E210" s="3021"/>
      <c r="F210" s="3021"/>
      <c r="G210" s="3021"/>
      <c r="H210" s="3021"/>
      <c r="I210" s="1935"/>
      <c r="J210" s="3021"/>
      <c r="K210" s="3021"/>
      <c r="L210" s="3021"/>
      <c r="M210" s="3021"/>
      <c r="N210" s="3021"/>
      <c r="O210" s="3021"/>
      <c r="P210" s="3021"/>
      <c r="Q210" s="3021"/>
      <c r="R210" s="3021"/>
      <c r="S210" s="3021"/>
      <c r="T210" s="3021"/>
      <c r="U210" s="3021"/>
      <c r="V210" s="3021"/>
      <c r="W210" s="3021"/>
      <c r="X210" s="3021"/>
      <c r="Y210" s="3021"/>
      <c r="Z210" s="3021"/>
      <c r="AA210" s="3021"/>
      <c r="AB210" s="3021"/>
      <c r="AC210" s="3021"/>
      <c r="AD210" s="3021"/>
      <c r="AE210" s="3021"/>
      <c r="AF210" s="3021"/>
      <c r="AG210" s="3021"/>
      <c r="AH210" s="3021"/>
      <c r="AI210" s="3021"/>
      <c r="AJ210" s="3021"/>
      <c r="AK210" s="3021"/>
      <c r="AL210" s="3021"/>
      <c r="AM210" s="3021"/>
    </row>
    <row r="211" spans="2:39" ht="75" customHeight="1">
      <c r="B211" s="3023"/>
      <c r="C211" s="1861"/>
      <c r="D211" s="1861"/>
      <c r="E211" s="1861"/>
      <c r="F211" s="1861"/>
      <c r="G211" s="1861"/>
      <c r="H211" s="1861"/>
      <c r="I211" s="1861"/>
      <c r="J211" s="1861"/>
      <c r="K211" s="1861"/>
      <c r="L211" s="1861"/>
      <c r="M211" s="1861"/>
      <c r="N211" s="1861"/>
      <c r="O211" s="1861"/>
      <c r="P211" s="1861"/>
      <c r="Q211" s="1861"/>
      <c r="R211" s="1861"/>
      <c r="S211" s="1861"/>
      <c r="T211" s="1861"/>
      <c r="U211" s="1861"/>
      <c r="V211" s="1861"/>
      <c r="W211" s="1861"/>
      <c r="X211" s="1861"/>
      <c r="Y211" s="1861"/>
      <c r="Z211" s="1861"/>
      <c r="AA211" s="1861"/>
      <c r="AB211" s="1861"/>
      <c r="AC211" s="1861"/>
      <c r="AD211" s="1861"/>
      <c r="AE211" s="1861"/>
      <c r="AF211" s="1861"/>
      <c r="AG211" s="1861"/>
      <c r="AH211" s="1861"/>
      <c r="AI211" s="1861"/>
      <c r="AJ211" s="1861"/>
      <c r="AK211" s="1861"/>
      <c r="AL211" s="1861"/>
      <c r="AM211" s="1862"/>
    </row>
    <row r="212" spans="2:39" ht="18" customHeight="1">
      <c r="B212" s="3121" t="s">
        <v>2509</v>
      </c>
      <c r="C212" s="3021"/>
      <c r="D212" s="3021"/>
      <c r="E212" s="3021"/>
      <c r="F212" s="3021"/>
      <c r="G212" s="3021"/>
      <c r="H212" s="3021"/>
      <c r="I212" s="1935"/>
      <c r="J212" s="3021"/>
      <c r="K212" s="3021"/>
      <c r="L212" s="3021"/>
      <c r="M212" s="3021"/>
      <c r="N212" s="3021"/>
      <c r="O212" s="3021"/>
      <c r="P212" s="3021"/>
      <c r="Q212" s="3021"/>
      <c r="R212" s="3021"/>
      <c r="S212" s="3021"/>
      <c r="T212" s="3021"/>
      <c r="U212" s="3021"/>
      <c r="V212" s="3021"/>
      <c r="W212" s="3021"/>
      <c r="X212" s="3021"/>
      <c r="Y212" s="3021"/>
      <c r="Z212" s="3021"/>
      <c r="AA212" s="3021"/>
      <c r="AB212" s="3021"/>
      <c r="AC212" s="3021"/>
      <c r="AD212" s="3021"/>
      <c r="AE212" s="3021"/>
      <c r="AF212" s="3021"/>
      <c r="AG212" s="3021"/>
      <c r="AH212" s="3021"/>
      <c r="AI212" s="3021"/>
      <c r="AJ212" s="3021"/>
      <c r="AK212" s="3021"/>
      <c r="AL212" s="3021"/>
      <c r="AM212" s="3021"/>
    </row>
    <row r="213" spans="2:39" ht="75" customHeight="1">
      <c r="B213" s="3023"/>
      <c r="C213" s="1861"/>
      <c r="D213" s="1861"/>
      <c r="E213" s="1861"/>
      <c r="F213" s="1861"/>
      <c r="G213" s="1861"/>
      <c r="H213" s="1861"/>
      <c r="I213" s="1861"/>
      <c r="J213" s="1861"/>
      <c r="K213" s="1861"/>
      <c r="L213" s="1861"/>
      <c r="M213" s="1861"/>
      <c r="N213" s="1861"/>
      <c r="O213" s="1861"/>
      <c r="P213" s="1861"/>
      <c r="Q213" s="1861"/>
      <c r="R213" s="1861"/>
      <c r="S213" s="1861"/>
      <c r="T213" s="1861"/>
      <c r="U213" s="1861"/>
      <c r="V213" s="1861"/>
      <c r="W213" s="1861"/>
      <c r="X213" s="1861"/>
      <c r="Y213" s="1861"/>
      <c r="Z213" s="1861"/>
      <c r="AA213" s="1861"/>
      <c r="AB213" s="1861"/>
      <c r="AC213" s="1861"/>
      <c r="AD213" s="1861"/>
      <c r="AE213" s="1861"/>
      <c r="AF213" s="1861"/>
      <c r="AG213" s="1861"/>
      <c r="AH213" s="1861"/>
      <c r="AI213" s="1861"/>
      <c r="AJ213" s="1861"/>
      <c r="AK213" s="1861"/>
      <c r="AL213" s="1861"/>
      <c r="AM213" s="1862"/>
    </row>
    <row r="214" spans="2:39" ht="18" customHeight="1">
      <c r="B214" s="2181" t="s">
        <v>2495</v>
      </c>
      <c r="C214" s="3021"/>
      <c r="D214" s="3021"/>
      <c r="E214" s="3021"/>
      <c r="F214" s="3021"/>
      <c r="G214" s="3021"/>
      <c r="H214" s="3021"/>
      <c r="I214" s="1935"/>
      <c r="J214" s="3021"/>
      <c r="K214" s="3021"/>
      <c r="L214" s="3021"/>
      <c r="M214" s="3021"/>
      <c r="N214" s="3021"/>
      <c r="O214" s="3021"/>
      <c r="P214" s="3021"/>
      <c r="Q214" s="3021"/>
      <c r="R214" s="3021"/>
      <c r="S214" s="3021"/>
      <c r="T214" s="3021"/>
      <c r="U214" s="3021"/>
      <c r="V214" s="3021"/>
      <c r="W214" s="3021"/>
      <c r="X214" s="3021"/>
      <c r="Y214" s="3021"/>
      <c r="Z214" s="3021"/>
      <c r="AA214" s="3021"/>
      <c r="AB214" s="3021"/>
      <c r="AC214" s="3021"/>
      <c r="AD214" s="3021"/>
      <c r="AE214" s="3021"/>
      <c r="AF214" s="3021"/>
      <c r="AG214" s="3021"/>
      <c r="AH214" s="3021"/>
      <c r="AI214" s="3021"/>
      <c r="AJ214" s="3021"/>
      <c r="AK214" s="3021"/>
      <c r="AL214" s="3021"/>
      <c r="AM214" s="3021"/>
    </row>
    <row r="215" spans="2:39" ht="75" customHeight="1">
      <c r="B215" s="3023"/>
      <c r="C215" s="1861"/>
      <c r="D215" s="1861"/>
      <c r="E215" s="1861"/>
      <c r="F215" s="1861"/>
      <c r="G215" s="1861"/>
      <c r="H215" s="1861"/>
      <c r="I215" s="1861"/>
      <c r="J215" s="1861"/>
      <c r="K215" s="1861"/>
      <c r="L215" s="1861"/>
      <c r="M215" s="1861"/>
      <c r="N215" s="1861"/>
      <c r="O215" s="1861"/>
      <c r="P215" s="1861"/>
      <c r="Q215" s="1861"/>
      <c r="R215" s="1861"/>
      <c r="S215" s="1861"/>
      <c r="T215" s="1861"/>
      <c r="U215" s="1861"/>
      <c r="V215" s="1861"/>
      <c r="W215" s="1861"/>
      <c r="X215" s="1861"/>
      <c r="Y215" s="1861"/>
      <c r="Z215" s="1861"/>
      <c r="AA215" s="1861"/>
      <c r="AB215" s="1861"/>
      <c r="AC215" s="1861"/>
      <c r="AD215" s="1861"/>
      <c r="AE215" s="1861"/>
      <c r="AF215" s="1861"/>
      <c r="AG215" s="1861"/>
      <c r="AH215" s="1861"/>
      <c r="AI215" s="1861"/>
      <c r="AJ215" s="1861"/>
      <c r="AK215" s="1861"/>
      <c r="AL215" s="1861"/>
      <c r="AM215" s="1862"/>
    </row>
    <row r="216" spans="2:39" ht="18" customHeight="1">
      <c r="B216" s="3153" t="s">
        <v>2510</v>
      </c>
      <c r="C216" s="3021"/>
      <c r="D216" s="3021"/>
      <c r="E216" s="3021"/>
      <c r="F216" s="3021"/>
      <c r="G216" s="3021"/>
      <c r="H216" s="3021"/>
      <c r="I216" s="1935"/>
      <c r="J216" s="3021"/>
      <c r="K216" s="3021"/>
      <c r="L216" s="3021"/>
      <c r="M216" s="3021"/>
      <c r="N216" s="3021"/>
      <c r="O216" s="3021"/>
      <c r="P216" s="3021"/>
      <c r="Q216" s="3021"/>
      <c r="R216" s="3021"/>
      <c r="S216" s="3021"/>
      <c r="T216" s="3021"/>
      <c r="U216" s="3021"/>
      <c r="V216" s="3021"/>
      <c r="W216" s="3021"/>
      <c r="X216" s="3021"/>
      <c r="Y216" s="3021"/>
      <c r="Z216" s="3021"/>
      <c r="AA216" s="3021"/>
      <c r="AB216" s="3021"/>
      <c r="AC216" s="3021"/>
      <c r="AD216" s="3021"/>
      <c r="AE216" s="3021"/>
      <c r="AF216" s="3021"/>
      <c r="AG216" s="3021"/>
      <c r="AH216" s="3021"/>
      <c r="AI216" s="3021"/>
      <c r="AJ216" s="3021"/>
      <c r="AK216" s="3021"/>
      <c r="AL216" s="3021"/>
      <c r="AM216" s="3021"/>
    </row>
    <row r="217" spans="2:39" ht="75" customHeight="1">
      <c r="B217" s="3025"/>
      <c r="C217" s="1861"/>
      <c r="D217" s="1861"/>
      <c r="E217" s="1861"/>
      <c r="F217" s="1861"/>
      <c r="G217" s="1861"/>
      <c r="H217" s="1861"/>
      <c r="I217" s="1861"/>
      <c r="J217" s="1861"/>
      <c r="K217" s="1861"/>
      <c r="L217" s="1861"/>
      <c r="M217" s="1861"/>
      <c r="N217" s="1861"/>
      <c r="O217" s="1861"/>
      <c r="P217" s="1861"/>
      <c r="Q217" s="1861"/>
      <c r="R217" s="1861"/>
      <c r="S217" s="1861"/>
      <c r="T217" s="1861"/>
      <c r="U217" s="1861"/>
      <c r="V217" s="1861"/>
      <c r="W217" s="1861"/>
      <c r="X217" s="1861"/>
      <c r="Y217" s="1861"/>
      <c r="Z217" s="1861"/>
      <c r="AA217" s="1861"/>
      <c r="AB217" s="1861"/>
      <c r="AC217" s="1861"/>
      <c r="AD217" s="1861"/>
      <c r="AE217" s="1861"/>
      <c r="AF217" s="1861"/>
      <c r="AG217" s="1861"/>
      <c r="AH217" s="1861"/>
      <c r="AI217" s="1861"/>
      <c r="AJ217" s="1861"/>
      <c r="AK217" s="1861"/>
      <c r="AL217" s="1861"/>
      <c r="AM217" s="1862"/>
    </row>
    <row r="218" spans="2:39" s="397" customFormat="1" ht="18" customHeight="1">
      <c r="B218" s="2181" t="s">
        <v>2495</v>
      </c>
      <c r="C218" s="3015"/>
      <c r="D218" s="3015"/>
      <c r="E218" s="3015"/>
      <c r="F218" s="3015"/>
      <c r="G218" s="3015"/>
      <c r="H218" s="3015"/>
      <c r="I218" s="3015"/>
      <c r="J218" s="3015"/>
      <c r="K218" s="3015"/>
      <c r="L218" s="3015"/>
      <c r="M218" s="3015"/>
      <c r="N218" s="3015"/>
      <c r="O218" s="3015"/>
      <c r="P218" s="3015"/>
      <c r="Q218" s="3015"/>
      <c r="R218" s="3015"/>
      <c r="S218" s="3015"/>
      <c r="T218" s="3015"/>
      <c r="U218" s="3015"/>
      <c r="V218" s="3015"/>
      <c r="W218" s="3015"/>
      <c r="X218" s="3015"/>
      <c r="Y218" s="3015"/>
      <c r="Z218" s="3015"/>
      <c r="AA218" s="3015"/>
      <c r="AB218" s="3015"/>
      <c r="AC218" s="3015"/>
      <c r="AD218" s="3015"/>
      <c r="AE218" s="3015"/>
      <c r="AF218" s="3015"/>
      <c r="AG218" s="3015"/>
      <c r="AH218" s="3015"/>
      <c r="AI218" s="3015"/>
      <c r="AJ218" s="3015"/>
      <c r="AK218" s="3015"/>
      <c r="AL218" s="3015"/>
      <c r="AM218" s="3015"/>
    </row>
    <row r="219" spans="2:39" s="397" customFormat="1" ht="75" customHeight="1">
      <c r="B219" s="3025"/>
      <c r="C219" s="1861"/>
      <c r="D219" s="1861"/>
      <c r="E219" s="1861"/>
      <c r="F219" s="1861"/>
      <c r="G219" s="1861"/>
      <c r="H219" s="1861"/>
      <c r="I219" s="1861"/>
      <c r="J219" s="1861"/>
      <c r="K219" s="1861"/>
      <c r="L219" s="1861"/>
      <c r="M219" s="1861"/>
      <c r="N219" s="1861"/>
      <c r="O219" s="1861"/>
      <c r="P219" s="1861"/>
      <c r="Q219" s="1861"/>
      <c r="R219" s="1861"/>
      <c r="S219" s="1861"/>
      <c r="T219" s="1861"/>
      <c r="U219" s="1861"/>
      <c r="V219" s="1861"/>
      <c r="W219" s="1861"/>
      <c r="X219" s="1861"/>
      <c r="Y219" s="1861"/>
      <c r="Z219" s="1861"/>
      <c r="AA219" s="1861"/>
      <c r="AB219" s="1861"/>
      <c r="AC219" s="1861"/>
      <c r="AD219" s="1861"/>
      <c r="AE219" s="1861"/>
      <c r="AF219" s="1861"/>
      <c r="AG219" s="1861"/>
      <c r="AH219" s="1861"/>
      <c r="AI219" s="1861"/>
      <c r="AJ219" s="1861"/>
      <c r="AK219" s="1861"/>
      <c r="AL219" s="1861"/>
      <c r="AM219" s="1862"/>
    </row>
    <row r="220" spans="2:39" s="397" customFormat="1" ht="18" customHeight="1">
      <c r="B220" s="3102" t="s">
        <v>2511</v>
      </c>
      <c r="C220" s="3015"/>
      <c r="D220" s="3015"/>
      <c r="E220" s="3015"/>
      <c r="F220" s="3015"/>
      <c r="G220" s="3015"/>
      <c r="H220" s="3015"/>
      <c r="I220" s="3015"/>
      <c r="J220" s="3015"/>
      <c r="K220" s="3015"/>
      <c r="L220" s="3015"/>
      <c r="M220" s="3015"/>
      <c r="N220" s="3015"/>
      <c r="O220" s="3015"/>
      <c r="P220" s="3015"/>
      <c r="Q220" s="3015"/>
      <c r="R220" s="3015"/>
      <c r="S220" s="3015"/>
      <c r="T220" s="3015"/>
      <c r="U220" s="3015"/>
      <c r="V220" s="3015"/>
      <c r="W220" s="3015"/>
      <c r="X220" s="3015"/>
      <c r="Y220" s="3015"/>
      <c r="Z220" s="3015"/>
      <c r="AA220" s="3015"/>
      <c r="AB220" s="3015"/>
      <c r="AC220" s="3015"/>
      <c r="AD220" s="3015"/>
      <c r="AE220" s="3015"/>
      <c r="AF220" s="3015"/>
      <c r="AG220" s="3015"/>
      <c r="AH220" s="3015"/>
      <c r="AI220" s="3015"/>
      <c r="AJ220" s="3015"/>
      <c r="AK220" s="3015"/>
      <c r="AL220" s="3015"/>
      <c r="AM220" s="3015"/>
    </row>
    <row r="221" spans="2:39" s="110" customFormat="1" ht="18" customHeight="1">
      <c r="B221" s="3102" t="s">
        <v>2512</v>
      </c>
      <c r="C221" s="3019"/>
      <c r="D221" s="3019"/>
      <c r="E221" s="3019"/>
      <c r="F221" s="3019"/>
      <c r="G221" s="3019"/>
      <c r="H221" s="3019"/>
      <c r="I221" s="3019"/>
      <c r="J221" s="3019"/>
      <c r="K221" s="3019"/>
      <c r="L221" s="3019"/>
      <c r="M221" s="3019"/>
      <c r="N221" s="3019"/>
      <c r="O221" s="3019"/>
      <c r="P221" s="3019"/>
      <c r="Q221" s="3019"/>
      <c r="R221" s="3019"/>
      <c r="S221" s="3019"/>
      <c r="T221" s="3019"/>
      <c r="U221" s="3019"/>
      <c r="V221" s="3019"/>
      <c r="W221" s="3019"/>
      <c r="X221" s="3019"/>
      <c r="Y221" s="3019"/>
      <c r="Z221" s="3019"/>
      <c r="AA221" s="3019"/>
      <c r="AB221" s="3019"/>
      <c r="AC221" s="3019"/>
      <c r="AD221" s="3019"/>
      <c r="AE221" s="3019"/>
      <c r="AF221" s="3019"/>
      <c r="AG221" s="3019"/>
      <c r="AH221" s="3019"/>
      <c r="AI221" s="3019"/>
      <c r="AJ221" s="3019"/>
      <c r="AK221" s="3019"/>
      <c r="AL221" s="3019"/>
      <c r="AM221" s="3019"/>
    </row>
    <row r="222" spans="2:39" s="397" customFormat="1" ht="63" customHeight="1">
      <c r="B222" s="2181" t="s">
        <v>2513</v>
      </c>
      <c r="C222" s="3015"/>
      <c r="D222" s="3015"/>
      <c r="E222" s="3015"/>
      <c r="F222" s="3015"/>
      <c r="G222" s="3015"/>
      <c r="H222" s="3015"/>
      <c r="I222" s="3015"/>
      <c r="J222" s="3015"/>
      <c r="K222" s="3015"/>
      <c r="L222" s="3015"/>
      <c r="M222" s="3015"/>
      <c r="N222" s="3015"/>
      <c r="O222" s="3015"/>
      <c r="P222" s="3015"/>
      <c r="Q222" s="3015"/>
      <c r="R222" s="3015"/>
      <c r="S222" s="3015"/>
      <c r="T222" s="3015"/>
      <c r="U222" s="3015"/>
      <c r="V222" s="3015"/>
      <c r="W222" s="3015"/>
      <c r="X222" s="3015"/>
      <c r="Y222" s="3015"/>
      <c r="Z222" s="3015"/>
      <c r="AA222" s="3015"/>
      <c r="AB222" s="3015"/>
      <c r="AC222" s="3015"/>
      <c r="AD222" s="3015"/>
      <c r="AE222" s="3015"/>
      <c r="AF222" s="3015"/>
      <c r="AG222" s="3015"/>
      <c r="AH222" s="3015"/>
      <c r="AI222" s="3015"/>
      <c r="AJ222" s="3015"/>
      <c r="AK222" s="3015"/>
      <c r="AL222" s="3015"/>
      <c r="AM222" s="3015"/>
    </row>
    <row r="223" spans="2:39" ht="36" customHeight="1">
      <c r="B223" s="3047" t="s">
        <v>2255</v>
      </c>
      <c r="C223" s="1777"/>
      <c r="D223" s="1777"/>
      <c r="E223" s="1777"/>
      <c r="F223" s="1778"/>
      <c r="G223" s="3047" t="s">
        <v>2256</v>
      </c>
      <c r="H223" s="1777"/>
      <c r="I223" s="1777"/>
      <c r="J223" s="1777"/>
      <c r="K223" s="1777"/>
      <c r="L223" s="1777"/>
      <c r="M223" s="1777"/>
      <c r="N223" s="1778"/>
      <c r="O223" s="3047" t="s">
        <v>2257</v>
      </c>
      <c r="P223" s="1777"/>
      <c r="Q223" s="1777"/>
      <c r="R223" s="1777"/>
      <c r="S223" s="1777"/>
      <c r="T223" s="1778"/>
      <c r="U223" s="3047" t="s">
        <v>2258</v>
      </c>
      <c r="V223" s="1777"/>
      <c r="W223" s="1777"/>
      <c r="X223" s="1777"/>
      <c r="Y223" s="1777"/>
      <c r="Z223" s="1778"/>
      <c r="AA223" s="3047" t="s">
        <v>2259</v>
      </c>
      <c r="AB223" s="1777"/>
      <c r="AC223" s="1777"/>
      <c r="AD223" s="1777"/>
      <c r="AE223" s="1777"/>
      <c r="AF223" s="1778"/>
      <c r="AG223" s="3047" t="s">
        <v>2260</v>
      </c>
      <c r="AH223" s="1777"/>
      <c r="AI223" s="1777"/>
      <c r="AJ223" s="1777"/>
      <c r="AK223" s="1777"/>
      <c r="AL223" s="1777"/>
      <c r="AM223" s="1778"/>
    </row>
    <row r="224" spans="2:39" ht="120" customHeight="1">
      <c r="B224" s="3017" t="s">
        <v>2514</v>
      </c>
      <c r="C224" s="1777"/>
      <c r="D224" s="1777"/>
      <c r="E224" s="1777"/>
      <c r="F224" s="1778"/>
      <c r="G224" s="3068" t="s">
        <v>2515</v>
      </c>
      <c r="H224" s="1777"/>
      <c r="I224" s="1777"/>
      <c r="J224" s="1777"/>
      <c r="K224" s="1777"/>
      <c r="L224" s="1777"/>
      <c r="M224" s="1777"/>
      <c r="N224" s="1778"/>
      <c r="O224" s="3068" t="s">
        <v>2516</v>
      </c>
      <c r="P224" s="1777"/>
      <c r="Q224" s="1777"/>
      <c r="R224" s="1777"/>
      <c r="S224" s="1777"/>
      <c r="T224" s="1778"/>
      <c r="U224" s="3017" t="s">
        <v>2264</v>
      </c>
      <c r="V224" s="1777"/>
      <c r="W224" s="1777"/>
      <c r="X224" s="1777"/>
      <c r="Y224" s="1777"/>
      <c r="Z224" s="1778"/>
      <c r="AA224" s="3017" t="s">
        <v>2517</v>
      </c>
      <c r="AB224" s="1777"/>
      <c r="AC224" s="1777"/>
      <c r="AD224" s="1777"/>
      <c r="AE224" s="1777"/>
      <c r="AF224" s="1778"/>
      <c r="AG224" s="3017" t="s">
        <v>2518</v>
      </c>
      <c r="AH224" s="1777"/>
      <c r="AI224" s="1777"/>
      <c r="AJ224" s="1777"/>
      <c r="AK224" s="1777"/>
      <c r="AL224" s="1777"/>
      <c r="AM224" s="1778"/>
    </row>
    <row r="225" spans="2:40" s="397" customFormat="1" ht="90" customHeight="1">
      <c r="B225" s="3091" t="s">
        <v>2519</v>
      </c>
      <c r="C225" s="1777"/>
      <c r="D225" s="1777"/>
      <c r="E225" s="1777"/>
      <c r="F225" s="1778"/>
      <c r="G225" s="3023"/>
      <c r="H225" s="1861"/>
      <c r="I225" s="1861"/>
      <c r="J225" s="1861"/>
      <c r="K225" s="1861"/>
      <c r="L225" s="1861"/>
      <c r="M225" s="1861"/>
      <c r="N225" s="1862"/>
      <c r="O225" s="3023"/>
      <c r="P225" s="1861"/>
      <c r="Q225" s="1861"/>
      <c r="R225" s="1861"/>
      <c r="S225" s="1861"/>
      <c r="T225" s="1862"/>
      <c r="U225" s="3023"/>
      <c r="V225" s="1861"/>
      <c r="W225" s="1861"/>
      <c r="X225" s="1861"/>
      <c r="Y225" s="1861"/>
      <c r="Z225" s="1862"/>
      <c r="AA225" s="3023"/>
      <c r="AB225" s="1861"/>
      <c r="AC225" s="1861"/>
      <c r="AD225" s="1861"/>
      <c r="AE225" s="1861"/>
      <c r="AF225" s="1862"/>
      <c r="AG225" s="3023"/>
      <c r="AH225" s="1861"/>
      <c r="AI225" s="1861"/>
      <c r="AJ225" s="1861"/>
      <c r="AK225" s="1861"/>
      <c r="AL225" s="1861"/>
      <c r="AM225" s="1862"/>
      <c r="AN225" s="381" t="s">
        <v>2520</v>
      </c>
    </row>
    <row r="226" spans="2:40" s="397" customFormat="1" ht="90" customHeight="1">
      <c r="B226" s="3091" t="s">
        <v>2521</v>
      </c>
      <c r="C226" s="1777"/>
      <c r="D226" s="1777"/>
      <c r="E226" s="1777"/>
      <c r="F226" s="1778"/>
      <c r="G226" s="3023"/>
      <c r="H226" s="1861"/>
      <c r="I226" s="1861"/>
      <c r="J226" s="1861"/>
      <c r="K226" s="1861"/>
      <c r="L226" s="1861"/>
      <c r="M226" s="1861"/>
      <c r="N226" s="1862"/>
      <c r="O226" s="3023"/>
      <c r="P226" s="1861"/>
      <c r="Q226" s="1861"/>
      <c r="R226" s="1861"/>
      <c r="S226" s="1861"/>
      <c r="T226" s="1862"/>
      <c r="U226" s="3023"/>
      <c r="V226" s="1861"/>
      <c r="W226" s="1861"/>
      <c r="X226" s="1861"/>
      <c r="Y226" s="1861"/>
      <c r="Z226" s="1862"/>
      <c r="AA226" s="3023"/>
      <c r="AB226" s="1861"/>
      <c r="AC226" s="1861"/>
      <c r="AD226" s="1861"/>
      <c r="AE226" s="1861"/>
      <c r="AF226" s="1862"/>
      <c r="AG226" s="3023"/>
      <c r="AH226" s="1861"/>
      <c r="AI226" s="1861"/>
      <c r="AJ226" s="1861"/>
      <c r="AK226" s="1861"/>
      <c r="AL226" s="1861"/>
      <c r="AM226" s="1862"/>
      <c r="AN226" s="381"/>
    </row>
    <row r="227" spans="2:40" s="397" customFormat="1" ht="125.25" customHeight="1">
      <c r="B227" s="3091" t="s">
        <v>2522</v>
      </c>
      <c r="C227" s="1777"/>
      <c r="D227" s="1777"/>
      <c r="E227" s="1777"/>
      <c r="F227" s="1778"/>
      <c r="G227" s="3023"/>
      <c r="H227" s="1861"/>
      <c r="I227" s="1861"/>
      <c r="J227" s="1861"/>
      <c r="K227" s="1861"/>
      <c r="L227" s="1861"/>
      <c r="M227" s="1861"/>
      <c r="N227" s="1862"/>
      <c r="O227" s="3023"/>
      <c r="P227" s="1861"/>
      <c r="Q227" s="1861"/>
      <c r="R227" s="1861"/>
      <c r="S227" s="1861"/>
      <c r="T227" s="1862"/>
      <c r="U227" s="3023"/>
      <c r="V227" s="1861"/>
      <c r="W227" s="1861"/>
      <c r="X227" s="1861"/>
      <c r="Y227" s="1861"/>
      <c r="Z227" s="1862"/>
      <c r="AA227" s="3023"/>
      <c r="AB227" s="1861"/>
      <c r="AC227" s="1861"/>
      <c r="AD227" s="1861"/>
      <c r="AE227" s="1861"/>
      <c r="AF227" s="1862"/>
      <c r="AG227" s="3023"/>
      <c r="AH227" s="1861"/>
      <c r="AI227" s="1861"/>
      <c r="AJ227" s="1861"/>
      <c r="AK227" s="1861"/>
      <c r="AL227" s="1861"/>
      <c r="AM227" s="1862"/>
      <c r="AN227" s="2" t="s">
        <v>2523</v>
      </c>
    </row>
    <row r="228" spans="2:40" s="397" customFormat="1" ht="130.5" customHeight="1">
      <c r="B228" s="3091" t="s">
        <v>2524</v>
      </c>
      <c r="C228" s="1777"/>
      <c r="D228" s="1777"/>
      <c r="E228" s="1777"/>
      <c r="F228" s="1778"/>
      <c r="G228" s="3023"/>
      <c r="H228" s="1861"/>
      <c r="I228" s="1861"/>
      <c r="J228" s="1861"/>
      <c r="K228" s="1861"/>
      <c r="L228" s="1861"/>
      <c r="M228" s="1861"/>
      <c r="N228" s="1862"/>
      <c r="O228" s="3023"/>
      <c r="P228" s="1861"/>
      <c r="Q228" s="1861"/>
      <c r="R228" s="1861"/>
      <c r="S228" s="1861"/>
      <c r="T228" s="1862"/>
      <c r="U228" s="3023"/>
      <c r="V228" s="1861"/>
      <c r="W228" s="1861"/>
      <c r="X228" s="1861"/>
      <c r="Y228" s="1861"/>
      <c r="Z228" s="1862"/>
      <c r="AA228" s="3023"/>
      <c r="AB228" s="1861"/>
      <c r="AC228" s="1861"/>
      <c r="AD228" s="1861"/>
      <c r="AE228" s="1861"/>
      <c r="AF228" s="1862"/>
      <c r="AG228" s="3023"/>
      <c r="AH228" s="1861"/>
      <c r="AI228" s="1861"/>
      <c r="AJ228" s="1861"/>
      <c r="AK228" s="1861"/>
      <c r="AL228" s="1861"/>
      <c r="AM228" s="1862"/>
      <c r="AN228" s="381"/>
    </row>
    <row r="229" spans="2:40" s="397" customFormat="1" ht="97.35" customHeight="1">
      <c r="B229" s="3091" t="s">
        <v>2525</v>
      </c>
      <c r="C229" s="1777"/>
      <c r="D229" s="1777"/>
      <c r="E229" s="1777"/>
      <c r="F229" s="1778"/>
      <c r="G229" s="3023"/>
      <c r="H229" s="1861"/>
      <c r="I229" s="1861"/>
      <c r="J229" s="1861"/>
      <c r="K229" s="1861"/>
      <c r="L229" s="1861"/>
      <c r="M229" s="1861"/>
      <c r="N229" s="1862"/>
      <c r="O229" s="3023"/>
      <c r="P229" s="1861"/>
      <c r="Q229" s="1861"/>
      <c r="R229" s="1861"/>
      <c r="S229" s="1861"/>
      <c r="T229" s="1862"/>
      <c r="U229" s="3023"/>
      <c r="V229" s="1861"/>
      <c r="W229" s="1861"/>
      <c r="X229" s="1861"/>
      <c r="Y229" s="1861"/>
      <c r="Z229" s="1862"/>
      <c r="AA229" s="3023"/>
      <c r="AB229" s="1861"/>
      <c r="AC229" s="1861"/>
      <c r="AD229" s="1861"/>
      <c r="AE229" s="1861"/>
      <c r="AF229" s="1862"/>
      <c r="AG229" s="3023"/>
      <c r="AH229" s="1861"/>
      <c r="AI229" s="1861"/>
      <c r="AJ229" s="1861"/>
      <c r="AK229" s="1861"/>
      <c r="AL229" s="1861"/>
      <c r="AM229" s="1862"/>
      <c r="AN229" s="2" t="s">
        <v>2523</v>
      </c>
    </row>
    <row r="230" spans="2:40" s="397" customFormat="1" ht="129.75" customHeight="1">
      <c r="B230" s="3034" t="s">
        <v>2526</v>
      </c>
      <c r="C230" s="1777"/>
      <c r="D230" s="1777"/>
      <c r="E230" s="1777"/>
      <c r="F230" s="1778"/>
      <c r="G230" s="3023"/>
      <c r="H230" s="1861"/>
      <c r="I230" s="1861"/>
      <c r="J230" s="1861"/>
      <c r="K230" s="1861"/>
      <c r="L230" s="1861"/>
      <c r="M230" s="1861"/>
      <c r="N230" s="1862"/>
      <c r="O230" s="3023"/>
      <c r="P230" s="1861"/>
      <c r="Q230" s="1861"/>
      <c r="R230" s="1861"/>
      <c r="S230" s="1861"/>
      <c r="T230" s="1862"/>
      <c r="U230" s="3023"/>
      <c r="V230" s="1861"/>
      <c r="W230" s="1861"/>
      <c r="X230" s="1861"/>
      <c r="Y230" s="1861"/>
      <c r="Z230" s="1862"/>
      <c r="AA230" s="3023"/>
      <c r="AB230" s="1861"/>
      <c r="AC230" s="1861"/>
      <c r="AD230" s="1861"/>
      <c r="AE230" s="1861"/>
      <c r="AF230" s="1862"/>
      <c r="AG230" s="3023"/>
      <c r="AH230" s="1861"/>
      <c r="AI230" s="1861"/>
      <c r="AJ230" s="1861"/>
      <c r="AK230" s="1861"/>
      <c r="AL230" s="1861"/>
      <c r="AM230" s="1862"/>
      <c r="AN230" s="381"/>
    </row>
    <row r="231" spans="2:40" s="397" customFormat="1" ht="90" customHeight="1">
      <c r="B231" s="3091" t="s">
        <v>2527</v>
      </c>
      <c r="C231" s="1777"/>
      <c r="D231" s="1777"/>
      <c r="E231" s="1777"/>
      <c r="F231" s="1778"/>
      <c r="G231" s="3023"/>
      <c r="H231" s="1861"/>
      <c r="I231" s="1861"/>
      <c r="J231" s="1861"/>
      <c r="K231" s="1861"/>
      <c r="L231" s="1861"/>
      <c r="M231" s="1861"/>
      <c r="N231" s="1862"/>
      <c r="O231" s="3023"/>
      <c r="P231" s="1861"/>
      <c r="Q231" s="1861"/>
      <c r="R231" s="1861"/>
      <c r="S231" s="1861"/>
      <c r="T231" s="1862"/>
      <c r="U231" s="3023"/>
      <c r="V231" s="1861"/>
      <c r="W231" s="1861"/>
      <c r="X231" s="1861"/>
      <c r="Y231" s="1861"/>
      <c r="Z231" s="1862"/>
      <c r="AA231" s="3023"/>
      <c r="AB231" s="1861"/>
      <c r="AC231" s="1861"/>
      <c r="AD231" s="1861"/>
      <c r="AE231" s="1861"/>
      <c r="AF231" s="1862"/>
      <c r="AG231" s="3023"/>
      <c r="AH231" s="1861"/>
      <c r="AI231" s="1861"/>
      <c r="AJ231" s="1861"/>
      <c r="AK231" s="1861"/>
      <c r="AL231" s="1861"/>
      <c r="AM231" s="1862"/>
      <c r="AN231" s="2" t="s">
        <v>2528</v>
      </c>
    </row>
    <row r="232" spans="2:40" s="397" customFormat="1" ht="90" customHeight="1">
      <c r="B232" s="3034" t="s">
        <v>2529</v>
      </c>
      <c r="C232" s="1777"/>
      <c r="D232" s="1777"/>
      <c r="E232" s="1777"/>
      <c r="F232" s="1778"/>
      <c r="G232" s="3023"/>
      <c r="H232" s="1861"/>
      <c r="I232" s="1861"/>
      <c r="J232" s="1861"/>
      <c r="K232" s="1861"/>
      <c r="L232" s="1861"/>
      <c r="M232" s="1861"/>
      <c r="N232" s="1862"/>
      <c r="O232" s="3023"/>
      <c r="P232" s="1861"/>
      <c r="Q232" s="1861"/>
      <c r="R232" s="1861"/>
      <c r="S232" s="1861"/>
      <c r="T232" s="1862"/>
      <c r="U232" s="3023"/>
      <c r="V232" s="1861"/>
      <c r="W232" s="1861"/>
      <c r="X232" s="1861"/>
      <c r="Y232" s="1861"/>
      <c r="Z232" s="1862"/>
      <c r="AA232" s="3023"/>
      <c r="AB232" s="1861"/>
      <c r="AC232" s="1861"/>
      <c r="AD232" s="1861"/>
      <c r="AE232" s="1861"/>
      <c r="AF232" s="1862"/>
      <c r="AG232" s="3023"/>
      <c r="AH232" s="1861"/>
      <c r="AI232" s="1861"/>
      <c r="AJ232" s="1861"/>
      <c r="AK232" s="1861"/>
      <c r="AL232" s="1861"/>
      <c r="AM232" s="1862"/>
      <c r="AN232" s="381"/>
    </row>
    <row r="233" spans="2:40" s="397" customFormat="1" ht="130.5" customHeight="1">
      <c r="B233" s="3091" t="s">
        <v>2530</v>
      </c>
      <c r="C233" s="1777"/>
      <c r="D233" s="1777"/>
      <c r="E233" s="1777"/>
      <c r="F233" s="1778"/>
      <c r="G233" s="3023"/>
      <c r="H233" s="1861"/>
      <c r="I233" s="1861"/>
      <c r="J233" s="1861"/>
      <c r="K233" s="1861"/>
      <c r="L233" s="1861"/>
      <c r="M233" s="1861"/>
      <c r="N233" s="1862"/>
      <c r="O233" s="3023"/>
      <c r="P233" s="1861"/>
      <c r="Q233" s="1861"/>
      <c r="R233" s="1861"/>
      <c r="S233" s="1861"/>
      <c r="T233" s="1862"/>
      <c r="U233" s="3023"/>
      <c r="V233" s="1861"/>
      <c r="W233" s="1861"/>
      <c r="X233" s="1861"/>
      <c r="Y233" s="1861"/>
      <c r="Z233" s="1862"/>
      <c r="AA233" s="3023"/>
      <c r="AB233" s="1861"/>
      <c r="AC233" s="1861"/>
      <c r="AD233" s="1861"/>
      <c r="AE233" s="1861"/>
      <c r="AF233" s="1862"/>
      <c r="AG233" s="3023"/>
      <c r="AH233" s="1861"/>
      <c r="AI233" s="1861"/>
      <c r="AJ233" s="1861"/>
      <c r="AK233" s="1861"/>
      <c r="AL233" s="1861"/>
      <c r="AM233" s="1862"/>
      <c r="AN233" s="2" t="s">
        <v>2531</v>
      </c>
    </row>
    <row r="234" spans="2:40" s="397" customFormat="1" ht="120.75" customHeight="1">
      <c r="B234" s="3091" t="s">
        <v>2532</v>
      </c>
      <c r="C234" s="1777"/>
      <c r="D234" s="1777"/>
      <c r="E234" s="1777"/>
      <c r="F234" s="1778"/>
      <c r="G234" s="3023"/>
      <c r="H234" s="1861"/>
      <c r="I234" s="1861"/>
      <c r="J234" s="1861"/>
      <c r="K234" s="1861"/>
      <c r="L234" s="1861"/>
      <c r="M234" s="1861"/>
      <c r="N234" s="1862"/>
      <c r="O234" s="3023"/>
      <c r="P234" s="1861"/>
      <c r="Q234" s="1861"/>
      <c r="R234" s="1861"/>
      <c r="S234" s="1861"/>
      <c r="T234" s="1862"/>
      <c r="U234" s="3023"/>
      <c r="V234" s="1861"/>
      <c r="W234" s="1861"/>
      <c r="X234" s="1861"/>
      <c r="Y234" s="1861"/>
      <c r="Z234" s="1862"/>
      <c r="AA234" s="3023"/>
      <c r="AB234" s="1861"/>
      <c r="AC234" s="1861"/>
      <c r="AD234" s="1861"/>
      <c r="AE234" s="1861"/>
      <c r="AF234" s="1862"/>
      <c r="AG234" s="3023"/>
      <c r="AH234" s="1861"/>
      <c r="AI234" s="1861"/>
      <c r="AJ234" s="1861"/>
      <c r="AK234" s="1861"/>
      <c r="AL234" s="1861"/>
      <c r="AM234" s="1862"/>
      <c r="AN234" s="381"/>
    </row>
    <row r="235" spans="2:40" s="397" customFormat="1" ht="90" customHeight="1">
      <c r="B235" s="3091" t="s">
        <v>2533</v>
      </c>
      <c r="C235" s="1777"/>
      <c r="D235" s="1777"/>
      <c r="E235" s="1777"/>
      <c r="F235" s="1778"/>
      <c r="G235" s="3023"/>
      <c r="H235" s="1861"/>
      <c r="I235" s="1861"/>
      <c r="J235" s="1861"/>
      <c r="K235" s="1861"/>
      <c r="L235" s="1861"/>
      <c r="M235" s="1861"/>
      <c r="N235" s="1862"/>
      <c r="O235" s="3023"/>
      <c r="P235" s="1861"/>
      <c r="Q235" s="1861"/>
      <c r="R235" s="1861"/>
      <c r="S235" s="1861"/>
      <c r="T235" s="1862"/>
      <c r="U235" s="3023"/>
      <c r="V235" s="1861"/>
      <c r="W235" s="1861"/>
      <c r="X235" s="1861"/>
      <c r="Y235" s="1861"/>
      <c r="Z235" s="1862"/>
      <c r="AA235" s="3023"/>
      <c r="AB235" s="1861"/>
      <c r="AC235" s="1861"/>
      <c r="AD235" s="1861"/>
      <c r="AE235" s="1861"/>
      <c r="AF235" s="1862"/>
      <c r="AG235" s="3023"/>
      <c r="AH235" s="1861"/>
      <c r="AI235" s="1861"/>
      <c r="AJ235" s="1861"/>
      <c r="AK235" s="1861"/>
      <c r="AL235" s="1861"/>
      <c r="AM235" s="1862"/>
      <c r="AN235" s="381"/>
    </row>
    <row r="236" spans="2:40" s="397" customFormat="1" ht="90" customHeight="1">
      <c r="B236" s="3091" t="s">
        <v>2534</v>
      </c>
      <c r="C236" s="1777"/>
      <c r="D236" s="1777"/>
      <c r="E236" s="1777"/>
      <c r="F236" s="1778"/>
      <c r="G236" s="3023"/>
      <c r="H236" s="1861"/>
      <c r="I236" s="1861"/>
      <c r="J236" s="1861"/>
      <c r="K236" s="1861"/>
      <c r="L236" s="1861"/>
      <c r="M236" s="1861"/>
      <c r="N236" s="1862"/>
      <c r="O236" s="3023"/>
      <c r="P236" s="1861"/>
      <c r="Q236" s="1861"/>
      <c r="R236" s="1861"/>
      <c r="S236" s="1861"/>
      <c r="T236" s="1862"/>
      <c r="U236" s="3023"/>
      <c r="V236" s="1861"/>
      <c r="W236" s="1861"/>
      <c r="X236" s="1861"/>
      <c r="Y236" s="1861"/>
      <c r="Z236" s="1862"/>
      <c r="AA236" s="3023"/>
      <c r="AB236" s="1861"/>
      <c r="AC236" s="1861"/>
      <c r="AD236" s="1861"/>
      <c r="AE236" s="1861"/>
      <c r="AF236" s="1862"/>
      <c r="AG236" s="3023"/>
      <c r="AH236" s="1861"/>
      <c r="AI236" s="1861"/>
      <c r="AJ236" s="1861"/>
      <c r="AK236" s="1861"/>
      <c r="AL236" s="1861"/>
      <c r="AM236" s="1862"/>
      <c r="AN236" s="397" t="s">
        <v>2535</v>
      </c>
    </row>
    <row r="237" spans="2:40" s="397" customFormat="1" ht="78" customHeight="1">
      <c r="B237" s="3034" t="s">
        <v>2536</v>
      </c>
      <c r="C237" s="1777"/>
      <c r="D237" s="1777"/>
      <c r="E237" s="1777"/>
      <c r="F237" s="1777"/>
      <c r="G237" s="1777"/>
      <c r="H237" s="1777"/>
      <c r="I237" s="1777"/>
      <c r="J237" s="1777"/>
      <c r="K237" s="1777"/>
      <c r="L237" s="1777"/>
      <c r="M237" s="1777"/>
      <c r="N237" s="1777"/>
      <c r="O237" s="1777"/>
      <c r="P237" s="1777"/>
      <c r="Q237" s="1777"/>
      <c r="R237" s="1777"/>
      <c r="S237" s="1777"/>
      <c r="T237" s="1777"/>
      <c r="U237" s="1777"/>
      <c r="V237" s="1777"/>
      <c r="W237" s="1777"/>
      <c r="X237" s="1777"/>
      <c r="Y237" s="1777"/>
      <c r="Z237" s="1777"/>
      <c r="AA237" s="1777"/>
      <c r="AB237" s="1777"/>
      <c r="AC237" s="1777"/>
      <c r="AD237" s="1777"/>
      <c r="AE237" s="1777"/>
      <c r="AF237" s="1777"/>
      <c r="AG237" s="1777"/>
      <c r="AH237" s="1777"/>
      <c r="AI237" s="1777"/>
      <c r="AJ237" s="1777"/>
      <c r="AK237" s="1777"/>
      <c r="AL237" s="1777"/>
      <c r="AM237" s="1778"/>
      <c r="AN237" s="2" t="s">
        <v>2537</v>
      </c>
    </row>
    <row r="238" spans="2:40" s="397" customFormat="1" ht="86.25" customHeight="1">
      <c r="B238" s="3136" t="s">
        <v>2255</v>
      </c>
      <c r="C238" s="1877"/>
      <c r="D238" s="1877"/>
      <c r="E238" s="1877"/>
      <c r="F238" s="1772"/>
      <c r="G238" s="3136" t="s">
        <v>2256</v>
      </c>
      <c r="H238" s="1877"/>
      <c r="I238" s="1877"/>
      <c r="J238" s="1877"/>
      <c r="K238" s="1877"/>
      <c r="L238" s="1877"/>
      <c r="M238" s="1877"/>
      <c r="N238" s="1772"/>
      <c r="O238" s="3136" t="s">
        <v>2257</v>
      </c>
      <c r="P238" s="1877"/>
      <c r="Q238" s="1877"/>
      <c r="R238" s="1877"/>
      <c r="S238" s="1877"/>
      <c r="T238" s="1772"/>
      <c r="U238" s="3136" t="s">
        <v>2258</v>
      </c>
      <c r="V238" s="1877"/>
      <c r="W238" s="1877"/>
      <c r="X238" s="1877"/>
      <c r="Y238" s="1877"/>
      <c r="Z238" s="1772"/>
      <c r="AA238" s="3136" t="s">
        <v>2259</v>
      </c>
      <c r="AB238" s="1877"/>
      <c r="AC238" s="1877"/>
      <c r="AD238" s="1877"/>
      <c r="AE238" s="1877"/>
      <c r="AF238" s="1772"/>
      <c r="AG238" s="3047" t="s">
        <v>2260</v>
      </c>
      <c r="AH238" s="1777"/>
      <c r="AI238" s="1777"/>
      <c r="AJ238" s="1777"/>
      <c r="AK238" s="1777"/>
      <c r="AL238" s="1777"/>
      <c r="AM238" s="1778"/>
      <c r="AN238" s="2" t="s">
        <v>2538</v>
      </c>
    </row>
    <row r="239" spans="2:40" s="397" customFormat="1" ht="105" customHeight="1">
      <c r="B239" s="3068" t="s">
        <v>2539</v>
      </c>
      <c r="C239" s="1777"/>
      <c r="D239" s="1777"/>
      <c r="E239" s="1777"/>
      <c r="F239" s="1778"/>
      <c r="G239" s="3068" t="s">
        <v>2515</v>
      </c>
      <c r="H239" s="1777"/>
      <c r="I239" s="1777"/>
      <c r="J239" s="1777"/>
      <c r="K239" s="1777"/>
      <c r="L239" s="1777"/>
      <c r="M239" s="1777"/>
      <c r="N239" s="1778"/>
      <c r="O239" s="3068" t="s">
        <v>2516</v>
      </c>
      <c r="P239" s="1777"/>
      <c r="Q239" s="1777"/>
      <c r="R239" s="1777"/>
      <c r="S239" s="1777"/>
      <c r="T239" s="1778"/>
      <c r="U239" s="3068" t="s">
        <v>2264</v>
      </c>
      <c r="V239" s="1777"/>
      <c r="W239" s="1777"/>
      <c r="X239" s="1777"/>
      <c r="Y239" s="1777"/>
      <c r="Z239" s="1778"/>
      <c r="AA239" s="3017" t="s">
        <v>2517</v>
      </c>
      <c r="AB239" s="1777"/>
      <c r="AC239" s="1777"/>
      <c r="AD239" s="1777"/>
      <c r="AE239" s="1777"/>
      <c r="AF239" s="1778"/>
      <c r="AG239" s="3068" t="s">
        <v>2540</v>
      </c>
      <c r="AH239" s="1777"/>
      <c r="AI239" s="1777"/>
      <c r="AJ239" s="1777"/>
      <c r="AK239" s="1777"/>
      <c r="AL239" s="1777"/>
      <c r="AM239" s="1778"/>
      <c r="AN239" s="381"/>
    </row>
    <row r="240" spans="2:40" s="397" customFormat="1" ht="120" customHeight="1">
      <c r="B240" s="3034" t="s">
        <v>2541</v>
      </c>
      <c r="C240" s="1777"/>
      <c r="D240" s="1777"/>
      <c r="E240" s="1777"/>
      <c r="F240" s="1778"/>
      <c r="G240" s="3023"/>
      <c r="H240" s="1861"/>
      <c r="I240" s="1861"/>
      <c r="J240" s="1861"/>
      <c r="K240" s="1861"/>
      <c r="L240" s="1861"/>
      <c r="M240" s="1861"/>
      <c r="N240" s="1862"/>
      <c r="O240" s="3023"/>
      <c r="P240" s="1861"/>
      <c r="Q240" s="1861"/>
      <c r="R240" s="1861"/>
      <c r="S240" s="1861"/>
      <c r="T240" s="1862"/>
      <c r="U240" s="3023"/>
      <c r="V240" s="1861"/>
      <c r="W240" s="1861"/>
      <c r="X240" s="1861"/>
      <c r="Y240" s="1861"/>
      <c r="Z240" s="1862"/>
      <c r="AA240" s="3023"/>
      <c r="AB240" s="1861"/>
      <c r="AC240" s="1861"/>
      <c r="AD240" s="1861"/>
      <c r="AE240" s="1861"/>
      <c r="AF240" s="1862"/>
      <c r="AG240" s="3023"/>
      <c r="AH240" s="1861"/>
      <c r="AI240" s="1861"/>
      <c r="AJ240" s="1861"/>
      <c r="AK240" s="1861"/>
      <c r="AL240" s="1861"/>
      <c r="AM240" s="1862"/>
      <c r="AN240" s="2" t="s">
        <v>2542</v>
      </c>
    </row>
    <row r="241" spans="2:40" s="397" customFormat="1" ht="105" customHeight="1">
      <c r="B241" s="3034" t="s">
        <v>2543</v>
      </c>
      <c r="C241" s="1777"/>
      <c r="D241" s="1777"/>
      <c r="E241" s="1777"/>
      <c r="F241" s="1778"/>
      <c r="G241" s="3023"/>
      <c r="H241" s="1861"/>
      <c r="I241" s="1861"/>
      <c r="J241" s="1861"/>
      <c r="K241" s="1861"/>
      <c r="L241" s="1861"/>
      <c r="M241" s="1861"/>
      <c r="N241" s="1862"/>
      <c r="O241" s="3023"/>
      <c r="P241" s="1861"/>
      <c r="Q241" s="1861"/>
      <c r="R241" s="1861"/>
      <c r="S241" s="1861"/>
      <c r="T241" s="1862"/>
      <c r="U241" s="3023"/>
      <c r="V241" s="1861"/>
      <c r="W241" s="1861"/>
      <c r="X241" s="1861"/>
      <c r="Y241" s="1861"/>
      <c r="Z241" s="1862"/>
      <c r="AA241" s="3023"/>
      <c r="AB241" s="1861"/>
      <c r="AC241" s="1861"/>
      <c r="AD241" s="1861"/>
      <c r="AE241" s="1861"/>
      <c r="AF241" s="1862"/>
      <c r="AG241" s="3023"/>
      <c r="AH241" s="1861"/>
      <c r="AI241" s="1861"/>
      <c r="AJ241" s="1861"/>
      <c r="AK241" s="1861"/>
      <c r="AL241" s="1861"/>
      <c r="AM241" s="1862"/>
      <c r="AN241" s="381"/>
    </row>
    <row r="242" spans="2:40" s="397" customFormat="1" ht="142.5" customHeight="1">
      <c r="B242" s="3034" t="s">
        <v>2544</v>
      </c>
      <c r="C242" s="1777"/>
      <c r="D242" s="1777"/>
      <c r="E242" s="1777"/>
      <c r="F242" s="1778"/>
      <c r="G242" s="3023"/>
      <c r="H242" s="1861"/>
      <c r="I242" s="1861"/>
      <c r="J242" s="1861"/>
      <c r="K242" s="1861"/>
      <c r="L242" s="1861"/>
      <c r="M242" s="1861"/>
      <c r="N242" s="1862"/>
      <c r="O242" s="3023"/>
      <c r="P242" s="1861"/>
      <c r="Q242" s="1861"/>
      <c r="R242" s="1861"/>
      <c r="S242" s="1861"/>
      <c r="T242" s="1862"/>
      <c r="U242" s="3023"/>
      <c r="V242" s="1861"/>
      <c r="W242" s="1861"/>
      <c r="X242" s="1861"/>
      <c r="Y242" s="1861"/>
      <c r="Z242" s="1862"/>
      <c r="AA242" s="3023"/>
      <c r="AB242" s="1861"/>
      <c r="AC242" s="1861"/>
      <c r="AD242" s="1861"/>
      <c r="AE242" s="1861"/>
      <c r="AF242" s="1862"/>
      <c r="AG242" s="3023"/>
      <c r="AH242" s="1861"/>
      <c r="AI242" s="1861"/>
      <c r="AJ242" s="1861"/>
      <c r="AK242" s="1861"/>
      <c r="AL242" s="1861"/>
      <c r="AM242" s="1862"/>
      <c r="AN242" s="2" t="s">
        <v>2545</v>
      </c>
    </row>
    <row r="243" spans="2:40" s="397" customFormat="1" ht="105" customHeight="1">
      <c r="B243" s="3034" t="s">
        <v>2546</v>
      </c>
      <c r="C243" s="1777"/>
      <c r="D243" s="1777"/>
      <c r="E243" s="1777"/>
      <c r="F243" s="1778"/>
      <c r="G243" s="3023"/>
      <c r="H243" s="1861"/>
      <c r="I243" s="1861"/>
      <c r="J243" s="1861"/>
      <c r="K243" s="1861"/>
      <c r="L243" s="1861"/>
      <c r="M243" s="1861"/>
      <c r="N243" s="1862"/>
      <c r="O243" s="3023"/>
      <c r="P243" s="1861"/>
      <c r="Q243" s="1861"/>
      <c r="R243" s="1861"/>
      <c r="S243" s="1861"/>
      <c r="T243" s="1862"/>
      <c r="U243" s="3023"/>
      <c r="V243" s="1861"/>
      <c r="W243" s="1861"/>
      <c r="X243" s="1861"/>
      <c r="Y243" s="1861"/>
      <c r="Z243" s="1862"/>
      <c r="AA243" s="3023"/>
      <c r="AB243" s="1861"/>
      <c r="AC243" s="1861"/>
      <c r="AD243" s="1861"/>
      <c r="AE243" s="1861"/>
      <c r="AF243" s="1862"/>
      <c r="AG243" s="3023"/>
      <c r="AH243" s="1861"/>
      <c r="AI243" s="1861"/>
      <c r="AJ243" s="1861"/>
      <c r="AK243" s="1861"/>
      <c r="AL243" s="1861"/>
      <c r="AM243" s="1862"/>
      <c r="AN243" s="381"/>
    </row>
    <row r="244" spans="2:40" s="397" customFormat="1" ht="130.5" customHeight="1">
      <c r="B244" s="3034" t="s">
        <v>2547</v>
      </c>
      <c r="C244" s="1777"/>
      <c r="D244" s="1777"/>
      <c r="E244" s="1777"/>
      <c r="F244" s="1778"/>
      <c r="G244" s="3023"/>
      <c r="H244" s="1861"/>
      <c r="I244" s="1861"/>
      <c r="J244" s="1861"/>
      <c r="K244" s="1861"/>
      <c r="L244" s="1861"/>
      <c r="M244" s="1861"/>
      <c r="N244" s="1862"/>
      <c r="O244" s="3023"/>
      <c r="P244" s="1861"/>
      <c r="Q244" s="1861"/>
      <c r="R244" s="1861"/>
      <c r="S244" s="1861"/>
      <c r="T244" s="1862"/>
      <c r="U244" s="3023"/>
      <c r="V244" s="1861"/>
      <c r="W244" s="1861"/>
      <c r="X244" s="1861"/>
      <c r="Y244" s="1861"/>
      <c r="Z244" s="1862"/>
      <c r="AA244" s="3023"/>
      <c r="AB244" s="1861"/>
      <c r="AC244" s="1861"/>
      <c r="AD244" s="1861"/>
      <c r="AE244" s="1861"/>
      <c r="AF244" s="1862"/>
      <c r="AG244" s="3023"/>
      <c r="AH244" s="1861"/>
      <c r="AI244" s="1861"/>
      <c r="AJ244" s="1861"/>
      <c r="AK244" s="1861"/>
      <c r="AL244" s="1861"/>
      <c r="AM244" s="1862"/>
      <c r="AN244" s="2" t="s">
        <v>2548</v>
      </c>
    </row>
    <row r="245" spans="2:40" s="397" customFormat="1" ht="105" customHeight="1">
      <c r="B245" s="3034" t="s">
        <v>2549</v>
      </c>
      <c r="C245" s="1777"/>
      <c r="D245" s="1777"/>
      <c r="E245" s="1777"/>
      <c r="F245" s="1778"/>
      <c r="G245" s="3023"/>
      <c r="H245" s="1861"/>
      <c r="I245" s="1861"/>
      <c r="J245" s="1861"/>
      <c r="K245" s="1861"/>
      <c r="L245" s="1861"/>
      <c r="M245" s="1861"/>
      <c r="N245" s="1862"/>
      <c r="O245" s="3023"/>
      <c r="P245" s="1861"/>
      <c r="Q245" s="1861"/>
      <c r="R245" s="1861"/>
      <c r="S245" s="1861"/>
      <c r="T245" s="1862"/>
      <c r="U245" s="3023"/>
      <c r="V245" s="1861"/>
      <c r="W245" s="1861"/>
      <c r="X245" s="1861"/>
      <c r="Y245" s="1861"/>
      <c r="Z245" s="1862"/>
      <c r="AA245" s="3023"/>
      <c r="AB245" s="1861"/>
      <c r="AC245" s="1861"/>
      <c r="AD245" s="1861"/>
      <c r="AE245" s="1861"/>
      <c r="AF245" s="1862"/>
      <c r="AG245" s="3023"/>
      <c r="AH245" s="1861"/>
      <c r="AI245" s="1861"/>
      <c r="AJ245" s="1861"/>
      <c r="AK245" s="1861"/>
      <c r="AL245" s="1861"/>
      <c r="AM245" s="1862"/>
      <c r="AN245" s="381"/>
    </row>
    <row r="246" spans="2:40" s="397" customFormat="1" ht="176.25" customHeight="1">
      <c r="B246" s="3169" t="s">
        <v>2550</v>
      </c>
      <c r="C246" s="1777"/>
      <c r="D246" s="1777"/>
      <c r="E246" s="1777"/>
      <c r="F246" s="1778"/>
      <c r="G246" s="3023"/>
      <c r="H246" s="1861"/>
      <c r="I246" s="1861"/>
      <c r="J246" s="1861"/>
      <c r="K246" s="1861"/>
      <c r="L246" s="1861"/>
      <c r="M246" s="1861"/>
      <c r="N246" s="1862"/>
      <c r="O246" s="3023"/>
      <c r="P246" s="1861"/>
      <c r="Q246" s="1861"/>
      <c r="R246" s="1861"/>
      <c r="S246" s="1861"/>
      <c r="T246" s="1862"/>
      <c r="U246" s="3023"/>
      <c r="V246" s="1861"/>
      <c r="W246" s="1861"/>
      <c r="X246" s="1861"/>
      <c r="Y246" s="1861"/>
      <c r="Z246" s="1862"/>
      <c r="AA246" s="3023"/>
      <c r="AB246" s="1861"/>
      <c r="AC246" s="1861"/>
      <c r="AD246" s="1861"/>
      <c r="AE246" s="1861"/>
      <c r="AF246" s="1862"/>
      <c r="AG246" s="3023"/>
      <c r="AH246" s="1861"/>
      <c r="AI246" s="1861"/>
      <c r="AJ246" s="1861"/>
      <c r="AK246" s="1861"/>
      <c r="AL246" s="1861"/>
      <c r="AM246" s="1862"/>
      <c r="AN246" s="381"/>
    </row>
    <row r="247" spans="2:40" s="397" customFormat="1" ht="105" customHeight="1">
      <c r="B247" s="3118" t="s">
        <v>2551</v>
      </c>
      <c r="C247" s="1777"/>
      <c r="D247" s="1777"/>
      <c r="E247" s="1777"/>
      <c r="F247" s="1778"/>
      <c r="G247" s="3023"/>
      <c r="H247" s="1861"/>
      <c r="I247" s="1861"/>
      <c r="J247" s="1861"/>
      <c r="K247" s="1861"/>
      <c r="L247" s="1861"/>
      <c r="M247" s="1861"/>
      <c r="N247" s="1862"/>
      <c r="O247" s="3023"/>
      <c r="P247" s="1861"/>
      <c r="Q247" s="1861"/>
      <c r="R247" s="1861"/>
      <c r="S247" s="1861"/>
      <c r="T247" s="1862"/>
      <c r="U247" s="3023"/>
      <c r="V247" s="1861"/>
      <c r="W247" s="1861"/>
      <c r="X247" s="1861"/>
      <c r="Y247" s="1861"/>
      <c r="Z247" s="1862"/>
      <c r="AA247" s="3023"/>
      <c r="AB247" s="1861"/>
      <c r="AC247" s="1861"/>
      <c r="AD247" s="1861"/>
      <c r="AE247" s="1861"/>
      <c r="AF247" s="1862"/>
      <c r="AG247" s="3023"/>
      <c r="AH247" s="1861"/>
      <c r="AI247" s="1861"/>
      <c r="AJ247" s="1861"/>
      <c r="AK247" s="1861"/>
      <c r="AL247" s="1861"/>
      <c r="AM247" s="1862"/>
      <c r="AN247" s="381"/>
    </row>
    <row r="248" spans="2:40" s="397" customFormat="1" ht="120" customHeight="1">
      <c r="B248" s="3169" t="s">
        <v>2552</v>
      </c>
      <c r="C248" s="1777"/>
      <c r="D248" s="1777"/>
      <c r="E248" s="1777"/>
      <c r="F248" s="1778"/>
      <c r="G248" s="3023"/>
      <c r="H248" s="1861"/>
      <c r="I248" s="1861"/>
      <c r="J248" s="1861"/>
      <c r="K248" s="1861"/>
      <c r="L248" s="1861"/>
      <c r="M248" s="1861"/>
      <c r="N248" s="1862"/>
      <c r="O248" s="3023"/>
      <c r="P248" s="1861"/>
      <c r="Q248" s="1861"/>
      <c r="R248" s="1861"/>
      <c r="S248" s="1861"/>
      <c r="T248" s="1862"/>
      <c r="U248" s="3023"/>
      <c r="V248" s="1861"/>
      <c r="W248" s="1861"/>
      <c r="X248" s="1861"/>
      <c r="Y248" s="1861"/>
      <c r="Z248" s="1862"/>
      <c r="AA248" s="3023"/>
      <c r="AB248" s="1861"/>
      <c r="AC248" s="1861"/>
      <c r="AD248" s="1861"/>
      <c r="AE248" s="1861"/>
      <c r="AF248" s="1862"/>
      <c r="AG248" s="3023"/>
      <c r="AH248" s="1861"/>
      <c r="AI248" s="1861"/>
      <c r="AJ248" s="1861"/>
      <c r="AK248" s="1861"/>
      <c r="AL248" s="1861"/>
      <c r="AM248" s="1862"/>
      <c r="AN248" s="381"/>
    </row>
    <row r="249" spans="2:40" s="397" customFormat="1" ht="105" customHeight="1">
      <c r="B249" s="3118" t="s">
        <v>2553</v>
      </c>
      <c r="C249" s="1777"/>
      <c r="D249" s="1777"/>
      <c r="E249" s="1777"/>
      <c r="F249" s="1778"/>
      <c r="G249" s="3023"/>
      <c r="H249" s="1861"/>
      <c r="I249" s="1861"/>
      <c r="J249" s="1861"/>
      <c r="K249" s="1861"/>
      <c r="L249" s="1861"/>
      <c r="M249" s="1861"/>
      <c r="N249" s="1862"/>
      <c r="O249" s="3023"/>
      <c r="P249" s="1861"/>
      <c r="Q249" s="1861"/>
      <c r="R249" s="1861"/>
      <c r="S249" s="1861"/>
      <c r="T249" s="1862"/>
      <c r="U249" s="3023"/>
      <c r="V249" s="1861"/>
      <c r="W249" s="1861"/>
      <c r="X249" s="1861"/>
      <c r="Y249" s="1861"/>
      <c r="Z249" s="1862"/>
      <c r="AA249" s="3023"/>
      <c r="AB249" s="1861"/>
      <c r="AC249" s="1861"/>
      <c r="AD249" s="1861"/>
      <c r="AE249" s="1861"/>
      <c r="AF249" s="1862"/>
      <c r="AG249" s="3023"/>
      <c r="AH249" s="1861"/>
      <c r="AI249" s="1861"/>
      <c r="AJ249" s="1861"/>
      <c r="AK249" s="1861"/>
      <c r="AL249" s="1861"/>
      <c r="AM249" s="1862"/>
      <c r="AN249" s="381"/>
    </row>
    <row r="250" spans="2:40" s="397" customFormat="1" ht="157.5" customHeight="1">
      <c r="B250" s="3034" t="s">
        <v>2554</v>
      </c>
      <c r="C250" s="1777"/>
      <c r="D250" s="1777"/>
      <c r="E250" s="1777"/>
      <c r="F250" s="1778"/>
      <c r="G250" s="3023"/>
      <c r="H250" s="1861"/>
      <c r="I250" s="1861"/>
      <c r="J250" s="1861"/>
      <c r="K250" s="1861"/>
      <c r="L250" s="1861"/>
      <c r="M250" s="1861"/>
      <c r="N250" s="1862"/>
      <c r="O250" s="3023"/>
      <c r="P250" s="1861"/>
      <c r="Q250" s="1861"/>
      <c r="R250" s="1861"/>
      <c r="S250" s="1861"/>
      <c r="T250" s="1862"/>
      <c r="U250" s="3023"/>
      <c r="V250" s="1861"/>
      <c r="W250" s="1861"/>
      <c r="X250" s="1861"/>
      <c r="Y250" s="1861"/>
      <c r="Z250" s="1862"/>
      <c r="AA250" s="3023"/>
      <c r="AB250" s="1861"/>
      <c r="AC250" s="1861"/>
      <c r="AD250" s="1861"/>
      <c r="AE250" s="1861"/>
      <c r="AF250" s="1862"/>
      <c r="AG250" s="3023"/>
      <c r="AH250" s="1861"/>
      <c r="AI250" s="1861"/>
      <c r="AJ250" s="1861"/>
      <c r="AK250" s="1861"/>
      <c r="AL250" s="1861"/>
      <c r="AM250" s="1862"/>
      <c r="AN250" s="381"/>
    </row>
    <row r="251" spans="2:40" s="397" customFormat="1" ht="105" customHeight="1">
      <c r="B251" s="3091" t="s">
        <v>2555</v>
      </c>
      <c r="C251" s="1777"/>
      <c r="D251" s="1777"/>
      <c r="E251" s="1777"/>
      <c r="F251" s="1778"/>
      <c r="G251" s="3023"/>
      <c r="H251" s="1861"/>
      <c r="I251" s="1861"/>
      <c r="J251" s="1861"/>
      <c r="K251" s="1861"/>
      <c r="L251" s="1861"/>
      <c r="M251" s="1861"/>
      <c r="N251" s="1862"/>
      <c r="O251" s="3023"/>
      <c r="P251" s="1861"/>
      <c r="Q251" s="1861"/>
      <c r="R251" s="1861"/>
      <c r="S251" s="1861"/>
      <c r="T251" s="1862"/>
      <c r="U251" s="3023"/>
      <c r="V251" s="1861"/>
      <c r="W251" s="1861"/>
      <c r="X251" s="1861"/>
      <c r="Y251" s="1861"/>
      <c r="Z251" s="1862"/>
      <c r="AA251" s="3023"/>
      <c r="AB251" s="1861"/>
      <c r="AC251" s="1861"/>
      <c r="AD251" s="1861"/>
      <c r="AE251" s="1861"/>
      <c r="AF251" s="1862"/>
      <c r="AG251" s="3023"/>
      <c r="AH251" s="1861"/>
      <c r="AI251" s="1861"/>
      <c r="AJ251" s="1861"/>
      <c r="AK251" s="1861"/>
      <c r="AL251" s="1861"/>
      <c r="AM251" s="1862"/>
      <c r="AN251" s="381"/>
    </row>
    <row r="252" spans="2:40" s="397" customFormat="1" ht="171.75" customHeight="1">
      <c r="B252" s="3034" t="s">
        <v>2556</v>
      </c>
      <c r="C252" s="1777"/>
      <c r="D252" s="1777"/>
      <c r="E252" s="1777"/>
      <c r="F252" s="1778"/>
      <c r="G252" s="3023"/>
      <c r="H252" s="1861"/>
      <c r="I252" s="1861"/>
      <c r="J252" s="1861"/>
      <c r="K252" s="1861"/>
      <c r="L252" s="1861"/>
      <c r="M252" s="1861"/>
      <c r="N252" s="1862"/>
      <c r="O252" s="3023"/>
      <c r="P252" s="1861"/>
      <c r="Q252" s="1861"/>
      <c r="R252" s="1861"/>
      <c r="S252" s="1861"/>
      <c r="T252" s="1862"/>
      <c r="U252" s="3023"/>
      <c r="V252" s="1861"/>
      <c r="W252" s="1861"/>
      <c r="X252" s="1861"/>
      <c r="Y252" s="1861"/>
      <c r="Z252" s="1862"/>
      <c r="AA252" s="3023"/>
      <c r="AB252" s="1861"/>
      <c r="AC252" s="1861"/>
      <c r="AD252" s="1861"/>
      <c r="AE252" s="1861"/>
      <c r="AF252" s="1862"/>
      <c r="AG252" s="3023"/>
      <c r="AH252" s="1861"/>
      <c r="AI252" s="1861"/>
      <c r="AJ252" s="1861"/>
      <c r="AK252" s="1861"/>
      <c r="AL252" s="1861"/>
      <c r="AM252" s="1862"/>
      <c r="AN252" s="2" t="s">
        <v>2557</v>
      </c>
    </row>
    <row r="253" spans="2:40" s="397" customFormat="1" ht="105" customHeight="1">
      <c r="B253" s="3034" t="s">
        <v>2558</v>
      </c>
      <c r="C253" s="1777"/>
      <c r="D253" s="1777"/>
      <c r="E253" s="1777"/>
      <c r="F253" s="1778"/>
      <c r="G253" s="3023"/>
      <c r="H253" s="1861"/>
      <c r="I253" s="1861"/>
      <c r="J253" s="1861"/>
      <c r="K253" s="1861"/>
      <c r="L253" s="1861"/>
      <c r="M253" s="1861"/>
      <c r="N253" s="1862"/>
      <c r="O253" s="3023"/>
      <c r="P253" s="1861"/>
      <c r="Q253" s="1861"/>
      <c r="R253" s="1861"/>
      <c r="S253" s="1861"/>
      <c r="T253" s="1862"/>
      <c r="U253" s="3023"/>
      <c r="V253" s="1861"/>
      <c r="W253" s="1861"/>
      <c r="X253" s="1861"/>
      <c r="Y253" s="1861"/>
      <c r="Z253" s="1862"/>
      <c r="AA253" s="3023"/>
      <c r="AB253" s="1861"/>
      <c r="AC253" s="1861"/>
      <c r="AD253" s="1861"/>
      <c r="AE253" s="1861"/>
      <c r="AF253" s="1862"/>
      <c r="AG253" s="3023"/>
      <c r="AH253" s="1861"/>
      <c r="AI253" s="1861"/>
      <c r="AJ253" s="1861"/>
      <c r="AK253" s="1861"/>
      <c r="AL253" s="1861"/>
      <c r="AM253" s="1862"/>
      <c r="AN253" s="381"/>
    </row>
    <row r="254" spans="2:40" s="397" customFormat="1" ht="105" customHeight="1">
      <c r="B254" s="3034" t="s">
        <v>2559</v>
      </c>
      <c r="C254" s="1777"/>
      <c r="D254" s="1777"/>
      <c r="E254" s="1777"/>
      <c r="F254" s="1778"/>
      <c r="G254" s="3023"/>
      <c r="H254" s="1861"/>
      <c r="I254" s="1861"/>
      <c r="J254" s="1861"/>
      <c r="K254" s="1861"/>
      <c r="L254" s="1861"/>
      <c r="M254" s="1861"/>
      <c r="N254" s="1862"/>
      <c r="O254" s="3023"/>
      <c r="P254" s="1861"/>
      <c r="Q254" s="1861"/>
      <c r="R254" s="1861"/>
      <c r="S254" s="1861"/>
      <c r="T254" s="1862"/>
      <c r="U254" s="3023"/>
      <c r="V254" s="1861"/>
      <c r="W254" s="1861"/>
      <c r="X254" s="1861"/>
      <c r="Y254" s="1861"/>
      <c r="Z254" s="1862"/>
      <c r="AA254" s="3023"/>
      <c r="AB254" s="1861"/>
      <c r="AC254" s="1861"/>
      <c r="AD254" s="1861"/>
      <c r="AE254" s="1861"/>
      <c r="AF254" s="1862"/>
      <c r="AG254" s="3023"/>
      <c r="AH254" s="1861"/>
      <c r="AI254" s="1861"/>
      <c r="AJ254" s="1861"/>
      <c r="AK254" s="1861"/>
      <c r="AL254" s="1861"/>
      <c r="AM254" s="1862"/>
    </row>
    <row r="255" spans="2:40" s="397" customFormat="1" ht="105" customHeight="1">
      <c r="B255" s="3091" t="s">
        <v>2560</v>
      </c>
      <c r="C255" s="1777"/>
      <c r="D255" s="1777"/>
      <c r="E255" s="1777"/>
      <c r="F255" s="1778"/>
      <c r="G255" s="3023"/>
      <c r="H255" s="1861"/>
      <c r="I255" s="1861"/>
      <c r="J255" s="1861"/>
      <c r="K255" s="1861"/>
      <c r="L255" s="1861"/>
      <c r="M255" s="1861"/>
      <c r="N255" s="1862"/>
      <c r="O255" s="3023"/>
      <c r="P255" s="1861"/>
      <c r="Q255" s="1861"/>
      <c r="R255" s="1861"/>
      <c r="S255" s="1861"/>
      <c r="T255" s="1862"/>
      <c r="U255" s="3023"/>
      <c r="V255" s="1861"/>
      <c r="W255" s="1861"/>
      <c r="X255" s="1861"/>
      <c r="Y255" s="1861"/>
      <c r="Z255" s="1862"/>
      <c r="AA255" s="3023"/>
      <c r="AB255" s="1861"/>
      <c r="AC255" s="1861"/>
      <c r="AD255" s="1861"/>
      <c r="AE255" s="1861"/>
      <c r="AF255" s="1862"/>
      <c r="AG255" s="3023"/>
      <c r="AH255" s="1861"/>
      <c r="AI255" s="1861"/>
      <c r="AJ255" s="1861"/>
      <c r="AK255" s="1861"/>
      <c r="AL255" s="1861"/>
      <c r="AM255" s="1862"/>
    </row>
    <row r="256" spans="2:40" s="397" customFormat="1" ht="105" customHeight="1">
      <c r="B256" s="3118" t="s">
        <v>2561</v>
      </c>
      <c r="C256" s="1777"/>
      <c r="D256" s="1777"/>
      <c r="E256" s="1777"/>
      <c r="F256" s="1778"/>
      <c r="G256" s="3023"/>
      <c r="H256" s="1861"/>
      <c r="I256" s="1861"/>
      <c r="J256" s="1861"/>
      <c r="K256" s="1861"/>
      <c r="L256" s="1861"/>
      <c r="M256" s="1861"/>
      <c r="N256" s="1862"/>
      <c r="O256" s="3023"/>
      <c r="P256" s="1861"/>
      <c r="Q256" s="1861"/>
      <c r="R256" s="1861"/>
      <c r="S256" s="1861"/>
      <c r="T256" s="1862"/>
      <c r="U256" s="3023"/>
      <c r="V256" s="1861"/>
      <c r="W256" s="1861"/>
      <c r="X256" s="1861"/>
      <c r="Y256" s="1861"/>
      <c r="Z256" s="1862"/>
      <c r="AA256" s="3023"/>
      <c r="AB256" s="1861"/>
      <c r="AC256" s="1861"/>
      <c r="AD256" s="1861"/>
      <c r="AE256" s="1861"/>
      <c r="AF256" s="1862"/>
      <c r="AG256" s="3023"/>
      <c r="AH256" s="1861"/>
      <c r="AI256" s="1861"/>
      <c r="AJ256" s="1861"/>
      <c r="AK256" s="1861"/>
      <c r="AL256" s="1861"/>
      <c r="AM256" s="1862"/>
    </row>
    <row r="257" spans="2:39" s="397" customFormat="1" ht="105" customHeight="1">
      <c r="B257" s="3118" t="s">
        <v>2562</v>
      </c>
      <c r="C257" s="1777"/>
      <c r="D257" s="1777"/>
      <c r="E257" s="1777"/>
      <c r="F257" s="1778"/>
      <c r="G257" s="3023"/>
      <c r="H257" s="1861"/>
      <c r="I257" s="1861"/>
      <c r="J257" s="1861"/>
      <c r="K257" s="1861"/>
      <c r="L257" s="1861"/>
      <c r="M257" s="1861"/>
      <c r="N257" s="1862"/>
      <c r="O257" s="3023"/>
      <c r="P257" s="1861"/>
      <c r="Q257" s="1861"/>
      <c r="R257" s="1861"/>
      <c r="S257" s="1861"/>
      <c r="T257" s="1862"/>
      <c r="U257" s="3023"/>
      <c r="V257" s="1861"/>
      <c r="W257" s="1861"/>
      <c r="X257" s="1861"/>
      <c r="Y257" s="1861"/>
      <c r="Z257" s="1862"/>
      <c r="AA257" s="3023"/>
      <c r="AB257" s="1861"/>
      <c r="AC257" s="1861"/>
      <c r="AD257" s="1861"/>
      <c r="AE257" s="1861"/>
      <c r="AF257" s="1862"/>
      <c r="AG257" s="3023"/>
      <c r="AH257" s="1861"/>
      <c r="AI257" s="1861"/>
      <c r="AJ257" s="1861"/>
      <c r="AK257" s="1861"/>
      <c r="AL257" s="1861"/>
      <c r="AM257" s="1862"/>
    </row>
    <row r="258" spans="2:39" s="397" customFormat="1" ht="105" customHeight="1">
      <c r="B258" s="3146" t="s">
        <v>2563</v>
      </c>
      <c r="C258" s="1777"/>
      <c r="D258" s="1777"/>
      <c r="E258" s="1777"/>
      <c r="F258" s="1778"/>
      <c r="G258" s="3023"/>
      <c r="H258" s="1861"/>
      <c r="I258" s="1861"/>
      <c r="J258" s="1861"/>
      <c r="K258" s="1861"/>
      <c r="L258" s="1861"/>
      <c r="M258" s="1861"/>
      <c r="N258" s="1862"/>
      <c r="O258" s="3023"/>
      <c r="P258" s="1861"/>
      <c r="Q258" s="1861"/>
      <c r="R258" s="1861"/>
      <c r="S258" s="1861"/>
      <c r="T258" s="1862"/>
      <c r="U258" s="3023"/>
      <c r="V258" s="1861"/>
      <c r="W258" s="1861"/>
      <c r="X258" s="1861"/>
      <c r="Y258" s="1861"/>
      <c r="Z258" s="1862"/>
      <c r="AA258" s="3023"/>
      <c r="AB258" s="1861"/>
      <c r="AC258" s="1861"/>
      <c r="AD258" s="1861"/>
      <c r="AE258" s="1861"/>
      <c r="AF258" s="1862"/>
      <c r="AG258" s="3023"/>
      <c r="AH258" s="1861"/>
      <c r="AI258" s="1861"/>
      <c r="AJ258" s="1861"/>
      <c r="AK258" s="1861"/>
      <c r="AL258" s="1861"/>
      <c r="AM258" s="1862"/>
    </row>
    <row r="259" spans="2:39" s="397" customFormat="1" ht="105" customHeight="1">
      <c r="B259" s="3118" t="s">
        <v>2564</v>
      </c>
      <c r="C259" s="1777"/>
      <c r="D259" s="1777"/>
      <c r="E259" s="1777"/>
      <c r="F259" s="1778"/>
      <c r="G259" s="3023"/>
      <c r="H259" s="1861"/>
      <c r="I259" s="1861"/>
      <c r="J259" s="1861"/>
      <c r="K259" s="1861"/>
      <c r="L259" s="1861"/>
      <c r="M259" s="1861"/>
      <c r="N259" s="1862"/>
      <c r="O259" s="3023"/>
      <c r="P259" s="1861"/>
      <c r="Q259" s="1861"/>
      <c r="R259" s="1861"/>
      <c r="S259" s="1861"/>
      <c r="T259" s="1862"/>
      <c r="U259" s="3023"/>
      <c r="V259" s="1861"/>
      <c r="W259" s="1861"/>
      <c r="X259" s="1861"/>
      <c r="Y259" s="1861"/>
      <c r="Z259" s="1862"/>
      <c r="AA259" s="3023"/>
      <c r="AB259" s="1861"/>
      <c r="AC259" s="1861"/>
      <c r="AD259" s="1861"/>
      <c r="AE259" s="1861"/>
      <c r="AF259" s="1862"/>
      <c r="AG259" s="3023"/>
      <c r="AH259" s="1861"/>
      <c r="AI259" s="1861"/>
      <c r="AJ259" s="1861"/>
      <c r="AK259" s="1861"/>
      <c r="AL259" s="1861"/>
      <c r="AM259" s="1862"/>
    </row>
    <row r="260" spans="2:39" s="397" customFormat="1" ht="105" customHeight="1">
      <c r="B260" s="3118" t="s">
        <v>2565</v>
      </c>
      <c r="C260" s="1777"/>
      <c r="D260" s="1777"/>
      <c r="E260" s="1777"/>
      <c r="F260" s="1778"/>
      <c r="G260" s="3023"/>
      <c r="H260" s="1861"/>
      <c r="I260" s="1861"/>
      <c r="J260" s="1861"/>
      <c r="K260" s="1861"/>
      <c r="L260" s="1861"/>
      <c r="M260" s="1861"/>
      <c r="N260" s="1862"/>
      <c r="O260" s="3023"/>
      <c r="P260" s="1861"/>
      <c r="Q260" s="1861"/>
      <c r="R260" s="1861"/>
      <c r="S260" s="1861"/>
      <c r="T260" s="1862"/>
      <c r="U260" s="3023"/>
      <c r="V260" s="1861"/>
      <c r="W260" s="1861"/>
      <c r="X260" s="1861"/>
      <c r="Y260" s="1861"/>
      <c r="Z260" s="1862"/>
      <c r="AA260" s="3023"/>
      <c r="AB260" s="1861"/>
      <c r="AC260" s="1861"/>
      <c r="AD260" s="1861"/>
      <c r="AE260" s="1861"/>
      <c r="AF260" s="1862"/>
      <c r="AG260" s="3023"/>
      <c r="AH260" s="1861"/>
      <c r="AI260" s="1861"/>
      <c r="AJ260" s="1861"/>
      <c r="AK260" s="1861"/>
      <c r="AL260" s="1861"/>
      <c r="AM260" s="1862"/>
    </row>
    <row r="261" spans="2:39" s="397" customFormat="1" ht="105" customHeight="1">
      <c r="B261" s="3118" t="s">
        <v>2566</v>
      </c>
      <c r="C261" s="1777"/>
      <c r="D261" s="1777"/>
      <c r="E261" s="1777"/>
      <c r="F261" s="1778"/>
      <c r="G261" s="3023"/>
      <c r="H261" s="1861"/>
      <c r="I261" s="1861"/>
      <c r="J261" s="1861"/>
      <c r="K261" s="1861"/>
      <c r="L261" s="1861"/>
      <c r="M261" s="1861"/>
      <c r="N261" s="1862"/>
      <c r="O261" s="3023"/>
      <c r="P261" s="1861"/>
      <c r="Q261" s="1861"/>
      <c r="R261" s="1861"/>
      <c r="S261" s="1861"/>
      <c r="T261" s="1862"/>
      <c r="U261" s="3023"/>
      <c r="V261" s="1861"/>
      <c r="W261" s="1861"/>
      <c r="X261" s="1861"/>
      <c r="Y261" s="1861"/>
      <c r="Z261" s="1862"/>
      <c r="AA261" s="3023"/>
      <c r="AB261" s="1861"/>
      <c r="AC261" s="1861"/>
      <c r="AD261" s="1861"/>
      <c r="AE261" s="1861"/>
      <c r="AF261" s="1862"/>
      <c r="AG261" s="3023"/>
      <c r="AH261" s="1861"/>
      <c r="AI261" s="1861"/>
      <c r="AJ261" s="1861"/>
      <c r="AK261" s="1861"/>
      <c r="AL261" s="1861"/>
      <c r="AM261" s="1862"/>
    </row>
    <row r="262" spans="2:39" s="397" customFormat="1" ht="105" customHeight="1">
      <c r="B262" s="3029" t="s">
        <v>2567</v>
      </c>
      <c r="C262" s="1861"/>
      <c r="D262" s="1861"/>
      <c r="E262" s="1861"/>
      <c r="F262" s="1862"/>
      <c r="G262" s="3023"/>
      <c r="H262" s="1861"/>
      <c r="I262" s="1861"/>
      <c r="J262" s="1861"/>
      <c r="K262" s="1861"/>
      <c r="L262" s="1861"/>
      <c r="M262" s="1861"/>
      <c r="N262" s="1862"/>
      <c r="O262" s="3023"/>
      <c r="P262" s="1861"/>
      <c r="Q262" s="1861"/>
      <c r="R262" s="1861"/>
      <c r="S262" s="1861"/>
      <c r="T262" s="1862"/>
      <c r="U262" s="3023"/>
      <c r="V262" s="1861"/>
      <c r="W262" s="1861"/>
      <c r="X262" s="1861"/>
      <c r="Y262" s="1861"/>
      <c r="Z262" s="1862"/>
      <c r="AA262" s="3023"/>
      <c r="AB262" s="1861"/>
      <c r="AC262" s="1861"/>
      <c r="AD262" s="1861"/>
      <c r="AE262" s="1861"/>
      <c r="AF262" s="1862"/>
      <c r="AG262" s="3023"/>
      <c r="AH262" s="1861"/>
      <c r="AI262" s="1861"/>
      <c r="AJ262" s="1861"/>
      <c r="AK262" s="1861"/>
      <c r="AL262" s="1861"/>
      <c r="AM262" s="1862"/>
    </row>
    <row r="263" spans="2:39" ht="105" customHeight="1">
      <c r="B263" s="3029" t="s">
        <v>2567</v>
      </c>
      <c r="C263" s="1861"/>
      <c r="D263" s="1861"/>
      <c r="E263" s="1861"/>
      <c r="F263" s="1862"/>
      <c r="G263" s="3023"/>
      <c r="H263" s="1861"/>
      <c r="I263" s="1861"/>
      <c r="J263" s="1861"/>
      <c r="K263" s="1861"/>
      <c r="L263" s="1861"/>
      <c r="M263" s="1861"/>
      <c r="N263" s="1862"/>
      <c r="O263" s="3023"/>
      <c r="P263" s="1861"/>
      <c r="Q263" s="1861"/>
      <c r="R263" s="1861"/>
      <c r="S263" s="1861"/>
      <c r="T263" s="1862"/>
      <c r="U263" s="3023"/>
      <c r="V263" s="1861"/>
      <c r="W263" s="1861"/>
      <c r="X263" s="1861"/>
      <c r="Y263" s="1861"/>
      <c r="Z263" s="1862"/>
      <c r="AA263" s="3023"/>
      <c r="AB263" s="1861"/>
      <c r="AC263" s="1861"/>
      <c r="AD263" s="1861"/>
      <c r="AE263" s="1861"/>
      <c r="AF263" s="1862"/>
      <c r="AG263" s="3023"/>
      <c r="AH263" s="1861"/>
      <c r="AI263" s="1861"/>
      <c r="AJ263" s="1861"/>
      <c r="AK263" s="1861"/>
      <c r="AL263" s="1861"/>
      <c r="AM263" s="1862"/>
    </row>
    <row r="264" spans="2:39" ht="17.25" customHeight="1">
      <c r="B264" s="3130" t="s">
        <v>2375</v>
      </c>
      <c r="C264" s="3021"/>
      <c r="D264" s="3021"/>
      <c r="E264" s="3021"/>
      <c r="F264" s="3021"/>
      <c r="G264" s="3021"/>
      <c r="H264" s="3021"/>
      <c r="I264" s="1935"/>
      <c r="J264" s="3021"/>
      <c r="K264" s="3021"/>
      <c r="L264" s="3021"/>
      <c r="M264" s="3021"/>
      <c r="N264" s="3021"/>
      <c r="O264" s="3021"/>
      <c r="P264" s="3021"/>
      <c r="Q264" s="3021"/>
      <c r="R264" s="3021"/>
      <c r="S264" s="3021"/>
      <c r="T264" s="3021"/>
      <c r="U264" s="3021"/>
      <c r="V264" s="3021"/>
      <c r="W264" s="3021"/>
      <c r="X264" s="3021"/>
      <c r="Y264" s="3021"/>
      <c r="Z264" s="3021"/>
      <c r="AA264" s="3021"/>
      <c r="AB264" s="3021"/>
      <c r="AC264" s="3021"/>
      <c r="AD264" s="3021"/>
      <c r="AE264" s="3021"/>
      <c r="AF264" s="3021"/>
      <c r="AG264" s="3021"/>
      <c r="AH264" s="3021"/>
      <c r="AI264" s="3021"/>
      <c r="AJ264" s="3021"/>
      <c r="AK264" s="3021"/>
      <c r="AL264" s="3021"/>
      <c r="AM264" s="3021"/>
    </row>
    <row r="265" spans="2:39" ht="90" customHeight="1">
      <c r="B265" s="3043" t="s">
        <v>2568</v>
      </c>
      <c r="C265" s="3021"/>
      <c r="D265" s="3021"/>
      <c r="E265" s="3021"/>
      <c r="F265" s="3021"/>
      <c r="G265" s="3021"/>
      <c r="H265" s="3021"/>
      <c r="I265" s="1935"/>
      <c r="J265" s="3021"/>
      <c r="K265" s="3021"/>
      <c r="L265" s="3021"/>
      <c r="M265" s="3021"/>
      <c r="N265" s="3021"/>
      <c r="O265" s="3021"/>
      <c r="P265" s="3021"/>
      <c r="Q265" s="3021"/>
      <c r="R265" s="3021"/>
      <c r="S265" s="3021"/>
      <c r="T265" s="3021"/>
      <c r="U265" s="3021"/>
      <c r="V265" s="3021"/>
      <c r="W265" s="3021"/>
      <c r="X265" s="3021"/>
      <c r="Y265" s="3021"/>
      <c r="Z265" s="3021"/>
      <c r="AA265" s="3021"/>
      <c r="AB265" s="3021"/>
      <c r="AC265" s="3021"/>
      <c r="AD265" s="3021"/>
      <c r="AE265" s="3021"/>
      <c r="AF265" s="3021"/>
      <c r="AG265" s="3021"/>
      <c r="AH265" s="3021"/>
      <c r="AI265" s="3021"/>
      <c r="AJ265" s="3021"/>
      <c r="AK265" s="3021"/>
      <c r="AL265" s="3021"/>
      <c r="AM265" s="3021"/>
    </row>
    <row r="266" spans="2:39" ht="75" customHeight="1">
      <c r="B266" s="2445"/>
      <c r="C266" s="1861"/>
      <c r="D266" s="1861"/>
      <c r="E266" s="1861"/>
      <c r="F266" s="1861"/>
      <c r="G266" s="1861"/>
      <c r="H266" s="1861"/>
      <c r="I266" s="1861"/>
      <c r="J266" s="1861"/>
      <c r="K266" s="1861"/>
      <c r="L266" s="1861"/>
      <c r="M266" s="1861"/>
      <c r="N266" s="1861"/>
      <c r="O266" s="1861"/>
      <c r="P266" s="1861"/>
      <c r="Q266" s="1861"/>
      <c r="R266" s="1861"/>
      <c r="S266" s="1861"/>
      <c r="T266" s="1861"/>
      <c r="U266" s="1861"/>
      <c r="V266" s="1861"/>
      <c r="W266" s="1861"/>
      <c r="X266" s="1861"/>
      <c r="Y266" s="1861"/>
      <c r="Z266" s="1861"/>
      <c r="AA266" s="1861"/>
      <c r="AB266" s="1861"/>
      <c r="AC266" s="1861"/>
      <c r="AD266" s="1861"/>
      <c r="AE266" s="1861"/>
      <c r="AF266" s="1861"/>
      <c r="AG266" s="1861"/>
      <c r="AH266" s="1861"/>
      <c r="AI266" s="1861"/>
      <c r="AJ266" s="1861"/>
      <c r="AK266" s="1861"/>
      <c r="AL266" s="1861"/>
      <c r="AM266" s="1862"/>
    </row>
    <row r="267" spans="2:39" ht="18" customHeight="1">
      <c r="B267" s="3043" t="s">
        <v>2569</v>
      </c>
      <c r="C267" s="3021"/>
      <c r="D267" s="3021"/>
      <c r="E267" s="3021"/>
      <c r="F267" s="3021"/>
      <c r="G267" s="3021"/>
      <c r="H267" s="3021"/>
      <c r="I267" s="1935"/>
      <c r="J267" s="3021"/>
      <c r="K267" s="3021"/>
      <c r="L267" s="3021"/>
      <c r="M267" s="3021"/>
      <c r="N267" s="3021"/>
      <c r="O267" s="3021"/>
      <c r="P267" s="3021"/>
      <c r="Q267" s="3021"/>
      <c r="R267" s="3021"/>
      <c r="S267" s="3021"/>
      <c r="T267" s="3021"/>
      <c r="U267" s="3021"/>
      <c r="V267" s="3021"/>
      <c r="W267" s="3021"/>
      <c r="X267" s="3021"/>
      <c r="Y267" s="3021"/>
      <c r="Z267" s="3021"/>
      <c r="AA267" s="3021"/>
      <c r="AB267" s="3021"/>
      <c r="AC267" s="3021"/>
      <c r="AD267" s="3021"/>
      <c r="AE267" s="3021"/>
      <c r="AF267" s="3021"/>
      <c r="AG267" s="3021"/>
      <c r="AH267" s="3021"/>
      <c r="AI267" s="3021"/>
      <c r="AJ267" s="3021"/>
      <c r="AK267" s="3021"/>
      <c r="AL267" s="3021"/>
      <c r="AM267" s="3021"/>
    </row>
    <row r="268" spans="2:39" ht="75" customHeight="1">
      <c r="B268" s="3023"/>
      <c r="C268" s="1861"/>
      <c r="D268" s="1861"/>
      <c r="E268" s="1861"/>
      <c r="F268" s="1861"/>
      <c r="G268" s="1861"/>
      <c r="H268" s="1861"/>
      <c r="I268" s="1861"/>
      <c r="J268" s="1861"/>
      <c r="K268" s="1861"/>
      <c r="L268" s="1861"/>
      <c r="M268" s="1861"/>
      <c r="N268" s="1861"/>
      <c r="O268" s="1861"/>
      <c r="P268" s="1861"/>
      <c r="Q268" s="1861"/>
      <c r="R268" s="1861"/>
      <c r="S268" s="1861"/>
      <c r="T268" s="1861"/>
      <c r="U268" s="1861"/>
      <c r="V268" s="1861"/>
      <c r="W268" s="1861"/>
      <c r="X268" s="1861"/>
      <c r="Y268" s="1861"/>
      <c r="Z268" s="1861"/>
      <c r="AA268" s="1861"/>
      <c r="AB268" s="1861"/>
      <c r="AC268" s="1861"/>
      <c r="AD268" s="1861"/>
      <c r="AE268" s="1861"/>
      <c r="AF268" s="1861"/>
      <c r="AG268" s="1861"/>
      <c r="AH268" s="1861"/>
      <c r="AI268" s="1861"/>
      <c r="AJ268" s="1861"/>
      <c r="AK268" s="1861"/>
      <c r="AL268" s="1861"/>
      <c r="AM268" s="1862"/>
    </row>
    <row r="269" spans="2:39" s="397" customFormat="1" ht="81" customHeight="1">
      <c r="B269" s="3139" t="s">
        <v>2570</v>
      </c>
      <c r="C269" s="3015"/>
      <c r="D269" s="3015"/>
      <c r="E269" s="3015"/>
      <c r="F269" s="3015"/>
      <c r="G269" s="3015"/>
      <c r="H269" s="3015"/>
      <c r="I269" s="3015"/>
      <c r="J269" s="3015"/>
      <c r="K269" s="3015"/>
      <c r="L269" s="3015"/>
      <c r="M269" s="3015"/>
      <c r="N269" s="3015"/>
      <c r="O269" s="3015"/>
      <c r="P269" s="3015"/>
      <c r="Q269" s="3015"/>
      <c r="R269" s="3015"/>
      <c r="S269" s="3015"/>
      <c r="T269" s="3015"/>
      <c r="U269" s="3015"/>
      <c r="V269" s="3015"/>
      <c r="W269" s="3015"/>
      <c r="X269" s="3015"/>
      <c r="Y269" s="3015"/>
      <c r="Z269" s="3015"/>
      <c r="AA269" s="3015"/>
      <c r="AB269" s="3015"/>
      <c r="AC269" s="3015"/>
      <c r="AD269" s="3015"/>
      <c r="AE269" s="3015"/>
      <c r="AF269" s="3015"/>
      <c r="AG269" s="3015"/>
      <c r="AH269" s="3015"/>
      <c r="AI269" s="3015"/>
      <c r="AJ269" s="3015"/>
      <c r="AK269" s="3015"/>
      <c r="AL269" s="3015"/>
      <c r="AM269" s="3015"/>
    </row>
    <row r="270" spans="2:39" ht="75" customHeight="1">
      <c r="B270" s="3023"/>
      <c r="C270" s="1861"/>
      <c r="D270" s="1861"/>
      <c r="E270" s="1861"/>
      <c r="F270" s="1861"/>
      <c r="G270" s="1861"/>
      <c r="H270" s="1861"/>
      <c r="I270" s="1861"/>
      <c r="J270" s="1861"/>
      <c r="K270" s="1861"/>
      <c r="L270" s="1861"/>
      <c r="M270" s="1861"/>
      <c r="N270" s="1861"/>
      <c r="O270" s="1861"/>
      <c r="P270" s="1861"/>
      <c r="Q270" s="1861"/>
      <c r="R270" s="1861"/>
      <c r="S270" s="1861"/>
      <c r="T270" s="1861"/>
      <c r="U270" s="1861"/>
      <c r="V270" s="1861"/>
      <c r="W270" s="1861"/>
      <c r="X270" s="1861"/>
      <c r="Y270" s="1861"/>
      <c r="Z270" s="1861"/>
      <c r="AA270" s="1861"/>
      <c r="AB270" s="1861"/>
      <c r="AC270" s="1861"/>
      <c r="AD270" s="1861"/>
      <c r="AE270" s="1861"/>
      <c r="AF270" s="1861"/>
      <c r="AG270" s="1861"/>
      <c r="AH270" s="1861"/>
      <c r="AI270" s="1861"/>
      <c r="AJ270" s="1861"/>
      <c r="AK270" s="1861"/>
      <c r="AL270" s="1861"/>
      <c r="AM270" s="1862"/>
    </row>
    <row r="271" spans="2:39" ht="18" customHeight="1">
      <c r="B271" s="3021" t="s">
        <v>2569</v>
      </c>
      <c r="C271" s="3021"/>
      <c r="D271" s="3021"/>
      <c r="E271" s="3021"/>
      <c r="F271" s="3021"/>
      <c r="G271" s="3021"/>
      <c r="H271" s="3021"/>
      <c r="I271" s="1935"/>
      <c r="J271" s="3021"/>
      <c r="K271" s="3021"/>
      <c r="L271" s="3021"/>
      <c r="M271" s="3021"/>
      <c r="N271" s="3021"/>
      <c r="O271" s="3021"/>
      <c r="P271" s="3021"/>
      <c r="Q271" s="3021"/>
      <c r="R271" s="3021"/>
      <c r="S271" s="3021"/>
      <c r="T271" s="3021"/>
      <c r="U271" s="3021"/>
      <c r="V271" s="3021"/>
      <c r="W271" s="3021"/>
      <c r="X271" s="3021"/>
      <c r="Y271" s="3021"/>
      <c r="Z271" s="3021"/>
      <c r="AA271" s="3021"/>
      <c r="AB271" s="3021"/>
      <c r="AC271" s="3021"/>
      <c r="AD271" s="3021"/>
      <c r="AE271" s="3021"/>
      <c r="AF271" s="3021"/>
      <c r="AG271" s="3021"/>
      <c r="AH271" s="3021"/>
      <c r="AI271" s="3021"/>
      <c r="AJ271" s="3021"/>
      <c r="AK271" s="3021"/>
      <c r="AL271" s="3021"/>
      <c r="AM271" s="3021"/>
    </row>
    <row r="272" spans="2:39" ht="75" customHeight="1">
      <c r="B272" s="3023"/>
      <c r="C272" s="1861"/>
      <c r="D272" s="1861"/>
      <c r="E272" s="1861"/>
      <c r="F272" s="1861"/>
      <c r="G272" s="1861"/>
      <c r="H272" s="1861"/>
      <c r="I272" s="1861"/>
      <c r="J272" s="1861"/>
      <c r="K272" s="1861"/>
      <c r="L272" s="1861"/>
      <c r="M272" s="1861"/>
      <c r="N272" s="1861"/>
      <c r="O272" s="1861"/>
      <c r="P272" s="1861"/>
      <c r="Q272" s="1861"/>
      <c r="R272" s="1861"/>
      <c r="S272" s="1861"/>
      <c r="T272" s="1861"/>
      <c r="U272" s="1861"/>
      <c r="V272" s="1861"/>
      <c r="W272" s="1861"/>
      <c r="X272" s="1861"/>
      <c r="Y272" s="1861"/>
      <c r="Z272" s="1861"/>
      <c r="AA272" s="1861"/>
      <c r="AB272" s="1861"/>
      <c r="AC272" s="1861"/>
      <c r="AD272" s="1861"/>
      <c r="AE272" s="1861"/>
      <c r="AF272" s="1861"/>
      <c r="AG272" s="1861"/>
      <c r="AH272" s="1861"/>
      <c r="AI272" s="1861"/>
      <c r="AJ272" s="1861"/>
      <c r="AK272" s="1861"/>
      <c r="AL272" s="1861"/>
      <c r="AM272" s="1862"/>
    </row>
    <row r="273" spans="2:39" ht="18" customHeight="1">
      <c r="B273" s="2181" t="s">
        <v>2571</v>
      </c>
      <c r="C273" s="3021"/>
      <c r="D273" s="3021"/>
      <c r="E273" s="3021"/>
      <c r="F273" s="3021"/>
      <c r="G273" s="3021"/>
      <c r="H273" s="3021"/>
      <c r="I273" s="1935"/>
      <c r="J273" s="3021"/>
      <c r="K273" s="3021"/>
      <c r="L273" s="3021"/>
      <c r="M273" s="3021"/>
      <c r="N273" s="3021"/>
      <c r="O273" s="3021"/>
      <c r="P273" s="3021"/>
      <c r="Q273" s="3021"/>
      <c r="R273" s="3021"/>
      <c r="S273" s="3021"/>
      <c r="T273" s="3021"/>
      <c r="U273" s="3021"/>
      <c r="V273" s="3021"/>
      <c r="W273" s="3021"/>
      <c r="X273" s="3021"/>
      <c r="Y273" s="3021"/>
      <c r="Z273" s="3021"/>
      <c r="AA273" s="3021"/>
      <c r="AB273" s="3021"/>
      <c r="AC273" s="3021"/>
      <c r="AD273" s="3021"/>
      <c r="AE273" s="3021"/>
      <c r="AF273" s="3021"/>
      <c r="AG273" s="3021"/>
      <c r="AH273" s="3021"/>
      <c r="AI273" s="3021"/>
      <c r="AJ273" s="3021"/>
      <c r="AK273" s="3021"/>
      <c r="AL273" s="3021"/>
      <c r="AM273" s="3021"/>
    </row>
    <row r="274" spans="2:39" ht="75" customHeight="1">
      <c r="B274" s="3023"/>
      <c r="C274" s="1861"/>
      <c r="D274" s="1861"/>
      <c r="E274" s="1861"/>
      <c r="F274" s="1861"/>
      <c r="G274" s="1861"/>
      <c r="H274" s="1861"/>
      <c r="I274" s="1861"/>
      <c r="J274" s="1861"/>
      <c r="K274" s="1861"/>
      <c r="L274" s="1861"/>
      <c r="M274" s="1861"/>
      <c r="N274" s="1861"/>
      <c r="O274" s="1861"/>
      <c r="P274" s="1861"/>
      <c r="Q274" s="1861"/>
      <c r="R274" s="1861"/>
      <c r="S274" s="1861"/>
      <c r="T274" s="1861"/>
      <c r="U274" s="1861"/>
      <c r="V274" s="1861"/>
      <c r="W274" s="1861"/>
      <c r="X274" s="1861"/>
      <c r="Y274" s="1861"/>
      <c r="Z274" s="1861"/>
      <c r="AA274" s="1861"/>
      <c r="AB274" s="1861"/>
      <c r="AC274" s="1861"/>
      <c r="AD274" s="1861"/>
      <c r="AE274" s="1861"/>
      <c r="AF274" s="1861"/>
      <c r="AG274" s="1861"/>
      <c r="AH274" s="1861"/>
      <c r="AI274" s="1861"/>
      <c r="AJ274" s="1861"/>
      <c r="AK274" s="1861"/>
      <c r="AL274" s="1861"/>
      <c r="AM274" s="1862"/>
    </row>
    <row r="275" spans="2:39" s="397" customFormat="1" ht="30" customHeight="1">
      <c r="B275" s="3121" t="s">
        <v>2572</v>
      </c>
      <c r="C275" s="3015"/>
      <c r="D275" s="3015"/>
      <c r="E275" s="3015"/>
      <c r="F275" s="3015"/>
      <c r="G275" s="3015"/>
      <c r="H275" s="3015"/>
      <c r="I275" s="3015"/>
      <c r="J275" s="3015"/>
      <c r="K275" s="3015"/>
      <c r="L275" s="3015"/>
      <c r="M275" s="3015"/>
      <c r="N275" s="3015"/>
      <c r="O275" s="3015"/>
      <c r="P275" s="3015"/>
      <c r="Q275" s="3015"/>
      <c r="R275" s="3015"/>
      <c r="S275" s="3015"/>
      <c r="T275" s="3015"/>
      <c r="U275" s="3015"/>
      <c r="V275" s="3015"/>
      <c r="W275" s="3015"/>
      <c r="X275" s="3015"/>
      <c r="Y275" s="3015"/>
      <c r="Z275" s="3015"/>
      <c r="AA275" s="3015"/>
      <c r="AB275" s="3015"/>
      <c r="AC275" s="3015"/>
      <c r="AD275" s="3015"/>
      <c r="AE275" s="3015"/>
      <c r="AF275" s="3015"/>
      <c r="AG275" s="3015"/>
      <c r="AH275" s="3015"/>
      <c r="AI275" s="3015"/>
      <c r="AJ275" s="3015"/>
      <c r="AK275" s="3015"/>
      <c r="AL275" s="3015"/>
      <c r="AM275" s="3015"/>
    </row>
    <row r="276" spans="2:39" ht="75" customHeight="1">
      <c r="B276" s="3023"/>
      <c r="C276" s="1861"/>
      <c r="D276" s="1861"/>
      <c r="E276" s="1861"/>
      <c r="F276" s="1861"/>
      <c r="G276" s="1861"/>
      <c r="H276" s="1861"/>
      <c r="I276" s="1861"/>
      <c r="J276" s="1861"/>
      <c r="K276" s="1861"/>
      <c r="L276" s="1861"/>
      <c r="M276" s="1861"/>
      <c r="N276" s="1861"/>
      <c r="O276" s="1861"/>
      <c r="P276" s="1861"/>
      <c r="Q276" s="1861"/>
      <c r="R276" s="1861"/>
      <c r="S276" s="1861"/>
      <c r="T276" s="1861"/>
      <c r="U276" s="1861"/>
      <c r="V276" s="1861"/>
      <c r="W276" s="1861"/>
      <c r="X276" s="1861"/>
      <c r="Y276" s="1861"/>
      <c r="Z276" s="1861"/>
      <c r="AA276" s="1861"/>
      <c r="AB276" s="1861"/>
      <c r="AC276" s="1861"/>
      <c r="AD276" s="1861"/>
      <c r="AE276" s="1861"/>
      <c r="AF276" s="1861"/>
      <c r="AG276" s="1861"/>
      <c r="AH276" s="1861"/>
      <c r="AI276" s="1861"/>
      <c r="AJ276" s="1861"/>
      <c r="AK276" s="1861"/>
      <c r="AL276" s="1861"/>
      <c r="AM276" s="1862"/>
    </row>
    <row r="277" spans="2:39" ht="18" customHeight="1">
      <c r="B277" s="3189" t="s">
        <v>2573</v>
      </c>
      <c r="C277" s="1953"/>
      <c r="D277" s="1953"/>
      <c r="E277" s="1953"/>
      <c r="F277" s="1953"/>
      <c r="G277" s="1953"/>
      <c r="H277" s="1953"/>
      <c r="I277" s="1953"/>
      <c r="J277" s="1953"/>
      <c r="K277" s="1953"/>
      <c r="L277" s="1953"/>
      <c r="M277" s="1953"/>
      <c r="N277" s="1953"/>
      <c r="O277" s="1953"/>
      <c r="P277" s="1953"/>
      <c r="Q277" s="1953"/>
      <c r="R277" s="1953"/>
      <c r="S277" s="1953"/>
      <c r="T277" s="1953"/>
      <c r="U277" s="1953"/>
      <c r="V277" s="1953"/>
      <c r="W277" s="1953"/>
      <c r="X277" s="1953"/>
      <c r="Y277" s="1953"/>
      <c r="Z277" s="1953"/>
      <c r="AA277" s="1953"/>
      <c r="AB277" s="1953"/>
      <c r="AC277" s="1953"/>
      <c r="AD277" s="1953"/>
      <c r="AE277" s="1953"/>
      <c r="AF277" s="1953"/>
      <c r="AG277" s="1953"/>
      <c r="AH277" s="1953"/>
      <c r="AI277" s="1953"/>
      <c r="AJ277" s="1953"/>
      <c r="AK277" s="1953"/>
      <c r="AL277" s="1953"/>
      <c r="AM277" s="1770"/>
    </row>
    <row r="278" spans="2:39" ht="18" customHeight="1">
      <c r="B278" s="789"/>
      <c r="C278" s="3047" t="s">
        <v>2574</v>
      </c>
      <c r="D278" s="1777"/>
      <c r="E278" s="1777"/>
      <c r="F278" s="1777"/>
      <c r="G278" s="1777"/>
      <c r="H278" s="1777"/>
      <c r="I278" s="1777"/>
      <c r="J278" s="1777"/>
      <c r="K278" s="1777"/>
      <c r="L278" s="1777"/>
      <c r="M278" s="1777"/>
      <c r="N278" s="1777"/>
      <c r="O278" s="1777"/>
      <c r="P278" s="1777"/>
      <c r="Q278" s="1777"/>
      <c r="R278" s="1777"/>
      <c r="S278" s="1777"/>
      <c r="T278" s="1777"/>
      <c r="U278" s="1778"/>
      <c r="V278" s="3047" t="s">
        <v>2575</v>
      </c>
      <c r="W278" s="1777"/>
      <c r="X278" s="1777"/>
      <c r="Y278" s="1777"/>
      <c r="Z278" s="1778"/>
      <c r="AA278" s="400"/>
      <c r="AB278" s="400"/>
      <c r="AC278" s="76"/>
      <c r="AM278" s="1396"/>
    </row>
    <row r="279" spans="2:39" ht="18" customHeight="1">
      <c r="B279" s="789"/>
      <c r="C279" s="3028" t="s">
        <v>2576</v>
      </c>
      <c r="D279" s="1777"/>
      <c r="E279" s="1777"/>
      <c r="F279" s="1777"/>
      <c r="G279" s="1777"/>
      <c r="H279" s="1777"/>
      <c r="I279" s="1777"/>
      <c r="J279" s="1777"/>
      <c r="K279" s="1777"/>
      <c r="L279" s="1777"/>
      <c r="M279" s="1777"/>
      <c r="N279" s="1777"/>
      <c r="O279" s="1777"/>
      <c r="P279" s="1777"/>
      <c r="Q279" s="1777"/>
      <c r="R279" s="1777"/>
      <c r="S279" s="1777"/>
      <c r="T279" s="1777"/>
      <c r="U279" s="1778"/>
      <c r="V279" s="3117"/>
      <c r="W279" s="1861"/>
      <c r="X279" s="1861"/>
      <c r="Y279" s="1861"/>
      <c r="Z279" s="1862"/>
      <c r="AA279" s="384"/>
      <c r="AB279" s="384"/>
      <c r="AC279" s="76"/>
      <c r="AM279" s="1396"/>
    </row>
    <row r="280" spans="2:39" ht="18" customHeight="1">
      <c r="B280" s="789"/>
      <c r="C280" s="3028" t="s">
        <v>2577</v>
      </c>
      <c r="D280" s="1777"/>
      <c r="E280" s="1777"/>
      <c r="F280" s="1777"/>
      <c r="G280" s="1777"/>
      <c r="H280" s="1777"/>
      <c r="I280" s="1777"/>
      <c r="J280" s="1777"/>
      <c r="K280" s="1777"/>
      <c r="L280" s="1777"/>
      <c r="M280" s="1777"/>
      <c r="N280" s="1777"/>
      <c r="O280" s="1777"/>
      <c r="P280" s="1777"/>
      <c r="Q280" s="1777"/>
      <c r="R280" s="1777"/>
      <c r="S280" s="1777"/>
      <c r="T280" s="1777"/>
      <c r="U280" s="1778"/>
      <c r="V280" s="3117"/>
      <c r="W280" s="1861"/>
      <c r="X280" s="1861"/>
      <c r="Y280" s="1861"/>
      <c r="Z280" s="1862"/>
      <c r="AA280" s="384"/>
      <c r="AB280" s="384"/>
      <c r="AC280" s="76"/>
      <c r="AM280" s="1396"/>
    </row>
    <row r="281" spans="2:39" ht="18" customHeight="1">
      <c r="B281" s="789"/>
      <c r="C281" s="3028" t="s">
        <v>2578</v>
      </c>
      <c r="D281" s="1777"/>
      <c r="E281" s="1777"/>
      <c r="F281" s="1777"/>
      <c r="G281" s="1777"/>
      <c r="H281" s="1777"/>
      <c r="I281" s="1777"/>
      <c r="J281" s="1777"/>
      <c r="K281" s="1777"/>
      <c r="L281" s="1777"/>
      <c r="M281" s="1777"/>
      <c r="N281" s="1777"/>
      <c r="O281" s="1777"/>
      <c r="P281" s="1777"/>
      <c r="Q281" s="1777"/>
      <c r="R281" s="1777"/>
      <c r="S281" s="1777"/>
      <c r="T281" s="1777"/>
      <c r="U281" s="1778"/>
      <c r="V281" s="3117"/>
      <c r="W281" s="1861"/>
      <c r="X281" s="1861"/>
      <c r="Y281" s="1861"/>
      <c r="Z281" s="1862"/>
      <c r="AA281" s="384"/>
      <c r="AB281" s="384"/>
      <c r="AC281" s="76"/>
      <c r="AM281" s="1396"/>
    </row>
    <row r="282" spans="2:39" ht="18" customHeight="1">
      <c r="B282" s="789"/>
      <c r="C282" s="3023" t="s">
        <v>2579</v>
      </c>
      <c r="D282" s="1861"/>
      <c r="E282" s="1861"/>
      <c r="F282" s="1861"/>
      <c r="G282" s="1861"/>
      <c r="H282" s="1861"/>
      <c r="I282" s="1861"/>
      <c r="J282" s="1861"/>
      <c r="K282" s="1861"/>
      <c r="L282" s="1861"/>
      <c r="M282" s="1861"/>
      <c r="N282" s="1861"/>
      <c r="O282" s="1861"/>
      <c r="P282" s="1861"/>
      <c r="Q282" s="1861"/>
      <c r="R282" s="1861"/>
      <c r="S282" s="1861"/>
      <c r="T282" s="1861"/>
      <c r="U282" s="1862"/>
      <c r="V282" s="3020"/>
      <c r="W282" s="1861"/>
      <c r="X282" s="1861"/>
      <c r="Y282" s="1861"/>
      <c r="Z282" s="1862"/>
      <c r="AA282" s="381"/>
      <c r="AB282" s="381"/>
      <c r="AC282" s="76"/>
      <c r="AM282" s="1396"/>
    </row>
    <row r="283" spans="2:39" ht="18" customHeight="1">
      <c r="B283" s="789"/>
      <c r="I283" s="387"/>
      <c r="V283" s="1718"/>
      <c r="W283" s="1718"/>
      <c r="X283" s="1718"/>
      <c r="Y283" s="1718"/>
      <c r="Z283" s="1718"/>
      <c r="AA283" s="381"/>
      <c r="AB283" s="381"/>
      <c r="AC283" s="76"/>
      <c r="AM283" s="1396"/>
    </row>
    <row r="284" spans="2:39" ht="18" customHeight="1">
      <c r="B284" s="3098" t="s">
        <v>2580</v>
      </c>
      <c r="C284" s="3021"/>
      <c r="D284" s="3021"/>
      <c r="E284" s="3021"/>
      <c r="F284" s="3021"/>
      <c r="G284" s="3021"/>
      <c r="H284" s="3021"/>
      <c r="I284" s="1935"/>
      <c r="J284" s="3021"/>
      <c r="K284" s="3021"/>
      <c r="L284" s="3021"/>
      <c r="M284" s="3021"/>
      <c r="N284" s="3021"/>
      <c r="O284" s="3021"/>
      <c r="P284" s="3021"/>
      <c r="Q284" s="3021"/>
      <c r="R284" s="3021"/>
      <c r="S284" s="3021"/>
      <c r="T284" s="3021"/>
      <c r="U284" s="3021"/>
      <c r="V284" s="3021"/>
      <c r="W284" s="3021"/>
      <c r="X284" s="3021"/>
      <c r="Y284" s="1889"/>
      <c r="Z284" s="3020"/>
      <c r="AA284" s="1861"/>
      <c r="AB284" s="1861"/>
      <c r="AC284" s="1861"/>
      <c r="AD284" s="1861"/>
      <c r="AE284" s="1861"/>
      <c r="AF284" s="1862"/>
      <c r="AM284" s="1396"/>
    </row>
    <row r="285" spans="2:39" ht="18" customHeight="1">
      <c r="B285" s="3098" t="s">
        <v>2581</v>
      </c>
      <c r="C285" s="3021"/>
      <c r="D285" s="3021"/>
      <c r="E285" s="3021"/>
      <c r="F285" s="3021"/>
      <c r="G285" s="3021"/>
      <c r="H285" s="3021"/>
      <c r="I285" s="1935"/>
      <c r="J285" s="3021"/>
      <c r="K285" s="3021"/>
      <c r="L285" s="3021"/>
      <c r="M285" s="3021"/>
      <c r="N285" s="3021"/>
      <c r="O285" s="3021"/>
      <c r="P285" s="3021"/>
      <c r="Q285" s="3021"/>
      <c r="R285" s="3021"/>
      <c r="S285" s="3021"/>
      <c r="T285" s="3021"/>
      <c r="U285" s="3021"/>
      <c r="V285" s="3021"/>
      <c r="W285" s="3021"/>
      <c r="X285" s="3021"/>
      <c r="Y285" s="3021"/>
      <c r="Z285" s="3021"/>
      <c r="AA285" s="3021"/>
      <c r="AB285" s="3021"/>
      <c r="AC285" s="3021"/>
      <c r="AD285" s="3021"/>
      <c r="AE285" s="3021"/>
      <c r="AF285" s="3021"/>
      <c r="AG285" s="3021"/>
      <c r="AH285" s="3021"/>
      <c r="AI285" s="3021"/>
      <c r="AJ285" s="3021"/>
      <c r="AK285" s="3021"/>
      <c r="AL285" s="3021"/>
      <c r="AM285" s="1889"/>
    </row>
    <row r="286" spans="2:39" ht="18" customHeight="1">
      <c r="B286" s="789"/>
      <c r="C286" s="3116" t="s">
        <v>2582</v>
      </c>
      <c r="D286" s="1777"/>
      <c r="E286" s="1777"/>
      <c r="F286" s="1777"/>
      <c r="G286" s="1777"/>
      <c r="H286" s="1777"/>
      <c r="I286" s="1777"/>
      <c r="J286" s="1777"/>
      <c r="K286" s="1777"/>
      <c r="L286" s="1777"/>
      <c r="M286" s="1777"/>
      <c r="N286" s="1777"/>
      <c r="O286" s="1778"/>
      <c r="P286" s="1968"/>
      <c r="Q286" s="1861"/>
      <c r="R286" s="1862"/>
      <c r="S286" s="2"/>
      <c r="T286" s="2"/>
      <c r="U286" s="2"/>
      <c r="V286" s="2"/>
      <c r="W286" s="2"/>
      <c r="X286" s="2"/>
      <c r="Y286" s="2"/>
      <c r="Z286" s="2"/>
      <c r="AA286" s="2"/>
      <c r="AB286" s="2"/>
      <c r="AC286" s="76"/>
      <c r="AM286" s="1396"/>
    </row>
    <row r="287" spans="2:39" ht="18" customHeight="1">
      <c r="B287" s="789"/>
      <c r="C287" s="3016" t="s">
        <v>2583</v>
      </c>
      <c r="D287" s="1777"/>
      <c r="E287" s="1777"/>
      <c r="F287" s="1777"/>
      <c r="G287" s="1777"/>
      <c r="H287" s="1777"/>
      <c r="I287" s="1777"/>
      <c r="J287" s="1777"/>
      <c r="K287" s="1777"/>
      <c r="L287" s="1777"/>
      <c r="M287" s="1777"/>
      <c r="N287" s="1777"/>
      <c r="O287" s="1778"/>
      <c r="P287" s="1968"/>
      <c r="Q287" s="1861"/>
      <c r="R287" s="1862"/>
      <c r="S287" s="2"/>
      <c r="T287" s="2"/>
      <c r="U287" s="2"/>
      <c r="V287" s="2"/>
      <c r="W287" s="2"/>
      <c r="X287" s="2"/>
      <c r="Y287" s="2"/>
      <c r="Z287" s="2"/>
      <c r="AA287" s="2"/>
      <c r="AB287" s="2"/>
      <c r="AC287" s="76"/>
      <c r="AM287" s="1396"/>
    </row>
    <row r="288" spans="2:39" ht="18" customHeight="1">
      <c r="B288" s="789"/>
      <c r="C288" s="3028" t="s">
        <v>2584</v>
      </c>
      <c r="D288" s="1777"/>
      <c r="E288" s="1777"/>
      <c r="F288" s="1777"/>
      <c r="G288" s="1777"/>
      <c r="H288" s="1777"/>
      <c r="I288" s="1777"/>
      <c r="J288" s="1777"/>
      <c r="K288" s="1777"/>
      <c r="L288" s="1777"/>
      <c r="M288" s="1777"/>
      <c r="N288" s="1777"/>
      <c r="O288" s="1778"/>
      <c r="P288" s="1968"/>
      <c r="Q288" s="1861"/>
      <c r="R288" s="1862"/>
      <c r="S288" s="2"/>
      <c r="T288" s="2"/>
      <c r="U288" s="2"/>
      <c r="V288" s="2"/>
      <c r="W288" s="2"/>
      <c r="X288" s="2"/>
      <c r="Y288" s="2"/>
      <c r="Z288" s="2"/>
      <c r="AA288" s="2"/>
      <c r="AB288" s="2"/>
      <c r="AC288" s="76"/>
      <c r="AM288" s="1396"/>
    </row>
    <row r="289" spans="2:39" ht="18" customHeight="1">
      <c r="B289" s="789"/>
      <c r="C289" s="3028" t="s">
        <v>2585</v>
      </c>
      <c r="D289" s="1777"/>
      <c r="E289" s="1777"/>
      <c r="F289" s="1777"/>
      <c r="G289" s="1777"/>
      <c r="H289" s="1777"/>
      <c r="I289" s="1777"/>
      <c r="J289" s="1777"/>
      <c r="K289" s="1777"/>
      <c r="L289" s="1777"/>
      <c r="M289" s="1777"/>
      <c r="N289" s="1777"/>
      <c r="O289" s="1778"/>
      <c r="P289" s="1968"/>
      <c r="Q289" s="1861"/>
      <c r="R289" s="1862"/>
      <c r="S289" s="2"/>
      <c r="T289" s="2"/>
      <c r="U289" s="2"/>
      <c r="V289" s="2"/>
      <c r="W289" s="2"/>
      <c r="X289" s="2"/>
      <c r="Y289" s="2"/>
      <c r="Z289" s="2"/>
      <c r="AA289" s="2"/>
      <c r="AB289" s="2"/>
      <c r="AC289" s="76"/>
      <c r="AM289" s="1396"/>
    </row>
    <row r="290" spans="2:39" ht="18" customHeight="1">
      <c r="B290" s="789"/>
      <c r="C290" s="3028" t="s">
        <v>2586</v>
      </c>
      <c r="D290" s="1777"/>
      <c r="E290" s="1777"/>
      <c r="F290" s="1777"/>
      <c r="G290" s="1777"/>
      <c r="H290" s="1777"/>
      <c r="I290" s="1777"/>
      <c r="J290" s="1777"/>
      <c r="K290" s="1777"/>
      <c r="L290" s="1777"/>
      <c r="M290" s="1777"/>
      <c r="N290" s="1777"/>
      <c r="O290" s="1778"/>
      <c r="P290" s="1968"/>
      <c r="Q290" s="1861"/>
      <c r="R290" s="1862"/>
      <c r="S290" s="2"/>
      <c r="T290" s="2"/>
      <c r="U290" s="2"/>
      <c r="V290" s="2"/>
      <c r="W290" s="2"/>
      <c r="X290" s="2"/>
      <c r="Y290" s="2"/>
      <c r="Z290" s="2"/>
      <c r="AA290" s="2"/>
      <c r="AB290" s="2"/>
      <c r="AC290" s="76"/>
      <c r="AM290" s="1396"/>
    </row>
    <row r="291" spans="2:39" ht="18" customHeight="1">
      <c r="B291" s="789"/>
      <c r="C291" s="3028" t="s">
        <v>2587</v>
      </c>
      <c r="D291" s="1777"/>
      <c r="E291" s="1777"/>
      <c r="F291" s="1777"/>
      <c r="G291" s="1777"/>
      <c r="H291" s="1777"/>
      <c r="I291" s="1777"/>
      <c r="J291" s="1777"/>
      <c r="K291" s="1777"/>
      <c r="L291" s="1777"/>
      <c r="M291" s="1777"/>
      <c r="N291" s="1777"/>
      <c r="O291" s="1778"/>
      <c r="P291" s="1968"/>
      <c r="Q291" s="1861"/>
      <c r="R291" s="1862"/>
      <c r="S291" s="2"/>
      <c r="T291" s="2"/>
      <c r="U291" s="2"/>
      <c r="V291" s="2"/>
      <c r="W291" s="2"/>
      <c r="X291" s="2"/>
      <c r="Y291" s="2"/>
      <c r="Z291" s="2"/>
      <c r="AA291" s="2"/>
      <c r="AB291" s="2"/>
      <c r="AC291" s="76"/>
      <c r="AM291" s="1396"/>
    </row>
    <row r="292" spans="2:39" ht="18" customHeight="1">
      <c r="B292" s="789"/>
      <c r="C292" s="3028" t="s">
        <v>2588</v>
      </c>
      <c r="D292" s="1777"/>
      <c r="E292" s="1777"/>
      <c r="F292" s="1777"/>
      <c r="G292" s="1777"/>
      <c r="H292" s="1777"/>
      <c r="I292" s="1777"/>
      <c r="J292" s="1777"/>
      <c r="K292" s="1777"/>
      <c r="L292" s="1777"/>
      <c r="M292" s="1777"/>
      <c r="N292" s="1777"/>
      <c r="O292" s="1778"/>
      <c r="P292" s="1968"/>
      <c r="Q292" s="1861"/>
      <c r="R292" s="1862"/>
      <c r="S292" s="2"/>
      <c r="T292" s="2"/>
      <c r="U292" s="2"/>
      <c r="V292" s="2"/>
      <c r="W292" s="2"/>
      <c r="X292" s="2"/>
      <c r="Y292" s="2"/>
      <c r="Z292" s="2"/>
      <c r="AA292" s="2"/>
      <c r="AB292" s="2"/>
      <c r="AM292" s="1396"/>
    </row>
    <row r="293" spans="2:39" ht="18" customHeight="1">
      <c r="B293" s="789"/>
      <c r="C293" s="3028" t="s">
        <v>2589</v>
      </c>
      <c r="D293" s="1777"/>
      <c r="E293" s="1777"/>
      <c r="F293" s="1777"/>
      <c r="G293" s="1777"/>
      <c r="H293" s="1777"/>
      <c r="I293" s="1777"/>
      <c r="J293" s="1777"/>
      <c r="K293" s="1777"/>
      <c r="L293" s="1777"/>
      <c r="M293" s="1777"/>
      <c r="N293" s="1777"/>
      <c r="O293" s="1778"/>
      <c r="P293" s="1968"/>
      <c r="Q293" s="1861"/>
      <c r="R293" s="1862"/>
      <c r="S293" s="2"/>
      <c r="T293" s="2"/>
      <c r="U293" s="2"/>
      <c r="V293" s="2"/>
      <c r="W293" s="2"/>
      <c r="X293" s="2"/>
      <c r="Y293" s="2"/>
      <c r="Z293" s="2"/>
      <c r="AA293" s="2"/>
      <c r="AB293" s="2"/>
      <c r="AM293" s="1396"/>
    </row>
    <row r="294" spans="2:39" ht="18" customHeight="1">
      <c r="B294" s="805"/>
      <c r="C294" s="1397"/>
      <c r="D294" s="1397"/>
      <c r="E294" s="1397"/>
      <c r="F294" s="1397"/>
      <c r="G294" s="1397"/>
      <c r="H294" s="1397"/>
      <c r="I294" s="1397"/>
      <c r="J294" s="1397"/>
      <c r="K294" s="1397"/>
      <c r="L294" s="1397"/>
      <c r="M294" s="1397"/>
      <c r="N294" s="1397"/>
      <c r="O294" s="1397"/>
      <c r="P294" s="1398"/>
      <c r="Q294" s="1398"/>
      <c r="R294" s="1398"/>
      <c r="S294" s="1391"/>
      <c r="T294" s="1391"/>
      <c r="U294" s="1391"/>
      <c r="V294" s="1391"/>
      <c r="W294" s="1391"/>
      <c r="X294" s="1391"/>
      <c r="Y294" s="1391"/>
      <c r="Z294" s="1391"/>
      <c r="AA294" s="1391"/>
      <c r="AB294" s="1391"/>
      <c r="AM294" s="1396"/>
    </row>
    <row r="295" spans="2:39" ht="18" customHeight="1">
      <c r="B295" s="3028" t="s">
        <v>2590</v>
      </c>
      <c r="C295" s="1777"/>
      <c r="D295" s="1777"/>
      <c r="E295" s="1777"/>
      <c r="F295" s="1777"/>
      <c r="G295" s="1777"/>
      <c r="H295" s="1777"/>
      <c r="I295" s="1777"/>
      <c r="J295" s="1777"/>
      <c r="K295" s="1777"/>
      <c r="L295" s="1777"/>
      <c r="M295" s="1777"/>
      <c r="N295" s="1777"/>
      <c r="O295" s="1777"/>
      <c r="P295" s="1777"/>
      <c r="Q295" s="1777"/>
      <c r="R295" s="1777"/>
      <c r="S295" s="1777"/>
      <c r="T295" s="1777"/>
      <c r="U295" s="1778"/>
      <c r="V295" s="3020"/>
      <c r="W295" s="1861"/>
      <c r="X295" s="1861"/>
      <c r="Y295" s="1861"/>
      <c r="Z295" s="1861"/>
      <c r="AA295" s="1861"/>
      <c r="AB295" s="1862"/>
      <c r="AM295" s="1396"/>
    </row>
    <row r="296" spans="2:39" ht="18" customHeight="1">
      <c r="B296" s="3098" t="s">
        <v>2591</v>
      </c>
      <c r="C296" s="3021"/>
      <c r="D296" s="3021"/>
      <c r="E296" s="3021"/>
      <c r="F296" s="3021"/>
      <c r="G296" s="3021"/>
      <c r="H296" s="3021"/>
      <c r="I296" s="1935"/>
      <c r="J296" s="3021"/>
      <c r="K296" s="3021"/>
      <c r="L296" s="3021"/>
      <c r="M296" s="3021"/>
      <c r="N296" s="3021"/>
      <c r="O296" s="3021"/>
      <c r="P296" s="3021"/>
      <c r="Q296" s="3021"/>
      <c r="R296" s="3021"/>
      <c r="S296" s="3021"/>
      <c r="T296" s="3021"/>
      <c r="U296" s="3021"/>
      <c r="V296" s="3021"/>
      <c r="W296" s="3021"/>
      <c r="X296" s="3021"/>
      <c r="Y296" s="3021"/>
      <c r="Z296" s="3021"/>
      <c r="AA296" s="3021"/>
      <c r="AB296" s="3021"/>
      <c r="AC296" s="3021"/>
      <c r="AD296" s="3021"/>
      <c r="AE296" s="3021"/>
      <c r="AF296" s="3021"/>
      <c r="AG296" s="3021"/>
      <c r="AH296" s="3021"/>
      <c r="AI296" s="3021"/>
      <c r="AJ296" s="3021"/>
      <c r="AK296" s="3021"/>
      <c r="AL296" s="3021"/>
      <c r="AM296" s="1889"/>
    </row>
    <row r="297" spans="2:39" ht="18" customHeight="1">
      <c r="B297" s="3167" t="s">
        <v>2273</v>
      </c>
      <c r="C297" s="1777"/>
      <c r="D297" s="1777"/>
      <c r="E297" s="1777"/>
      <c r="F297" s="1777"/>
      <c r="G297" s="1777"/>
      <c r="H297" s="1777"/>
      <c r="I297" s="1777"/>
      <c r="J297" s="1778"/>
      <c r="K297" s="1968"/>
      <c r="L297" s="1862"/>
      <c r="V297" s="3159"/>
      <c r="W297" s="3021"/>
      <c r="X297" s="3021"/>
      <c r="Y297" s="3021"/>
      <c r="Z297" s="3021"/>
      <c r="AA297" s="3021"/>
      <c r="AB297" s="3021"/>
      <c r="AM297" s="1396"/>
    </row>
    <row r="298" spans="2:39" ht="18" customHeight="1">
      <c r="B298" s="3016" t="s">
        <v>2592</v>
      </c>
      <c r="C298" s="1777"/>
      <c r="D298" s="1777"/>
      <c r="E298" s="1777"/>
      <c r="F298" s="1777"/>
      <c r="G298" s="1777"/>
      <c r="H298" s="1777"/>
      <c r="I298" s="1777"/>
      <c r="J298" s="1777"/>
      <c r="K298" s="1777"/>
      <c r="L298" s="1778"/>
      <c r="M298" s="1968"/>
      <c r="N298" s="1862"/>
      <c r="O298" s="385" t="s">
        <v>2593</v>
      </c>
      <c r="P298" s="385"/>
      <c r="Q298" s="385"/>
      <c r="R298" s="385"/>
      <c r="S298" s="385"/>
      <c r="T298" s="385"/>
      <c r="U298" s="385"/>
      <c r="V298" s="1718"/>
      <c r="W298" s="1718"/>
      <c r="X298" s="1718"/>
      <c r="Y298" s="1718"/>
      <c r="Z298" s="1718"/>
      <c r="AA298" s="1718"/>
      <c r="AB298" s="1718"/>
      <c r="AM298" s="1396"/>
    </row>
    <row r="299" spans="2:39" ht="18" customHeight="1">
      <c r="B299" s="3016" t="s">
        <v>2594</v>
      </c>
      <c r="C299" s="1777"/>
      <c r="D299" s="1777"/>
      <c r="E299" s="1777"/>
      <c r="F299" s="1777"/>
      <c r="G299" s="1777"/>
      <c r="H299" s="1777"/>
      <c r="I299" s="1777"/>
      <c r="J299" s="1777"/>
      <c r="K299" s="1777"/>
      <c r="L299" s="1778"/>
      <c r="M299" s="3186"/>
      <c r="N299" s="1861"/>
      <c r="O299" s="1861"/>
      <c r="P299" s="1861"/>
      <c r="Q299" s="1861"/>
      <c r="R299" s="1861"/>
      <c r="S299" s="1861"/>
      <c r="T299" s="1861"/>
      <c r="U299" s="1861"/>
      <c r="V299" s="1861"/>
      <c r="W299" s="1861"/>
      <c r="X299" s="1861"/>
      <c r="Y299" s="1861"/>
      <c r="Z299" s="1861"/>
      <c r="AA299" s="1861"/>
      <c r="AB299" s="1861"/>
      <c r="AC299" s="1861"/>
      <c r="AD299" s="1861"/>
      <c r="AE299" s="1861"/>
      <c r="AF299" s="1861"/>
      <c r="AG299" s="1861"/>
      <c r="AH299" s="1861"/>
      <c r="AI299" s="1861"/>
      <c r="AJ299" s="1861"/>
      <c r="AK299" s="1861"/>
      <c r="AL299" s="1861"/>
      <c r="AM299" s="1862"/>
    </row>
    <row r="300" spans="2:39" ht="18" customHeight="1">
      <c r="B300" s="3165" t="s">
        <v>2595</v>
      </c>
      <c r="C300" s="1777"/>
      <c r="D300" s="1777"/>
      <c r="E300" s="1777"/>
      <c r="F300" s="1777"/>
      <c r="G300" s="1777"/>
      <c r="H300" s="1777"/>
      <c r="I300" s="1777"/>
      <c r="J300" s="1777"/>
      <c r="K300" s="1777"/>
      <c r="L300" s="1778"/>
      <c r="M300" s="3163"/>
      <c r="N300" s="1861"/>
      <c r="O300" s="1861"/>
      <c r="P300" s="1861"/>
      <c r="Q300" s="1861"/>
      <c r="R300" s="1861"/>
      <c r="S300" s="1861"/>
      <c r="T300" s="1861"/>
      <c r="U300" s="1861"/>
      <c r="V300" s="1861"/>
      <c r="W300" s="1861"/>
      <c r="X300" s="1861"/>
      <c r="Y300" s="1861"/>
      <c r="Z300" s="1861"/>
      <c r="AA300" s="1861"/>
      <c r="AB300" s="1861"/>
      <c r="AC300" s="1861"/>
      <c r="AD300" s="1861"/>
      <c r="AE300" s="1862"/>
      <c r="AF300" s="3196" t="s">
        <v>1052</v>
      </c>
      <c r="AG300" s="1777"/>
      <c r="AH300" s="1778"/>
      <c r="AI300" s="3020"/>
      <c r="AJ300" s="1861"/>
      <c r="AK300" s="1861"/>
      <c r="AL300" s="1861"/>
      <c r="AM300" s="1862"/>
    </row>
    <row r="301" spans="2:39" s="384" customFormat="1" ht="18" customHeight="1"/>
    <row r="302" spans="2:39" ht="18" customHeight="1">
      <c r="B302" s="3130" t="s">
        <v>2376</v>
      </c>
      <c r="C302" s="3021"/>
      <c r="D302" s="3021"/>
      <c r="E302" s="3021"/>
      <c r="F302" s="3021"/>
      <c r="G302" s="3021"/>
      <c r="H302" s="3021"/>
      <c r="I302" s="1935"/>
      <c r="J302" s="3021"/>
      <c r="K302" s="3021"/>
      <c r="L302" s="3021"/>
      <c r="M302" s="3021"/>
      <c r="N302" s="3021"/>
      <c r="O302" s="3021"/>
      <c r="P302" s="3021"/>
      <c r="Q302" s="3021"/>
      <c r="R302" s="3021"/>
      <c r="S302" s="3021"/>
      <c r="T302" s="3021"/>
      <c r="U302" s="3021"/>
      <c r="V302" s="3021"/>
      <c r="W302" s="3021"/>
      <c r="X302" s="3021"/>
      <c r="Y302" s="3021"/>
      <c r="Z302" s="3021"/>
      <c r="AA302" s="3021"/>
      <c r="AB302" s="3021"/>
      <c r="AC302" s="3021"/>
      <c r="AD302" s="3021"/>
      <c r="AE302" s="3021"/>
      <c r="AF302" s="3021"/>
      <c r="AG302" s="3021"/>
      <c r="AH302" s="3021"/>
      <c r="AI302" s="3021"/>
      <c r="AJ302" s="3021"/>
      <c r="AK302" s="3021"/>
      <c r="AL302" s="3021"/>
      <c r="AM302" s="3021"/>
    </row>
    <row r="303" spans="2:39" ht="108" customHeight="1">
      <c r="B303" s="3043" t="s">
        <v>2596</v>
      </c>
      <c r="C303" s="3021"/>
      <c r="D303" s="3021"/>
      <c r="E303" s="3021"/>
      <c r="F303" s="3021"/>
      <c r="G303" s="3021"/>
      <c r="H303" s="3021"/>
      <c r="I303" s="1935"/>
      <c r="J303" s="3021"/>
      <c r="K303" s="3021"/>
      <c r="L303" s="3021"/>
      <c r="M303" s="3021"/>
      <c r="N303" s="3021"/>
      <c r="O303" s="3021"/>
      <c r="P303" s="3021"/>
      <c r="Q303" s="3021"/>
      <c r="R303" s="3021"/>
      <c r="S303" s="3021"/>
      <c r="T303" s="3021"/>
      <c r="U303" s="3021"/>
      <c r="V303" s="3021"/>
      <c r="W303" s="3021"/>
      <c r="X303" s="3021"/>
      <c r="Y303" s="3021"/>
      <c r="Z303" s="3021"/>
      <c r="AA303" s="3021"/>
      <c r="AB303" s="3021"/>
      <c r="AC303" s="3021"/>
      <c r="AD303" s="3021"/>
      <c r="AE303" s="3021"/>
      <c r="AF303" s="3021"/>
      <c r="AG303" s="3021"/>
      <c r="AH303" s="3021"/>
      <c r="AI303" s="3021"/>
      <c r="AJ303" s="3021"/>
      <c r="AK303" s="3021"/>
      <c r="AL303" s="3021"/>
      <c r="AM303" s="3021"/>
    </row>
    <row r="304" spans="2:39" ht="18" customHeight="1">
      <c r="B304" s="3082" t="s">
        <v>2276</v>
      </c>
      <c r="C304" s="1953"/>
      <c r="D304" s="1953"/>
      <c r="E304" s="1953"/>
      <c r="F304" s="1953"/>
      <c r="G304" s="1953"/>
      <c r="H304" s="1953"/>
      <c r="I304" s="1953"/>
      <c r="J304" s="1953"/>
      <c r="K304" s="1953"/>
      <c r="L304" s="1953"/>
      <c r="M304" s="1953"/>
      <c r="N304" s="1953"/>
      <c r="O304" s="1953"/>
      <c r="P304" s="1953"/>
      <c r="Q304" s="1953"/>
      <c r="R304" s="1953"/>
      <c r="S304" s="1953"/>
      <c r="T304" s="1953"/>
      <c r="U304" s="1953"/>
      <c r="V304" s="1953"/>
      <c r="W304" s="1953"/>
      <c r="X304" s="1953"/>
      <c r="Y304" s="1953"/>
      <c r="Z304" s="1953"/>
      <c r="AA304" s="1953"/>
      <c r="AB304" s="1953"/>
      <c r="AC304" s="1953"/>
      <c r="AD304" s="1953"/>
      <c r="AE304" s="1953"/>
      <c r="AF304" s="1953"/>
      <c r="AG304" s="1953"/>
      <c r="AH304" s="1953"/>
      <c r="AI304" s="1953"/>
      <c r="AJ304" s="1953"/>
      <c r="AK304" s="1953"/>
      <c r="AL304" s="1953"/>
      <c r="AM304" s="1770"/>
    </row>
    <row r="305" spans="2:39" ht="18" customHeight="1">
      <c r="B305" s="3016" t="s">
        <v>2277</v>
      </c>
      <c r="C305" s="1777"/>
      <c r="D305" s="1777"/>
      <c r="E305" s="1778"/>
      <c r="F305" s="3029"/>
      <c r="G305" s="1861"/>
      <c r="H305" s="1861"/>
      <c r="I305" s="1861"/>
      <c r="J305" s="1861"/>
      <c r="K305" s="1861"/>
      <c r="L305" s="1861"/>
      <c r="M305" s="1861"/>
      <c r="N305" s="1861"/>
      <c r="O305" s="1861"/>
      <c r="P305" s="1861"/>
      <c r="Q305" s="1861"/>
      <c r="R305" s="1861"/>
      <c r="S305" s="1861"/>
      <c r="T305" s="1861"/>
      <c r="U305" s="1861"/>
      <c r="V305" s="1861"/>
      <c r="W305" s="1861"/>
      <c r="X305" s="1861"/>
      <c r="Y305" s="1861"/>
      <c r="Z305" s="1861"/>
      <c r="AA305" s="1861"/>
      <c r="AB305" s="1861"/>
      <c r="AC305" s="1861"/>
      <c r="AD305" s="1861"/>
      <c r="AE305" s="1861"/>
      <c r="AF305" s="1861"/>
      <c r="AG305" s="1861"/>
      <c r="AH305" s="1861"/>
      <c r="AI305" s="1861"/>
      <c r="AJ305" s="1861"/>
      <c r="AK305" s="1861"/>
      <c r="AL305" s="1861"/>
      <c r="AM305" s="1862"/>
    </row>
    <row r="306" spans="2:39" ht="18" customHeight="1">
      <c r="B306" s="3016" t="s">
        <v>2278</v>
      </c>
      <c r="C306" s="1777"/>
      <c r="D306" s="1777"/>
      <c r="E306" s="1777"/>
      <c r="F306" s="1778"/>
      <c r="G306" s="3029"/>
      <c r="H306" s="1861"/>
      <c r="I306" s="1861"/>
      <c r="J306" s="1861"/>
      <c r="K306" s="1861"/>
      <c r="L306" s="1861"/>
      <c r="M306" s="1861"/>
      <c r="N306" s="1861"/>
      <c r="O306" s="1861"/>
      <c r="P306" s="1861"/>
      <c r="Q306" s="1861"/>
      <c r="R306" s="1861"/>
      <c r="S306" s="1861"/>
      <c r="T306" s="1861"/>
      <c r="U306" s="1861"/>
      <c r="V306" s="1861"/>
      <c r="W306" s="1861"/>
      <c r="X306" s="1861"/>
      <c r="Y306" s="1861"/>
      <c r="Z306" s="1861"/>
      <c r="AA306" s="1861"/>
      <c r="AB306" s="1861"/>
      <c r="AC306" s="1861"/>
      <c r="AD306" s="1861"/>
      <c r="AE306" s="1861"/>
      <c r="AF306" s="1861"/>
      <c r="AG306" s="1861"/>
      <c r="AH306" s="1861"/>
      <c r="AI306" s="1861"/>
      <c r="AJ306" s="1861"/>
      <c r="AK306" s="1861"/>
      <c r="AL306" s="1861"/>
      <c r="AM306" s="1862"/>
    </row>
    <row r="307" spans="2:39" ht="18" customHeight="1">
      <c r="B307" s="3016" t="s">
        <v>1300</v>
      </c>
      <c r="C307" s="1777"/>
      <c r="D307" s="1777"/>
      <c r="E307" s="1778"/>
      <c r="F307" s="3029"/>
      <c r="G307" s="1861"/>
      <c r="H307" s="1861"/>
      <c r="I307" s="1861"/>
      <c r="J307" s="1861"/>
      <c r="K307" s="1861"/>
      <c r="L307" s="1861"/>
      <c r="M307" s="1861"/>
      <c r="N307" s="1861"/>
      <c r="O307" s="1861"/>
      <c r="P307" s="1861"/>
      <c r="Q307" s="1861"/>
      <c r="R307" s="1861"/>
      <c r="S307" s="1861"/>
      <c r="T307" s="1861"/>
      <c r="U307" s="1861"/>
      <c r="V307" s="1861"/>
      <c r="W307" s="1861"/>
      <c r="X307" s="1861"/>
      <c r="Y307" s="1861"/>
      <c r="Z307" s="1861"/>
      <c r="AA307" s="1861"/>
      <c r="AB307" s="1861"/>
      <c r="AC307" s="1861"/>
      <c r="AD307" s="1862"/>
      <c r="AE307" s="3026" t="s">
        <v>2279</v>
      </c>
      <c r="AF307" s="1777"/>
      <c r="AG307" s="1777"/>
      <c r="AH307" s="1777"/>
      <c r="AI307" s="1777"/>
      <c r="AJ307" s="1778"/>
      <c r="AK307" s="1968"/>
      <c r="AL307" s="1861"/>
      <c r="AM307" s="1862"/>
    </row>
    <row r="308" spans="2:39" ht="18" customHeight="1">
      <c r="B308" s="3016" t="s">
        <v>2280</v>
      </c>
      <c r="C308" s="1777"/>
      <c r="D308" s="1777"/>
      <c r="E308" s="1777"/>
      <c r="F308" s="1778"/>
      <c r="G308" s="3029"/>
      <c r="H308" s="1861"/>
      <c r="I308" s="1861"/>
      <c r="J308" s="1861"/>
      <c r="K308" s="1861"/>
      <c r="L308" s="1861"/>
      <c r="M308" s="1861"/>
      <c r="N308" s="1861"/>
      <c r="O308" s="1861"/>
      <c r="P308" s="1861"/>
      <c r="Q308" s="1861"/>
      <c r="R308" s="1861"/>
      <c r="S308" s="1861"/>
      <c r="T308" s="1861"/>
      <c r="U308" s="1861"/>
      <c r="V308" s="1861"/>
      <c r="W308" s="1861"/>
      <c r="X308" s="1861"/>
      <c r="Y308" s="1861"/>
      <c r="Z308" s="1861"/>
      <c r="AA308" s="1861"/>
      <c r="AB308" s="1861"/>
      <c r="AC308" s="1861"/>
      <c r="AD308" s="1861"/>
      <c r="AE308" s="1861"/>
      <c r="AF308" s="1861"/>
      <c r="AG308" s="1861"/>
      <c r="AH308" s="1861"/>
      <c r="AI308" s="1861"/>
      <c r="AJ308" s="1861"/>
      <c r="AK308" s="1861"/>
      <c r="AL308" s="1861"/>
      <c r="AM308" s="1862"/>
    </row>
    <row r="309" spans="2:39" ht="18" customHeight="1">
      <c r="B309" s="3016" t="s">
        <v>2281</v>
      </c>
      <c r="C309" s="1777"/>
      <c r="D309" s="1778"/>
      <c r="E309" s="3024"/>
      <c r="F309" s="1861"/>
      <c r="G309" s="1861"/>
      <c r="H309" s="1861"/>
      <c r="I309" s="1861"/>
      <c r="J309" s="1861"/>
      <c r="K309" s="1861"/>
      <c r="L309" s="1861"/>
      <c r="M309" s="1861"/>
      <c r="N309" s="1861"/>
      <c r="O309" s="1861"/>
      <c r="P309" s="1861"/>
      <c r="Q309" s="1862"/>
      <c r="R309" s="3158" t="s">
        <v>2282</v>
      </c>
      <c r="S309" s="1877"/>
      <c r="T309" s="1877"/>
      <c r="U309" s="1772"/>
      <c r="V309" s="3024"/>
      <c r="W309" s="1861"/>
      <c r="X309" s="1861"/>
      <c r="Y309" s="1861"/>
      <c r="Z309" s="1861"/>
      <c r="AA309" s="1861"/>
      <c r="AB309" s="1862"/>
      <c r="AC309" s="1397"/>
      <c r="AD309" s="1397"/>
      <c r="AE309" s="1397"/>
      <c r="AF309" s="1397"/>
      <c r="AG309" s="1397"/>
      <c r="AH309" s="1397"/>
      <c r="AI309" s="1397"/>
      <c r="AJ309" s="1397"/>
      <c r="AK309" s="1397"/>
      <c r="AL309" s="1397"/>
      <c r="AM309" s="1719"/>
    </row>
    <row r="310" spans="2:39" ht="18" customHeight="1">
      <c r="B310" s="3016" t="s">
        <v>2283</v>
      </c>
      <c r="C310" s="1777"/>
      <c r="D310" s="1777"/>
      <c r="E310" s="1777"/>
      <c r="F310" s="1778"/>
      <c r="G310" s="3160"/>
      <c r="H310" s="1861"/>
      <c r="I310" s="1861"/>
      <c r="J310" s="1861"/>
      <c r="K310" s="1861"/>
      <c r="L310" s="1861"/>
      <c r="M310" s="1861"/>
      <c r="N310" s="1861"/>
      <c r="O310" s="1861"/>
      <c r="P310" s="1861"/>
      <c r="Q310" s="1861"/>
      <c r="R310" s="1861"/>
      <c r="S310" s="1861"/>
      <c r="T310" s="1861"/>
      <c r="U310" s="1861"/>
      <c r="V310" s="1861"/>
      <c r="W310" s="1861"/>
      <c r="X310" s="1861"/>
      <c r="Y310" s="1861"/>
      <c r="Z310" s="1861"/>
      <c r="AA310" s="1861"/>
      <c r="AB310" s="1861"/>
      <c r="AC310" s="1861"/>
      <c r="AD310" s="1861"/>
      <c r="AE310" s="1861"/>
      <c r="AF310" s="1861"/>
      <c r="AG310" s="1861"/>
      <c r="AH310" s="1861"/>
      <c r="AI310" s="1861"/>
      <c r="AJ310" s="1861"/>
      <c r="AK310" s="1861"/>
      <c r="AL310" s="1861"/>
      <c r="AM310" s="1862"/>
    </row>
    <row r="311" spans="2:39" ht="45" customHeight="1">
      <c r="B311" s="3016" t="s">
        <v>2284</v>
      </c>
      <c r="C311" s="1777"/>
      <c r="D311" s="1777"/>
      <c r="E311" s="1777"/>
      <c r="F311" s="1778"/>
      <c r="G311" s="3029"/>
      <c r="H311" s="1861"/>
      <c r="I311" s="1861"/>
      <c r="J311" s="1861"/>
      <c r="K311" s="1861"/>
      <c r="L311" s="1861"/>
      <c r="M311" s="1861"/>
      <c r="N311" s="1861"/>
      <c r="O311" s="1861"/>
      <c r="P311" s="1861"/>
      <c r="Q311" s="1861"/>
      <c r="R311" s="1861"/>
      <c r="S311" s="1861"/>
      <c r="T311" s="1861"/>
      <c r="U311" s="1861"/>
      <c r="V311" s="1861"/>
      <c r="W311" s="1861"/>
      <c r="X311" s="1861"/>
      <c r="Y311" s="1861"/>
      <c r="Z311" s="1861"/>
      <c r="AA311" s="1861"/>
      <c r="AB311" s="1861"/>
      <c r="AC311" s="1861"/>
      <c r="AD311" s="1861"/>
      <c r="AE311" s="1861"/>
      <c r="AF311" s="1861"/>
      <c r="AG311" s="1861"/>
      <c r="AH311" s="1861"/>
      <c r="AI311" s="1861"/>
      <c r="AJ311" s="1861"/>
      <c r="AK311" s="1861"/>
      <c r="AL311" s="1861"/>
      <c r="AM311" s="1862"/>
    </row>
    <row r="312" spans="2:39" s="384" customFormat="1" ht="18" customHeight="1"/>
    <row r="313" spans="2:39" ht="18" customHeight="1">
      <c r="B313" s="3102" t="s">
        <v>2285</v>
      </c>
      <c r="C313" s="3021"/>
      <c r="D313" s="3021"/>
      <c r="E313" s="3021"/>
      <c r="F313" s="3021"/>
      <c r="G313" s="3021"/>
      <c r="H313" s="3021"/>
      <c r="I313" s="1935"/>
      <c r="J313" s="3021"/>
      <c r="K313" s="3021"/>
      <c r="L313" s="3021"/>
      <c r="M313" s="3021"/>
      <c r="N313" s="3021"/>
      <c r="O313" s="3021"/>
      <c r="P313" s="3021"/>
      <c r="Q313" s="3021"/>
      <c r="R313" s="3021"/>
      <c r="S313" s="3021"/>
      <c r="T313" s="3021"/>
      <c r="U313" s="3021"/>
      <c r="V313" s="3021"/>
      <c r="W313" s="3021"/>
      <c r="X313" s="3021"/>
      <c r="Y313" s="3021"/>
      <c r="Z313" s="3021"/>
      <c r="AA313" s="3021"/>
      <c r="AB313" s="3021"/>
      <c r="AC313" s="3021"/>
      <c r="AD313" s="3021"/>
      <c r="AE313" s="3021"/>
      <c r="AF313" s="3021"/>
      <c r="AG313" s="3021"/>
      <c r="AH313" s="3021"/>
      <c r="AI313" s="3021"/>
      <c r="AJ313" s="3021"/>
      <c r="AK313" s="3021"/>
      <c r="AL313" s="3021"/>
      <c r="AM313" s="3021"/>
    </row>
    <row r="314" spans="2:39" ht="45" customHeight="1">
      <c r="B314" s="3069" t="s">
        <v>2597</v>
      </c>
      <c r="C314" s="3021"/>
      <c r="D314" s="3021"/>
      <c r="E314" s="3021"/>
      <c r="F314" s="3021"/>
      <c r="G314" s="3021"/>
      <c r="H314" s="3021"/>
      <c r="I314" s="1935"/>
      <c r="J314" s="3021"/>
      <c r="K314" s="3021"/>
      <c r="L314" s="3021"/>
      <c r="M314" s="3021"/>
      <c r="N314" s="3021"/>
      <c r="O314" s="3021"/>
      <c r="P314" s="3021"/>
      <c r="Q314" s="3021"/>
      <c r="R314" s="3021"/>
      <c r="S314" s="3021"/>
      <c r="T314" s="3021"/>
      <c r="U314" s="3021"/>
      <c r="V314" s="3021"/>
      <c r="W314" s="3021"/>
      <c r="X314" s="3021"/>
      <c r="Y314" s="3021"/>
      <c r="Z314" s="3021"/>
      <c r="AA314" s="3021"/>
      <c r="AB314" s="3021"/>
      <c r="AC314" s="3021"/>
      <c r="AD314" s="3021"/>
      <c r="AE314" s="3021"/>
      <c r="AF314" s="3021"/>
      <c r="AG314" s="3021"/>
      <c r="AH314" s="3021"/>
      <c r="AI314" s="3021"/>
      <c r="AJ314" s="3021"/>
      <c r="AK314" s="3021"/>
      <c r="AL314" s="3021"/>
      <c r="AM314" s="3021"/>
    </row>
    <row r="315" spans="2:39" ht="18" customHeight="1">
      <c r="B315" s="3137" t="s">
        <v>2288</v>
      </c>
      <c r="C315" s="1777"/>
      <c r="D315" s="1777"/>
      <c r="E315" s="1777"/>
      <c r="F315" s="1777"/>
      <c r="G315" s="1777"/>
      <c r="H315" s="1777"/>
      <c r="I315" s="1777"/>
      <c r="J315" s="1777"/>
      <c r="K315" s="1777"/>
      <c r="L315" s="1777"/>
      <c r="M315" s="1777"/>
      <c r="N315" s="1777"/>
      <c r="O315" s="1777"/>
      <c r="P315" s="1777"/>
      <c r="Q315" s="1777"/>
      <c r="R315" s="1777"/>
      <c r="S315" s="1777"/>
      <c r="T315" s="1777"/>
      <c r="U315" s="1777"/>
      <c r="V315" s="1777"/>
      <c r="W315" s="1777"/>
      <c r="X315" s="1777"/>
      <c r="Y315" s="1777"/>
      <c r="Z315" s="1777"/>
      <c r="AA315" s="1777"/>
      <c r="AB315" s="1777"/>
      <c r="AC315" s="1777"/>
      <c r="AD315" s="1777"/>
      <c r="AE315" s="1777"/>
      <c r="AF315" s="1777"/>
      <c r="AG315" s="1777"/>
      <c r="AH315" s="1777"/>
      <c r="AI315" s="1777"/>
      <c r="AJ315" s="1777"/>
      <c r="AK315" s="1777"/>
      <c r="AL315" s="1777"/>
      <c r="AM315" s="1778"/>
    </row>
    <row r="316" spans="2:39" ht="18" customHeight="1">
      <c r="B316" s="3157" t="s">
        <v>2289</v>
      </c>
      <c r="C316" s="3021"/>
      <c r="D316" s="3021"/>
      <c r="E316" s="3021"/>
      <c r="F316" s="3021"/>
      <c r="G316" s="3021"/>
      <c r="H316" s="3021"/>
      <c r="I316" s="1935"/>
      <c r="J316" s="3021"/>
      <c r="K316" s="3021"/>
      <c r="L316" s="3021"/>
      <c r="M316" s="3021"/>
      <c r="N316" s="3021"/>
      <c r="O316" s="3021"/>
      <c r="P316" s="3021"/>
      <c r="Q316" s="3021"/>
      <c r="R316" s="3021"/>
      <c r="S316" s="3021"/>
      <c r="T316" s="3021"/>
      <c r="U316" s="3021"/>
      <c r="V316" s="3021"/>
      <c r="W316" s="3021"/>
      <c r="X316" s="3021"/>
      <c r="Y316" s="3021"/>
      <c r="Z316" s="3021"/>
      <c r="AA316" s="3021"/>
      <c r="AB316" s="3021"/>
      <c r="AC316" s="3021"/>
      <c r="AD316" s="3021"/>
      <c r="AE316" s="3021"/>
      <c r="AF316" s="3021"/>
      <c r="AG316" s="3021"/>
      <c r="AH316" s="3021"/>
      <c r="AI316" s="1889"/>
      <c r="AJ316" s="3190"/>
      <c r="AK316" s="1869"/>
      <c r="AL316" s="1869"/>
      <c r="AM316" s="1870"/>
    </row>
    <row r="317" spans="2:39" ht="36" customHeight="1">
      <c r="B317" s="3086" t="s">
        <v>2598</v>
      </c>
      <c r="C317" s="3021"/>
      <c r="D317" s="3021"/>
      <c r="E317" s="3021"/>
      <c r="F317" s="3021"/>
      <c r="G317" s="3021"/>
      <c r="H317" s="3021"/>
      <c r="I317" s="1935"/>
      <c r="J317" s="3021"/>
      <c r="K317" s="3021"/>
      <c r="L317" s="3021"/>
      <c r="M317" s="3021"/>
      <c r="N317" s="3021"/>
      <c r="O317" s="3021"/>
      <c r="P317" s="3021"/>
      <c r="Q317" s="3021"/>
      <c r="R317" s="3021"/>
      <c r="S317" s="3021"/>
      <c r="T317" s="3021"/>
      <c r="U317" s="3021"/>
      <c r="V317" s="3021"/>
      <c r="W317" s="3021"/>
      <c r="X317" s="3021"/>
      <c r="Y317" s="3021"/>
      <c r="Z317" s="3021"/>
      <c r="AA317" s="3021"/>
      <c r="AB317" s="3021"/>
      <c r="AC317" s="3021"/>
      <c r="AD317" s="3021"/>
      <c r="AE317" s="3021"/>
      <c r="AF317" s="3021"/>
      <c r="AG317" s="3021"/>
      <c r="AH317" s="3021"/>
      <c r="AI317" s="1889"/>
      <c r="AJ317" s="1968"/>
      <c r="AK317" s="1861"/>
      <c r="AL317" s="1861"/>
      <c r="AM317" s="1862"/>
    </row>
    <row r="318" spans="2:39" ht="18" customHeight="1">
      <c r="B318" s="3188" t="s">
        <v>2599</v>
      </c>
      <c r="C318" s="3021"/>
      <c r="D318" s="3021"/>
      <c r="E318" s="3021"/>
      <c r="F318" s="3021"/>
      <c r="G318" s="3021"/>
      <c r="H318" s="3021"/>
      <c r="I318" s="1935"/>
      <c r="J318" s="3021"/>
      <c r="K318" s="3021"/>
      <c r="L318" s="3021"/>
      <c r="M318" s="3021"/>
      <c r="N318" s="3021"/>
      <c r="O318" s="3021"/>
      <c r="P318" s="3021"/>
      <c r="Q318" s="3021"/>
      <c r="R318" s="3021"/>
      <c r="S318" s="3021"/>
      <c r="T318" s="3021"/>
      <c r="U318" s="3021"/>
      <c r="V318" s="3021"/>
      <c r="W318" s="3021"/>
      <c r="X318" s="3021"/>
      <c r="Y318" s="3021"/>
      <c r="Z318" s="3021"/>
      <c r="AA318" s="3021"/>
      <c r="AB318" s="3021"/>
      <c r="AC318" s="3021"/>
      <c r="AD318" s="3021"/>
      <c r="AE318" s="3021"/>
      <c r="AF318" s="3021"/>
      <c r="AG318" s="3021"/>
      <c r="AH318" s="3021"/>
      <c r="AI318" s="1889"/>
      <c r="AJ318" s="1968"/>
      <c r="AK318" s="1861"/>
      <c r="AL318" s="1861"/>
      <c r="AM318" s="1862"/>
    </row>
    <row r="319" spans="2:39" ht="18" customHeight="1">
      <c r="B319" s="3088" t="s">
        <v>2600</v>
      </c>
      <c r="C319" s="1877"/>
      <c r="D319" s="1877"/>
      <c r="E319" s="1877"/>
      <c r="F319" s="1877"/>
      <c r="G319" s="1877"/>
      <c r="H319" s="1877"/>
      <c r="I319" s="1877"/>
      <c r="J319" s="1877"/>
      <c r="K319" s="1877"/>
      <c r="L319" s="1877"/>
      <c r="M319" s="1877"/>
      <c r="N319" s="1877"/>
      <c r="O319" s="1877"/>
      <c r="P319" s="1877"/>
      <c r="Q319" s="1877"/>
      <c r="R319" s="1877"/>
      <c r="S319" s="1877"/>
      <c r="T319" s="1877"/>
      <c r="U319" s="1877"/>
      <c r="V319" s="1877"/>
      <c r="W319" s="1877"/>
      <c r="X319" s="1877"/>
      <c r="Y319" s="1877"/>
      <c r="Z319" s="1877"/>
      <c r="AA319" s="1877"/>
      <c r="AB319" s="1877"/>
      <c r="AC319" s="1877"/>
      <c r="AD319" s="1877"/>
      <c r="AE319" s="1877"/>
      <c r="AF319" s="1877"/>
      <c r="AG319" s="1877"/>
      <c r="AH319" s="1877"/>
      <c r="AI319" s="1772"/>
      <c r="AJ319" s="1968"/>
      <c r="AK319" s="1861"/>
      <c r="AL319" s="1861"/>
      <c r="AM319" s="1862"/>
    </row>
    <row r="320" spans="2:39" ht="36" customHeight="1">
      <c r="B320" s="3028" t="s">
        <v>2601</v>
      </c>
      <c r="C320" s="1777"/>
      <c r="D320" s="1777"/>
      <c r="E320" s="1777"/>
      <c r="F320" s="1777"/>
      <c r="G320" s="1777"/>
      <c r="H320" s="1777"/>
      <c r="I320" s="1777"/>
      <c r="J320" s="1777"/>
      <c r="K320" s="1777"/>
      <c r="L320" s="1777"/>
      <c r="M320" s="1777"/>
      <c r="N320" s="1777"/>
      <c r="O320" s="1777"/>
      <c r="P320" s="1777"/>
      <c r="Q320" s="1777"/>
      <c r="R320" s="1777"/>
      <c r="S320" s="1777"/>
      <c r="T320" s="1777"/>
      <c r="U320" s="1777"/>
      <c r="V320" s="1777"/>
      <c r="W320" s="1777"/>
      <c r="X320" s="1777"/>
      <c r="Y320" s="1777"/>
      <c r="Z320" s="1777"/>
      <c r="AA320" s="1777"/>
      <c r="AB320" s="1778"/>
      <c r="AC320" s="3020"/>
      <c r="AD320" s="1861"/>
      <c r="AE320" s="1861"/>
      <c r="AF320" s="1861"/>
      <c r="AG320" s="1861"/>
      <c r="AH320" s="1861"/>
      <c r="AI320" s="1861"/>
      <c r="AJ320" s="1861"/>
      <c r="AK320" s="1861"/>
      <c r="AL320" s="1861"/>
      <c r="AM320" s="1862"/>
    </row>
    <row r="321" spans="2:39" ht="18" customHeight="1">
      <c r="B321" s="3016" t="s">
        <v>2294</v>
      </c>
      <c r="C321" s="1777"/>
      <c r="D321" s="1778"/>
      <c r="E321" s="3033"/>
      <c r="F321" s="1861"/>
      <c r="G321" s="1861"/>
      <c r="H321" s="1861"/>
      <c r="I321" s="1861"/>
      <c r="J321" s="1861"/>
      <c r="K321" s="1861"/>
      <c r="L321" s="1861"/>
      <c r="M321" s="1861"/>
      <c r="N321" s="1861"/>
      <c r="O321" s="1861"/>
      <c r="P321" s="1861"/>
      <c r="Q321" s="1861"/>
      <c r="R321" s="1861"/>
      <c r="S321" s="1861"/>
      <c r="T321" s="1861"/>
      <c r="U321" s="1861"/>
      <c r="V321" s="1861"/>
      <c r="W321" s="1862"/>
      <c r="X321" s="3026" t="s">
        <v>2295</v>
      </c>
      <c r="Y321" s="1778"/>
      <c r="Z321" s="3058"/>
      <c r="AA321" s="1861"/>
      <c r="AB321" s="1862"/>
    </row>
    <row r="322" spans="2:39" ht="18" customHeight="1">
      <c r="B322" s="3016" t="s">
        <v>2296</v>
      </c>
      <c r="C322" s="1777"/>
      <c r="D322" s="1778"/>
      <c r="E322" s="3024"/>
      <c r="F322" s="1861"/>
      <c r="G322" s="1861"/>
      <c r="H322" s="1861"/>
      <c r="I322" s="1861"/>
      <c r="J322" s="1861"/>
      <c r="K322" s="1861"/>
      <c r="L322" s="1861"/>
      <c r="M322" s="1862"/>
      <c r="N322" s="3026" t="s">
        <v>2297</v>
      </c>
      <c r="O322" s="1777"/>
      <c r="P322" s="1778"/>
      <c r="Q322" s="3024"/>
      <c r="R322" s="1861"/>
      <c r="S322" s="1861"/>
      <c r="T322" s="1861"/>
      <c r="U322" s="1861"/>
      <c r="V322" s="1861"/>
      <c r="W322" s="1861"/>
      <c r="X322" s="1861"/>
      <c r="Y322" s="1861"/>
      <c r="Z322" s="1861"/>
      <c r="AA322" s="1861"/>
      <c r="AB322" s="1862"/>
    </row>
    <row r="323" spans="2:39" ht="18" customHeight="1">
      <c r="B323" s="3094" t="s">
        <v>2298</v>
      </c>
      <c r="C323" s="1777"/>
      <c r="D323" s="1778"/>
      <c r="E323" s="3024"/>
      <c r="F323" s="1861"/>
      <c r="G323" s="1861"/>
      <c r="H323" s="1861"/>
      <c r="I323" s="1861"/>
      <c r="J323" s="1861"/>
      <c r="K323" s="1861"/>
      <c r="L323" s="1861"/>
      <c r="M323" s="1861"/>
      <c r="N323" s="1861"/>
      <c r="O323" s="1861"/>
      <c r="P323" s="1861"/>
      <c r="Q323" s="1861"/>
      <c r="R323" s="1861"/>
      <c r="S323" s="1861"/>
      <c r="T323" s="1861"/>
      <c r="U323" s="1862"/>
      <c r="V323" s="3026" t="s">
        <v>2107</v>
      </c>
      <c r="W323" s="1778"/>
      <c r="X323" s="1968"/>
      <c r="Y323" s="1861"/>
      <c r="Z323" s="1861"/>
      <c r="AA323" s="1861"/>
      <c r="AB323" s="1862"/>
    </row>
    <row r="324" spans="2:39" s="384" customFormat="1" ht="18" customHeight="1"/>
    <row r="325" spans="2:39" ht="18" customHeight="1">
      <c r="B325" s="3081" t="s">
        <v>2602</v>
      </c>
      <c r="C325" s="3021"/>
      <c r="D325" s="3021"/>
      <c r="E325" s="3021"/>
      <c r="F325" s="3021"/>
      <c r="G325" s="3021"/>
      <c r="H325" s="3021"/>
      <c r="I325" s="1935"/>
      <c r="J325" s="3021"/>
      <c r="K325" s="3021"/>
      <c r="L325" s="3021"/>
      <c r="M325" s="3021"/>
      <c r="N325" s="3021"/>
      <c r="O325" s="3021"/>
      <c r="P325" s="3021"/>
      <c r="Q325" s="3021"/>
      <c r="R325" s="3021"/>
      <c r="S325" s="3021"/>
      <c r="T325" s="3021"/>
      <c r="U325" s="3021"/>
      <c r="V325" s="3021"/>
      <c r="W325" s="3021"/>
      <c r="X325" s="3021"/>
      <c r="Y325" s="3021"/>
      <c r="Z325" s="3021"/>
      <c r="AA325" s="3021"/>
      <c r="AB325" s="3021"/>
      <c r="AC325" s="3021"/>
      <c r="AD325" s="3021"/>
      <c r="AE325" s="3021"/>
      <c r="AF325" s="3021"/>
      <c r="AG325" s="3021"/>
      <c r="AH325" s="3021"/>
      <c r="AI325" s="3021"/>
      <c r="AJ325" s="3021"/>
      <c r="AK325" s="3021"/>
      <c r="AL325" s="3021"/>
      <c r="AM325" s="3021"/>
    </row>
    <row r="326" spans="2:39" s="398" customFormat="1" ht="18" customHeight="1">
      <c r="B326" s="3081" t="s">
        <v>2379</v>
      </c>
      <c r="C326" s="2181"/>
      <c r="D326" s="2181"/>
      <c r="E326" s="2181"/>
      <c r="F326" s="2181"/>
      <c r="G326" s="2181"/>
      <c r="H326" s="2181"/>
      <c r="I326" s="2181"/>
      <c r="J326" s="2181"/>
      <c r="K326" s="2181"/>
      <c r="L326" s="2181"/>
      <c r="M326" s="2181"/>
      <c r="N326" s="2181"/>
      <c r="O326" s="2181"/>
      <c r="P326" s="2181"/>
      <c r="Q326" s="2181"/>
      <c r="R326" s="2181"/>
      <c r="S326" s="2181"/>
      <c r="T326" s="2181"/>
      <c r="U326" s="2181"/>
      <c r="V326" s="2181"/>
      <c r="W326" s="2181"/>
      <c r="X326" s="2181"/>
      <c r="Y326" s="2181"/>
      <c r="Z326" s="2181"/>
      <c r="AA326" s="2181"/>
      <c r="AB326" s="2181"/>
      <c r="AC326" s="2181"/>
      <c r="AD326" s="2181"/>
      <c r="AE326" s="2181"/>
      <c r="AF326" s="2181"/>
      <c r="AG326" s="2181"/>
      <c r="AH326" s="2181"/>
      <c r="AI326" s="2181"/>
      <c r="AJ326" s="2181"/>
      <c r="AK326" s="2181"/>
      <c r="AL326" s="2181"/>
      <c r="AM326" s="2181"/>
    </row>
    <row r="327" spans="2:39" ht="36" customHeight="1">
      <c r="B327" s="2181" t="s">
        <v>2603</v>
      </c>
      <c r="C327" s="3021"/>
      <c r="D327" s="3021"/>
      <c r="E327" s="3021"/>
      <c r="F327" s="3021"/>
      <c r="G327" s="3021"/>
      <c r="H327" s="3021"/>
      <c r="I327" s="1935"/>
      <c r="J327" s="3021"/>
      <c r="K327" s="3021"/>
      <c r="L327" s="3021"/>
      <c r="M327" s="3021"/>
      <c r="N327" s="3021"/>
      <c r="O327" s="3021"/>
      <c r="P327" s="3021"/>
      <c r="Q327" s="3021"/>
      <c r="R327" s="3021"/>
      <c r="S327" s="3021"/>
      <c r="T327" s="3021"/>
      <c r="U327" s="3021"/>
      <c r="V327" s="3021"/>
      <c r="W327" s="3021"/>
      <c r="X327" s="3021"/>
      <c r="Y327" s="3021"/>
      <c r="Z327" s="3021"/>
      <c r="AA327" s="3021"/>
      <c r="AB327" s="3021"/>
      <c r="AC327" s="3021"/>
      <c r="AD327" s="3021"/>
      <c r="AE327" s="3021"/>
      <c r="AF327" s="3021"/>
      <c r="AG327" s="3021"/>
      <c r="AH327" s="3021"/>
      <c r="AI327" s="3021"/>
      <c r="AJ327" s="3021"/>
      <c r="AK327" s="3021"/>
      <c r="AL327" s="3021"/>
      <c r="AM327" s="3021"/>
    </row>
    <row r="328" spans="2:39" ht="36" customHeight="1">
      <c r="B328" s="3021" t="s">
        <v>2604</v>
      </c>
      <c r="C328" s="3021"/>
      <c r="D328" s="3021"/>
      <c r="E328" s="3021"/>
      <c r="F328" s="3021"/>
      <c r="G328" s="3021"/>
      <c r="H328" s="3021"/>
      <c r="I328" s="1935"/>
      <c r="J328" s="3021"/>
      <c r="K328" s="3021"/>
      <c r="L328" s="3021"/>
      <c r="M328" s="3021"/>
      <c r="N328" s="3021"/>
      <c r="O328" s="3021"/>
      <c r="P328" s="3021"/>
      <c r="Q328" s="3021"/>
      <c r="R328" s="3021"/>
      <c r="S328" s="3021"/>
      <c r="T328" s="3021"/>
      <c r="U328" s="3021"/>
      <c r="V328" s="3021"/>
      <c r="W328" s="3021"/>
      <c r="X328" s="3021"/>
      <c r="Y328" s="3021"/>
      <c r="Z328" s="3021"/>
      <c r="AA328" s="3021"/>
      <c r="AB328" s="3021"/>
      <c r="AC328" s="3021"/>
      <c r="AD328" s="3021"/>
      <c r="AE328" s="3021"/>
      <c r="AF328" s="3021"/>
      <c r="AG328" s="3021"/>
      <c r="AH328" s="3021"/>
      <c r="AI328" s="3021"/>
      <c r="AJ328" s="3021"/>
      <c r="AK328" s="3021"/>
      <c r="AL328" s="3021"/>
      <c r="AM328" s="3021"/>
    </row>
    <row r="329" spans="2:39" ht="75" customHeight="1">
      <c r="B329" s="3023"/>
      <c r="C329" s="1861"/>
      <c r="D329" s="1861"/>
      <c r="E329" s="1861"/>
      <c r="F329" s="1861"/>
      <c r="G329" s="1861"/>
      <c r="H329" s="1861"/>
      <c r="I329" s="1861"/>
      <c r="J329" s="1861"/>
      <c r="K329" s="1861"/>
      <c r="L329" s="1861"/>
      <c r="M329" s="1861"/>
      <c r="N329" s="1861"/>
      <c r="O329" s="1861"/>
      <c r="P329" s="1861"/>
      <c r="Q329" s="1861"/>
      <c r="R329" s="1861"/>
      <c r="S329" s="1861"/>
      <c r="T329" s="1861"/>
      <c r="U329" s="1861"/>
      <c r="V329" s="1861"/>
      <c r="W329" s="1861"/>
      <c r="X329" s="1861"/>
      <c r="Y329" s="1861"/>
      <c r="Z329" s="1861"/>
      <c r="AA329" s="1861"/>
      <c r="AB329" s="1861"/>
      <c r="AC329" s="1861"/>
      <c r="AD329" s="1861"/>
      <c r="AE329" s="1861"/>
      <c r="AF329" s="1861"/>
      <c r="AG329" s="1861"/>
      <c r="AH329" s="1861"/>
      <c r="AI329" s="1861"/>
      <c r="AJ329" s="1861"/>
      <c r="AK329" s="1861"/>
      <c r="AL329" s="1861"/>
      <c r="AM329" s="1862"/>
    </row>
    <row r="330" spans="2:39" s="397" customFormat="1" ht="18" customHeight="1">
      <c r="B330" s="2181" t="s">
        <v>2605</v>
      </c>
      <c r="C330" s="3015"/>
      <c r="D330" s="3015"/>
      <c r="E330" s="3015"/>
      <c r="F330" s="3015"/>
      <c r="G330" s="3015"/>
      <c r="H330" s="3015"/>
      <c r="I330" s="3015"/>
      <c r="J330" s="3015"/>
      <c r="K330" s="3015"/>
      <c r="L330" s="3015"/>
      <c r="M330" s="3015"/>
      <c r="N330" s="3015"/>
      <c r="O330" s="3015"/>
      <c r="P330" s="3015"/>
      <c r="Q330" s="3015"/>
      <c r="R330" s="3015"/>
      <c r="S330" s="3015"/>
      <c r="T330" s="3015"/>
      <c r="U330" s="3015"/>
      <c r="V330" s="3015"/>
      <c r="W330" s="3015"/>
      <c r="X330" s="3015"/>
      <c r="Y330" s="3015"/>
      <c r="Z330" s="3015"/>
      <c r="AA330" s="3015"/>
      <c r="AB330" s="3015"/>
      <c r="AC330" s="3015"/>
      <c r="AD330" s="3015"/>
      <c r="AE330" s="3015"/>
      <c r="AF330" s="3015"/>
      <c r="AG330" s="3015"/>
      <c r="AH330" s="3015"/>
      <c r="AI330" s="3015"/>
      <c r="AJ330" s="3015"/>
      <c r="AK330" s="3015"/>
      <c r="AL330" s="3015"/>
      <c r="AM330" s="3015"/>
    </row>
    <row r="331" spans="2:39" s="397" customFormat="1" ht="75" customHeight="1">
      <c r="B331" s="3023"/>
      <c r="C331" s="1861"/>
      <c r="D331" s="1861"/>
      <c r="E331" s="1861"/>
      <c r="F331" s="1861"/>
      <c r="G331" s="1861"/>
      <c r="H331" s="1861"/>
      <c r="I331" s="1861"/>
      <c r="J331" s="1861"/>
      <c r="K331" s="1861"/>
      <c r="L331" s="1861"/>
      <c r="M331" s="1861"/>
      <c r="N331" s="1861"/>
      <c r="O331" s="1861"/>
      <c r="P331" s="1861"/>
      <c r="Q331" s="1861"/>
      <c r="R331" s="1861"/>
      <c r="S331" s="1861"/>
      <c r="T331" s="1861"/>
      <c r="U331" s="1861"/>
      <c r="V331" s="1861"/>
      <c r="W331" s="1861"/>
      <c r="X331" s="1861"/>
      <c r="Y331" s="1861"/>
      <c r="Z331" s="1861"/>
      <c r="AA331" s="1861"/>
      <c r="AB331" s="1861"/>
      <c r="AC331" s="1861"/>
      <c r="AD331" s="1861"/>
      <c r="AE331" s="1861"/>
      <c r="AF331" s="1861"/>
      <c r="AG331" s="1861"/>
      <c r="AH331" s="1861"/>
      <c r="AI331" s="1861"/>
      <c r="AJ331" s="1861"/>
      <c r="AK331" s="1861"/>
      <c r="AL331" s="1861"/>
      <c r="AM331" s="1862"/>
    </row>
    <row r="332" spans="2:39" s="397" customFormat="1" ht="18" customHeight="1">
      <c r="B332" s="2181" t="s">
        <v>2606</v>
      </c>
      <c r="C332" s="3015"/>
      <c r="D332" s="3015"/>
      <c r="E332" s="3015"/>
      <c r="F332" s="3015"/>
      <c r="G332" s="3015"/>
      <c r="H332" s="3015"/>
      <c r="I332" s="3015"/>
      <c r="J332" s="3015"/>
      <c r="K332" s="3015"/>
      <c r="L332" s="3015"/>
      <c r="M332" s="3015"/>
      <c r="N332" s="3015"/>
      <c r="O332" s="3015"/>
      <c r="P332" s="3015"/>
      <c r="Q332" s="3015"/>
      <c r="R332" s="3015"/>
      <c r="S332" s="3015"/>
      <c r="T332" s="3015"/>
      <c r="U332" s="3015"/>
      <c r="V332" s="3015"/>
      <c r="W332" s="3015"/>
      <c r="X332" s="3015"/>
      <c r="Y332" s="3015"/>
      <c r="Z332" s="3015"/>
      <c r="AA332" s="3015"/>
      <c r="AB332" s="3015"/>
      <c r="AC332" s="3015"/>
      <c r="AD332" s="3015"/>
      <c r="AE332" s="3015"/>
      <c r="AF332" s="3015"/>
      <c r="AG332" s="3015"/>
      <c r="AH332" s="3015"/>
      <c r="AI332" s="3015"/>
      <c r="AJ332" s="3015"/>
      <c r="AK332" s="3015"/>
      <c r="AL332" s="3015"/>
      <c r="AM332" s="3015"/>
    </row>
    <row r="333" spans="2:39" ht="75" customHeight="1">
      <c r="B333" s="3023"/>
      <c r="C333" s="1861"/>
      <c r="D333" s="1861"/>
      <c r="E333" s="1861"/>
      <c r="F333" s="1861"/>
      <c r="G333" s="1861"/>
      <c r="H333" s="1861"/>
      <c r="I333" s="1861"/>
      <c r="J333" s="1861"/>
      <c r="K333" s="1861"/>
      <c r="L333" s="1861"/>
      <c r="M333" s="1861"/>
      <c r="N333" s="1861"/>
      <c r="O333" s="1861"/>
      <c r="P333" s="1861"/>
      <c r="Q333" s="1861"/>
      <c r="R333" s="1861"/>
      <c r="S333" s="1861"/>
      <c r="T333" s="1861"/>
      <c r="U333" s="1861"/>
      <c r="V333" s="1861"/>
      <c r="W333" s="1861"/>
      <c r="X333" s="1861"/>
      <c r="Y333" s="1861"/>
      <c r="Z333" s="1861"/>
      <c r="AA333" s="1861"/>
      <c r="AB333" s="1861"/>
      <c r="AC333" s="1861"/>
      <c r="AD333" s="1861"/>
      <c r="AE333" s="1861"/>
      <c r="AF333" s="1861"/>
      <c r="AG333" s="1861"/>
      <c r="AH333" s="1861"/>
      <c r="AI333" s="1861"/>
      <c r="AJ333" s="1861"/>
      <c r="AK333" s="1861"/>
      <c r="AL333" s="1861"/>
      <c r="AM333" s="1862"/>
    </row>
    <row r="334" spans="2:39" s="397" customFormat="1" ht="18" customHeight="1">
      <c r="B334" s="2181" t="s">
        <v>2607</v>
      </c>
      <c r="C334" s="3015"/>
      <c r="D334" s="3015"/>
      <c r="E334" s="3015"/>
      <c r="F334" s="3015"/>
      <c r="G334" s="3015"/>
      <c r="H334" s="3015"/>
      <c r="I334" s="3015"/>
      <c r="J334" s="3015"/>
      <c r="K334" s="3015"/>
      <c r="L334" s="3015"/>
      <c r="M334" s="3015"/>
      <c r="N334" s="3015"/>
      <c r="O334" s="3015"/>
      <c r="P334" s="3015"/>
      <c r="Q334" s="3015"/>
      <c r="R334" s="3015"/>
      <c r="S334" s="3015"/>
      <c r="T334" s="3015"/>
      <c r="U334" s="3015"/>
      <c r="V334" s="3015"/>
      <c r="W334" s="3015"/>
      <c r="X334" s="3015"/>
      <c r="Y334" s="3015"/>
      <c r="Z334" s="3015"/>
      <c r="AA334" s="3015"/>
      <c r="AB334" s="3015"/>
      <c r="AC334" s="3015"/>
      <c r="AD334" s="3015"/>
      <c r="AE334" s="3015"/>
      <c r="AF334" s="3015"/>
      <c r="AG334" s="3015"/>
      <c r="AH334" s="3015"/>
      <c r="AI334" s="3015"/>
      <c r="AJ334" s="3015"/>
      <c r="AK334" s="3015"/>
      <c r="AL334" s="3015"/>
      <c r="AM334" s="3015"/>
    </row>
    <row r="335" spans="2:39" ht="75" customHeight="1">
      <c r="B335" s="3023"/>
      <c r="C335" s="1861"/>
      <c r="D335" s="1861"/>
      <c r="E335" s="1861"/>
      <c r="F335" s="1861"/>
      <c r="G335" s="1861"/>
      <c r="H335" s="1861"/>
      <c r="I335" s="1861"/>
      <c r="J335" s="1861"/>
      <c r="K335" s="1861"/>
      <c r="L335" s="1861"/>
      <c r="M335" s="1861"/>
      <c r="N335" s="1861"/>
      <c r="O335" s="1861"/>
      <c r="P335" s="1861"/>
      <c r="Q335" s="1861"/>
      <c r="R335" s="1861"/>
      <c r="S335" s="1861"/>
      <c r="T335" s="1861"/>
      <c r="U335" s="1861"/>
      <c r="V335" s="1861"/>
      <c r="W335" s="1861"/>
      <c r="X335" s="1861"/>
      <c r="Y335" s="1861"/>
      <c r="Z335" s="1861"/>
      <c r="AA335" s="1861"/>
      <c r="AB335" s="1861"/>
      <c r="AC335" s="1861"/>
      <c r="AD335" s="1861"/>
      <c r="AE335" s="1861"/>
      <c r="AF335" s="1861"/>
      <c r="AG335" s="1861"/>
      <c r="AH335" s="1861"/>
      <c r="AI335" s="1861"/>
      <c r="AJ335" s="1861"/>
      <c r="AK335" s="1861"/>
      <c r="AL335" s="1861"/>
      <c r="AM335" s="1862"/>
    </row>
    <row r="336" spans="2:39" s="397" customFormat="1" ht="15" customHeight="1">
      <c r="B336" s="2181" t="s">
        <v>2608</v>
      </c>
      <c r="C336" s="3015"/>
      <c r="D336" s="3015"/>
      <c r="E336" s="3015"/>
      <c r="F336" s="3015"/>
      <c r="G336" s="3015"/>
      <c r="H336" s="3015"/>
      <c r="I336" s="3015"/>
      <c r="J336" s="3015"/>
      <c r="K336" s="3015"/>
      <c r="L336" s="3015"/>
      <c r="M336" s="3015"/>
      <c r="N336" s="3015"/>
      <c r="O336" s="3015"/>
      <c r="P336" s="3015"/>
      <c r="Q336" s="3015"/>
      <c r="R336" s="3015"/>
      <c r="S336" s="3015"/>
      <c r="T336" s="3015"/>
      <c r="U336" s="3015"/>
      <c r="V336" s="3015"/>
      <c r="W336" s="3015"/>
      <c r="X336" s="3015"/>
      <c r="Y336" s="3015"/>
      <c r="Z336" s="3015"/>
      <c r="AA336" s="3015"/>
      <c r="AB336" s="3015"/>
      <c r="AC336" s="3015"/>
      <c r="AD336" s="3015"/>
      <c r="AE336" s="3015"/>
      <c r="AF336" s="3015"/>
      <c r="AG336" s="3015"/>
      <c r="AH336" s="3015"/>
      <c r="AI336" s="3015"/>
      <c r="AJ336" s="3015"/>
      <c r="AK336" s="3015"/>
      <c r="AL336" s="3015"/>
      <c r="AM336" s="3015"/>
    </row>
    <row r="337" spans="2:39" ht="75" customHeight="1">
      <c r="B337" s="3023"/>
      <c r="C337" s="1861"/>
      <c r="D337" s="1861"/>
      <c r="E337" s="1861"/>
      <c r="F337" s="1861"/>
      <c r="G337" s="1861"/>
      <c r="H337" s="1861"/>
      <c r="I337" s="1861"/>
      <c r="J337" s="1861"/>
      <c r="K337" s="1861"/>
      <c r="L337" s="1861"/>
      <c r="M337" s="1861"/>
      <c r="N337" s="1861"/>
      <c r="O337" s="1861"/>
      <c r="P337" s="1861"/>
      <c r="Q337" s="1861"/>
      <c r="R337" s="1861"/>
      <c r="S337" s="1861"/>
      <c r="T337" s="1861"/>
      <c r="U337" s="1861"/>
      <c r="V337" s="1861"/>
      <c r="W337" s="1861"/>
      <c r="X337" s="1861"/>
      <c r="Y337" s="1861"/>
      <c r="Z337" s="1861"/>
      <c r="AA337" s="1861"/>
      <c r="AB337" s="1861"/>
      <c r="AC337" s="1861"/>
      <c r="AD337" s="1861"/>
      <c r="AE337" s="1861"/>
      <c r="AF337" s="1861"/>
      <c r="AG337" s="1861"/>
      <c r="AH337" s="1861"/>
      <c r="AI337" s="1861"/>
      <c r="AJ337" s="1861"/>
      <c r="AK337" s="1861"/>
      <c r="AL337" s="1861"/>
      <c r="AM337" s="1862"/>
    </row>
    <row r="338" spans="2:39" s="397" customFormat="1" ht="36" customHeight="1">
      <c r="B338" s="3043" t="s">
        <v>2609</v>
      </c>
      <c r="C338" s="3015"/>
      <c r="D338" s="3015"/>
      <c r="E338" s="3015"/>
      <c r="F338" s="3015"/>
      <c r="G338" s="3015"/>
      <c r="H338" s="3015"/>
      <c r="I338" s="3015"/>
      <c r="J338" s="3015"/>
      <c r="K338" s="3015"/>
      <c r="L338" s="3015"/>
      <c r="M338" s="3015"/>
      <c r="N338" s="3015"/>
      <c r="O338" s="3015"/>
      <c r="P338" s="3015"/>
      <c r="Q338" s="3015"/>
      <c r="R338" s="3015"/>
      <c r="S338" s="3015"/>
      <c r="T338" s="3015"/>
      <c r="U338" s="3015"/>
      <c r="V338" s="3015"/>
      <c r="W338" s="3015"/>
      <c r="X338" s="3015"/>
      <c r="Y338" s="3015"/>
      <c r="Z338" s="3015"/>
      <c r="AA338" s="3015"/>
      <c r="AB338" s="3015"/>
      <c r="AC338" s="3015"/>
      <c r="AD338" s="3015"/>
      <c r="AE338" s="3015"/>
      <c r="AF338" s="3015"/>
      <c r="AG338" s="3015"/>
      <c r="AH338" s="3015"/>
      <c r="AI338" s="3015"/>
      <c r="AJ338" s="3015"/>
      <c r="AK338" s="3015"/>
      <c r="AL338" s="3015"/>
      <c r="AM338" s="3015"/>
    </row>
    <row r="339" spans="2:39" ht="75" customHeight="1">
      <c r="B339" s="3023"/>
      <c r="C339" s="1861"/>
      <c r="D339" s="1861"/>
      <c r="E339" s="1861"/>
      <c r="F339" s="1861"/>
      <c r="G339" s="1861"/>
      <c r="H339" s="1861"/>
      <c r="I339" s="1861"/>
      <c r="J339" s="1861"/>
      <c r="K339" s="1861"/>
      <c r="L339" s="1861"/>
      <c r="M339" s="1861"/>
      <c r="N339" s="1861"/>
      <c r="O339" s="1861"/>
      <c r="P339" s="1861"/>
      <c r="Q339" s="1861"/>
      <c r="R339" s="1861"/>
      <c r="S339" s="1861"/>
      <c r="T339" s="1861"/>
      <c r="U339" s="1861"/>
      <c r="V339" s="1861"/>
      <c r="W339" s="1861"/>
      <c r="X339" s="1861"/>
      <c r="Y339" s="1861"/>
      <c r="Z339" s="1861"/>
      <c r="AA339" s="1861"/>
      <c r="AB339" s="1861"/>
      <c r="AC339" s="1861"/>
      <c r="AD339" s="1861"/>
      <c r="AE339" s="1861"/>
      <c r="AF339" s="1861"/>
      <c r="AG339" s="1861"/>
      <c r="AH339" s="1861"/>
      <c r="AI339" s="1861"/>
      <c r="AJ339" s="1861"/>
      <c r="AK339" s="1861"/>
      <c r="AL339" s="1861"/>
      <c r="AM339" s="1862"/>
    </row>
    <row r="340" spans="2:39" s="384" customFormat="1" ht="18.75" customHeight="1"/>
    <row r="341" spans="2:39" ht="18" customHeight="1">
      <c r="B341" s="3144" t="s">
        <v>2610</v>
      </c>
      <c r="C341" s="3021"/>
      <c r="D341" s="3021"/>
      <c r="E341" s="3021"/>
      <c r="F341" s="3021"/>
      <c r="G341" s="3021"/>
      <c r="H341" s="3021"/>
      <c r="I341" s="1935"/>
      <c r="J341" s="3021"/>
      <c r="K341" s="3021"/>
      <c r="L341" s="3021"/>
      <c r="M341" s="3021"/>
      <c r="N341" s="3021"/>
      <c r="O341" s="3021"/>
      <c r="P341" s="3021"/>
      <c r="Q341" s="3021"/>
      <c r="R341" s="3021"/>
      <c r="S341" s="3021"/>
      <c r="T341" s="3021"/>
      <c r="U341" s="3021"/>
      <c r="V341" s="3021"/>
      <c r="W341" s="3021"/>
      <c r="X341" s="3021"/>
      <c r="Y341" s="3021"/>
      <c r="Z341" s="3021"/>
      <c r="AA341" s="3021"/>
      <c r="AB341" s="3021"/>
      <c r="AC341" s="3021"/>
      <c r="AD341" s="3021"/>
      <c r="AE341" s="3021"/>
      <c r="AF341" s="3021"/>
      <c r="AG341" s="3021"/>
      <c r="AH341" s="3021"/>
      <c r="AI341" s="3021"/>
      <c r="AJ341" s="3021"/>
      <c r="AK341" s="3021"/>
      <c r="AL341" s="3021"/>
      <c r="AM341" s="3021"/>
    </row>
    <row r="342" spans="2:39" s="397" customFormat="1" ht="18" customHeight="1">
      <c r="B342" s="3043" t="s">
        <v>2611</v>
      </c>
      <c r="C342" s="3015"/>
      <c r="D342" s="3015"/>
      <c r="E342" s="3015"/>
      <c r="F342" s="3015"/>
      <c r="G342" s="3015"/>
      <c r="H342" s="3015"/>
      <c r="I342" s="3015"/>
      <c r="J342" s="3015"/>
      <c r="K342" s="3015"/>
      <c r="L342" s="3015"/>
      <c r="M342" s="3015"/>
      <c r="N342" s="3015"/>
      <c r="O342" s="3015"/>
      <c r="P342" s="3015"/>
      <c r="Q342" s="3015"/>
      <c r="R342" s="3015"/>
      <c r="S342" s="3015"/>
      <c r="T342" s="3015"/>
      <c r="U342" s="3015"/>
      <c r="V342" s="3015"/>
      <c r="W342" s="3015"/>
      <c r="X342" s="3015"/>
      <c r="Y342" s="3015"/>
      <c r="Z342" s="3015"/>
      <c r="AA342" s="3015"/>
      <c r="AB342" s="3015"/>
      <c r="AC342" s="3015"/>
      <c r="AD342" s="3015"/>
      <c r="AE342" s="3015"/>
      <c r="AF342" s="3015"/>
      <c r="AG342" s="3015"/>
      <c r="AH342" s="3015"/>
      <c r="AI342" s="3015"/>
      <c r="AJ342" s="3015"/>
      <c r="AK342" s="3015"/>
      <c r="AL342" s="3015"/>
      <c r="AM342" s="3015"/>
    </row>
    <row r="343" spans="2:39" ht="75" customHeight="1">
      <c r="B343" s="3023"/>
      <c r="C343" s="1861"/>
      <c r="D343" s="1861"/>
      <c r="E343" s="1861"/>
      <c r="F343" s="1861"/>
      <c r="G343" s="1861"/>
      <c r="H343" s="1861"/>
      <c r="I343" s="1861"/>
      <c r="J343" s="1861"/>
      <c r="K343" s="1861"/>
      <c r="L343" s="1861"/>
      <c r="M343" s="1861"/>
      <c r="N343" s="1861"/>
      <c r="O343" s="1861"/>
      <c r="P343" s="1861"/>
      <c r="Q343" s="1861"/>
      <c r="R343" s="1861"/>
      <c r="S343" s="1861"/>
      <c r="T343" s="1861"/>
      <c r="U343" s="1861"/>
      <c r="V343" s="1861"/>
      <c r="W343" s="1861"/>
      <c r="X343" s="1861"/>
      <c r="Y343" s="1861"/>
      <c r="Z343" s="1861"/>
      <c r="AA343" s="1861"/>
      <c r="AB343" s="1861"/>
      <c r="AC343" s="1861"/>
      <c r="AD343" s="1861"/>
      <c r="AE343" s="1861"/>
      <c r="AF343" s="1861"/>
      <c r="AG343" s="1861"/>
      <c r="AH343" s="1861"/>
      <c r="AI343" s="1861"/>
      <c r="AJ343" s="1861"/>
      <c r="AK343" s="1861"/>
      <c r="AL343" s="1861"/>
      <c r="AM343" s="1862"/>
    </row>
    <row r="344" spans="2:39" s="397" customFormat="1" ht="36" customHeight="1">
      <c r="B344" s="3043" t="s">
        <v>2612</v>
      </c>
      <c r="C344" s="3015"/>
      <c r="D344" s="3015"/>
      <c r="E344" s="3015"/>
      <c r="F344" s="3015"/>
      <c r="G344" s="3015"/>
      <c r="H344" s="3015"/>
      <c r="I344" s="3015"/>
      <c r="J344" s="3015"/>
      <c r="K344" s="3015"/>
      <c r="L344" s="3015"/>
      <c r="M344" s="3015"/>
      <c r="N344" s="3015"/>
      <c r="O344" s="3015"/>
      <c r="P344" s="3015"/>
      <c r="Q344" s="3015"/>
      <c r="R344" s="3015"/>
      <c r="S344" s="3015"/>
      <c r="T344" s="3015"/>
      <c r="U344" s="3015"/>
      <c r="V344" s="3015"/>
      <c r="W344" s="3015"/>
      <c r="X344" s="3015"/>
      <c r="Y344" s="3015"/>
      <c r="Z344" s="3015"/>
      <c r="AA344" s="3015"/>
      <c r="AB344" s="3015"/>
      <c r="AC344" s="3015"/>
      <c r="AD344" s="3015"/>
      <c r="AE344" s="3015"/>
      <c r="AF344" s="3015"/>
      <c r="AG344" s="3015"/>
      <c r="AH344" s="3015"/>
      <c r="AI344" s="3015"/>
      <c r="AJ344" s="3015"/>
      <c r="AK344" s="3015"/>
      <c r="AL344" s="3015"/>
      <c r="AM344" s="3015"/>
    </row>
    <row r="345" spans="2:39" ht="75" customHeight="1">
      <c r="B345" s="3023"/>
      <c r="C345" s="1861"/>
      <c r="D345" s="1861"/>
      <c r="E345" s="1861"/>
      <c r="F345" s="1861"/>
      <c r="G345" s="1861"/>
      <c r="H345" s="1861"/>
      <c r="I345" s="1861"/>
      <c r="J345" s="1861"/>
      <c r="K345" s="1861"/>
      <c r="L345" s="1861"/>
      <c r="M345" s="1861"/>
      <c r="N345" s="1861"/>
      <c r="O345" s="1861"/>
      <c r="P345" s="1861"/>
      <c r="Q345" s="1861"/>
      <c r="R345" s="1861"/>
      <c r="S345" s="1861"/>
      <c r="T345" s="1861"/>
      <c r="U345" s="1861"/>
      <c r="V345" s="1861"/>
      <c r="W345" s="1861"/>
      <c r="X345" s="1861"/>
      <c r="Y345" s="1861"/>
      <c r="Z345" s="1861"/>
      <c r="AA345" s="1861"/>
      <c r="AB345" s="1861"/>
      <c r="AC345" s="1861"/>
      <c r="AD345" s="1861"/>
      <c r="AE345" s="1861"/>
      <c r="AF345" s="1861"/>
      <c r="AG345" s="1861"/>
      <c r="AH345" s="1861"/>
      <c r="AI345" s="1861"/>
      <c r="AJ345" s="1861"/>
      <c r="AK345" s="1861"/>
      <c r="AL345" s="1861"/>
      <c r="AM345" s="1862"/>
    </row>
    <row r="346" spans="2:39" s="398" customFormat="1" ht="18" customHeight="1">
      <c r="B346" s="3015" t="s">
        <v>2613</v>
      </c>
      <c r="C346" s="2181"/>
      <c r="D346" s="2181"/>
      <c r="E346" s="2181"/>
      <c r="F346" s="2181"/>
      <c r="G346" s="2181"/>
      <c r="H346" s="2181"/>
      <c r="I346" s="2181"/>
      <c r="J346" s="2181"/>
      <c r="K346" s="2181"/>
      <c r="L346" s="2181"/>
      <c r="M346" s="2181"/>
      <c r="N346" s="2181"/>
      <c r="O346" s="2181"/>
      <c r="P346" s="2181"/>
      <c r="Q346" s="2181"/>
      <c r="R346" s="2181"/>
      <c r="S346" s="2181"/>
      <c r="T346" s="2181"/>
      <c r="U346" s="2181"/>
      <c r="V346" s="2181"/>
      <c r="W346" s="2181"/>
      <c r="X346" s="2181"/>
      <c r="Y346" s="2181"/>
      <c r="Z346" s="2181"/>
      <c r="AA346" s="2181"/>
      <c r="AB346" s="2181"/>
      <c r="AC346" s="2181"/>
      <c r="AD346" s="2181"/>
      <c r="AE346" s="2181"/>
      <c r="AF346" s="2181"/>
      <c r="AG346" s="2181"/>
      <c r="AH346" s="2181"/>
      <c r="AI346" s="2181"/>
      <c r="AJ346" s="2181"/>
      <c r="AK346" s="2181"/>
      <c r="AL346" s="2181"/>
      <c r="AM346" s="2181"/>
    </row>
    <row r="347" spans="2:39" ht="75" customHeight="1">
      <c r="B347" s="3023"/>
      <c r="C347" s="1861"/>
      <c r="D347" s="1861"/>
      <c r="E347" s="1861"/>
      <c r="F347" s="1861"/>
      <c r="G347" s="1861"/>
      <c r="H347" s="1861"/>
      <c r="I347" s="1861"/>
      <c r="J347" s="1861"/>
      <c r="K347" s="1861"/>
      <c r="L347" s="1861"/>
      <c r="M347" s="1861"/>
      <c r="N347" s="1861"/>
      <c r="O347" s="1861"/>
      <c r="P347" s="1861"/>
      <c r="Q347" s="1861"/>
      <c r="R347" s="1861"/>
      <c r="S347" s="1861"/>
      <c r="T347" s="1861"/>
      <c r="U347" s="1861"/>
      <c r="V347" s="1861"/>
      <c r="W347" s="1861"/>
      <c r="X347" s="1861"/>
      <c r="Y347" s="1861"/>
      <c r="Z347" s="1861"/>
      <c r="AA347" s="1861"/>
      <c r="AB347" s="1861"/>
      <c r="AC347" s="1861"/>
      <c r="AD347" s="1861"/>
      <c r="AE347" s="1861"/>
      <c r="AF347" s="1861"/>
      <c r="AG347" s="1861"/>
      <c r="AH347" s="1861"/>
      <c r="AI347" s="1861"/>
      <c r="AJ347" s="1861"/>
      <c r="AK347" s="1861"/>
      <c r="AL347" s="1861"/>
      <c r="AM347" s="1862"/>
    </row>
    <row r="348" spans="2:39" s="398" customFormat="1" ht="18" customHeight="1">
      <c r="B348" s="3105" t="s">
        <v>2614</v>
      </c>
      <c r="C348" s="2181"/>
      <c r="D348" s="2181"/>
      <c r="E348" s="2181"/>
      <c r="F348" s="2181"/>
      <c r="G348" s="2181"/>
      <c r="H348" s="2181"/>
      <c r="I348" s="2181"/>
      <c r="J348" s="2181"/>
      <c r="K348" s="2181"/>
      <c r="L348" s="2181"/>
      <c r="M348" s="2181"/>
      <c r="N348" s="2181"/>
      <c r="O348" s="2181"/>
      <c r="P348" s="2181"/>
      <c r="Q348" s="2181"/>
      <c r="R348" s="2181"/>
      <c r="S348" s="2181"/>
      <c r="T348" s="2181"/>
      <c r="U348" s="2181"/>
      <c r="V348" s="2181"/>
      <c r="W348" s="2181"/>
      <c r="X348" s="2181"/>
      <c r="Y348" s="2181"/>
      <c r="Z348" s="2181"/>
      <c r="AA348" s="2181"/>
      <c r="AB348" s="2181"/>
      <c r="AC348" s="2181"/>
      <c r="AD348" s="2181"/>
      <c r="AE348" s="2181"/>
      <c r="AF348" s="2181"/>
      <c r="AG348" s="2181"/>
      <c r="AH348" s="2181"/>
      <c r="AI348" s="2181"/>
      <c r="AJ348" s="2181"/>
      <c r="AK348" s="2181"/>
      <c r="AL348" s="2181"/>
      <c r="AM348" s="2181"/>
    </row>
    <row r="349" spans="2:39" ht="75" customHeight="1">
      <c r="B349" s="3023"/>
      <c r="C349" s="1861"/>
      <c r="D349" s="1861"/>
      <c r="E349" s="1861"/>
      <c r="F349" s="1861"/>
      <c r="G349" s="1861"/>
      <c r="H349" s="1861"/>
      <c r="I349" s="1861"/>
      <c r="J349" s="1861"/>
      <c r="K349" s="1861"/>
      <c r="L349" s="1861"/>
      <c r="M349" s="1861"/>
      <c r="N349" s="1861"/>
      <c r="O349" s="1861"/>
      <c r="P349" s="1861"/>
      <c r="Q349" s="1861"/>
      <c r="R349" s="1861"/>
      <c r="S349" s="1861"/>
      <c r="T349" s="1861"/>
      <c r="U349" s="1861"/>
      <c r="V349" s="1861"/>
      <c r="W349" s="1861"/>
      <c r="X349" s="1861"/>
      <c r="Y349" s="1861"/>
      <c r="Z349" s="1861"/>
      <c r="AA349" s="1861"/>
      <c r="AB349" s="1861"/>
      <c r="AC349" s="1861"/>
      <c r="AD349" s="1861"/>
      <c r="AE349" s="1861"/>
      <c r="AF349" s="1861"/>
      <c r="AG349" s="1861"/>
      <c r="AH349" s="1861"/>
      <c r="AI349" s="1861"/>
      <c r="AJ349" s="1861"/>
      <c r="AK349" s="1861"/>
      <c r="AL349" s="1861"/>
      <c r="AM349" s="1862"/>
    </row>
    <row r="350" spans="2:39" s="398" customFormat="1" ht="18" customHeight="1">
      <c r="B350" s="3139" t="s">
        <v>2615</v>
      </c>
      <c r="C350" s="2181"/>
      <c r="D350" s="2181"/>
      <c r="E350" s="2181"/>
      <c r="F350" s="2181"/>
      <c r="G350" s="2181"/>
      <c r="H350" s="2181"/>
      <c r="I350" s="2181"/>
      <c r="J350" s="2181"/>
      <c r="K350" s="2181"/>
      <c r="L350" s="2181"/>
      <c r="M350" s="2181"/>
      <c r="N350" s="2181"/>
      <c r="O350" s="2181"/>
      <c r="P350" s="2181"/>
      <c r="Q350" s="2181"/>
      <c r="R350" s="2181"/>
      <c r="S350" s="2181"/>
      <c r="T350" s="2181"/>
      <c r="U350" s="2181"/>
      <c r="V350" s="2181"/>
      <c r="W350" s="2181"/>
      <c r="X350" s="2181"/>
      <c r="Y350" s="2181"/>
      <c r="Z350" s="2181"/>
      <c r="AA350" s="2181"/>
      <c r="AB350" s="2181"/>
      <c r="AC350" s="2181"/>
      <c r="AD350" s="2181"/>
      <c r="AE350" s="2181"/>
      <c r="AF350" s="2181"/>
      <c r="AG350" s="2181"/>
      <c r="AH350" s="2181"/>
      <c r="AI350" s="2181"/>
      <c r="AJ350" s="2181"/>
      <c r="AK350" s="2181"/>
      <c r="AL350" s="2181"/>
      <c r="AM350" s="2181"/>
    </row>
    <row r="351" spans="2:39" ht="75" customHeight="1">
      <c r="B351" s="3023"/>
      <c r="C351" s="1861"/>
      <c r="D351" s="1861"/>
      <c r="E351" s="1861"/>
      <c r="F351" s="1861"/>
      <c r="G351" s="1861"/>
      <c r="H351" s="1861"/>
      <c r="I351" s="1861"/>
      <c r="J351" s="1861"/>
      <c r="K351" s="1861"/>
      <c r="L351" s="1861"/>
      <c r="M351" s="1861"/>
      <c r="N351" s="1861"/>
      <c r="O351" s="1861"/>
      <c r="P351" s="1861"/>
      <c r="Q351" s="1861"/>
      <c r="R351" s="1861"/>
      <c r="S351" s="1861"/>
      <c r="T351" s="1861"/>
      <c r="U351" s="1861"/>
      <c r="V351" s="1861"/>
      <c r="W351" s="1861"/>
      <c r="X351" s="1861"/>
      <c r="Y351" s="1861"/>
      <c r="Z351" s="1861"/>
      <c r="AA351" s="1861"/>
      <c r="AB351" s="1861"/>
      <c r="AC351" s="1861"/>
      <c r="AD351" s="1861"/>
      <c r="AE351" s="1861"/>
      <c r="AF351" s="1861"/>
      <c r="AG351" s="1861"/>
      <c r="AH351" s="1861"/>
      <c r="AI351" s="1861"/>
      <c r="AJ351" s="1861"/>
      <c r="AK351" s="1861"/>
      <c r="AL351" s="1861"/>
      <c r="AM351" s="1862"/>
    </row>
    <row r="352" spans="2:39" s="397" customFormat="1" ht="18" customHeight="1">
      <c r="B352" s="3139" t="s">
        <v>2616</v>
      </c>
      <c r="C352" s="3015"/>
      <c r="D352" s="3015"/>
      <c r="E352" s="3015"/>
      <c r="F352" s="3015"/>
      <c r="G352" s="3015"/>
      <c r="H352" s="3015"/>
      <c r="I352" s="3015"/>
      <c r="J352" s="3015"/>
      <c r="K352" s="3015"/>
      <c r="L352" s="3015"/>
      <c r="M352" s="3015"/>
      <c r="N352" s="3015"/>
      <c r="O352" s="3015"/>
      <c r="P352" s="3015"/>
      <c r="Q352" s="3015"/>
      <c r="R352" s="3015"/>
      <c r="S352" s="3015"/>
      <c r="T352" s="3015"/>
      <c r="U352" s="3015"/>
      <c r="V352" s="3015"/>
      <c r="W352" s="3015"/>
      <c r="X352" s="3015"/>
      <c r="Y352" s="3015"/>
      <c r="Z352" s="3015"/>
      <c r="AA352" s="3015"/>
      <c r="AB352" s="3015"/>
      <c r="AC352" s="3015"/>
      <c r="AD352" s="3015"/>
      <c r="AE352" s="3015"/>
      <c r="AF352" s="3015"/>
      <c r="AG352" s="3015"/>
      <c r="AH352" s="3015"/>
      <c r="AI352" s="3015"/>
      <c r="AJ352" s="3015"/>
      <c r="AK352" s="3015"/>
      <c r="AL352" s="3015"/>
      <c r="AM352" s="3015"/>
    </row>
    <row r="353" spans="2:44" ht="75" customHeight="1">
      <c r="B353" s="3023"/>
      <c r="C353" s="1861"/>
      <c r="D353" s="1861"/>
      <c r="E353" s="1861"/>
      <c r="F353" s="1861"/>
      <c r="G353" s="1861"/>
      <c r="H353" s="1861"/>
      <c r="I353" s="1861"/>
      <c r="J353" s="1861"/>
      <c r="K353" s="1861"/>
      <c r="L353" s="1861"/>
      <c r="M353" s="1861"/>
      <c r="N353" s="1861"/>
      <c r="O353" s="1861"/>
      <c r="P353" s="1861"/>
      <c r="Q353" s="1861"/>
      <c r="R353" s="1861"/>
      <c r="S353" s="1861"/>
      <c r="T353" s="1861"/>
      <c r="U353" s="1861"/>
      <c r="V353" s="1861"/>
      <c r="W353" s="1861"/>
      <c r="X353" s="1861"/>
      <c r="Y353" s="1861"/>
      <c r="Z353" s="1861"/>
      <c r="AA353" s="1861"/>
      <c r="AB353" s="1861"/>
      <c r="AC353" s="1861"/>
      <c r="AD353" s="1861"/>
      <c r="AE353" s="1861"/>
      <c r="AF353" s="1861"/>
      <c r="AG353" s="1861"/>
      <c r="AH353" s="1861"/>
      <c r="AI353" s="1861"/>
      <c r="AJ353" s="1861"/>
      <c r="AK353" s="1861"/>
      <c r="AL353" s="1861"/>
      <c r="AM353" s="1862"/>
    </row>
    <row r="354" spans="2:44" s="384" customFormat="1" ht="18" customHeight="1"/>
    <row r="355" spans="2:44" ht="18" customHeight="1">
      <c r="B355" s="3062" t="s">
        <v>2617</v>
      </c>
      <c r="C355" s="3021"/>
      <c r="D355" s="3021"/>
      <c r="E355" s="3021"/>
      <c r="F355" s="3021"/>
      <c r="G355" s="3021"/>
      <c r="H355" s="3021"/>
      <c r="I355" s="1935"/>
      <c r="J355" s="3021"/>
      <c r="K355" s="3021"/>
      <c r="L355" s="3021"/>
      <c r="M355" s="3021"/>
      <c r="N355" s="3021"/>
      <c r="O355" s="3021"/>
      <c r="P355" s="3021"/>
      <c r="Q355" s="3021"/>
      <c r="R355" s="3021"/>
      <c r="S355" s="3021"/>
      <c r="T355" s="3021"/>
      <c r="U355" s="3021"/>
      <c r="V355" s="3021"/>
      <c r="W355" s="3021"/>
      <c r="X355" s="3021"/>
      <c r="Y355" s="3021"/>
      <c r="Z355" s="3021"/>
      <c r="AA355" s="3021"/>
      <c r="AB355" s="3021"/>
      <c r="AC355" s="3021"/>
      <c r="AD355" s="3021"/>
      <c r="AE355" s="3021"/>
      <c r="AF355" s="3021"/>
      <c r="AG355" s="3021"/>
      <c r="AH355" s="3021"/>
      <c r="AI355" s="3021"/>
      <c r="AJ355" s="3021"/>
      <c r="AK355" s="3021"/>
      <c r="AL355" s="3021"/>
      <c r="AM355" s="3021"/>
    </row>
    <row r="356" spans="2:44" ht="18" customHeight="1">
      <c r="B356" s="3102" t="s">
        <v>2618</v>
      </c>
      <c r="C356" s="3021"/>
      <c r="D356" s="3021"/>
      <c r="E356" s="3021"/>
      <c r="F356" s="3021"/>
      <c r="G356" s="3021"/>
      <c r="H356" s="3021"/>
      <c r="I356" s="1935"/>
      <c r="J356" s="3021"/>
      <c r="K356" s="3021"/>
      <c r="L356" s="3021"/>
      <c r="M356" s="3021"/>
      <c r="N356" s="3021"/>
      <c r="O356" s="3021"/>
      <c r="P356" s="3021"/>
      <c r="Q356" s="3021"/>
      <c r="R356" s="3021"/>
      <c r="S356" s="3021"/>
      <c r="T356" s="3021"/>
      <c r="U356" s="3021"/>
      <c r="V356" s="3021"/>
      <c r="W356" s="3021"/>
      <c r="X356" s="3021"/>
      <c r="Y356" s="3021"/>
      <c r="Z356" s="3021"/>
      <c r="AA356" s="3021"/>
      <c r="AB356" s="3021"/>
      <c r="AC356" s="3021"/>
      <c r="AD356" s="3021"/>
      <c r="AE356" s="3021"/>
      <c r="AF356" s="3021"/>
      <c r="AG356" s="3021"/>
      <c r="AH356" s="3021"/>
      <c r="AI356" s="3021"/>
      <c r="AJ356" s="3021"/>
      <c r="AK356" s="3021"/>
      <c r="AL356" s="3021"/>
      <c r="AM356" s="3021"/>
    </row>
    <row r="357" spans="2:44" ht="81.75" customHeight="1">
      <c r="B357" s="2181" t="s">
        <v>2619</v>
      </c>
      <c r="C357" s="3021"/>
      <c r="D357" s="3021"/>
      <c r="E357" s="3021"/>
      <c r="F357" s="3021"/>
      <c r="G357" s="3021"/>
      <c r="H357" s="3021"/>
      <c r="I357" s="1935"/>
      <c r="J357" s="3021"/>
      <c r="K357" s="3021"/>
      <c r="L357" s="3021"/>
      <c r="M357" s="3021"/>
      <c r="N357" s="3021"/>
      <c r="O357" s="3021"/>
      <c r="P357" s="3021"/>
      <c r="Q357" s="3021"/>
      <c r="R357" s="3021"/>
      <c r="S357" s="3021"/>
      <c r="T357" s="3021"/>
      <c r="U357" s="3021"/>
      <c r="V357" s="3021"/>
      <c r="W357" s="3021"/>
      <c r="X357" s="3021"/>
      <c r="Y357" s="3021"/>
      <c r="Z357" s="3021"/>
      <c r="AA357" s="3021"/>
      <c r="AB357" s="3021"/>
      <c r="AC357" s="3021"/>
      <c r="AD357" s="3021"/>
      <c r="AE357" s="3021"/>
      <c r="AF357" s="3021"/>
      <c r="AG357" s="3021"/>
      <c r="AH357" s="3021"/>
      <c r="AI357" s="3021"/>
      <c r="AJ357" s="3021"/>
      <c r="AK357" s="3021"/>
      <c r="AL357" s="3021"/>
      <c r="AM357" s="3021"/>
    </row>
    <row r="358" spans="2:44" ht="53.25" customHeight="1">
      <c r="B358" s="3021" t="s">
        <v>2620</v>
      </c>
      <c r="C358" s="3021"/>
      <c r="D358" s="3021"/>
      <c r="E358" s="3021"/>
      <c r="F358" s="3021"/>
      <c r="G358" s="3021"/>
      <c r="H358" s="3021"/>
      <c r="I358" s="1935"/>
      <c r="J358" s="3021"/>
      <c r="K358" s="3021"/>
      <c r="L358" s="3021"/>
      <c r="M358" s="3021"/>
      <c r="N358" s="3021"/>
      <c r="O358" s="3021"/>
      <c r="P358" s="3021"/>
      <c r="Q358" s="3021"/>
      <c r="R358" s="3021"/>
      <c r="S358" s="3021"/>
      <c r="T358" s="3021"/>
      <c r="U358" s="3021"/>
      <c r="V358" s="3021"/>
      <c r="W358" s="3021"/>
      <c r="X358" s="3021"/>
      <c r="Y358" s="3021"/>
      <c r="Z358" s="3021"/>
      <c r="AA358" s="3021"/>
      <c r="AB358" s="3021"/>
      <c r="AC358" s="3021"/>
      <c r="AD358" s="3021"/>
      <c r="AE358" s="3021"/>
      <c r="AF358" s="3021"/>
      <c r="AG358" s="3021"/>
      <c r="AH358" s="3021"/>
      <c r="AI358" s="3021"/>
      <c r="AJ358" s="3021"/>
      <c r="AK358" s="3021"/>
      <c r="AL358" s="3021"/>
      <c r="AM358" s="3021"/>
    </row>
    <row r="359" spans="2:44" ht="36" customHeight="1">
      <c r="B359" s="3035" t="s">
        <v>1050</v>
      </c>
      <c r="C359" s="1777"/>
      <c r="D359" s="1777"/>
      <c r="E359" s="1778"/>
      <c r="F359" s="2451" t="s">
        <v>2621</v>
      </c>
      <c r="G359" s="1777"/>
      <c r="H359" s="1777"/>
      <c r="I359" s="1777"/>
      <c r="J359" s="1777"/>
      <c r="K359" s="1777"/>
      <c r="L359" s="1777"/>
      <c r="M359" s="1777"/>
      <c r="N359" s="1777"/>
      <c r="O359" s="1777"/>
      <c r="P359" s="1777"/>
      <c r="Q359" s="1777"/>
      <c r="R359" s="1777"/>
      <c r="S359" s="1777"/>
      <c r="T359" s="1777"/>
      <c r="U359" s="1777"/>
      <c r="V359" s="1777"/>
      <c r="W359" s="1777"/>
      <c r="X359" s="1777"/>
      <c r="Y359" s="1777"/>
      <c r="Z359" s="1778"/>
      <c r="AA359" s="3047" t="s">
        <v>2301</v>
      </c>
      <c r="AB359" s="1778"/>
      <c r="AC359" s="3042">
        <f>SUM(AA361:AD364)</f>
        <v>0</v>
      </c>
      <c r="AD359" s="1778"/>
      <c r="AE359" s="3047" t="s">
        <v>2302</v>
      </c>
      <c r="AF359" s="1777"/>
      <c r="AG359" s="1777"/>
      <c r="AH359" s="1777"/>
      <c r="AI359" s="1777"/>
      <c r="AJ359" s="1778"/>
      <c r="AK359" s="3047" t="s">
        <v>2303</v>
      </c>
      <c r="AL359" s="1777"/>
      <c r="AM359" s="1778"/>
    </row>
    <row r="360" spans="2:44" ht="81" customHeight="1">
      <c r="B360" s="3017" t="s">
        <v>2304</v>
      </c>
      <c r="C360" s="1777"/>
      <c r="D360" s="1777"/>
      <c r="E360" s="1778"/>
      <c r="F360" s="3068" t="s">
        <v>2622</v>
      </c>
      <c r="G360" s="1777"/>
      <c r="H360" s="1777"/>
      <c r="I360" s="1777"/>
      <c r="J360" s="1777"/>
      <c r="K360" s="1777"/>
      <c r="L360" s="1777"/>
      <c r="M360" s="1777"/>
      <c r="N360" s="1777"/>
      <c r="O360" s="1777"/>
      <c r="P360" s="1777"/>
      <c r="Q360" s="1777"/>
      <c r="R360" s="1777"/>
      <c r="S360" s="1777"/>
      <c r="T360" s="1777"/>
      <c r="U360" s="1777"/>
      <c r="V360" s="1777"/>
      <c r="W360" s="1777"/>
      <c r="X360" s="1777"/>
      <c r="Y360" s="1777"/>
      <c r="Z360" s="1778"/>
      <c r="AA360" s="3017" t="s">
        <v>2306</v>
      </c>
      <c r="AB360" s="1777"/>
      <c r="AC360" s="1777"/>
      <c r="AD360" s="1778"/>
      <c r="AE360" s="3017" t="s">
        <v>2623</v>
      </c>
      <c r="AF360" s="1777"/>
      <c r="AG360" s="1777"/>
      <c r="AH360" s="1777"/>
      <c r="AI360" s="1777"/>
      <c r="AJ360" s="1778"/>
      <c r="AK360" s="3017" t="s">
        <v>2308</v>
      </c>
      <c r="AL360" s="1777"/>
      <c r="AM360" s="1778"/>
    </row>
    <row r="361" spans="2:44" ht="53.25" customHeight="1">
      <c r="B361" s="3032"/>
      <c r="C361" s="1861"/>
      <c r="D361" s="1861"/>
      <c r="E361" s="1862"/>
      <c r="F361" s="3030"/>
      <c r="G361" s="1861"/>
      <c r="H361" s="1861"/>
      <c r="I361" s="1861"/>
      <c r="J361" s="1861"/>
      <c r="K361" s="1861"/>
      <c r="L361" s="1861"/>
      <c r="M361" s="1861"/>
      <c r="N361" s="1861"/>
      <c r="O361" s="1861"/>
      <c r="P361" s="1861"/>
      <c r="Q361" s="1861"/>
      <c r="R361" s="1861"/>
      <c r="S361" s="1861"/>
      <c r="T361" s="1861"/>
      <c r="U361" s="1861"/>
      <c r="V361" s="1861"/>
      <c r="W361" s="1861"/>
      <c r="X361" s="1861"/>
      <c r="Y361" s="1861"/>
      <c r="Z361" s="1862"/>
      <c r="AA361" s="3020"/>
      <c r="AB361" s="1861"/>
      <c r="AC361" s="1861"/>
      <c r="AD361" s="1862"/>
      <c r="AE361" s="3020"/>
      <c r="AF361" s="1861"/>
      <c r="AG361" s="1861"/>
      <c r="AH361" s="1861"/>
      <c r="AI361" s="1861"/>
      <c r="AJ361" s="1862"/>
      <c r="AK361" s="3020"/>
      <c r="AL361" s="1861"/>
      <c r="AM361" s="1862"/>
      <c r="AP361" s="387" t="s">
        <v>693</v>
      </c>
    </row>
    <row r="362" spans="2:44" ht="53.25" customHeight="1">
      <c r="B362" s="3032"/>
      <c r="C362" s="1861"/>
      <c r="D362" s="1861"/>
      <c r="E362" s="1862"/>
      <c r="F362" s="3030"/>
      <c r="G362" s="1861"/>
      <c r="H362" s="1861"/>
      <c r="I362" s="1861"/>
      <c r="J362" s="1861"/>
      <c r="K362" s="1861"/>
      <c r="L362" s="1861"/>
      <c r="M362" s="1861"/>
      <c r="N362" s="1861"/>
      <c r="O362" s="1861"/>
      <c r="P362" s="1861"/>
      <c r="Q362" s="1861"/>
      <c r="R362" s="1861"/>
      <c r="S362" s="1861"/>
      <c r="T362" s="1861"/>
      <c r="U362" s="1861"/>
      <c r="V362" s="1861"/>
      <c r="W362" s="1861"/>
      <c r="X362" s="1861"/>
      <c r="Y362" s="1861"/>
      <c r="Z362" s="1862"/>
      <c r="AA362" s="3020"/>
      <c r="AB362" s="1861"/>
      <c r="AC362" s="1861"/>
      <c r="AD362" s="1862"/>
      <c r="AE362" s="3020"/>
      <c r="AF362" s="1861"/>
      <c r="AG362" s="1861"/>
      <c r="AH362" s="1861"/>
      <c r="AI362" s="1861"/>
      <c r="AJ362" s="1862"/>
      <c r="AK362" s="3020"/>
      <c r="AL362" s="1861"/>
      <c r="AM362" s="1862"/>
    </row>
    <row r="363" spans="2:44" ht="53.25" customHeight="1">
      <c r="B363" s="3032"/>
      <c r="C363" s="1861"/>
      <c r="D363" s="1861"/>
      <c r="E363" s="1862"/>
      <c r="F363" s="3030"/>
      <c r="G363" s="1861"/>
      <c r="H363" s="1861"/>
      <c r="I363" s="1861"/>
      <c r="J363" s="1861"/>
      <c r="K363" s="1861"/>
      <c r="L363" s="1861"/>
      <c r="M363" s="1861"/>
      <c r="N363" s="1861"/>
      <c r="O363" s="1861"/>
      <c r="P363" s="1861"/>
      <c r="Q363" s="1861"/>
      <c r="R363" s="1861"/>
      <c r="S363" s="1861"/>
      <c r="T363" s="1861"/>
      <c r="U363" s="1861"/>
      <c r="V363" s="1861"/>
      <c r="W363" s="1861"/>
      <c r="X363" s="1861"/>
      <c r="Y363" s="1861"/>
      <c r="Z363" s="1862"/>
      <c r="AA363" s="3020"/>
      <c r="AB363" s="1861"/>
      <c r="AC363" s="1861"/>
      <c r="AD363" s="1862"/>
      <c r="AE363" s="3020"/>
      <c r="AF363" s="1861"/>
      <c r="AG363" s="1861"/>
      <c r="AH363" s="1861"/>
      <c r="AI363" s="1861"/>
      <c r="AJ363" s="1862"/>
      <c r="AK363" s="3020"/>
      <c r="AL363" s="1861"/>
      <c r="AM363" s="1862"/>
    </row>
    <row r="364" spans="2:44" ht="53.25" customHeight="1">
      <c r="B364" s="3032"/>
      <c r="C364" s="1861"/>
      <c r="D364" s="1861"/>
      <c r="E364" s="1862"/>
      <c r="F364" s="3030"/>
      <c r="G364" s="1861"/>
      <c r="H364" s="1861"/>
      <c r="I364" s="1861"/>
      <c r="J364" s="1861"/>
      <c r="K364" s="1861"/>
      <c r="L364" s="1861"/>
      <c r="M364" s="1861"/>
      <c r="N364" s="1861"/>
      <c r="O364" s="1861"/>
      <c r="P364" s="1861"/>
      <c r="Q364" s="1861"/>
      <c r="R364" s="1861"/>
      <c r="S364" s="1861"/>
      <c r="T364" s="1861"/>
      <c r="U364" s="1861"/>
      <c r="V364" s="1861"/>
      <c r="W364" s="1861"/>
      <c r="X364" s="1861"/>
      <c r="Y364" s="1861"/>
      <c r="Z364" s="1862"/>
      <c r="AA364" s="3020"/>
      <c r="AB364" s="1861"/>
      <c r="AC364" s="1861"/>
      <c r="AD364" s="1862"/>
      <c r="AE364" s="3020"/>
      <c r="AF364" s="1861"/>
      <c r="AG364" s="1861"/>
      <c r="AH364" s="1861"/>
      <c r="AI364" s="1861"/>
      <c r="AJ364" s="1862"/>
      <c r="AK364" s="3020"/>
      <c r="AL364" s="1861"/>
      <c r="AM364" s="1862"/>
    </row>
    <row r="365" spans="2:44" s="384" customFormat="1" ht="18" customHeight="1"/>
    <row r="366" spans="2:44" ht="18" customHeight="1">
      <c r="B366" s="3081" t="s">
        <v>2624</v>
      </c>
      <c r="C366" s="3021"/>
      <c r="D366" s="3021"/>
      <c r="E366" s="3021"/>
      <c r="F366" s="3021"/>
      <c r="G366" s="3021"/>
      <c r="H366" s="3021"/>
      <c r="I366" s="1935"/>
      <c r="J366" s="3021"/>
      <c r="K366" s="3021"/>
      <c r="L366" s="3021"/>
      <c r="M366" s="3021"/>
      <c r="N366" s="3021"/>
      <c r="O366" s="3021"/>
      <c r="P366" s="3021"/>
      <c r="Q366" s="3021"/>
      <c r="R366" s="3021"/>
      <c r="S366" s="3021"/>
      <c r="T366" s="3021"/>
      <c r="U366" s="3021"/>
      <c r="V366" s="3021"/>
      <c r="W366" s="3021"/>
      <c r="X366" s="3021"/>
      <c r="Y366" s="3021"/>
      <c r="Z366" s="3021"/>
      <c r="AA366" s="3021"/>
      <c r="AB366" s="3021"/>
      <c r="AC366" s="3021"/>
      <c r="AD366" s="3021"/>
      <c r="AE366" s="3021"/>
      <c r="AF366" s="3021"/>
      <c r="AG366" s="3021"/>
      <c r="AH366" s="3021"/>
      <c r="AI366" s="3021"/>
      <c r="AJ366" s="3021"/>
      <c r="AK366" s="3021"/>
      <c r="AL366" s="3021"/>
      <c r="AM366" s="3021"/>
    </row>
    <row r="367" spans="2:44" ht="18" customHeight="1">
      <c r="B367" s="3021" t="s">
        <v>2625</v>
      </c>
      <c r="C367" s="3021"/>
      <c r="D367" s="3021"/>
      <c r="E367" s="3021"/>
      <c r="F367" s="3021"/>
      <c r="G367" s="3021"/>
      <c r="H367" s="3021"/>
      <c r="I367" s="1935"/>
      <c r="J367" s="3021"/>
      <c r="K367" s="3021"/>
      <c r="L367" s="3021"/>
      <c r="M367" s="3021"/>
      <c r="N367" s="3021"/>
      <c r="O367" s="3021"/>
      <c r="P367" s="3021"/>
      <c r="Q367" s="3021"/>
      <c r="R367" s="3021"/>
      <c r="S367" s="3021"/>
      <c r="T367" s="3021"/>
      <c r="U367" s="3021"/>
      <c r="V367" s="3021"/>
      <c r="W367" s="3021"/>
      <c r="X367" s="3021"/>
      <c r="Y367" s="3021"/>
      <c r="Z367" s="3021"/>
      <c r="AA367" s="3021"/>
      <c r="AB367" s="3021"/>
      <c r="AC367" s="3021"/>
      <c r="AD367" s="3021"/>
      <c r="AE367" s="3021"/>
      <c r="AF367" s="3021"/>
      <c r="AG367" s="3021"/>
      <c r="AH367" s="3021"/>
      <c r="AI367" s="3021"/>
      <c r="AJ367" s="3021"/>
      <c r="AK367" s="3021"/>
      <c r="AL367" s="3021"/>
      <c r="AM367" s="3021"/>
    </row>
    <row r="368" spans="2:44" s="398" customFormat="1" ht="18" customHeight="1">
      <c r="B368" s="3073" t="s">
        <v>1312</v>
      </c>
      <c r="C368" s="2181"/>
      <c r="D368" s="3015" t="s">
        <v>2626</v>
      </c>
      <c r="E368" s="2181"/>
      <c r="F368" s="2181"/>
      <c r="G368" s="2181"/>
      <c r="H368" s="2181"/>
      <c r="I368" s="2181"/>
      <c r="J368" s="2181"/>
      <c r="K368" s="2181"/>
      <c r="L368" s="2181"/>
      <c r="M368" s="2181"/>
      <c r="N368" s="2181"/>
      <c r="O368" s="2181"/>
      <c r="P368" s="2181"/>
      <c r="Q368" s="2181"/>
      <c r="R368" s="2181"/>
      <c r="S368" s="2181"/>
      <c r="T368" s="2181"/>
      <c r="U368" s="2181"/>
      <c r="V368" s="2181"/>
      <c r="W368" s="2181"/>
      <c r="X368" s="2181"/>
      <c r="Y368" s="2181"/>
      <c r="Z368" s="2181"/>
      <c r="AA368" s="2181"/>
      <c r="AB368" s="2181"/>
      <c r="AC368" s="2181"/>
      <c r="AD368" s="2181"/>
      <c r="AE368" s="2181"/>
      <c r="AF368" s="2181"/>
      <c r="AG368" s="2181"/>
      <c r="AH368" s="2181"/>
      <c r="AI368" s="2181"/>
      <c r="AJ368" s="3122">
        <f>SUM('Unit Mix'!$X$7,'Unit Mix'!$X$8)</f>
        <v>0</v>
      </c>
      <c r="AK368" s="1777"/>
      <c r="AL368" s="1777"/>
      <c r="AM368" s="1778"/>
      <c r="AN368" s="405"/>
      <c r="AO368" s="405"/>
      <c r="AP368" s="405"/>
      <c r="AQ368" s="405"/>
      <c r="AR368" s="405"/>
    </row>
    <row r="369" spans="2:39" s="398" customFormat="1" ht="36" customHeight="1">
      <c r="B369" s="3073" t="s">
        <v>1318</v>
      </c>
      <c r="C369" s="2181"/>
      <c r="D369" s="2181" t="s">
        <v>2627</v>
      </c>
      <c r="E369" s="2181"/>
      <c r="F369" s="2181"/>
      <c r="G369" s="2181"/>
      <c r="H369" s="2181"/>
      <c r="I369" s="2181"/>
      <c r="J369" s="2181"/>
      <c r="K369" s="2181"/>
      <c r="L369" s="2181"/>
      <c r="M369" s="2181"/>
      <c r="N369" s="2181"/>
      <c r="O369" s="2181"/>
      <c r="P369" s="2181"/>
      <c r="Q369" s="2181"/>
      <c r="R369" s="2181"/>
      <c r="S369" s="2181"/>
      <c r="T369" s="2181"/>
      <c r="U369" s="2181"/>
      <c r="V369" s="2181"/>
      <c r="W369" s="2181"/>
      <c r="X369" s="2181"/>
      <c r="Y369" s="2181"/>
      <c r="Z369" s="2181"/>
      <c r="AA369" s="2181"/>
      <c r="AB369" s="2181"/>
      <c r="AC369" s="2181"/>
      <c r="AD369" s="2181"/>
      <c r="AE369" s="2181"/>
      <c r="AF369" s="2181"/>
      <c r="AG369" s="2181"/>
      <c r="AH369" s="2181"/>
      <c r="AI369" s="2181"/>
      <c r="AJ369" s="3120">
        <f>AC359</f>
        <v>0</v>
      </c>
      <c r="AK369" s="1777"/>
      <c r="AL369" s="1777"/>
      <c r="AM369" s="1778"/>
    </row>
    <row r="370" spans="2:39" s="398" customFormat="1" ht="18" customHeight="1">
      <c r="B370" s="2282" t="s">
        <v>1320</v>
      </c>
      <c r="C370" s="2181"/>
      <c r="D370" s="3015" t="s">
        <v>2628</v>
      </c>
      <c r="E370" s="2181"/>
      <c r="F370" s="2181"/>
      <c r="G370" s="2181"/>
      <c r="H370" s="2181"/>
      <c r="I370" s="2181"/>
      <c r="J370" s="2181"/>
      <c r="K370" s="2181"/>
      <c r="L370" s="2181"/>
      <c r="M370" s="2181"/>
      <c r="N370" s="2181"/>
      <c r="O370" s="2181"/>
      <c r="P370" s="2181"/>
      <c r="Q370" s="2181"/>
      <c r="R370" s="2181"/>
      <c r="S370" s="2181"/>
      <c r="T370" s="2181"/>
      <c r="U370" s="2181"/>
      <c r="V370" s="2181"/>
      <c r="W370" s="2181"/>
      <c r="X370" s="2181"/>
      <c r="Y370" s="2181"/>
      <c r="Z370" s="2181"/>
      <c r="AA370" s="2181"/>
      <c r="AB370" s="2181"/>
      <c r="AC370" s="2181"/>
      <c r="AD370" s="2181"/>
      <c r="AE370" s="2181"/>
      <c r="AF370" s="2181"/>
      <c r="AG370" s="2181"/>
      <c r="AH370" s="2181"/>
      <c r="AI370" s="2181"/>
      <c r="AJ370" s="3093">
        <f>IF(AJ369=0,0,AJ368/AJ369)</f>
        <v>0</v>
      </c>
      <c r="AK370" s="1777"/>
      <c r="AL370" s="1777"/>
      <c r="AM370" s="1778"/>
    </row>
    <row r="371" spans="2:39" ht="36.75" customHeight="1">
      <c r="B371" s="2181" t="s">
        <v>2629</v>
      </c>
      <c r="C371" s="3021"/>
      <c r="D371" s="3021"/>
      <c r="E371" s="3021"/>
      <c r="F371" s="3021"/>
      <c r="G371" s="3021"/>
      <c r="H371" s="3021"/>
      <c r="I371" s="1935"/>
      <c r="J371" s="3021"/>
      <c r="K371" s="3021"/>
      <c r="L371" s="3021"/>
      <c r="M371" s="3021"/>
      <c r="N371" s="3021"/>
      <c r="O371" s="3021"/>
      <c r="P371" s="3021"/>
      <c r="Q371" s="3021"/>
      <c r="R371" s="3021"/>
      <c r="S371" s="3021"/>
      <c r="T371" s="3021"/>
      <c r="U371" s="3021"/>
      <c r="V371" s="3021"/>
      <c r="W371" s="3021"/>
      <c r="X371" s="3021"/>
      <c r="Y371" s="3021"/>
      <c r="Z371" s="3021"/>
      <c r="AA371" s="3021"/>
      <c r="AB371" s="3021"/>
      <c r="AC371" s="3021"/>
      <c r="AD371" s="3021"/>
      <c r="AE371" s="3021"/>
      <c r="AF371" s="3021"/>
      <c r="AG371" s="3021"/>
      <c r="AH371" s="3021"/>
      <c r="AI371" s="3021"/>
      <c r="AJ371" s="3021"/>
      <c r="AK371" s="3021"/>
      <c r="AL371" s="3021"/>
      <c r="AM371" s="3021"/>
    </row>
    <row r="372" spans="2:39" ht="18" customHeight="1">
      <c r="B372" s="3195" t="s">
        <v>2630</v>
      </c>
      <c r="C372" s="1777"/>
      <c r="D372" s="1777"/>
      <c r="E372" s="1778"/>
      <c r="F372" s="3099" t="s">
        <v>1529</v>
      </c>
      <c r="G372" s="1777"/>
      <c r="H372" s="1777"/>
      <c r="I372" s="1777"/>
      <c r="J372" s="1777"/>
      <c r="K372" s="1777"/>
      <c r="L372" s="1777"/>
      <c r="M372" s="1778"/>
      <c r="N372" s="3099" t="s">
        <v>1530</v>
      </c>
      <c r="O372" s="1777"/>
      <c r="P372" s="1777"/>
      <c r="Q372" s="1777"/>
      <c r="R372" s="1777"/>
      <c r="S372" s="1777"/>
      <c r="T372" s="1777"/>
      <c r="U372" s="1778"/>
      <c r="V372" s="3099" t="s">
        <v>1531</v>
      </c>
      <c r="W372" s="1777"/>
      <c r="X372" s="1777"/>
      <c r="Y372" s="1777"/>
      <c r="Z372" s="1777"/>
      <c r="AA372" s="1777"/>
      <c r="AB372" s="1778"/>
    </row>
    <row r="373" spans="2:39" ht="18" customHeight="1">
      <c r="B373" s="3148" t="s">
        <v>2631</v>
      </c>
      <c r="C373" s="1953"/>
      <c r="D373" s="1953"/>
      <c r="E373" s="1770"/>
      <c r="F373" s="3171" t="s">
        <v>2632</v>
      </c>
      <c r="G373" s="1953"/>
      <c r="H373" s="1953"/>
      <c r="I373" s="1953"/>
      <c r="J373" s="1953"/>
      <c r="K373" s="1953"/>
      <c r="L373" s="1953"/>
      <c r="M373" s="1770"/>
      <c r="N373" s="3171" t="s">
        <v>2633</v>
      </c>
      <c r="O373" s="1953"/>
      <c r="P373" s="1953"/>
      <c r="Q373" s="1953"/>
      <c r="R373" s="1953"/>
      <c r="S373" s="1953"/>
      <c r="T373" s="1953"/>
      <c r="U373" s="1770"/>
      <c r="V373" s="3103" t="s">
        <v>2634</v>
      </c>
      <c r="W373" s="1953"/>
      <c r="X373" s="1953"/>
      <c r="Y373" s="1953"/>
      <c r="Z373" s="1953"/>
      <c r="AA373" s="1953"/>
      <c r="AB373" s="1770"/>
      <c r="AC373" s="401"/>
    </row>
    <row r="374" spans="2:39" ht="18" customHeight="1">
      <c r="B374" s="3035" t="s">
        <v>2635</v>
      </c>
      <c r="C374" s="1777"/>
      <c r="D374" s="1777"/>
      <c r="E374" s="1777"/>
      <c r="F374" s="1777"/>
      <c r="G374" s="1777"/>
      <c r="H374" s="1777"/>
      <c r="I374" s="1777"/>
      <c r="J374" s="1777"/>
      <c r="K374" s="1777"/>
      <c r="L374" s="1777"/>
      <c r="M374" s="1777"/>
      <c r="N374" s="1777"/>
      <c r="O374" s="1777"/>
      <c r="P374" s="1777"/>
      <c r="Q374" s="1777"/>
      <c r="R374" s="1777"/>
      <c r="S374" s="1777"/>
      <c r="T374" s="1777"/>
      <c r="U374" s="1777"/>
      <c r="V374" s="1777"/>
      <c r="W374" s="1777"/>
      <c r="X374" s="1777"/>
      <c r="Y374" s="1777"/>
      <c r="Z374" s="1777"/>
      <c r="AA374" s="1777"/>
      <c r="AB374" s="1777"/>
      <c r="AC374" s="1777"/>
      <c r="AD374" s="1777"/>
      <c r="AE374" s="1777"/>
      <c r="AF374" s="1777"/>
      <c r="AG374" s="1777"/>
      <c r="AH374" s="1777"/>
      <c r="AI374" s="1777"/>
      <c r="AJ374" s="1777"/>
      <c r="AK374" s="1777"/>
      <c r="AL374" s="1777"/>
      <c r="AM374" s="1778"/>
    </row>
    <row r="375" spans="2:39" ht="18" customHeight="1">
      <c r="B375" s="3026" t="s">
        <v>1312</v>
      </c>
      <c r="C375" s="1778"/>
      <c r="D375" s="3028" t="s">
        <v>2636</v>
      </c>
      <c r="E375" s="1777"/>
      <c r="F375" s="1777"/>
      <c r="G375" s="1777"/>
      <c r="H375" s="1777"/>
      <c r="I375" s="1777"/>
      <c r="J375" s="1777"/>
      <c r="K375" s="1777"/>
      <c r="L375" s="1777"/>
      <c r="M375" s="1777"/>
      <c r="N375" s="1777"/>
      <c r="O375" s="1777"/>
      <c r="P375" s="1777"/>
      <c r="Q375" s="1777"/>
      <c r="R375" s="1777"/>
      <c r="S375" s="1777"/>
      <c r="T375" s="1777"/>
      <c r="U375" s="1777"/>
      <c r="V375" s="1777"/>
      <c r="W375" s="1777"/>
      <c r="X375" s="1777"/>
      <c r="Y375" s="1777"/>
      <c r="Z375" s="1777"/>
      <c r="AA375" s="1777"/>
      <c r="AB375" s="1777"/>
      <c r="AC375" s="1777"/>
      <c r="AD375" s="1777"/>
      <c r="AE375" s="1777"/>
      <c r="AF375" s="1777"/>
      <c r="AG375" s="1777"/>
      <c r="AH375" s="1777"/>
      <c r="AI375" s="1777"/>
      <c r="AJ375" s="1778"/>
      <c r="AK375" s="3122">
        <f>'Unit Mix'!$U$8</f>
        <v>0</v>
      </c>
      <c r="AL375" s="1777"/>
      <c r="AM375" s="1778"/>
    </row>
    <row r="376" spans="2:39" ht="18" customHeight="1">
      <c r="B376" s="3026" t="s">
        <v>1318</v>
      </c>
      <c r="C376" s="1778"/>
      <c r="D376" s="3028" t="s">
        <v>2637</v>
      </c>
      <c r="E376" s="1777"/>
      <c r="F376" s="1777"/>
      <c r="G376" s="1777"/>
      <c r="H376" s="1777"/>
      <c r="I376" s="1777"/>
      <c r="J376" s="1777"/>
      <c r="K376" s="1777"/>
      <c r="L376" s="1777"/>
      <c r="M376" s="1777"/>
      <c r="N376" s="1777"/>
      <c r="O376" s="1777"/>
      <c r="P376" s="1777"/>
      <c r="Q376" s="1777"/>
      <c r="R376" s="1777"/>
      <c r="S376" s="1777"/>
      <c r="T376" s="1777"/>
      <c r="U376" s="1777"/>
      <c r="V376" s="1777"/>
      <c r="W376" s="1777"/>
      <c r="X376" s="1777"/>
      <c r="Y376" s="1777"/>
      <c r="Z376" s="1777"/>
      <c r="AA376" s="1777"/>
      <c r="AB376" s="1777"/>
      <c r="AC376" s="1777"/>
      <c r="AD376" s="1777"/>
      <c r="AE376" s="1777"/>
      <c r="AF376" s="1777"/>
      <c r="AG376" s="1777"/>
      <c r="AH376" s="1777"/>
      <c r="AI376" s="1777"/>
      <c r="AJ376" s="1778"/>
      <c r="AK376" s="3022"/>
      <c r="AL376" s="1861"/>
      <c r="AM376" s="1862"/>
    </row>
    <row r="377" spans="2:39" ht="18" customHeight="1">
      <c r="B377" s="3035" t="s">
        <v>1320</v>
      </c>
      <c r="C377" s="1778"/>
      <c r="D377" s="3145" t="s">
        <v>2638</v>
      </c>
      <c r="E377" s="1777"/>
      <c r="F377" s="1777"/>
      <c r="G377" s="1777"/>
      <c r="H377" s="1777"/>
      <c r="I377" s="1777"/>
      <c r="J377" s="1777"/>
      <c r="K377" s="1777"/>
      <c r="L377" s="1777"/>
      <c r="M377" s="1777"/>
      <c r="N377" s="1777"/>
      <c r="O377" s="1777"/>
      <c r="P377" s="1777"/>
      <c r="Q377" s="1777"/>
      <c r="R377" s="1777"/>
      <c r="S377" s="1777"/>
      <c r="T377" s="1777"/>
      <c r="U377" s="1777"/>
      <c r="V377" s="1777"/>
      <c r="W377" s="1777"/>
      <c r="X377" s="1777"/>
      <c r="Y377" s="1777"/>
      <c r="Z377" s="1777"/>
      <c r="AA377" s="1777"/>
      <c r="AB377" s="1777"/>
      <c r="AC377" s="1777"/>
      <c r="AD377" s="1777"/>
      <c r="AE377" s="1777"/>
      <c r="AF377" s="1777"/>
      <c r="AG377" s="1777"/>
      <c r="AH377" s="1777"/>
      <c r="AI377" s="1777"/>
      <c r="AJ377" s="1778"/>
      <c r="AK377" s="3093">
        <f>IF(AK376=0,0,AK375/AK376)</f>
        <v>0</v>
      </c>
      <c r="AL377" s="1777"/>
      <c r="AM377" s="1778"/>
    </row>
    <row r="378" spans="2:39" ht="18" customHeight="1">
      <c r="B378" s="3026" t="s">
        <v>1322</v>
      </c>
      <c r="C378" s="1778"/>
      <c r="D378" s="3028" t="s">
        <v>2639</v>
      </c>
      <c r="E378" s="1777"/>
      <c r="F378" s="1777"/>
      <c r="G378" s="1777"/>
      <c r="H378" s="1777"/>
      <c r="I378" s="1777"/>
      <c r="J378" s="1777"/>
      <c r="K378" s="1777"/>
      <c r="L378" s="1777"/>
      <c r="M378" s="1777"/>
      <c r="N378" s="1777"/>
      <c r="O378" s="1777"/>
      <c r="P378" s="1777"/>
      <c r="Q378" s="1777"/>
      <c r="R378" s="1777"/>
      <c r="S378" s="1777"/>
      <c r="T378" s="1777"/>
      <c r="U378" s="1777"/>
      <c r="V378" s="1777"/>
      <c r="W378" s="1777"/>
      <c r="X378" s="1777"/>
      <c r="Y378" s="1777"/>
      <c r="Z378" s="1777"/>
      <c r="AA378" s="1777"/>
      <c r="AB378" s="1777"/>
      <c r="AC378" s="1777"/>
      <c r="AD378" s="1777"/>
      <c r="AE378" s="1777"/>
      <c r="AF378" s="1777"/>
      <c r="AG378" s="1777"/>
      <c r="AH378" s="1777"/>
      <c r="AI378" s="1777"/>
      <c r="AJ378" s="1778"/>
      <c r="AK378" s="3122">
        <f>'Unit Mix'!$V$8</f>
        <v>0</v>
      </c>
      <c r="AL378" s="1777"/>
      <c r="AM378" s="1778"/>
    </row>
    <row r="379" spans="2:39" ht="18" customHeight="1">
      <c r="B379" s="3026" t="s">
        <v>1325</v>
      </c>
      <c r="C379" s="1778"/>
      <c r="D379" s="3028" t="s">
        <v>2640</v>
      </c>
      <c r="E379" s="1777"/>
      <c r="F379" s="1777"/>
      <c r="G379" s="1777"/>
      <c r="H379" s="1777"/>
      <c r="I379" s="1777"/>
      <c r="J379" s="1777"/>
      <c r="K379" s="1777"/>
      <c r="L379" s="1777"/>
      <c r="M379" s="1777"/>
      <c r="N379" s="1777"/>
      <c r="O379" s="1777"/>
      <c r="P379" s="1777"/>
      <c r="Q379" s="1777"/>
      <c r="R379" s="1777"/>
      <c r="S379" s="1777"/>
      <c r="T379" s="1777"/>
      <c r="U379" s="1777"/>
      <c r="V379" s="1777"/>
      <c r="W379" s="1777"/>
      <c r="X379" s="1777"/>
      <c r="Y379" s="1777"/>
      <c r="Z379" s="1777"/>
      <c r="AA379" s="1777"/>
      <c r="AB379" s="1777"/>
      <c r="AC379" s="1777"/>
      <c r="AD379" s="1777"/>
      <c r="AE379" s="1777"/>
      <c r="AF379" s="1777"/>
      <c r="AG379" s="1777"/>
      <c r="AH379" s="1777"/>
      <c r="AI379" s="1777"/>
      <c r="AJ379" s="1778"/>
      <c r="AK379" s="3022"/>
      <c r="AL379" s="1861"/>
      <c r="AM379" s="1862"/>
    </row>
    <row r="380" spans="2:39" ht="18" customHeight="1">
      <c r="B380" s="3035" t="s">
        <v>2641</v>
      </c>
      <c r="C380" s="1778"/>
      <c r="D380" s="3145" t="s">
        <v>2642</v>
      </c>
      <c r="E380" s="1777"/>
      <c r="F380" s="1777"/>
      <c r="G380" s="1777"/>
      <c r="H380" s="1777"/>
      <c r="I380" s="1777"/>
      <c r="J380" s="1777"/>
      <c r="K380" s="1777"/>
      <c r="L380" s="1777"/>
      <c r="M380" s="1777"/>
      <c r="N380" s="1777"/>
      <c r="O380" s="1777"/>
      <c r="P380" s="1777"/>
      <c r="Q380" s="1777"/>
      <c r="R380" s="1777"/>
      <c r="S380" s="1777"/>
      <c r="T380" s="1777"/>
      <c r="U380" s="1777"/>
      <c r="V380" s="1777"/>
      <c r="W380" s="1777"/>
      <c r="X380" s="1777"/>
      <c r="Y380" s="1777"/>
      <c r="Z380" s="1777"/>
      <c r="AA380" s="1777"/>
      <c r="AB380" s="1777"/>
      <c r="AC380" s="1777"/>
      <c r="AD380" s="1777"/>
      <c r="AE380" s="1777"/>
      <c r="AF380" s="1777"/>
      <c r="AG380" s="1777"/>
      <c r="AH380" s="1777"/>
      <c r="AI380" s="1777"/>
      <c r="AJ380" s="1778"/>
      <c r="AK380" s="3093">
        <f>IF(AK379=0,0,AK378/AK379)</f>
        <v>0</v>
      </c>
      <c r="AL380" s="1777"/>
      <c r="AM380" s="1778"/>
    </row>
    <row r="381" spans="2:39" ht="18" customHeight="1">
      <c r="B381" s="3026" t="s">
        <v>2643</v>
      </c>
      <c r="C381" s="1778"/>
      <c r="D381" s="3028" t="s">
        <v>2644</v>
      </c>
      <c r="E381" s="1777"/>
      <c r="F381" s="1777"/>
      <c r="G381" s="1777"/>
      <c r="H381" s="1777"/>
      <c r="I381" s="1777"/>
      <c r="J381" s="1777"/>
      <c r="K381" s="1777"/>
      <c r="L381" s="1777"/>
      <c r="M381" s="1777"/>
      <c r="N381" s="1777"/>
      <c r="O381" s="1777"/>
      <c r="P381" s="1777"/>
      <c r="Q381" s="1777"/>
      <c r="R381" s="1777"/>
      <c r="S381" s="1777"/>
      <c r="T381" s="1777"/>
      <c r="U381" s="1777"/>
      <c r="V381" s="1777"/>
      <c r="W381" s="1777"/>
      <c r="X381" s="1777"/>
      <c r="Y381" s="1777"/>
      <c r="Z381" s="1777"/>
      <c r="AA381" s="1777"/>
      <c r="AB381" s="1777"/>
      <c r="AC381" s="1777"/>
      <c r="AD381" s="1777"/>
      <c r="AE381" s="1777"/>
      <c r="AF381" s="1777"/>
      <c r="AG381" s="1777"/>
      <c r="AH381" s="1777"/>
      <c r="AI381" s="1777"/>
      <c r="AJ381" s="1778"/>
      <c r="AK381" s="3122">
        <f>'Unit Mix'!$W$8</f>
        <v>0</v>
      </c>
      <c r="AL381" s="1777"/>
      <c r="AM381" s="1778"/>
    </row>
    <row r="382" spans="2:39" ht="18" customHeight="1">
      <c r="B382" s="3026" t="s">
        <v>2645</v>
      </c>
      <c r="C382" s="1778"/>
      <c r="D382" s="3028" t="s">
        <v>2646</v>
      </c>
      <c r="E382" s="1777"/>
      <c r="F382" s="1777"/>
      <c r="G382" s="1777"/>
      <c r="H382" s="1777"/>
      <c r="I382" s="1777"/>
      <c r="J382" s="1777"/>
      <c r="K382" s="1777"/>
      <c r="L382" s="1777"/>
      <c r="M382" s="1777"/>
      <c r="N382" s="1777"/>
      <c r="O382" s="1777"/>
      <c r="P382" s="1777"/>
      <c r="Q382" s="1777"/>
      <c r="R382" s="1777"/>
      <c r="S382" s="1777"/>
      <c r="T382" s="1777"/>
      <c r="U382" s="1777"/>
      <c r="V382" s="1777"/>
      <c r="W382" s="1777"/>
      <c r="X382" s="1777"/>
      <c r="Y382" s="1777"/>
      <c r="Z382" s="1777"/>
      <c r="AA382" s="1777"/>
      <c r="AB382" s="1777"/>
      <c r="AC382" s="1777"/>
      <c r="AD382" s="1777"/>
      <c r="AE382" s="1777"/>
      <c r="AF382" s="1777"/>
      <c r="AG382" s="1777"/>
      <c r="AH382" s="1777"/>
      <c r="AI382" s="1777"/>
      <c r="AJ382" s="1778"/>
      <c r="AK382" s="3022"/>
      <c r="AL382" s="1861"/>
      <c r="AM382" s="1862"/>
    </row>
    <row r="383" spans="2:39" ht="18" customHeight="1">
      <c r="B383" s="3035" t="s">
        <v>1314</v>
      </c>
      <c r="C383" s="1778"/>
      <c r="D383" s="3145" t="s">
        <v>2647</v>
      </c>
      <c r="E383" s="1777"/>
      <c r="F383" s="1777"/>
      <c r="G383" s="1777"/>
      <c r="H383" s="1777"/>
      <c r="I383" s="1777"/>
      <c r="J383" s="1777"/>
      <c r="K383" s="1777"/>
      <c r="L383" s="1777"/>
      <c r="M383" s="1777"/>
      <c r="N383" s="1777"/>
      <c r="O383" s="1777"/>
      <c r="P383" s="1777"/>
      <c r="Q383" s="1777"/>
      <c r="R383" s="1777"/>
      <c r="S383" s="1777"/>
      <c r="T383" s="1777"/>
      <c r="U383" s="1777"/>
      <c r="V383" s="1777"/>
      <c r="W383" s="1777"/>
      <c r="X383" s="1777"/>
      <c r="Y383" s="1777"/>
      <c r="Z383" s="1777"/>
      <c r="AA383" s="1777"/>
      <c r="AB383" s="1777"/>
      <c r="AC383" s="1777"/>
      <c r="AD383" s="1777"/>
      <c r="AE383" s="1777"/>
      <c r="AF383" s="1777"/>
      <c r="AG383" s="1777"/>
      <c r="AH383" s="1777"/>
      <c r="AI383" s="1777"/>
      <c r="AJ383" s="1778"/>
      <c r="AK383" s="3093">
        <f>IF(AK382=0,0,AK381/AK382)</f>
        <v>0</v>
      </c>
      <c r="AL383" s="1777"/>
      <c r="AM383" s="1778"/>
    </row>
    <row r="384" spans="2:39" s="397" customFormat="1" ht="36" customHeight="1">
      <c r="B384" s="3139" t="s">
        <v>2648</v>
      </c>
      <c r="C384" s="3015"/>
      <c r="D384" s="3015"/>
      <c r="E384" s="3015"/>
      <c r="F384" s="3015"/>
      <c r="G384" s="3015"/>
      <c r="H384" s="3015"/>
      <c r="I384" s="3015"/>
      <c r="J384" s="3015"/>
      <c r="K384" s="3015"/>
      <c r="L384" s="3015"/>
      <c r="M384" s="3015"/>
      <c r="N384" s="3015"/>
      <c r="O384" s="3015"/>
      <c r="P384" s="3015"/>
      <c r="Q384" s="3015"/>
      <c r="R384" s="3015"/>
      <c r="S384" s="3015"/>
      <c r="T384" s="3015"/>
      <c r="U384" s="3015"/>
      <c r="V384" s="3015"/>
      <c r="W384" s="3015"/>
      <c r="X384" s="3015"/>
      <c r="Y384" s="3015"/>
      <c r="Z384" s="3015"/>
      <c r="AA384" s="3015"/>
      <c r="AB384" s="3015"/>
      <c r="AC384" s="3015"/>
      <c r="AD384" s="3015"/>
      <c r="AE384" s="3015"/>
      <c r="AF384" s="3015"/>
      <c r="AG384" s="3015"/>
      <c r="AH384" s="3015"/>
      <c r="AI384" s="3015"/>
      <c r="AJ384" s="3015"/>
      <c r="AK384" s="3015"/>
      <c r="AL384" s="3015"/>
      <c r="AM384" s="3015"/>
    </row>
    <row r="385" spans="2:39" ht="75" customHeight="1">
      <c r="B385" s="3023"/>
      <c r="C385" s="1861"/>
      <c r="D385" s="1861"/>
      <c r="E385" s="1861"/>
      <c r="F385" s="1861"/>
      <c r="G385" s="1861"/>
      <c r="H385" s="1861"/>
      <c r="I385" s="1861"/>
      <c r="J385" s="1861"/>
      <c r="K385" s="1861"/>
      <c r="L385" s="1861"/>
      <c r="M385" s="1861"/>
      <c r="N385" s="1861"/>
      <c r="O385" s="1861"/>
      <c r="P385" s="1861"/>
      <c r="Q385" s="1861"/>
      <c r="R385" s="1861"/>
      <c r="S385" s="1861"/>
      <c r="T385" s="1861"/>
      <c r="U385" s="1861"/>
      <c r="V385" s="1861"/>
      <c r="W385" s="1861"/>
      <c r="X385" s="1861"/>
      <c r="Y385" s="1861"/>
      <c r="Z385" s="1861"/>
      <c r="AA385" s="1861"/>
      <c r="AB385" s="1861"/>
      <c r="AC385" s="1861"/>
      <c r="AD385" s="1861"/>
      <c r="AE385" s="1861"/>
      <c r="AF385" s="1861"/>
      <c r="AG385" s="1861"/>
      <c r="AH385" s="1861"/>
      <c r="AI385" s="1861"/>
      <c r="AJ385" s="1861"/>
      <c r="AK385" s="1861"/>
      <c r="AL385" s="1861"/>
      <c r="AM385" s="1862"/>
    </row>
    <row r="386" spans="2:39" s="384" customFormat="1" ht="18" customHeight="1"/>
    <row r="387" spans="2:39" ht="18" customHeight="1">
      <c r="B387" s="3081" t="s">
        <v>2649</v>
      </c>
      <c r="C387" s="3021"/>
      <c r="D387" s="3021"/>
      <c r="E387" s="3021"/>
      <c r="F387" s="3021"/>
      <c r="G387" s="3021"/>
      <c r="H387" s="3021"/>
      <c r="I387" s="1935"/>
      <c r="J387" s="3021"/>
      <c r="K387" s="3021"/>
      <c r="L387" s="3021"/>
      <c r="M387" s="3021"/>
      <c r="N387" s="3021"/>
      <c r="O387" s="3021"/>
      <c r="P387" s="3021"/>
      <c r="Q387" s="3021"/>
      <c r="R387" s="3021"/>
      <c r="S387" s="3021"/>
      <c r="T387" s="3021"/>
      <c r="U387" s="3021"/>
      <c r="V387" s="3021"/>
      <c r="W387" s="3021"/>
      <c r="X387" s="3021"/>
      <c r="Y387" s="3021"/>
      <c r="Z387" s="3021"/>
      <c r="AA387" s="3021"/>
      <c r="AB387" s="3021"/>
      <c r="AC387" s="3021"/>
      <c r="AD387" s="3021"/>
      <c r="AE387" s="3021"/>
      <c r="AF387" s="3021"/>
      <c r="AG387" s="3021"/>
      <c r="AH387" s="3021"/>
      <c r="AI387" s="3021"/>
      <c r="AJ387" s="3021"/>
      <c r="AK387" s="3021"/>
      <c r="AL387" s="3021"/>
      <c r="AM387" s="3021"/>
    </row>
    <row r="388" spans="2:39" ht="18" customHeight="1">
      <c r="B388" s="3081" t="s">
        <v>2650</v>
      </c>
      <c r="C388" s="3021"/>
      <c r="D388" s="3021"/>
      <c r="E388" s="3021"/>
      <c r="F388" s="3021"/>
      <c r="G388" s="3021"/>
      <c r="H388" s="3021"/>
      <c r="I388" s="1935"/>
      <c r="J388" s="3021"/>
      <c r="K388" s="3021"/>
      <c r="L388" s="3021"/>
      <c r="M388" s="3021"/>
      <c r="N388" s="3021"/>
      <c r="O388" s="3021"/>
      <c r="P388" s="3021"/>
      <c r="Q388" s="3021"/>
      <c r="R388" s="3021"/>
      <c r="S388" s="3021"/>
      <c r="T388" s="3021"/>
      <c r="U388" s="3021"/>
      <c r="V388" s="3021"/>
      <c r="W388" s="3021"/>
      <c r="X388" s="3021"/>
      <c r="Y388" s="3021"/>
      <c r="Z388" s="3021"/>
      <c r="AA388" s="3021"/>
      <c r="AB388" s="3021"/>
      <c r="AC388" s="3021"/>
      <c r="AD388" s="3021"/>
      <c r="AE388" s="3021"/>
      <c r="AF388" s="3021"/>
      <c r="AG388" s="3021"/>
      <c r="AH388" s="3021"/>
      <c r="AI388" s="3021"/>
      <c r="AJ388" s="3021"/>
      <c r="AK388" s="3021"/>
      <c r="AL388" s="3021"/>
      <c r="AM388" s="3021"/>
    </row>
    <row r="389" spans="2:39" ht="78" customHeight="1">
      <c r="B389" s="2181" t="s">
        <v>2651</v>
      </c>
      <c r="C389" s="3021"/>
      <c r="D389" s="3021"/>
      <c r="E389" s="3021"/>
      <c r="F389" s="3021"/>
      <c r="G389" s="3021"/>
      <c r="H389" s="3021"/>
      <c r="I389" s="1935"/>
      <c r="J389" s="3021"/>
      <c r="K389" s="3021"/>
      <c r="L389" s="3021"/>
      <c r="M389" s="3021"/>
      <c r="N389" s="3021"/>
      <c r="O389" s="3021"/>
      <c r="P389" s="3021"/>
      <c r="Q389" s="3021"/>
      <c r="R389" s="3021"/>
      <c r="S389" s="3021"/>
      <c r="T389" s="3021"/>
      <c r="U389" s="3021"/>
      <c r="V389" s="3021"/>
      <c r="W389" s="3021"/>
      <c r="X389" s="3021"/>
      <c r="Y389" s="3021"/>
      <c r="Z389" s="3021"/>
      <c r="AA389" s="3021"/>
      <c r="AB389" s="3021"/>
      <c r="AC389" s="3021"/>
      <c r="AD389" s="3021"/>
      <c r="AE389" s="3021"/>
      <c r="AF389" s="3021"/>
      <c r="AG389" s="3021"/>
      <c r="AH389" s="3021"/>
      <c r="AI389" s="3021"/>
      <c r="AJ389" s="3021"/>
      <c r="AK389" s="3021"/>
      <c r="AL389" s="3021"/>
      <c r="AM389" s="3021"/>
    </row>
    <row r="390" spans="2:39" s="402" customFormat="1" ht="65.099999999999994" customHeight="1">
      <c r="B390" s="2181" t="s">
        <v>2652</v>
      </c>
      <c r="C390" s="3192"/>
      <c r="D390" s="3192"/>
      <c r="E390" s="3192"/>
      <c r="F390" s="3192"/>
      <c r="G390" s="3192"/>
      <c r="H390" s="3192"/>
      <c r="I390" s="3192"/>
      <c r="J390" s="3192"/>
      <c r="K390" s="3192"/>
      <c r="L390" s="3192"/>
      <c r="M390" s="3192"/>
      <c r="N390" s="3192"/>
      <c r="O390" s="3192"/>
      <c r="P390" s="3192"/>
      <c r="Q390" s="3192"/>
      <c r="R390" s="3192"/>
      <c r="S390" s="3192"/>
      <c r="T390" s="3192"/>
      <c r="U390" s="3192"/>
      <c r="V390" s="3192"/>
      <c r="W390" s="3192"/>
      <c r="X390" s="3192"/>
      <c r="Y390" s="3192"/>
      <c r="Z390" s="3192"/>
      <c r="AA390" s="3192"/>
      <c r="AB390" s="3192"/>
      <c r="AC390" s="3192"/>
      <c r="AD390" s="3192"/>
      <c r="AE390" s="3192"/>
      <c r="AF390" s="3192"/>
      <c r="AG390" s="3192"/>
      <c r="AH390" s="3192"/>
      <c r="AI390" s="3192"/>
      <c r="AJ390" s="3192"/>
      <c r="AK390" s="3192"/>
      <c r="AL390" s="3192"/>
      <c r="AM390" s="3192"/>
    </row>
    <row r="391" spans="2:39" ht="36" customHeight="1">
      <c r="B391" s="2451" t="s">
        <v>2653</v>
      </c>
      <c r="C391" s="1777"/>
      <c r="D391" s="1777"/>
      <c r="E391" s="1777"/>
      <c r="F391" s="1777"/>
      <c r="G391" s="1777"/>
      <c r="H391" s="1777"/>
      <c r="I391" s="1777"/>
      <c r="J391" s="1777"/>
      <c r="K391" s="1777"/>
      <c r="L391" s="1777"/>
      <c r="M391" s="1777"/>
      <c r="N391" s="1777"/>
      <c r="O391" s="1777"/>
      <c r="P391" s="1777"/>
      <c r="Q391" s="1777"/>
      <c r="R391" s="1777"/>
      <c r="S391" s="1777"/>
      <c r="T391" s="1777"/>
      <c r="U391" s="1778"/>
      <c r="V391" s="3047" t="s">
        <v>2335</v>
      </c>
      <c r="W391" s="1777"/>
      <c r="X391" s="1778"/>
      <c r="Y391" s="3047" t="s">
        <v>1096</v>
      </c>
      <c r="Z391" s="1777"/>
      <c r="AA391" s="1778"/>
      <c r="AB391" s="3047" t="s">
        <v>2336</v>
      </c>
      <c r="AC391" s="1777"/>
      <c r="AD391" s="1777"/>
      <c r="AE391" s="1777"/>
      <c r="AF391" s="1777"/>
      <c r="AG391" s="1778"/>
      <c r="AH391" s="3047" t="s">
        <v>2337</v>
      </c>
      <c r="AI391" s="1777"/>
      <c r="AJ391" s="1777"/>
      <c r="AK391" s="1778"/>
    </row>
    <row r="392" spans="2:39" ht="17.25" customHeight="1">
      <c r="B392" s="3106"/>
      <c r="C392" s="1861"/>
      <c r="D392" s="1861"/>
      <c r="E392" s="1861"/>
      <c r="F392" s="1861"/>
      <c r="G392" s="1861"/>
      <c r="H392" s="1861"/>
      <c r="I392" s="1861"/>
      <c r="J392" s="1861"/>
      <c r="K392" s="1861"/>
      <c r="L392" s="1861"/>
      <c r="M392" s="1861"/>
      <c r="N392" s="1861"/>
      <c r="O392" s="1861"/>
      <c r="P392" s="1861"/>
      <c r="Q392" s="1861"/>
      <c r="R392" s="1861"/>
      <c r="S392" s="1861"/>
      <c r="T392" s="1861"/>
      <c r="U392" s="1862"/>
      <c r="V392" s="3041"/>
      <c r="W392" s="1861"/>
      <c r="X392" s="1862"/>
      <c r="Y392" s="3020"/>
      <c r="Z392" s="1861"/>
      <c r="AA392" s="1862"/>
      <c r="AB392" s="3020"/>
      <c r="AC392" s="1861"/>
      <c r="AD392" s="1861"/>
      <c r="AE392" s="1861"/>
      <c r="AF392" s="1861"/>
      <c r="AG392" s="1862"/>
      <c r="AH392" s="3095">
        <f>IF($V$396=0,0,V392/$V$396)</f>
        <v>0</v>
      </c>
      <c r="AI392" s="1777"/>
      <c r="AJ392" s="1777"/>
      <c r="AK392" s="1778"/>
    </row>
    <row r="393" spans="2:39" ht="17.25" customHeight="1">
      <c r="B393" s="3106"/>
      <c r="C393" s="1861"/>
      <c r="D393" s="1861"/>
      <c r="E393" s="1861"/>
      <c r="F393" s="1861"/>
      <c r="G393" s="1861"/>
      <c r="H393" s="1861"/>
      <c r="I393" s="1861"/>
      <c r="J393" s="1861"/>
      <c r="K393" s="1861"/>
      <c r="L393" s="1861"/>
      <c r="M393" s="1861"/>
      <c r="N393" s="1861"/>
      <c r="O393" s="1861"/>
      <c r="P393" s="1861"/>
      <c r="Q393" s="1861"/>
      <c r="R393" s="1861"/>
      <c r="S393" s="1861"/>
      <c r="T393" s="1861"/>
      <c r="U393" s="1862"/>
      <c r="V393" s="3041"/>
      <c r="W393" s="1861"/>
      <c r="X393" s="1862"/>
      <c r="Y393" s="3020"/>
      <c r="Z393" s="1861"/>
      <c r="AA393" s="1862"/>
      <c r="AB393" s="3020"/>
      <c r="AC393" s="1861"/>
      <c r="AD393" s="1861"/>
      <c r="AE393" s="1861"/>
      <c r="AF393" s="1861"/>
      <c r="AG393" s="1862"/>
      <c r="AH393" s="3095">
        <f>IF($V$396=0,0,V393/$V$396)</f>
        <v>0</v>
      </c>
      <c r="AI393" s="1777"/>
      <c r="AJ393" s="1777"/>
      <c r="AK393" s="1778"/>
    </row>
    <row r="394" spans="2:39" ht="17.25" customHeight="1">
      <c r="B394" s="3106"/>
      <c r="C394" s="1861"/>
      <c r="D394" s="1861"/>
      <c r="E394" s="1861"/>
      <c r="F394" s="1861"/>
      <c r="G394" s="1861"/>
      <c r="H394" s="1861"/>
      <c r="I394" s="1861"/>
      <c r="J394" s="1861"/>
      <c r="K394" s="1861"/>
      <c r="L394" s="1861"/>
      <c r="M394" s="1861"/>
      <c r="N394" s="1861"/>
      <c r="O394" s="1861"/>
      <c r="P394" s="1861"/>
      <c r="Q394" s="1861"/>
      <c r="R394" s="1861"/>
      <c r="S394" s="1861"/>
      <c r="T394" s="1861"/>
      <c r="U394" s="1862"/>
      <c r="V394" s="3041"/>
      <c r="W394" s="1861"/>
      <c r="X394" s="1862"/>
      <c r="Y394" s="3020"/>
      <c r="Z394" s="1861"/>
      <c r="AA394" s="1862"/>
      <c r="AB394" s="3020"/>
      <c r="AC394" s="1861"/>
      <c r="AD394" s="1861"/>
      <c r="AE394" s="1861"/>
      <c r="AF394" s="1861"/>
      <c r="AG394" s="1862"/>
      <c r="AH394" s="3095">
        <f>IF($V$396=0,0,V394/$V$396)</f>
        <v>0</v>
      </c>
      <c r="AI394" s="1777"/>
      <c r="AJ394" s="1777"/>
      <c r="AK394" s="1778"/>
    </row>
    <row r="395" spans="2:39" ht="17.25" customHeight="1">
      <c r="B395" s="3106"/>
      <c r="C395" s="1861"/>
      <c r="D395" s="1861"/>
      <c r="E395" s="1861"/>
      <c r="F395" s="1861"/>
      <c r="G395" s="1861"/>
      <c r="H395" s="1861"/>
      <c r="I395" s="1861"/>
      <c r="J395" s="1861"/>
      <c r="K395" s="1861"/>
      <c r="L395" s="1861"/>
      <c r="M395" s="1861"/>
      <c r="N395" s="1861"/>
      <c r="O395" s="1861"/>
      <c r="P395" s="1861"/>
      <c r="Q395" s="1861"/>
      <c r="R395" s="1861"/>
      <c r="S395" s="1861"/>
      <c r="T395" s="1861"/>
      <c r="U395" s="1862"/>
      <c r="V395" s="3041"/>
      <c r="W395" s="1861"/>
      <c r="X395" s="1862"/>
      <c r="Y395" s="3020"/>
      <c r="Z395" s="1861"/>
      <c r="AA395" s="1862"/>
      <c r="AB395" s="3020"/>
      <c r="AC395" s="1861"/>
      <c r="AD395" s="1861"/>
      <c r="AE395" s="1861"/>
      <c r="AF395" s="1861"/>
      <c r="AG395" s="1862"/>
      <c r="AH395" s="3095">
        <f>IF($V$396=0,0,V395/$V$396)</f>
        <v>0</v>
      </c>
      <c r="AI395" s="1777"/>
      <c r="AJ395" s="1777"/>
      <c r="AK395" s="1778"/>
    </row>
    <row r="396" spans="2:39" ht="17.25" customHeight="1">
      <c r="B396" s="3133" t="s">
        <v>2338</v>
      </c>
      <c r="C396" s="1777"/>
      <c r="D396" s="1777"/>
      <c r="E396" s="1777"/>
      <c r="F396" s="1777"/>
      <c r="G396" s="1777"/>
      <c r="H396" s="1777"/>
      <c r="I396" s="1777"/>
      <c r="J396" s="1777"/>
      <c r="K396" s="1777"/>
      <c r="L396" s="1777"/>
      <c r="M396" s="1777"/>
      <c r="N396" s="1777"/>
      <c r="O396" s="1777"/>
      <c r="P396" s="1777"/>
      <c r="Q396" s="1777"/>
      <c r="R396" s="1777"/>
      <c r="S396" s="1777"/>
      <c r="T396" s="1777"/>
      <c r="U396" s="1778"/>
      <c r="V396" s="3156">
        <f>SUM(V392:X395)</f>
        <v>0</v>
      </c>
      <c r="W396" s="1777"/>
      <c r="X396" s="1778"/>
      <c r="Y396" s="3035"/>
      <c r="Z396" s="1777"/>
      <c r="AA396" s="1777"/>
      <c r="AB396" s="1777"/>
      <c r="AC396" s="1777"/>
      <c r="AD396" s="1777"/>
      <c r="AE396" s="1777"/>
      <c r="AF396" s="1777"/>
      <c r="AG396" s="1778"/>
      <c r="AH396" s="3108">
        <f>SUM(AH392:AK395)</f>
        <v>0</v>
      </c>
      <c r="AI396" s="1777"/>
      <c r="AJ396" s="1777"/>
      <c r="AK396" s="1778"/>
    </row>
    <row r="397" spans="2:39" ht="36" customHeight="1">
      <c r="B397" s="3145" t="s">
        <v>2339</v>
      </c>
      <c r="C397" s="1777"/>
      <c r="D397" s="1777"/>
      <c r="E397" s="1777"/>
      <c r="F397" s="1777"/>
      <c r="G397" s="1777"/>
      <c r="H397" s="1777"/>
      <c r="I397" s="1777"/>
      <c r="J397" s="1777"/>
      <c r="K397" s="1777"/>
      <c r="L397" s="1777"/>
      <c r="M397" s="1777"/>
      <c r="N397" s="1777"/>
      <c r="O397" s="1777"/>
      <c r="P397" s="1777"/>
      <c r="Q397" s="1777"/>
      <c r="R397" s="1777"/>
      <c r="S397" s="1777"/>
      <c r="T397" s="1777"/>
      <c r="U397" s="1778"/>
      <c r="V397" s="3047" t="s">
        <v>2335</v>
      </c>
      <c r="W397" s="1777"/>
      <c r="X397" s="1778"/>
      <c r="Y397" s="3047" t="s">
        <v>1096</v>
      </c>
      <c r="Z397" s="1777"/>
      <c r="AA397" s="1778"/>
      <c r="AB397" s="3047" t="s">
        <v>2336</v>
      </c>
      <c r="AC397" s="1777"/>
      <c r="AD397" s="1777"/>
      <c r="AE397" s="1777"/>
      <c r="AF397" s="1777"/>
      <c r="AG397" s="1778"/>
      <c r="AH397" s="3047" t="s">
        <v>2337</v>
      </c>
      <c r="AI397" s="1777"/>
      <c r="AJ397" s="1777"/>
      <c r="AK397" s="1778"/>
    </row>
    <row r="398" spans="2:39" ht="36" customHeight="1">
      <c r="B398" s="3028" t="s">
        <v>2340</v>
      </c>
      <c r="C398" s="1777"/>
      <c r="D398" s="1777"/>
      <c r="E398" s="1777"/>
      <c r="F398" s="1777"/>
      <c r="G398" s="1777"/>
      <c r="H398" s="1777"/>
      <c r="I398" s="1777"/>
      <c r="J398" s="1777"/>
      <c r="K398" s="1777"/>
      <c r="L398" s="1777"/>
      <c r="M398" s="1777"/>
      <c r="N398" s="1777"/>
      <c r="O398" s="1777"/>
      <c r="P398" s="1777"/>
      <c r="Q398" s="1777"/>
      <c r="R398" s="1777"/>
      <c r="S398" s="1777"/>
      <c r="T398" s="1777"/>
      <c r="U398" s="1778"/>
      <c r="V398" s="3127"/>
      <c r="W398" s="1777"/>
      <c r="X398" s="1778"/>
      <c r="Y398" s="3127"/>
      <c r="Z398" s="1777"/>
      <c r="AA398" s="1778"/>
      <c r="AB398" s="3127"/>
      <c r="AC398" s="1777"/>
      <c r="AD398" s="1777"/>
      <c r="AE398" s="1777"/>
      <c r="AF398" s="1777"/>
      <c r="AG398" s="1778"/>
      <c r="AH398" s="3127"/>
      <c r="AI398" s="1777"/>
      <c r="AJ398" s="1777"/>
      <c r="AK398" s="1778"/>
    </row>
    <row r="399" spans="2:39" ht="18" customHeight="1">
      <c r="B399" s="3129" t="s">
        <v>2341</v>
      </c>
      <c r="C399" s="1861"/>
      <c r="D399" s="1861"/>
      <c r="E399" s="1861"/>
      <c r="F399" s="1861"/>
      <c r="G399" s="1861"/>
      <c r="H399" s="1861"/>
      <c r="I399" s="1861"/>
      <c r="J399" s="1861"/>
      <c r="K399" s="1861"/>
      <c r="L399" s="1861"/>
      <c r="M399" s="1861"/>
      <c r="N399" s="1861"/>
      <c r="O399" s="1861"/>
      <c r="P399" s="1861"/>
      <c r="Q399" s="1862"/>
      <c r="R399" s="3026" t="s">
        <v>2342</v>
      </c>
      <c r="S399" s="1778"/>
      <c r="T399" s="3022"/>
      <c r="U399" s="1862"/>
      <c r="V399" s="3041"/>
      <c r="W399" s="1861"/>
      <c r="X399" s="1862"/>
      <c r="Y399" s="3020"/>
      <c r="Z399" s="1861"/>
      <c r="AA399" s="1862"/>
      <c r="AB399" s="3020"/>
      <c r="AC399" s="1861"/>
      <c r="AD399" s="1861"/>
      <c r="AE399" s="1861"/>
      <c r="AF399" s="1861"/>
      <c r="AG399" s="1862"/>
      <c r="AH399" s="3095">
        <f>IF($V$404=0,0,V399/$V$404)</f>
        <v>0</v>
      </c>
      <c r="AI399" s="1777"/>
      <c r="AJ399" s="1777"/>
      <c r="AK399" s="1778"/>
    </row>
    <row r="400" spans="2:39" ht="18" customHeight="1">
      <c r="B400" s="3129" t="s">
        <v>2341</v>
      </c>
      <c r="C400" s="1861"/>
      <c r="D400" s="1861"/>
      <c r="E400" s="1861"/>
      <c r="F400" s="1861"/>
      <c r="G400" s="1861"/>
      <c r="H400" s="1861"/>
      <c r="I400" s="1861"/>
      <c r="J400" s="1861"/>
      <c r="K400" s="1861"/>
      <c r="L400" s="1861"/>
      <c r="M400" s="1861"/>
      <c r="N400" s="1861"/>
      <c r="O400" s="1861"/>
      <c r="P400" s="1861"/>
      <c r="Q400" s="1862"/>
      <c r="R400" s="3026" t="s">
        <v>2342</v>
      </c>
      <c r="S400" s="1778"/>
      <c r="T400" s="3022"/>
      <c r="U400" s="1862"/>
      <c r="V400" s="3041"/>
      <c r="W400" s="1861"/>
      <c r="X400" s="1862"/>
      <c r="Y400" s="3020"/>
      <c r="Z400" s="1861"/>
      <c r="AA400" s="1862"/>
      <c r="AB400" s="3020"/>
      <c r="AC400" s="1861"/>
      <c r="AD400" s="1861"/>
      <c r="AE400" s="1861"/>
      <c r="AF400" s="1861"/>
      <c r="AG400" s="1862"/>
      <c r="AH400" s="3095">
        <f>IF($V$404=0,0,V400/$V$404)</f>
        <v>0</v>
      </c>
      <c r="AI400" s="1777"/>
      <c r="AJ400" s="1777"/>
      <c r="AK400" s="1778"/>
    </row>
    <row r="401" spans="2:37" ht="18" customHeight="1">
      <c r="B401" s="3129" t="s">
        <v>2341</v>
      </c>
      <c r="C401" s="1861"/>
      <c r="D401" s="1861"/>
      <c r="E401" s="1861"/>
      <c r="F401" s="1861"/>
      <c r="G401" s="1861"/>
      <c r="H401" s="1861"/>
      <c r="I401" s="1861"/>
      <c r="J401" s="1861"/>
      <c r="K401" s="1861"/>
      <c r="L401" s="1861"/>
      <c r="M401" s="1861"/>
      <c r="N401" s="1861"/>
      <c r="O401" s="1861"/>
      <c r="P401" s="1861"/>
      <c r="Q401" s="1862"/>
      <c r="R401" s="3026" t="s">
        <v>2342</v>
      </c>
      <c r="S401" s="1778"/>
      <c r="T401" s="3022"/>
      <c r="U401" s="1862"/>
      <c r="V401" s="3041"/>
      <c r="W401" s="1861"/>
      <c r="X401" s="1862"/>
      <c r="Y401" s="3020"/>
      <c r="Z401" s="1861"/>
      <c r="AA401" s="1862"/>
      <c r="AB401" s="3020"/>
      <c r="AC401" s="1861"/>
      <c r="AD401" s="1861"/>
      <c r="AE401" s="1861"/>
      <c r="AF401" s="1861"/>
      <c r="AG401" s="1862"/>
      <c r="AH401" s="3095">
        <f>IF($V$404=0,0,V401/$V$404)</f>
        <v>0</v>
      </c>
      <c r="AI401" s="1777"/>
      <c r="AJ401" s="1777"/>
      <c r="AK401" s="1778"/>
    </row>
    <row r="402" spans="2:37" ht="18" customHeight="1">
      <c r="B402" s="3129" t="s">
        <v>2341</v>
      </c>
      <c r="C402" s="1861"/>
      <c r="D402" s="1861"/>
      <c r="E402" s="1861"/>
      <c r="F402" s="1861"/>
      <c r="G402" s="1861"/>
      <c r="H402" s="1861"/>
      <c r="I402" s="1861"/>
      <c r="J402" s="1861"/>
      <c r="K402" s="1861"/>
      <c r="L402" s="1861"/>
      <c r="M402" s="1861"/>
      <c r="N402" s="1861"/>
      <c r="O402" s="1861"/>
      <c r="P402" s="1861"/>
      <c r="Q402" s="1862"/>
      <c r="R402" s="3026" t="s">
        <v>2342</v>
      </c>
      <c r="S402" s="1778"/>
      <c r="T402" s="3022"/>
      <c r="U402" s="1862"/>
      <c r="V402" s="3041"/>
      <c r="W402" s="1861"/>
      <c r="X402" s="1862"/>
      <c r="Y402" s="3020"/>
      <c r="Z402" s="1861"/>
      <c r="AA402" s="1862"/>
      <c r="AB402" s="3020"/>
      <c r="AC402" s="1861"/>
      <c r="AD402" s="1861"/>
      <c r="AE402" s="1861"/>
      <c r="AF402" s="1861"/>
      <c r="AG402" s="1862"/>
      <c r="AH402" s="3095">
        <f>IF($V$404=0,0,V402/$V$404)</f>
        <v>0</v>
      </c>
      <c r="AI402" s="1777"/>
      <c r="AJ402" s="1777"/>
      <c r="AK402" s="1778"/>
    </row>
    <row r="403" spans="2:37" ht="18" customHeight="1">
      <c r="B403" s="3075" t="s">
        <v>2343</v>
      </c>
      <c r="C403" s="1777"/>
      <c r="D403" s="1777"/>
      <c r="E403" s="1777"/>
      <c r="F403" s="1777"/>
      <c r="G403" s="1777"/>
      <c r="H403" s="1777"/>
      <c r="I403" s="1777"/>
      <c r="J403" s="1777"/>
      <c r="K403" s="1777"/>
      <c r="L403" s="1777"/>
      <c r="M403" s="1777"/>
      <c r="N403" s="1777"/>
      <c r="O403" s="1777"/>
      <c r="P403" s="1777"/>
      <c r="Q403" s="1777"/>
      <c r="R403" s="1777"/>
      <c r="S403" s="1777"/>
      <c r="T403" s="1777"/>
      <c r="U403" s="1778"/>
      <c r="V403" s="3041"/>
      <c r="W403" s="1861"/>
      <c r="X403" s="1862"/>
      <c r="Y403" s="3020"/>
      <c r="Z403" s="1861"/>
      <c r="AA403" s="1862"/>
      <c r="AB403" s="3020"/>
      <c r="AC403" s="1861"/>
      <c r="AD403" s="1861"/>
      <c r="AE403" s="1861"/>
      <c r="AF403" s="1861"/>
      <c r="AG403" s="1862"/>
      <c r="AH403" s="3095">
        <f>IF($V$404=0,0,V403/$V$404)</f>
        <v>0</v>
      </c>
      <c r="AI403" s="1777"/>
      <c r="AJ403" s="1777"/>
      <c r="AK403" s="1778"/>
    </row>
    <row r="404" spans="2:37" ht="18" customHeight="1">
      <c r="B404" s="3114" t="s">
        <v>2344</v>
      </c>
      <c r="C404" s="1777"/>
      <c r="D404" s="1777"/>
      <c r="E404" s="1777"/>
      <c r="F404" s="1777"/>
      <c r="G404" s="1777"/>
      <c r="H404" s="1777"/>
      <c r="I404" s="1777"/>
      <c r="J404" s="1777"/>
      <c r="K404" s="1777"/>
      <c r="L404" s="1777"/>
      <c r="M404" s="1777"/>
      <c r="N404" s="1777"/>
      <c r="O404" s="1777"/>
      <c r="P404" s="1777"/>
      <c r="Q404" s="1777"/>
      <c r="R404" s="1777"/>
      <c r="S404" s="1777"/>
      <c r="T404" s="1777"/>
      <c r="U404" s="1778"/>
      <c r="V404" s="3156">
        <f>SUM(V398:X403)</f>
        <v>0</v>
      </c>
      <c r="W404" s="1777"/>
      <c r="X404" s="1778"/>
      <c r="Y404" s="3017"/>
      <c r="Z404" s="1777"/>
      <c r="AA404" s="1778"/>
      <c r="AB404" s="3017"/>
      <c r="AC404" s="1777"/>
      <c r="AD404" s="1777"/>
      <c r="AE404" s="1777"/>
      <c r="AF404" s="1777"/>
      <c r="AG404" s="1778"/>
      <c r="AH404" s="3187">
        <f t="shared" ref="AH404:AH416" si="7">IF($V$417=0,0,V404/$V$417)</f>
        <v>0</v>
      </c>
      <c r="AI404" s="1777"/>
      <c r="AJ404" s="1777"/>
      <c r="AK404" s="1778"/>
    </row>
    <row r="405" spans="2:37" ht="18" customHeight="1">
      <c r="B405" s="3096" t="s">
        <v>2654</v>
      </c>
      <c r="C405" s="1777"/>
      <c r="D405" s="1777"/>
      <c r="E405" s="1777"/>
      <c r="F405" s="1777"/>
      <c r="G405" s="1777"/>
      <c r="H405" s="1777"/>
      <c r="I405" s="1777"/>
      <c r="J405" s="1777"/>
      <c r="K405" s="1777"/>
      <c r="L405" s="1777"/>
      <c r="M405" s="1777"/>
      <c r="N405" s="1777"/>
      <c r="O405" s="1777"/>
      <c r="P405" s="1777"/>
      <c r="Q405" s="1777"/>
      <c r="R405" s="1777"/>
      <c r="S405" s="1777"/>
      <c r="T405" s="1777"/>
      <c r="U405" s="1778"/>
      <c r="V405" s="3041"/>
      <c r="W405" s="1861"/>
      <c r="X405" s="1862"/>
      <c r="Y405" s="3020"/>
      <c r="Z405" s="1861"/>
      <c r="AA405" s="1862"/>
      <c r="AB405" s="3020"/>
      <c r="AC405" s="1861"/>
      <c r="AD405" s="1861"/>
      <c r="AE405" s="1861"/>
      <c r="AF405" s="1861"/>
      <c r="AG405" s="1862"/>
      <c r="AH405" s="3095">
        <f t="shared" si="7"/>
        <v>0</v>
      </c>
      <c r="AI405" s="1777"/>
      <c r="AJ405" s="1777"/>
      <c r="AK405" s="1778"/>
    </row>
    <row r="406" spans="2:37" ht="18" customHeight="1">
      <c r="B406" s="3096" t="s">
        <v>2655</v>
      </c>
      <c r="C406" s="1777"/>
      <c r="D406" s="1777"/>
      <c r="E406" s="1777"/>
      <c r="F406" s="1777"/>
      <c r="G406" s="1777"/>
      <c r="H406" s="1777"/>
      <c r="I406" s="1777"/>
      <c r="J406" s="1777"/>
      <c r="K406" s="1777"/>
      <c r="L406" s="1777"/>
      <c r="M406" s="1777"/>
      <c r="N406" s="1777"/>
      <c r="O406" s="1777"/>
      <c r="P406" s="1777"/>
      <c r="Q406" s="1777"/>
      <c r="R406" s="1777"/>
      <c r="S406" s="1777"/>
      <c r="T406" s="1777"/>
      <c r="U406" s="1778"/>
      <c r="V406" s="3041"/>
      <c r="W406" s="1861"/>
      <c r="X406" s="1862"/>
      <c r="Y406" s="3020"/>
      <c r="Z406" s="1861"/>
      <c r="AA406" s="1862"/>
      <c r="AB406" s="3020"/>
      <c r="AC406" s="1861"/>
      <c r="AD406" s="1861"/>
      <c r="AE406" s="1861"/>
      <c r="AF406" s="1861"/>
      <c r="AG406" s="1862"/>
      <c r="AH406" s="3095">
        <f t="shared" si="7"/>
        <v>0</v>
      </c>
      <c r="AI406" s="1777"/>
      <c r="AJ406" s="1777"/>
      <c r="AK406" s="1778"/>
    </row>
    <row r="407" spans="2:37" ht="18" customHeight="1">
      <c r="B407" s="3096" t="s">
        <v>2346</v>
      </c>
      <c r="C407" s="1777"/>
      <c r="D407" s="1777"/>
      <c r="E407" s="1777"/>
      <c r="F407" s="1777"/>
      <c r="G407" s="1777"/>
      <c r="H407" s="1777"/>
      <c r="I407" s="1777"/>
      <c r="J407" s="1777"/>
      <c r="K407" s="1777"/>
      <c r="L407" s="1777"/>
      <c r="M407" s="1777"/>
      <c r="N407" s="1777"/>
      <c r="O407" s="1777"/>
      <c r="P407" s="1777"/>
      <c r="Q407" s="1777"/>
      <c r="R407" s="1777"/>
      <c r="S407" s="1777"/>
      <c r="T407" s="1777"/>
      <c r="U407" s="1778"/>
      <c r="V407" s="3041"/>
      <c r="W407" s="1861"/>
      <c r="X407" s="1862"/>
      <c r="Y407" s="3020"/>
      <c r="Z407" s="1861"/>
      <c r="AA407" s="1862"/>
      <c r="AB407" s="3020"/>
      <c r="AC407" s="1861"/>
      <c r="AD407" s="1861"/>
      <c r="AE407" s="1861"/>
      <c r="AF407" s="1861"/>
      <c r="AG407" s="1862"/>
      <c r="AH407" s="3095">
        <f t="shared" si="7"/>
        <v>0</v>
      </c>
      <c r="AI407" s="1777"/>
      <c r="AJ407" s="1777"/>
      <c r="AK407" s="1778"/>
    </row>
    <row r="408" spans="2:37" ht="18" customHeight="1">
      <c r="B408" s="3096" t="s">
        <v>2347</v>
      </c>
      <c r="C408" s="1777"/>
      <c r="D408" s="1777"/>
      <c r="E408" s="1777"/>
      <c r="F408" s="1777"/>
      <c r="G408" s="1777"/>
      <c r="H408" s="1777"/>
      <c r="I408" s="1777"/>
      <c r="J408" s="1777"/>
      <c r="K408" s="1777"/>
      <c r="L408" s="1777"/>
      <c r="M408" s="1777"/>
      <c r="N408" s="1777"/>
      <c r="O408" s="1777"/>
      <c r="P408" s="1777"/>
      <c r="Q408" s="1777"/>
      <c r="R408" s="1777"/>
      <c r="S408" s="1777"/>
      <c r="T408" s="1777"/>
      <c r="U408" s="1778"/>
      <c r="V408" s="3041"/>
      <c r="W408" s="1861"/>
      <c r="X408" s="1862"/>
      <c r="Y408" s="3020"/>
      <c r="Z408" s="1861"/>
      <c r="AA408" s="1862"/>
      <c r="AB408" s="3020"/>
      <c r="AC408" s="1861"/>
      <c r="AD408" s="1861"/>
      <c r="AE408" s="1861"/>
      <c r="AF408" s="1861"/>
      <c r="AG408" s="1862"/>
      <c r="AH408" s="3095">
        <f t="shared" si="7"/>
        <v>0</v>
      </c>
      <c r="AI408" s="1777"/>
      <c r="AJ408" s="1777"/>
      <c r="AK408" s="1778"/>
    </row>
    <row r="409" spans="2:37" ht="18" customHeight="1">
      <c r="B409" s="3096" t="s">
        <v>2348</v>
      </c>
      <c r="C409" s="1777"/>
      <c r="D409" s="1777"/>
      <c r="E409" s="1777"/>
      <c r="F409" s="1777"/>
      <c r="G409" s="1777"/>
      <c r="H409" s="1777"/>
      <c r="I409" s="1777"/>
      <c r="J409" s="1777"/>
      <c r="K409" s="1777"/>
      <c r="L409" s="1777"/>
      <c r="M409" s="1777"/>
      <c r="N409" s="1777"/>
      <c r="O409" s="1777"/>
      <c r="P409" s="1777"/>
      <c r="Q409" s="1777"/>
      <c r="R409" s="1777"/>
      <c r="S409" s="1777"/>
      <c r="T409" s="1777"/>
      <c r="U409" s="1778"/>
      <c r="V409" s="3041"/>
      <c r="W409" s="1861"/>
      <c r="X409" s="1862"/>
      <c r="Y409" s="3020"/>
      <c r="Z409" s="1861"/>
      <c r="AA409" s="1862"/>
      <c r="AB409" s="3020"/>
      <c r="AC409" s="1861"/>
      <c r="AD409" s="1861"/>
      <c r="AE409" s="1861"/>
      <c r="AF409" s="1861"/>
      <c r="AG409" s="1862"/>
      <c r="AH409" s="3095">
        <f t="shared" si="7"/>
        <v>0</v>
      </c>
      <c r="AI409" s="1777"/>
      <c r="AJ409" s="1777"/>
      <c r="AK409" s="1778"/>
    </row>
    <row r="410" spans="2:37" ht="18" customHeight="1">
      <c r="B410" s="3096" t="s">
        <v>2349</v>
      </c>
      <c r="C410" s="1777"/>
      <c r="D410" s="1777"/>
      <c r="E410" s="1777"/>
      <c r="F410" s="1777"/>
      <c r="G410" s="1777"/>
      <c r="H410" s="1777"/>
      <c r="I410" s="1777"/>
      <c r="J410" s="1777"/>
      <c r="K410" s="1777"/>
      <c r="L410" s="1777"/>
      <c r="M410" s="1777"/>
      <c r="N410" s="1777"/>
      <c r="O410" s="1777"/>
      <c r="P410" s="1777"/>
      <c r="Q410" s="1777"/>
      <c r="R410" s="1777"/>
      <c r="S410" s="1777"/>
      <c r="T410" s="1777"/>
      <c r="U410" s="1778"/>
      <c r="V410" s="3041"/>
      <c r="W410" s="1861"/>
      <c r="X410" s="1862"/>
      <c r="Y410" s="3020"/>
      <c r="Z410" s="1861"/>
      <c r="AA410" s="1862"/>
      <c r="AB410" s="3020"/>
      <c r="AC410" s="1861"/>
      <c r="AD410" s="1861"/>
      <c r="AE410" s="1861"/>
      <c r="AF410" s="1861"/>
      <c r="AG410" s="1862"/>
      <c r="AH410" s="3095">
        <f t="shared" si="7"/>
        <v>0</v>
      </c>
      <c r="AI410" s="1777"/>
      <c r="AJ410" s="1777"/>
      <c r="AK410" s="1778"/>
    </row>
    <row r="411" spans="2:37" ht="18" customHeight="1">
      <c r="B411" s="3096" t="s">
        <v>2350</v>
      </c>
      <c r="C411" s="1777"/>
      <c r="D411" s="1777"/>
      <c r="E411" s="1777"/>
      <c r="F411" s="1777"/>
      <c r="G411" s="1777"/>
      <c r="H411" s="1777"/>
      <c r="I411" s="1777"/>
      <c r="J411" s="1777"/>
      <c r="K411" s="1777"/>
      <c r="L411" s="1777"/>
      <c r="M411" s="1777"/>
      <c r="N411" s="1777"/>
      <c r="O411" s="1777"/>
      <c r="P411" s="1777"/>
      <c r="Q411" s="1777"/>
      <c r="R411" s="1777"/>
      <c r="S411" s="1777"/>
      <c r="T411" s="1777"/>
      <c r="U411" s="1778"/>
      <c r="V411" s="3041"/>
      <c r="W411" s="1861"/>
      <c r="X411" s="1862"/>
      <c r="Y411" s="3020"/>
      <c r="Z411" s="1861"/>
      <c r="AA411" s="1862"/>
      <c r="AB411" s="3020"/>
      <c r="AC411" s="1861"/>
      <c r="AD411" s="1861"/>
      <c r="AE411" s="1861"/>
      <c r="AF411" s="1861"/>
      <c r="AG411" s="1862"/>
      <c r="AH411" s="3095">
        <f t="shared" si="7"/>
        <v>0</v>
      </c>
      <c r="AI411" s="1777"/>
      <c r="AJ411" s="1777"/>
      <c r="AK411" s="1778"/>
    </row>
    <row r="412" spans="2:37" ht="18" customHeight="1">
      <c r="B412" s="3129" t="s">
        <v>2351</v>
      </c>
      <c r="C412" s="1861"/>
      <c r="D412" s="1861"/>
      <c r="E412" s="1861"/>
      <c r="F412" s="1861"/>
      <c r="G412" s="1861"/>
      <c r="H412" s="1861"/>
      <c r="I412" s="1861"/>
      <c r="J412" s="1861"/>
      <c r="K412" s="1861"/>
      <c r="L412" s="1861"/>
      <c r="M412" s="1861"/>
      <c r="N412" s="1861"/>
      <c r="O412" s="1861"/>
      <c r="P412" s="1861"/>
      <c r="Q412" s="1861"/>
      <c r="R412" s="1861"/>
      <c r="S412" s="1861"/>
      <c r="T412" s="1861"/>
      <c r="U412" s="1862"/>
      <c r="V412" s="3041"/>
      <c r="W412" s="1861"/>
      <c r="X412" s="1862"/>
      <c r="Y412" s="3020"/>
      <c r="Z412" s="1861"/>
      <c r="AA412" s="1862"/>
      <c r="AB412" s="3020"/>
      <c r="AC412" s="1861"/>
      <c r="AD412" s="1861"/>
      <c r="AE412" s="1861"/>
      <c r="AF412" s="1861"/>
      <c r="AG412" s="1862"/>
      <c r="AH412" s="3095">
        <f t="shared" si="7"/>
        <v>0</v>
      </c>
      <c r="AI412" s="1777"/>
      <c r="AJ412" s="1777"/>
      <c r="AK412" s="1778"/>
    </row>
    <row r="413" spans="2:37" ht="18" customHeight="1">
      <c r="B413" s="3129" t="s">
        <v>2352</v>
      </c>
      <c r="C413" s="1861"/>
      <c r="D413" s="1861"/>
      <c r="E413" s="1861"/>
      <c r="F413" s="1861"/>
      <c r="G413" s="1861"/>
      <c r="H413" s="1861"/>
      <c r="I413" s="1861"/>
      <c r="J413" s="1861"/>
      <c r="K413" s="1861"/>
      <c r="L413" s="1861"/>
      <c r="M413" s="1861"/>
      <c r="N413" s="1861"/>
      <c r="O413" s="1861"/>
      <c r="P413" s="1861"/>
      <c r="Q413" s="1861"/>
      <c r="R413" s="1861"/>
      <c r="S413" s="1861"/>
      <c r="T413" s="1861"/>
      <c r="U413" s="1862"/>
      <c r="V413" s="3041"/>
      <c r="W413" s="1861"/>
      <c r="X413" s="1862"/>
      <c r="Y413" s="3020"/>
      <c r="Z413" s="1861"/>
      <c r="AA413" s="1862"/>
      <c r="AB413" s="3020"/>
      <c r="AC413" s="1861"/>
      <c r="AD413" s="1861"/>
      <c r="AE413" s="1861"/>
      <c r="AF413" s="1861"/>
      <c r="AG413" s="1862"/>
      <c r="AH413" s="3095">
        <f t="shared" si="7"/>
        <v>0</v>
      </c>
      <c r="AI413" s="1777"/>
      <c r="AJ413" s="1777"/>
      <c r="AK413" s="1778"/>
    </row>
    <row r="414" spans="2:37" ht="18" customHeight="1">
      <c r="B414" s="3129" t="s">
        <v>2656</v>
      </c>
      <c r="C414" s="1861"/>
      <c r="D414" s="1861"/>
      <c r="E414" s="1861"/>
      <c r="F414" s="1861"/>
      <c r="G414" s="1861"/>
      <c r="H414" s="1861"/>
      <c r="I414" s="1861"/>
      <c r="J414" s="1861"/>
      <c r="K414" s="1861"/>
      <c r="L414" s="1861"/>
      <c r="M414" s="1861"/>
      <c r="N414" s="1861"/>
      <c r="O414" s="1861"/>
      <c r="P414" s="1861"/>
      <c r="Q414" s="1861"/>
      <c r="R414" s="1861"/>
      <c r="S414" s="1861"/>
      <c r="T414" s="1861"/>
      <c r="U414" s="1862"/>
      <c r="V414" s="3041"/>
      <c r="W414" s="1861"/>
      <c r="X414" s="1862"/>
      <c r="Y414" s="3020"/>
      <c r="Z414" s="1861"/>
      <c r="AA414" s="1862"/>
      <c r="AB414" s="3020"/>
      <c r="AC414" s="1861"/>
      <c r="AD414" s="1861"/>
      <c r="AE414" s="1861"/>
      <c r="AF414" s="1861"/>
      <c r="AG414" s="1862"/>
      <c r="AH414" s="3095">
        <f t="shared" si="7"/>
        <v>0</v>
      </c>
      <c r="AI414" s="1777"/>
      <c r="AJ414" s="1777"/>
      <c r="AK414" s="1778"/>
    </row>
    <row r="415" spans="2:37" ht="18" customHeight="1">
      <c r="B415" s="3129" t="s">
        <v>2656</v>
      </c>
      <c r="C415" s="1861"/>
      <c r="D415" s="1861"/>
      <c r="E415" s="1861"/>
      <c r="F415" s="1861"/>
      <c r="G415" s="1861"/>
      <c r="H415" s="1861"/>
      <c r="I415" s="1861"/>
      <c r="J415" s="1861"/>
      <c r="K415" s="1861"/>
      <c r="L415" s="1861"/>
      <c r="M415" s="1861"/>
      <c r="N415" s="1861"/>
      <c r="O415" s="1861"/>
      <c r="P415" s="1861"/>
      <c r="Q415" s="1861"/>
      <c r="R415" s="1861"/>
      <c r="S415" s="1861"/>
      <c r="T415" s="1861"/>
      <c r="U415" s="1862"/>
      <c r="V415" s="3041"/>
      <c r="W415" s="1861"/>
      <c r="X415" s="1862"/>
      <c r="Y415" s="3020"/>
      <c r="Z415" s="1861"/>
      <c r="AA415" s="1862"/>
      <c r="AB415" s="3020"/>
      <c r="AC415" s="1861"/>
      <c r="AD415" s="1861"/>
      <c r="AE415" s="1861"/>
      <c r="AF415" s="1861"/>
      <c r="AG415" s="1862"/>
      <c r="AH415" s="3095">
        <f t="shared" si="7"/>
        <v>0</v>
      </c>
      <c r="AI415" s="1777"/>
      <c r="AJ415" s="1777"/>
      <c r="AK415" s="1778"/>
    </row>
    <row r="416" spans="2:37" ht="18" customHeight="1">
      <c r="B416" s="3129" t="s">
        <v>2656</v>
      </c>
      <c r="C416" s="1861"/>
      <c r="D416" s="1861"/>
      <c r="E416" s="1861"/>
      <c r="F416" s="1861"/>
      <c r="G416" s="1861"/>
      <c r="H416" s="1861"/>
      <c r="I416" s="1861"/>
      <c r="J416" s="1861"/>
      <c r="K416" s="1861"/>
      <c r="L416" s="1861"/>
      <c r="M416" s="1861"/>
      <c r="N416" s="1861"/>
      <c r="O416" s="1861"/>
      <c r="P416" s="1861"/>
      <c r="Q416" s="1861"/>
      <c r="R416" s="1861"/>
      <c r="S416" s="1861"/>
      <c r="T416" s="1861"/>
      <c r="U416" s="1862"/>
      <c r="V416" s="3041">
        <v>0</v>
      </c>
      <c r="W416" s="1861"/>
      <c r="X416" s="1862"/>
      <c r="Y416" s="3020"/>
      <c r="Z416" s="1861"/>
      <c r="AA416" s="1862"/>
      <c r="AB416" s="3020"/>
      <c r="AC416" s="1861"/>
      <c r="AD416" s="1861"/>
      <c r="AE416" s="1861"/>
      <c r="AF416" s="1861"/>
      <c r="AG416" s="1862"/>
      <c r="AH416" s="3095">
        <f t="shared" si="7"/>
        <v>0</v>
      </c>
      <c r="AI416" s="1777"/>
      <c r="AJ416" s="1777"/>
      <c r="AK416" s="1778"/>
    </row>
    <row r="417" spans="2:40" ht="18" customHeight="1">
      <c r="B417" s="3114" t="s">
        <v>2354</v>
      </c>
      <c r="C417" s="1777"/>
      <c r="D417" s="1777"/>
      <c r="E417" s="1777"/>
      <c r="F417" s="1777"/>
      <c r="G417" s="1777"/>
      <c r="H417" s="1777"/>
      <c r="I417" s="1777"/>
      <c r="J417" s="1777"/>
      <c r="K417" s="1777"/>
      <c r="L417" s="1777"/>
      <c r="M417" s="1777"/>
      <c r="N417" s="1777"/>
      <c r="O417" s="1777"/>
      <c r="P417" s="1777"/>
      <c r="Q417" s="1777"/>
      <c r="R417" s="1777"/>
      <c r="S417" s="1777"/>
      <c r="T417" s="1777"/>
      <c r="U417" s="1778"/>
      <c r="V417" s="3150">
        <f>SUM(V405:X416)</f>
        <v>0</v>
      </c>
      <c r="W417" s="1777"/>
      <c r="X417" s="1778"/>
      <c r="Y417" s="3026"/>
      <c r="Z417" s="1777"/>
      <c r="AA417" s="1777"/>
      <c r="AB417" s="1777"/>
      <c r="AC417" s="1777"/>
      <c r="AD417" s="1777"/>
      <c r="AE417" s="1777"/>
      <c r="AF417" s="1777"/>
      <c r="AG417" s="1778"/>
      <c r="AH417" s="3108">
        <f>SUM(AH404:AK416)</f>
        <v>0</v>
      </c>
      <c r="AI417" s="1777"/>
      <c r="AJ417" s="1777"/>
      <c r="AK417" s="1778"/>
    </row>
    <row r="418" spans="2:40" ht="63" customHeight="1">
      <c r="B418" s="2181" t="s">
        <v>2657</v>
      </c>
      <c r="C418" s="3021"/>
      <c r="D418" s="3021"/>
      <c r="E418" s="3021"/>
      <c r="F418" s="3021"/>
      <c r="G418" s="3021"/>
      <c r="H418" s="3021"/>
      <c r="I418" s="1935"/>
      <c r="J418" s="3021"/>
      <c r="K418" s="3021"/>
      <c r="L418" s="3021"/>
      <c r="M418" s="3021"/>
      <c r="N418" s="3021"/>
      <c r="O418" s="3021"/>
      <c r="P418" s="3021"/>
      <c r="Q418" s="3021"/>
      <c r="R418" s="3021"/>
      <c r="S418" s="3021"/>
      <c r="T418" s="3021"/>
      <c r="U418" s="3021"/>
      <c r="V418" s="3021"/>
      <c r="W418" s="3021"/>
      <c r="X418" s="3021"/>
      <c r="Y418" s="3021"/>
      <c r="Z418" s="3021"/>
      <c r="AA418" s="3021"/>
      <c r="AB418" s="3021"/>
      <c r="AC418" s="3021"/>
      <c r="AD418" s="3021"/>
      <c r="AE418" s="3021"/>
      <c r="AF418" s="3021"/>
      <c r="AG418" s="3021"/>
      <c r="AH418" s="3021"/>
      <c r="AI418" s="3021"/>
      <c r="AJ418" s="3021"/>
      <c r="AK418" s="3021"/>
      <c r="AL418" s="3021"/>
      <c r="AM418" s="3021"/>
    </row>
    <row r="419" spans="2:40" ht="18" customHeight="1">
      <c r="B419" s="3100" t="s">
        <v>2658</v>
      </c>
      <c r="C419" s="1777"/>
      <c r="D419" s="1777"/>
      <c r="E419" s="1777"/>
      <c r="F419" s="1777"/>
      <c r="G419" s="1777"/>
      <c r="H419" s="1777"/>
      <c r="I419" s="1777"/>
      <c r="J419" s="1777"/>
      <c r="K419" s="1777"/>
      <c r="L419" s="1777"/>
      <c r="M419" s="1777"/>
      <c r="N419" s="1777"/>
      <c r="O419" s="1777"/>
      <c r="P419" s="1777"/>
      <c r="Q419" s="1777"/>
      <c r="R419" s="1777"/>
      <c r="S419" s="1777"/>
      <c r="T419" s="1777"/>
      <c r="U419" s="1777"/>
      <c r="V419" s="1777"/>
      <c r="W419" s="1777"/>
      <c r="X419" s="1777"/>
      <c r="Y419" s="1777"/>
      <c r="Z419" s="1777"/>
      <c r="AA419" s="1777"/>
      <c r="AB419" s="1777"/>
      <c r="AC419" s="1777"/>
      <c r="AD419" s="1777"/>
      <c r="AE419" s="1777"/>
      <c r="AF419" s="1777"/>
      <c r="AG419" s="1777"/>
      <c r="AH419" s="1777"/>
      <c r="AI419" s="1777"/>
      <c r="AJ419" s="1777"/>
      <c r="AK419" s="1778"/>
    </row>
    <row r="420" spans="2:40" ht="18" customHeight="1">
      <c r="B420" s="3123" t="s">
        <v>2659</v>
      </c>
      <c r="C420" s="1777"/>
      <c r="D420" s="1777"/>
      <c r="E420" s="1777"/>
      <c r="F420" s="1777"/>
      <c r="G420" s="1777"/>
      <c r="H420" s="1777"/>
      <c r="I420" s="1777"/>
      <c r="J420" s="1777"/>
      <c r="K420" s="1777"/>
      <c r="L420" s="1777"/>
      <c r="M420" s="1777"/>
      <c r="N420" s="1777"/>
      <c r="O420" s="1777"/>
      <c r="P420" s="1777"/>
      <c r="Q420" s="1777"/>
      <c r="R420" s="1777"/>
      <c r="S420" s="1777"/>
      <c r="T420" s="1777"/>
      <c r="U420" s="1777"/>
      <c r="V420" s="1777"/>
      <c r="W420" s="1777"/>
      <c r="X420" s="1777"/>
      <c r="Y420" s="1777"/>
      <c r="Z420" s="1777"/>
      <c r="AA420" s="1777"/>
      <c r="AB420" s="1777"/>
      <c r="AC420" s="1777"/>
      <c r="AD420" s="1777"/>
      <c r="AE420" s="1777"/>
      <c r="AF420" s="1777"/>
      <c r="AG420" s="1777"/>
      <c r="AH420" s="1777"/>
      <c r="AI420" s="1777"/>
      <c r="AJ420" s="1777"/>
      <c r="AK420" s="1778"/>
    </row>
    <row r="421" spans="2:40" ht="18" customHeight="1">
      <c r="B421" s="1717" t="s">
        <v>1312</v>
      </c>
      <c r="C421" s="3131" t="s">
        <v>2660</v>
      </c>
      <c r="D421" s="1877"/>
      <c r="E421" s="1877"/>
      <c r="F421" s="1877"/>
      <c r="G421" s="1877"/>
      <c r="H421" s="1877"/>
      <c r="I421" s="1877"/>
      <c r="J421" s="1877"/>
      <c r="K421" s="1877"/>
      <c r="L421" s="1877"/>
      <c r="M421" s="1877"/>
      <c r="N421" s="1877"/>
      <c r="O421" s="1877"/>
      <c r="P421" s="1877"/>
      <c r="Q421" s="1877"/>
      <c r="R421" s="1877"/>
      <c r="S421" s="1877"/>
      <c r="T421" s="1877"/>
      <c r="U421" s="1877"/>
      <c r="V421" s="1877"/>
      <c r="W421" s="1877"/>
      <c r="X421" s="1877"/>
      <c r="Y421" s="1772"/>
      <c r="Z421" s="3097">
        <f>'Unit Mix'!$X$7</f>
        <v>0</v>
      </c>
      <c r="AA421" s="1877"/>
      <c r="AB421" s="1772"/>
      <c r="AN421" s="1715"/>
    </row>
    <row r="422" spans="2:40" ht="18" customHeight="1">
      <c r="B422" s="1399" t="s">
        <v>1318</v>
      </c>
      <c r="C422" s="3094" t="s">
        <v>2661</v>
      </c>
      <c r="D422" s="1777"/>
      <c r="E422" s="1777"/>
      <c r="F422" s="1777"/>
      <c r="G422" s="1777"/>
      <c r="H422" s="1777"/>
      <c r="I422" s="1777"/>
      <c r="J422" s="1777"/>
      <c r="K422" s="1777"/>
      <c r="L422" s="1777"/>
      <c r="M422" s="1777"/>
      <c r="N422" s="1777"/>
      <c r="O422" s="1777"/>
      <c r="P422" s="1777"/>
      <c r="Q422" s="1777"/>
      <c r="R422" s="1777"/>
      <c r="S422" s="1777"/>
      <c r="T422" s="1777"/>
      <c r="U422" s="1777"/>
      <c r="V422" s="1777"/>
      <c r="W422" s="1777"/>
      <c r="X422" s="1777"/>
      <c r="Y422" s="1778"/>
      <c r="Z422" s="3097">
        <f>'Unit Mix'!$X$8</f>
        <v>0</v>
      </c>
      <c r="AA422" s="1877"/>
      <c r="AB422" s="1772"/>
    </row>
    <row r="423" spans="2:40" ht="18" customHeight="1">
      <c r="B423" s="1399" t="s">
        <v>1320</v>
      </c>
      <c r="C423" s="3094" t="s">
        <v>2662</v>
      </c>
      <c r="D423" s="1777"/>
      <c r="E423" s="1777"/>
      <c r="F423" s="1777"/>
      <c r="G423" s="1777"/>
      <c r="H423" s="1777"/>
      <c r="I423" s="1777"/>
      <c r="J423" s="1777"/>
      <c r="K423" s="1777"/>
      <c r="L423" s="1777"/>
      <c r="M423" s="1777"/>
      <c r="N423" s="1777"/>
      <c r="O423" s="1777"/>
      <c r="P423" s="1777"/>
      <c r="Q423" s="1777"/>
      <c r="R423" s="1777"/>
      <c r="S423" s="1777"/>
      <c r="T423" s="1777"/>
      <c r="U423" s="1777"/>
      <c r="V423" s="1777"/>
      <c r="W423" s="1777"/>
      <c r="X423" s="1777"/>
      <c r="Y423" s="1778"/>
      <c r="Z423" s="3122">
        <f>Z421+Z422</f>
        <v>0</v>
      </c>
      <c r="AA423" s="1777"/>
      <c r="AB423" s="1778"/>
    </row>
    <row r="424" spans="2:40" ht="18" customHeight="1">
      <c r="B424" s="1706" t="s">
        <v>1322</v>
      </c>
      <c r="C424" s="3094" t="s">
        <v>2663</v>
      </c>
      <c r="D424" s="1777"/>
      <c r="E424" s="1777"/>
      <c r="F424" s="1777"/>
      <c r="G424" s="1777"/>
      <c r="H424" s="1777"/>
      <c r="I424" s="1777"/>
      <c r="J424" s="1777"/>
      <c r="K424" s="1777"/>
      <c r="L424" s="1777"/>
      <c r="M424" s="1777"/>
      <c r="N424" s="1777"/>
      <c r="O424" s="1777"/>
      <c r="P424" s="1777"/>
      <c r="Q424" s="1777"/>
      <c r="R424" s="1777"/>
      <c r="S424" s="1777"/>
      <c r="T424" s="1777"/>
      <c r="U424" s="1777"/>
      <c r="V424" s="1777"/>
      <c r="W424" s="1777"/>
      <c r="X424" s="1777"/>
      <c r="Y424" s="1778"/>
      <c r="Z424" s="3127">
        <f>V417</f>
        <v>0</v>
      </c>
      <c r="AA424" s="1777"/>
      <c r="AB424" s="1778"/>
    </row>
    <row r="425" spans="2:40" ht="18" customHeight="1">
      <c r="B425" s="1399" t="s">
        <v>1325</v>
      </c>
      <c r="C425" s="3094" t="s">
        <v>2664</v>
      </c>
      <c r="D425" s="1777"/>
      <c r="E425" s="1777"/>
      <c r="F425" s="1777"/>
      <c r="G425" s="1777"/>
      <c r="H425" s="1777"/>
      <c r="I425" s="1777"/>
      <c r="J425" s="1777"/>
      <c r="K425" s="1777"/>
      <c r="L425" s="1777"/>
      <c r="M425" s="1777"/>
      <c r="N425" s="1777"/>
      <c r="O425" s="1777"/>
      <c r="P425" s="1777"/>
      <c r="Q425" s="1777"/>
      <c r="R425" s="1777"/>
      <c r="S425" s="1777"/>
      <c r="T425" s="1777"/>
      <c r="U425" s="1777"/>
      <c r="V425" s="1777"/>
      <c r="W425" s="1777"/>
      <c r="X425" s="1777"/>
      <c r="Y425" s="1778"/>
      <c r="Z425" s="3026">
        <f>IFERROR(Z424/Z423,0)</f>
        <v>0</v>
      </c>
      <c r="AA425" s="1777"/>
      <c r="AB425" s="1778"/>
    </row>
    <row r="426" spans="2:40" ht="18" customHeight="1">
      <c r="B426" s="3123" t="s">
        <v>2357</v>
      </c>
      <c r="C426" s="1777"/>
      <c r="D426" s="1777"/>
      <c r="E426" s="1777"/>
      <c r="F426" s="1777"/>
      <c r="G426" s="1777"/>
      <c r="H426" s="1777"/>
      <c r="I426" s="1777"/>
      <c r="J426" s="1777"/>
      <c r="K426" s="1777"/>
      <c r="L426" s="1777"/>
      <c r="M426" s="1777"/>
      <c r="N426" s="1777"/>
      <c r="O426" s="1777"/>
      <c r="P426" s="1777"/>
      <c r="Q426" s="1777"/>
      <c r="R426" s="1777"/>
      <c r="S426" s="1777"/>
      <c r="T426" s="1777"/>
      <c r="U426" s="1777"/>
      <c r="V426" s="1777"/>
      <c r="W426" s="1777"/>
      <c r="X426" s="1777"/>
      <c r="Y426" s="1777"/>
      <c r="Z426" s="1777"/>
      <c r="AA426" s="1777"/>
      <c r="AB426" s="1778"/>
    </row>
    <row r="427" spans="2:40" ht="18" customHeight="1">
      <c r="B427" s="1706" t="s">
        <v>2641</v>
      </c>
      <c r="C427" s="3094" t="s">
        <v>2665</v>
      </c>
      <c r="D427" s="1777"/>
      <c r="E427" s="1777"/>
      <c r="F427" s="1777"/>
      <c r="G427" s="1777"/>
      <c r="H427" s="1777"/>
      <c r="I427" s="1777"/>
      <c r="J427" s="1777"/>
      <c r="K427" s="1777"/>
      <c r="L427" s="1777"/>
      <c r="M427" s="1777"/>
      <c r="N427" s="1777"/>
      <c r="O427" s="1777"/>
      <c r="P427" s="1777"/>
      <c r="Q427" s="1777"/>
      <c r="R427" s="1777"/>
      <c r="S427" s="1777"/>
      <c r="T427" s="1777"/>
      <c r="U427" s="1777"/>
      <c r="V427" s="1777"/>
      <c r="W427" s="1777"/>
      <c r="X427" s="1777"/>
      <c r="Y427" s="1778"/>
      <c r="Z427" s="3097">
        <f>Z421</f>
        <v>0</v>
      </c>
      <c r="AA427" s="1877"/>
      <c r="AB427" s="1772"/>
    </row>
    <row r="428" spans="2:40" ht="18" customHeight="1">
      <c r="B428" s="1399" t="s">
        <v>2643</v>
      </c>
      <c r="C428" s="3094" t="s">
        <v>2666</v>
      </c>
      <c r="D428" s="1777"/>
      <c r="E428" s="1777"/>
      <c r="F428" s="1777"/>
      <c r="G428" s="1777"/>
      <c r="H428" s="1777"/>
      <c r="I428" s="1777"/>
      <c r="J428" s="1777"/>
      <c r="K428" s="1777"/>
      <c r="L428" s="1777"/>
      <c r="M428" s="1777"/>
      <c r="N428" s="1777"/>
      <c r="O428" s="1777"/>
      <c r="P428" s="1777"/>
      <c r="Q428" s="1777"/>
      <c r="R428" s="1777"/>
      <c r="S428" s="1777"/>
      <c r="T428" s="1777"/>
      <c r="U428" s="1777"/>
      <c r="V428" s="1777"/>
      <c r="W428" s="1777"/>
      <c r="X428" s="1777"/>
      <c r="Y428" s="1778"/>
      <c r="Z428" s="3097">
        <f>Z422</f>
        <v>0</v>
      </c>
      <c r="AA428" s="1877"/>
      <c r="AB428" s="1772"/>
    </row>
    <row r="429" spans="2:40" ht="18" customHeight="1">
      <c r="B429" s="1399" t="s">
        <v>2645</v>
      </c>
      <c r="C429" s="3094" t="s">
        <v>2667</v>
      </c>
      <c r="D429" s="1777"/>
      <c r="E429" s="1777"/>
      <c r="F429" s="1777"/>
      <c r="G429" s="1777"/>
      <c r="H429" s="1777"/>
      <c r="I429" s="1777"/>
      <c r="J429" s="1777"/>
      <c r="K429" s="1777"/>
      <c r="L429" s="1777"/>
      <c r="M429" s="1777"/>
      <c r="N429" s="1777"/>
      <c r="O429" s="1777"/>
      <c r="P429" s="1777"/>
      <c r="Q429" s="1777"/>
      <c r="R429" s="1777"/>
      <c r="S429" s="1777"/>
      <c r="T429" s="1777"/>
      <c r="U429" s="1777"/>
      <c r="V429" s="1777"/>
      <c r="W429" s="1777"/>
      <c r="X429" s="1777"/>
      <c r="Y429" s="1778"/>
      <c r="Z429" s="3149">
        <f>Z427+Z428</f>
        <v>0</v>
      </c>
      <c r="AA429" s="1777"/>
      <c r="AB429" s="1778"/>
    </row>
    <row r="430" spans="2:40" ht="18" customHeight="1">
      <c r="B430" s="1706" t="s">
        <v>1314</v>
      </c>
      <c r="C430" s="3094" t="s">
        <v>2668</v>
      </c>
      <c r="D430" s="1777"/>
      <c r="E430" s="1777"/>
      <c r="F430" s="1777"/>
      <c r="G430" s="1777"/>
      <c r="H430" s="1777"/>
      <c r="I430" s="1777"/>
      <c r="J430" s="1777"/>
      <c r="K430" s="1777"/>
      <c r="L430" s="1777"/>
      <c r="M430" s="1777"/>
      <c r="N430" s="1777"/>
      <c r="O430" s="1777"/>
      <c r="P430" s="1777"/>
      <c r="Q430" s="1777"/>
      <c r="R430" s="1777"/>
      <c r="S430" s="1777"/>
      <c r="T430" s="1777"/>
      <c r="U430" s="1777"/>
      <c r="V430" s="1777"/>
      <c r="W430" s="1777"/>
      <c r="X430" s="1777"/>
      <c r="Y430" s="1778"/>
      <c r="Z430" s="3095">
        <f>IFERROR(Z429/Z423,0)</f>
        <v>0</v>
      </c>
      <c r="AA430" s="1777"/>
      <c r="AB430" s="1778"/>
    </row>
    <row r="431" spans="2:40" ht="18" customHeight="1">
      <c r="B431" s="1399" t="s">
        <v>2669</v>
      </c>
      <c r="C431" s="3094" t="s">
        <v>2670</v>
      </c>
      <c r="D431" s="1777"/>
      <c r="E431" s="1777"/>
      <c r="F431" s="1777"/>
      <c r="G431" s="1777"/>
      <c r="H431" s="1777"/>
      <c r="I431" s="1777"/>
      <c r="J431" s="1777"/>
      <c r="K431" s="1777"/>
      <c r="L431" s="1777"/>
      <c r="M431" s="1777"/>
      <c r="N431" s="1777"/>
      <c r="O431" s="1777"/>
      <c r="P431" s="1777"/>
      <c r="Q431" s="1777"/>
      <c r="R431" s="1777"/>
      <c r="S431" s="1777"/>
      <c r="T431" s="1777"/>
      <c r="U431" s="1777"/>
      <c r="V431" s="1777"/>
      <c r="W431" s="1777"/>
      <c r="X431" s="1777"/>
      <c r="Y431" s="1778"/>
      <c r="Z431" s="3180">
        <f>Z424*Z430</f>
        <v>0</v>
      </c>
      <c r="AA431" s="1777"/>
      <c r="AB431" s="1778"/>
    </row>
    <row r="432" spans="2:40" s="384" customFormat="1" ht="18" customHeight="1"/>
    <row r="433" spans="2:39" ht="36" customHeight="1">
      <c r="B433" s="3132" t="s">
        <v>2671</v>
      </c>
      <c r="C433" s="3021"/>
      <c r="D433" s="3021"/>
      <c r="E433" s="3021"/>
      <c r="F433" s="3021"/>
      <c r="G433" s="3021"/>
      <c r="H433" s="3021"/>
      <c r="I433" s="1935"/>
      <c r="J433" s="3021"/>
      <c r="K433" s="3021"/>
      <c r="L433" s="3021"/>
      <c r="M433" s="3021"/>
      <c r="N433" s="3021"/>
      <c r="O433" s="3021"/>
      <c r="P433" s="3021"/>
      <c r="Q433" s="3021"/>
      <c r="R433" s="3021"/>
      <c r="S433" s="3021"/>
      <c r="T433" s="3021"/>
      <c r="U433" s="3021"/>
      <c r="V433" s="3021"/>
      <c r="W433" s="3021"/>
      <c r="X433" s="3021"/>
      <c r="Y433" s="3021"/>
      <c r="Z433" s="3021"/>
      <c r="AA433" s="3021"/>
      <c r="AB433" s="3021"/>
      <c r="AC433" s="3021"/>
      <c r="AD433" s="3021"/>
      <c r="AE433" s="3021"/>
      <c r="AF433" s="3021"/>
      <c r="AG433" s="3021"/>
      <c r="AH433" s="3021"/>
      <c r="AI433" s="3021"/>
      <c r="AJ433" s="3021"/>
      <c r="AK433" s="3021"/>
      <c r="AL433" s="3021"/>
      <c r="AM433" s="3021"/>
    </row>
    <row r="434" spans="2:39" s="397" customFormat="1" ht="18" customHeight="1">
      <c r="B434" s="3021" t="s">
        <v>2672</v>
      </c>
      <c r="C434" s="3015"/>
      <c r="D434" s="3015"/>
      <c r="E434" s="3015"/>
      <c r="F434" s="3015"/>
      <c r="G434" s="3015"/>
      <c r="H434" s="3015"/>
      <c r="I434" s="3015"/>
      <c r="J434" s="3015"/>
      <c r="K434" s="3015"/>
      <c r="L434" s="3015"/>
      <c r="M434" s="3015"/>
      <c r="N434" s="3015"/>
      <c r="O434" s="3015"/>
      <c r="P434" s="3015"/>
      <c r="Q434" s="3015"/>
      <c r="R434" s="3015"/>
      <c r="S434" s="3015"/>
      <c r="T434" s="3015"/>
      <c r="U434" s="3015"/>
      <c r="V434" s="3015"/>
      <c r="W434" s="3015"/>
      <c r="X434" s="3015"/>
      <c r="Y434" s="3015"/>
      <c r="Z434" s="3015"/>
      <c r="AA434" s="3015"/>
      <c r="AB434" s="3015"/>
      <c r="AC434" s="3015"/>
      <c r="AD434" s="3015"/>
      <c r="AE434" s="3015"/>
      <c r="AF434" s="3015"/>
      <c r="AG434" s="3015"/>
      <c r="AH434" s="3015"/>
      <c r="AI434" s="3015"/>
      <c r="AJ434" s="3015"/>
      <c r="AK434" s="3015"/>
      <c r="AL434" s="3015"/>
      <c r="AM434" s="3015"/>
    </row>
    <row r="435" spans="2:39" ht="75" customHeight="1">
      <c r="B435" s="3023"/>
      <c r="C435" s="1861"/>
      <c r="D435" s="1861"/>
      <c r="E435" s="1861"/>
      <c r="F435" s="1861"/>
      <c r="G435" s="1861"/>
      <c r="H435" s="1861"/>
      <c r="I435" s="1861"/>
      <c r="J435" s="1861"/>
      <c r="K435" s="1861"/>
      <c r="L435" s="1861"/>
      <c r="M435" s="1861"/>
      <c r="N435" s="1861"/>
      <c r="O435" s="1861"/>
      <c r="P435" s="1861"/>
      <c r="Q435" s="1861"/>
      <c r="R435" s="1861"/>
      <c r="S435" s="1861"/>
      <c r="T435" s="1861"/>
      <c r="U435" s="1861"/>
      <c r="V435" s="1861"/>
      <c r="W435" s="1861"/>
      <c r="X435" s="1861"/>
      <c r="Y435" s="1861"/>
      <c r="Z435" s="1861"/>
      <c r="AA435" s="1861"/>
      <c r="AB435" s="1861"/>
      <c r="AC435" s="1861"/>
      <c r="AD435" s="1861"/>
      <c r="AE435" s="1861"/>
      <c r="AF435" s="1861"/>
      <c r="AG435" s="1861"/>
      <c r="AH435" s="1861"/>
      <c r="AI435" s="1861"/>
      <c r="AJ435" s="1861"/>
      <c r="AK435" s="1861"/>
      <c r="AL435" s="1861"/>
      <c r="AM435" s="1862"/>
    </row>
    <row r="436" spans="2:39" s="398" customFormat="1" ht="36" customHeight="1">
      <c r="B436" s="2181" t="s">
        <v>2673</v>
      </c>
      <c r="C436" s="2181"/>
      <c r="D436" s="2181"/>
      <c r="E436" s="2181"/>
      <c r="F436" s="2181"/>
      <c r="G436" s="2181"/>
      <c r="H436" s="2181"/>
      <c r="I436" s="2181"/>
      <c r="J436" s="2181"/>
      <c r="K436" s="2181"/>
      <c r="L436" s="2181"/>
      <c r="M436" s="2181"/>
      <c r="N436" s="2181"/>
      <c r="O436" s="2181"/>
      <c r="P436" s="2181"/>
      <c r="Q436" s="2181"/>
      <c r="R436" s="2181"/>
      <c r="S436" s="2181"/>
      <c r="T436" s="2181"/>
      <c r="U436" s="2181"/>
      <c r="V436" s="2181"/>
      <c r="W436" s="2181"/>
      <c r="X436" s="2181"/>
      <c r="Y436" s="2181"/>
      <c r="Z436" s="2181"/>
      <c r="AA436" s="2181"/>
      <c r="AB436" s="2181"/>
      <c r="AC436" s="2181"/>
      <c r="AD436" s="2181"/>
      <c r="AE436" s="2181"/>
      <c r="AF436" s="2181"/>
      <c r="AG436" s="2181"/>
      <c r="AH436" s="2181"/>
      <c r="AI436" s="2181"/>
      <c r="AJ436" s="2181"/>
      <c r="AK436" s="2181"/>
      <c r="AL436" s="2181"/>
      <c r="AM436" s="2181"/>
    </row>
    <row r="437" spans="2:39" ht="36" customHeight="1">
      <c r="B437" s="3043" t="s">
        <v>2674</v>
      </c>
      <c r="C437" s="3021"/>
      <c r="D437" s="3021"/>
      <c r="E437" s="3021"/>
      <c r="F437" s="3021"/>
      <c r="G437" s="3021"/>
      <c r="H437" s="3021"/>
      <c r="I437" s="1935"/>
      <c r="J437" s="3021"/>
      <c r="K437" s="3021"/>
      <c r="L437" s="3021"/>
      <c r="M437" s="3021"/>
      <c r="N437" s="3021"/>
      <c r="O437" s="3021"/>
      <c r="P437" s="3021"/>
      <c r="Q437" s="3021"/>
      <c r="R437" s="3021"/>
      <c r="S437" s="3021"/>
      <c r="T437" s="3021"/>
      <c r="U437" s="3021"/>
      <c r="V437" s="3021"/>
      <c r="W437" s="3021"/>
      <c r="X437" s="3021"/>
      <c r="Y437" s="3021"/>
      <c r="Z437" s="3021"/>
      <c r="AA437" s="3021"/>
      <c r="AB437" s="3021"/>
      <c r="AC437" s="3021"/>
      <c r="AD437" s="3021"/>
      <c r="AE437" s="3021"/>
      <c r="AF437" s="3021"/>
      <c r="AG437" s="3021"/>
      <c r="AH437" s="3021"/>
      <c r="AI437" s="3021"/>
      <c r="AJ437" s="3021"/>
      <c r="AK437" s="3021"/>
      <c r="AL437" s="3021"/>
      <c r="AM437" s="3021"/>
    </row>
    <row r="438" spans="2:39" ht="36" customHeight="1">
      <c r="B438" s="3143" t="s">
        <v>2675</v>
      </c>
      <c r="C438" s="3021"/>
      <c r="D438" s="3021"/>
      <c r="E438" s="3021"/>
      <c r="F438" s="3021"/>
      <c r="G438" s="3021"/>
      <c r="H438" s="3021"/>
      <c r="I438" s="1935"/>
      <c r="J438" s="3021"/>
      <c r="K438" s="3021"/>
      <c r="L438" s="3021"/>
      <c r="M438" s="3021"/>
      <c r="N438" s="3021"/>
      <c r="O438" s="3021"/>
      <c r="P438" s="3021"/>
      <c r="Q438" s="3021"/>
      <c r="R438" s="3021"/>
      <c r="S438" s="3021"/>
      <c r="T438" s="3021"/>
      <c r="U438" s="3021"/>
      <c r="V438" s="3021"/>
      <c r="W438" s="3021"/>
      <c r="X438" s="3021"/>
      <c r="Y438" s="3021"/>
      <c r="Z438" s="3021"/>
      <c r="AA438" s="3021"/>
      <c r="AB438" s="3021"/>
      <c r="AC438" s="3021"/>
      <c r="AD438" s="3021"/>
      <c r="AE438" s="3021"/>
      <c r="AF438" s="3021"/>
      <c r="AG438" s="3021"/>
      <c r="AH438" s="3021"/>
      <c r="AI438" s="3021"/>
      <c r="AJ438" s="3021"/>
      <c r="AK438" s="3021"/>
      <c r="AL438" s="3021"/>
      <c r="AM438" s="3021"/>
    </row>
    <row r="439" spans="2:39" s="397" customFormat="1" ht="18" customHeight="1">
      <c r="B439" s="3021" t="s">
        <v>2676</v>
      </c>
      <c r="C439" s="3015"/>
      <c r="D439" s="3015"/>
      <c r="E439" s="3015"/>
      <c r="F439" s="3015"/>
      <c r="G439" s="3015"/>
      <c r="H439" s="3015"/>
      <c r="I439" s="3015"/>
      <c r="J439" s="3015"/>
      <c r="K439" s="3015"/>
      <c r="L439" s="3015"/>
      <c r="M439" s="3015"/>
      <c r="N439" s="3015"/>
      <c r="O439" s="3015"/>
      <c r="P439" s="3015"/>
      <c r="Q439" s="3015"/>
      <c r="R439" s="3015"/>
      <c r="S439" s="3015"/>
      <c r="T439" s="3015"/>
      <c r="U439" s="3015"/>
      <c r="V439" s="3015"/>
      <c r="W439" s="3015"/>
      <c r="X439" s="3015"/>
      <c r="Y439" s="3015"/>
      <c r="Z439" s="3015"/>
      <c r="AA439" s="3015"/>
      <c r="AB439" s="3015"/>
      <c r="AC439" s="3015"/>
      <c r="AD439" s="3015"/>
      <c r="AE439" s="3015"/>
      <c r="AF439" s="3015"/>
      <c r="AG439" s="3015"/>
      <c r="AH439" s="3015"/>
      <c r="AI439" s="3015"/>
      <c r="AJ439" s="3015"/>
      <c r="AK439" s="3015"/>
      <c r="AL439" s="3015"/>
      <c r="AM439" s="3015"/>
    </row>
    <row r="440" spans="2:39" s="398" customFormat="1" ht="75" customHeight="1">
      <c r="B440" s="3023"/>
      <c r="C440" s="1861"/>
      <c r="D440" s="1861"/>
      <c r="E440" s="1861"/>
      <c r="F440" s="1861"/>
      <c r="G440" s="1861"/>
      <c r="H440" s="1861"/>
      <c r="I440" s="1861"/>
      <c r="J440" s="1861"/>
      <c r="K440" s="1861"/>
      <c r="L440" s="1861"/>
      <c r="M440" s="1861"/>
      <c r="N440" s="1861"/>
      <c r="O440" s="1861"/>
      <c r="P440" s="1861"/>
      <c r="Q440" s="1861"/>
      <c r="R440" s="1861"/>
      <c r="S440" s="1861"/>
      <c r="T440" s="1861"/>
      <c r="U440" s="1861"/>
      <c r="V440" s="1861"/>
      <c r="W440" s="1861"/>
      <c r="X440" s="1861"/>
      <c r="Y440" s="1861"/>
      <c r="Z440" s="1861"/>
      <c r="AA440" s="1861"/>
      <c r="AB440" s="1861"/>
      <c r="AC440" s="1861"/>
      <c r="AD440" s="1861"/>
      <c r="AE440" s="1861"/>
      <c r="AF440" s="1861"/>
      <c r="AG440" s="1861"/>
      <c r="AH440" s="1861"/>
      <c r="AI440" s="1861"/>
      <c r="AJ440" s="1861"/>
      <c r="AK440" s="1861"/>
      <c r="AL440" s="1861"/>
      <c r="AM440" s="1862"/>
    </row>
    <row r="441" spans="2:39" s="397" customFormat="1" ht="36" customHeight="1">
      <c r="B441" s="2181" t="s">
        <v>2677</v>
      </c>
      <c r="C441" s="3015"/>
      <c r="D441" s="3015"/>
      <c r="E441" s="3015"/>
      <c r="F441" s="3015"/>
      <c r="G441" s="3015"/>
      <c r="H441" s="3015"/>
      <c r="I441" s="3015"/>
      <c r="J441" s="3015"/>
      <c r="K441" s="3015"/>
      <c r="L441" s="3015"/>
      <c r="M441" s="3015"/>
      <c r="N441" s="3015"/>
      <c r="O441" s="3015"/>
      <c r="P441" s="3015"/>
      <c r="Q441" s="3015"/>
      <c r="R441" s="3015"/>
      <c r="S441" s="3015"/>
      <c r="T441" s="3015"/>
      <c r="U441" s="3015"/>
      <c r="V441" s="3015"/>
      <c r="W441" s="3015"/>
      <c r="X441" s="3015"/>
      <c r="Y441" s="3015"/>
      <c r="Z441" s="3015"/>
      <c r="AA441" s="3015"/>
      <c r="AB441" s="3015"/>
      <c r="AC441" s="3015"/>
      <c r="AD441" s="3015"/>
      <c r="AE441" s="3015"/>
      <c r="AF441" s="3015"/>
      <c r="AG441" s="3015"/>
      <c r="AH441" s="3015"/>
      <c r="AI441" s="3015"/>
      <c r="AJ441" s="3015"/>
      <c r="AK441" s="3015"/>
      <c r="AL441" s="3015"/>
      <c r="AM441" s="3015"/>
    </row>
    <row r="442" spans="2:39" ht="75" customHeight="1">
      <c r="B442" s="3023"/>
      <c r="C442" s="1861"/>
      <c r="D442" s="1861"/>
      <c r="E442" s="1861"/>
      <c r="F442" s="1861"/>
      <c r="G442" s="1861"/>
      <c r="H442" s="1861"/>
      <c r="I442" s="1861"/>
      <c r="J442" s="1861"/>
      <c r="K442" s="1861"/>
      <c r="L442" s="1861"/>
      <c r="M442" s="1861"/>
      <c r="N442" s="1861"/>
      <c r="O442" s="1861"/>
      <c r="P442" s="1861"/>
      <c r="Q442" s="1861"/>
      <c r="R442" s="1861"/>
      <c r="S442" s="1861"/>
      <c r="T442" s="1861"/>
      <c r="U442" s="1861"/>
      <c r="V442" s="1861"/>
      <c r="W442" s="1861"/>
      <c r="X442" s="1861"/>
      <c r="Y442" s="1861"/>
      <c r="Z442" s="1861"/>
      <c r="AA442" s="1861"/>
      <c r="AB442" s="1861"/>
      <c r="AC442" s="1861"/>
      <c r="AD442" s="1861"/>
      <c r="AE442" s="1861"/>
      <c r="AF442" s="1861"/>
      <c r="AG442" s="1861"/>
      <c r="AH442" s="1861"/>
      <c r="AI442" s="1861"/>
      <c r="AJ442" s="1861"/>
      <c r="AK442" s="1861"/>
      <c r="AL442" s="1861"/>
      <c r="AM442" s="1862"/>
    </row>
    <row r="443" spans="2:39" s="384" customFormat="1" ht="18" customHeight="1"/>
    <row r="444" spans="2:39" ht="18" customHeight="1">
      <c r="B444" s="3144" t="s">
        <v>2678</v>
      </c>
      <c r="C444" s="3021"/>
      <c r="D444" s="3021"/>
      <c r="E444" s="3021"/>
      <c r="F444" s="3021"/>
      <c r="G444" s="3021"/>
      <c r="H444" s="3021"/>
      <c r="I444" s="1935"/>
      <c r="J444" s="3021"/>
      <c r="K444" s="3021"/>
      <c r="L444" s="3021"/>
      <c r="M444" s="3021"/>
      <c r="N444" s="3021"/>
      <c r="O444" s="3021"/>
      <c r="P444" s="3021"/>
      <c r="Q444" s="3021"/>
      <c r="R444" s="3021"/>
      <c r="S444" s="3021"/>
      <c r="T444" s="3021"/>
      <c r="U444" s="3021"/>
      <c r="V444" s="3021"/>
      <c r="W444" s="3021"/>
      <c r="X444" s="3021"/>
      <c r="Y444" s="3021"/>
      <c r="Z444" s="3021"/>
      <c r="AA444" s="3021"/>
      <c r="AB444" s="3021"/>
      <c r="AC444" s="3021"/>
      <c r="AD444" s="3021"/>
      <c r="AE444" s="3021"/>
      <c r="AF444" s="3021"/>
      <c r="AG444" s="3021"/>
      <c r="AH444" s="3021"/>
      <c r="AI444" s="3021"/>
      <c r="AJ444" s="3021"/>
      <c r="AK444" s="3021"/>
      <c r="AL444" s="3021"/>
      <c r="AM444" s="3021"/>
    </row>
    <row r="445" spans="2:39" ht="54" customHeight="1">
      <c r="B445" s="3021" t="s">
        <v>2679</v>
      </c>
      <c r="C445" s="3021"/>
      <c r="D445" s="3021"/>
      <c r="E445" s="3021"/>
      <c r="F445" s="3021"/>
      <c r="G445" s="3021"/>
      <c r="H445" s="3021"/>
      <c r="I445" s="1935"/>
      <c r="J445" s="3021"/>
      <c r="K445" s="3021"/>
      <c r="L445" s="3021"/>
      <c r="M445" s="3021"/>
      <c r="N445" s="3021"/>
      <c r="O445" s="3021"/>
      <c r="P445" s="3021"/>
      <c r="Q445" s="3021"/>
      <c r="R445" s="3021"/>
      <c r="S445" s="3021"/>
      <c r="T445" s="3021"/>
      <c r="U445" s="3021"/>
      <c r="V445" s="3021"/>
      <c r="W445" s="3021"/>
      <c r="X445" s="3021"/>
      <c r="Y445" s="3021"/>
      <c r="Z445" s="3021"/>
      <c r="AA445" s="3021"/>
      <c r="AB445" s="3021"/>
      <c r="AC445" s="3021"/>
      <c r="AD445" s="3021"/>
      <c r="AE445" s="3021"/>
      <c r="AF445" s="3021"/>
      <c r="AG445" s="3021"/>
      <c r="AH445" s="3021"/>
      <c r="AI445" s="3021"/>
      <c r="AJ445" s="3021"/>
      <c r="AK445" s="3021"/>
      <c r="AL445" s="3021"/>
      <c r="AM445" s="3021"/>
    </row>
    <row r="446" spans="2:39" ht="18" customHeight="1">
      <c r="B446" s="3137" t="s">
        <v>2680</v>
      </c>
      <c r="C446" s="1777"/>
      <c r="D446" s="1777"/>
      <c r="E446" s="1777"/>
      <c r="F446" s="1777"/>
      <c r="G446" s="1778"/>
      <c r="H446" s="3128"/>
      <c r="I446" s="1861"/>
      <c r="J446" s="1861"/>
      <c r="K446" s="1861"/>
      <c r="L446" s="1861"/>
      <c r="M446" s="1861"/>
      <c r="N446" s="1861"/>
      <c r="O446" s="1861"/>
      <c r="P446" s="1861"/>
      <c r="Q446" s="1861"/>
      <c r="R446" s="1861"/>
      <c r="S446" s="1861"/>
      <c r="T446" s="1861"/>
      <c r="U446" s="1861"/>
      <c r="V446" s="1861"/>
      <c r="W446" s="1861"/>
      <c r="X446" s="1861"/>
      <c r="Y446" s="1861"/>
      <c r="Z446" s="1861"/>
      <c r="AA446" s="1861"/>
      <c r="AB446" s="1861"/>
      <c r="AC446" s="1861"/>
      <c r="AD446" s="1861"/>
      <c r="AE446" s="1861"/>
      <c r="AF446" s="1861"/>
      <c r="AG446" s="1861"/>
      <c r="AH446" s="1861"/>
      <c r="AI446" s="1861"/>
      <c r="AJ446" s="1861"/>
      <c r="AK446" s="1861"/>
      <c r="AL446" s="1861"/>
      <c r="AM446" s="1862"/>
    </row>
    <row r="447" spans="2:39" ht="36" customHeight="1">
      <c r="B447" s="3047" t="s">
        <v>2681</v>
      </c>
      <c r="C447" s="1777"/>
      <c r="D447" s="1777"/>
      <c r="E447" s="1777"/>
      <c r="F447" s="1777"/>
      <c r="G447" s="1777"/>
      <c r="H447" s="1777"/>
      <c r="I447" s="1778"/>
      <c r="J447" s="3136" t="s">
        <v>2682</v>
      </c>
      <c r="K447" s="1877"/>
      <c r="L447" s="1877"/>
      <c r="M447" s="1877"/>
      <c r="N447" s="1877"/>
      <c r="O447" s="1877"/>
      <c r="P447" s="1772"/>
      <c r="Q447" s="3136" t="s">
        <v>2335</v>
      </c>
      <c r="R447" s="1877"/>
      <c r="S447" s="1772"/>
      <c r="T447" s="3136" t="s">
        <v>2683</v>
      </c>
      <c r="U447" s="1877"/>
      <c r="V447" s="1877"/>
      <c r="W447" s="1772"/>
      <c r="X447" s="3138" t="s">
        <v>2684</v>
      </c>
      <c r="Y447" s="1877"/>
      <c r="Z447" s="1877"/>
      <c r="AA447" s="1877"/>
      <c r="AB447" s="1877"/>
      <c r="AC447" s="1772"/>
    </row>
    <row r="448" spans="2:39" ht="36" customHeight="1">
      <c r="B448" s="3029"/>
      <c r="C448" s="1861"/>
      <c r="D448" s="1861"/>
      <c r="E448" s="1861"/>
      <c r="F448" s="1861"/>
      <c r="G448" s="1861"/>
      <c r="H448" s="1861"/>
      <c r="I448" s="1862"/>
      <c r="J448" s="3029"/>
      <c r="K448" s="1861"/>
      <c r="L448" s="1861"/>
      <c r="M448" s="1861"/>
      <c r="N448" s="1861"/>
      <c r="O448" s="1861"/>
      <c r="P448" s="1862"/>
      <c r="Q448" s="3041"/>
      <c r="R448" s="1861"/>
      <c r="S448" s="1862"/>
      <c r="T448" s="3020"/>
      <c r="U448" s="1861"/>
      <c r="V448" s="1861"/>
      <c r="W448" s="1862"/>
      <c r="X448" s="3029"/>
      <c r="Y448" s="1861"/>
      <c r="Z448" s="1861"/>
      <c r="AA448" s="1861"/>
      <c r="AB448" s="1861"/>
      <c r="AC448" s="1862"/>
    </row>
    <row r="449" spans="2:40" ht="36" customHeight="1">
      <c r="B449" s="3029"/>
      <c r="C449" s="1861"/>
      <c r="D449" s="1861"/>
      <c r="E449" s="1861"/>
      <c r="F449" s="1861"/>
      <c r="G449" s="1861"/>
      <c r="H449" s="1861"/>
      <c r="I449" s="1862"/>
      <c r="J449" s="3029"/>
      <c r="K449" s="1861"/>
      <c r="L449" s="1861"/>
      <c r="M449" s="1861"/>
      <c r="N449" s="1861"/>
      <c r="O449" s="1861"/>
      <c r="P449" s="1862"/>
      <c r="Q449" s="3041"/>
      <c r="R449" s="1861"/>
      <c r="S449" s="1862"/>
      <c r="T449" s="3020"/>
      <c r="U449" s="1861"/>
      <c r="V449" s="1861"/>
      <c r="W449" s="1862"/>
      <c r="X449" s="3029"/>
      <c r="Y449" s="1861"/>
      <c r="Z449" s="1861"/>
      <c r="AA449" s="1861"/>
      <c r="AB449" s="1861"/>
      <c r="AC449" s="1862"/>
    </row>
    <row r="450" spans="2:40" ht="36" customHeight="1">
      <c r="B450" s="3029"/>
      <c r="C450" s="1861"/>
      <c r="D450" s="1861"/>
      <c r="E450" s="1861"/>
      <c r="F450" s="1861"/>
      <c r="G450" s="1861"/>
      <c r="H450" s="1861"/>
      <c r="I450" s="1862"/>
      <c r="J450" s="3029"/>
      <c r="K450" s="1861"/>
      <c r="L450" s="1861"/>
      <c r="M450" s="1861"/>
      <c r="N450" s="1861"/>
      <c r="O450" s="1861"/>
      <c r="P450" s="1862"/>
      <c r="Q450" s="3041"/>
      <c r="R450" s="1861"/>
      <c r="S450" s="1862"/>
      <c r="T450" s="3020"/>
      <c r="U450" s="1861"/>
      <c r="V450" s="1861"/>
      <c r="W450" s="1862"/>
      <c r="X450" s="3029"/>
      <c r="Y450" s="1861"/>
      <c r="Z450" s="1861"/>
      <c r="AA450" s="1861"/>
      <c r="AB450" s="1861"/>
      <c r="AC450" s="1862"/>
    </row>
    <row r="451" spans="2:40" ht="36" customHeight="1">
      <c r="B451" s="3029"/>
      <c r="C451" s="1861"/>
      <c r="D451" s="1861"/>
      <c r="E451" s="1861"/>
      <c r="F451" s="1861"/>
      <c r="G451" s="1861"/>
      <c r="H451" s="1861"/>
      <c r="I451" s="1862"/>
      <c r="J451" s="3029"/>
      <c r="K451" s="1861"/>
      <c r="L451" s="1861"/>
      <c r="M451" s="1861"/>
      <c r="N451" s="1861"/>
      <c r="O451" s="1861"/>
      <c r="P451" s="1862"/>
      <c r="Q451" s="3041"/>
      <c r="R451" s="1861"/>
      <c r="S451" s="1862"/>
      <c r="T451" s="3020"/>
      <c r="U451" s="1861"/>
      <c r="V451" s="1861"/>
      <c r="W451" s="1862"/>
      <c r="X451" s="3029"/>
      <c r="Y451" s="1861"/>
      <c r="Z451" s="1861"/>
      <c r="AA451" s="1861"/>
      <c r="AB451" s="1861"/>
      <c r="AC451" s="1862"/>
      <c r="AD451" s="1652"/>
      <c r="AE451" s="1652"/>
      <c r="AF451" s="1652"/>
      <c r="AG451" s="1652"/>
      <c r="AH451" s="1652"/>
      <c r="AI451" s="1652"/>
      <c r="AJ451" s="1652"/>
      <c r="AK451" s="1652"/>
      <c r="AL451" s="1652"/>
      <c r="AM451" s="1652"/>
      <c r="AN451" s="110"/>
    </row>
    <row r="452" spans="2:40" ht="36" customHeight="1">
      <c r="B452" s="3029"/>
      <c r="C452" s="1861"/>
      <c r="D452" s="1861"/>
      <c r="E452" s="1861"/>
      <c r="F452" s="1861"/>
      <c r="G452" s="1861"/>
      <c r="H452" s="1861"/>
      <c r="I452" s="1862"/>
      <c r="J452" s="3029"/>
      <c r="K452" s="1861"/>
      <c r="L452" s="1861"/>
      <c r="M452" s="1861"/>
      <c r="N452" s="1861"/>
      <c r="O452" s="1861"/>
      <c r="P452" s="1862"/>
      <c r="Q452" s="3041"/>
      <c r="R452" s="1861"/>
      <c r="S452" s="1862"/>
      <c r="T452" s="3020"/>
      <c r="U452" s="1861"/>
      <c r="V452" s="1861"/>
      <c r="W452" s="1862"/>
      <c r="X452" s="3029"/>
      <c r="Y452" s="1861"/>
      <c r="Z452" s="1861"/>
      <c r="AA452" s="1861"/>
      <c r="AB452" s="1861"/>
      <c r="AC452" s="1862"/>
      <c r="AD452" s="403"/>
      <c r="AE452" s="403"/>
      <c r="AF452" s="403"/>
      <c r="AG452" s="403"/>
      <c r="AH452" s="403"/>
      <c r="AI452" s="403"/>
      <c r="AJ452" s="403"/>
      <c r="AK452" s="403"/>
      <c r="AL452" s="403"/>
      <c r="AM452" s="403"/>
    </row>
    <row r="453" spans="2:40" s="384" customFormat="1" ht="18" customHeight="1"/>
    <row r="454" spans="2:40" s="404" customFormat="1" ht="18" customHeight="1">
      <c r="B454" s="3102" t="s">
        <v>2685</v>
      </c>
      <c r="C454" s="3144"/>
      <c r="D454" s="3144"/>
      <c r="E454" s="3144"/>
      <c r="F454" s="3144"/>
      <c r="G454" s="3144"/>
      <c r="H454" s="3144"/>
      <c r="I454" s="3144"/>
      <c r="J454" s="3144"/>
      <c r="K454" s="3144"/>
      <c r="L454" s="3144"/>
      <c r="M454" s="3144"/>
      <c r="N454" s="3144"/>
      <c r="O454" s="3144"/>
      <c r="P454" s="3144"/>
      <c r="Q454" s="3144"/>
      <c r="R454" s="3144"/>
      <c r="S454" s="3144"/>
      <c r="T454" s="3144"/>
      <c r="U454" s="3144"/>
      <c r="V454" s="3144"/>
      <c r="W454" s="3144"/>
      <c r="X454" s="3144"/>
      <c r="Y454" s="3144"/>
      <c r="Z454" s="3144"/>
      <c r="AA454" s="3144"/>
      <c r="AB454" s="3144"/>
      <c r="AC454" s="3144"/>
      <c r="AD454" s="3144"/>
      <c r="AE454" s="3144"/>
      <c r="AF454" s="3144"/>
      <c r="AG454" s="3144"/>
      <c r="AH454" s="3144"/>
      <c r="AI454" s="3144"/>
      <c r="AJ454" s="3144"/>
      <c r="AK454" s="3144"/>
      <c r="AL454" s="3144"/>
      <c r="AM454" s="3144"/>
    </row>
    <row r="455" spans="2:40" s="404" customFormat="1" ht="18" customHeight="1">
      <c r="B455" s="3102" t="s">
        <v>2686</v>
      </c>
      <c r="C455" s="3144"/>
      <c r="D455" s="3144"/>
      <c r="E455" s="3144"/>
      <c r="F455" s="3144"/>
      <c r="G455" s="3144"/>
      <c r="H455" s="3144"/>
      <c r="I455" s="3144"/>
      <c r="J455" s="3144"/>
      <c r="K455" s="3144"/>
      <c r="L455" s="3144"/>
      <c r="M455" s="3144"/>
      <c r="N455" s="3144"/>
      <c r="O455" s="3144"/>
      <c r="P455" s="3144"/>
      <c r="Q455" s="3144"/>
      <c r="R455" s="3144"/>
      <c r="S455" s="3144"/>
      <c r="T455" s="3144"/>
      <c r="U455" s="3144"/>
      <c r="V455" s="3144"/>
      <c r="W455" s="3144"/>
      <c r="X455" s="3144"/>
      <c r="Y455" s="3144"/>
      <c r="Z455" s="3144"/>
      <c r="AA455" s="3144"/>
      <c r="AB455" s="3144"/>
      <c r="AC455" s="3144"/>
      <c r="AD455" s="3144"/>
      <c r="AE455" s="3144"/>
      <c r="AF455" s="3144"/>
      <c r="AG455" s="3144"/>
      <c r="AH455" s="3144"/>
      <c r="AI455" s="3144"/>
      <c r="AJ455" s="3144"/>
      <c r="AK455" s="3144"/>
      <c r="AL455" s="3144"/>
      <c r="AM455" s="3144"/>
    </row>
    <row r="456" spans="2:40" ht="36" customHeight="1">
      <c r="B456" s="3043" t="s">
        <v>2687</v>
      </c>
      <c r="C456" s="3021"/>
      <c r="D456" s="3021"/>
      <c r="E456" s="3021"/>
      <c r="F456" s="3021"/>
      <c r="G456" s="3021"/>
      <c r="H456" s="3021"/>
      <c r="I456" s="1935"/>
      <c r="J456" s="3021"/>
      <c r="K456" s="3021"/>
      <c r="L456" s="3021"/>
      <c r="M456" s="3021"/>
      <c r="N456" s="3021"/>
      <c r="O456" s="3021"/>
      <c r="P456" s="3021"/>
      <c r="Q456" s="3021"/>
      <c r="R456" s="3021"/>
      <c r="S456" s="3021"/>
      <c r="T456" s="3021"/>
      <c r="U456" s="3021"/>
      <c r="V456" s="3021"/>
      <c r="W456" s="3021"/>
      <c r="X456" s="3021"/>
      <c r="Y456" s="3021"/>
      <c r="Z456" s="3021"/>
      <c r="AA456" s="3021"/>
      <c r="AB456" s="3021"/>
      <c r="AC456" s="3021"/>
      <c r="AD456" s="3021"/>
      <c r="AE456" s="3021"/>
      <c r="AF456" s="3021"/>
      <c r="AG456" s="3021"/>
      <c r="AH456" s="3021"/>
      <c r="AI456" s="3021"/>
      <c r="AJ456" s="3021"/>
      <c r="AK456" s="3021"/>
      <c r="AL456" s="3021"/>
      <c r="AM456" s="3021"/>
    </row>
    <row r="457" spans="2:40" ht="54" customHeight="1">
      <c r="B457" s="3043" t="s">
        <v>2688</v>
      </c>
      <c r="C457" s="3021"/>
      <c r="D457" s="3021"/>
      <c r="E457" s="3021"/>
      <c r="F457" s="3021"/>
      <c r="G457" s="3021"/>
      <c r="H457" s="3021"/>
      <c r="I457" s="1935"/>
      <c r="J457" s="3021"/>
      <c r="K457" s="3021"/>
      <c r="L457" s="3021"/>
      <c r="M457" s="3021"/>
      <c r="N457" s="3021"/>
      <c r="O457" s="3021"/>
      <c r="P457" s="3021"/>
      <c r="Q457" s="3021"/>
      <c r="R457" s="3021"/>
      <c r="S457" s="3021"/>
      <c r="T457" s="3021"/>
      <c r="U457" s="3021"/>
      <c r="V457" s="3021"/>
      <c r="W457" s="3021"/>
      <c r="X457" s="3021"/>
      <c r="Y457" s="3021"/>
      <c r="Z457" s="3021"/>
      <c r="AA457" s="3021"/>
      <c r="AB457" s="3021"/>
      <c r="AC457" s="3021"/>
      <c r="AD457" s="3021"/>
      <c r="AE457" s="3021"/>
      <c r="AF457" s="3021"/>
      <c r="AG457" s="3021"/>
      <c r="AH457" s="3021"/>
      <c r="AI457" s="3021"/>
      <c r="AJ457" s="3021"/>
      <c r="AK457" s="3021"/>
      <c r="AL457" s="3021"/>
      <c r="AM457" s="3021"/>
    </row>
    <row r="458" spans="2:40" ht="18" customHeight="1">
      <c r="B458" s="3155" t="s">
        <v>2689</v>
      </c>
      <c r="C458" s="1777"/>
      <c r="D458" s="1777"/>
      <c r="E458" s="1777"/>
      <c r="F458" s="1777"/>
      <c r="G458" s="1777"/>
      <c r="H458" s="1777"/>
      <c r="I458" s="1777"/>
      <c r="J458" s="1777"/>
      <c r="K458" s="1777"/>
      <c r="L458" s="1777"/>
      <c r="M458" s="1777"/>
      <c r="N458" s="1778"/>
      <c r="O458" s="3185" t="s">
        <v>2690</v>
      </c>
      <c r="P458" s="1777"/>
      <c r="Q458" s="1777"/>
      <c r="R458" s="1777"/>
      <c r="S458" s="1777"/>
      <c r="T458" s="1777"/>
      <c r="U458" s="1777"/>
      <c r="V458" s="1777"/>
      <c r="W458" s="1777"/>
      <c r="X458" s="1777"/>
      <c r="Y458" s="1777"/>
      <c r="Z458" s="1777"/>
      <c r="AA458" s="1777"/>
      <c r="AB458" s="1778"/>
      <c r="AC458" s="3155" t="s">
        <v>2691</v>
      </c>
      <c r="AD458" s="1777"/>
      <c r="AE458" s="1777"/>
      <c r="AF458" s="1777"/>
      <c r="AG458" s="1777"/>
      <c r="AH458" s="1777"/>
      <c r="AI458" s="1777"/>
      <c r="AJ458" s="1777"/>
      <c r="AK458" s="1777"/>
      <c r="AL458" s="1777"/>
      <c r="AM458" s="1778"/>
    </row>
    <row r="459" spans="2:40" ht="80.25" customHeight="1">
      <c r="B459" s="3140" t="s">
        <v>2692</v>
      </c>
      <c r="C459" s="1777"/>
      <c r="D459" s="1777"/>
      <c r="E459" s="1777"/>
      <c r="F459" s="1777"/>
      <c r="G459" s="1777"/>
      <c r="H459" s="1777"/>
      <c r="I459" s="1777"/>
      <c r="J459" s="1777"/>
      <c r="K459" s="1777"/>
      <c r="L459" s="1777"/>
      <c r="M459" s="1777"/>
      <c r="N459" s="1778"/>
      <c r="O459" s="3124"/>
      <c r="P459" s="1861"/>
      <c r="Q459" s="1861"/>
      <c r="R459" s="1861"/>
      <c r="S459" s="1861"/>
      <c r="T459" s="1861"/>
      <c r="U459" s="1861"/>
      <c r="V459" s="1861"/>
      <c r="W459" s="1861"/>
      <c r="X459" s="1861"/>
      <c r="Y459" s="1861"/>
      <c r="Z459" s="1861"/>
      <c r="AA459" s="1861"/>
      <c r="AB459" s="1862"/>
      <c r="AC459" s="3124"/>
      <c r="AD459" s="1861"/>
      <c r="AE459" s="1861"/>
      <c r="AF459" s="1861"/>
      <c r="AG459" s="1861"/>
      <c r="AH459" s="1861"/>
      <c r="AI459" s="1861"/>
      <c r="AJ459" s="1861"/>
      <c r="AK459" s="1861"/>
      <c r="AL459" s="1861"/>
      <c r="AM459" s="1862"/>
    </row>
    <row r="460" spans="2:40" ht="120" customHeight="1">
      <c r="B460" s="3140" t="s">
        <v>2693</v>
      </c>
      <c r="C460" s="1777"/>
      <c r="D460" s="1777"/>
      <c r="E460" s="1777"/>
      <c r="F460" s="1777"/>
      <c r="G460" s="1777"/>
      <c r="H460" s="1777"/>
      <c r="I460" s="1777"/>
      <c r="J460" s="1777"/>
      <c r="K460" s="1777"/>
      <c r="L460" s="1777"/>
      <c r="M460" s="1777"/>
      <c r="N460" s="1778"/>
      <c r="O460" s="3124"/>
      <c r="P460" s="1861"/>
      <c r="Q460" s="1861"/>
      <c r="R460" s="1861"/>
      <c r="S460" s="1861"/>
      <c r="T460" s="1861"/>
      <c r="U460" s="1861"/>
      <c r="V460" s="1861"/>
      <c r="W460" s="1861"/>
      <c r="X460" s="1861"/>
      <c r="Y460" s="1861"/>
      <c r="Z460" s="1861"/>
      <c r="AA460" s="1861"/>
      <c r="AB460" s="1862"/>
      <c r="AC460" s="3124"/>
      <c r="AD460" s="1861"/>
      <c r="AE460" s="1861"/>
      <c r="AF460" s="1861"/>
      <c r="AG460" s="1861"/>
      <c r="AH460" s="1861"/>
      <c r="AI460" s="1861"/>
      <c r="AJ460" s="1861"/>
      <c r="AK460" s="1861"/>
      <c r="AL460" s="1861"/>
      <c r="AM460" s="1862"/>
    </row>
    <row r="461" spans="2:40" ht="75" customHeight="1">
      <c r="B461" s="3185" t="s">
        <v>2694</v>
      </c>
      <c r="C461" s="1777"/>
      <c r="D461" s="1777"/>
      <c r="E461" s="1777"/>
      <c r="F461" s="1777"/>
      <c r="G461" s="1777"/>
      <c r="H461" s="1777"/>
      <c r="I461" s="1777"/>
      <c r="J461" s="1777"/>
      <c r="K461" s="1777"/>
      <c r="L461" s="1777"/>
      <c r="M461" s="1777"/>
      <c r="N461" s="1778"/>
      <c r="O461" s="3124"/>
      <c r="P461" s="1861"/>
      <c r="Q461" s="1861"/>
      <c r="R461" s="1861"/>
      <c r="S461" s="1861"/>
      <c r="T461" s="1861"/>
      <c r="U461" s="1861"/>
      <c r="V461" s="1861"/>
      <c r="W461" s="1861"/>
      <c r="X461" s="1861"/>
      <c r="Y461" s="1861"/>
      <c r="Z461" s="1861"/>
      <c r="AA461" s="1861"/>
      <c r="AB461" s="1862"/>
      <c r="AC461" s="3124"/>
      <c r="AD461" s="1861"/>
      <c r="AE461" s="1861"/>
      <c r="AF461" s="1861"/>
      <c r="AG461" s="1861"/>
      <c r="AH461" s="1861"/>
      <c r="AI461" s="1861"/>
      <c r="AJ461" s="1861"/>
      <c r="AK461" s="1861"/>
      <c r="AL461" s="1861"/>
      <c r="AM461" s="1862"/>
    </row>
    <row r="462" spans="2:40" s="384" customFormat="1" ht="18" customHeight="1"/>
    <row r="463" spans="2:40" ht="18" customHeight="1">
      <c r="B463" s="3181" t="s">
        <v>2393</v>
      </c>
      <c r="C463" s="3021"/>
      <c r="D463" s="3021"/>
      <c r="E463" s="3021"/>
      <c r="F463" s="3021"/>
      <c r="G463" s="3021"/>
      <c r="H463" s="3021"/>
      <c r="I463" s="1935"/>
      <c r="J463" s="3021"/>
      <c r="K463" s="3021"/>
      <c r="L463" s="3021"/>
      <c r="M463" s="3021"/>
      <c r="N463" s="3021"/>
      <c r="O463" s="3021"/>
      <c r="P463" s="3021"/>
      <c r="Q463" s="3021"/>
      <c r="R463" s="3021"/>
      <c r="S463" s="3021"/>
      <c r="T463" s="3021"/>
      <c r="U463" s="3021"/>
      <c r="V463" s="3021"/>
      <c r="W463" s="3021"/>
      <c r="X463" s="3021"/>
      <c r="Y463" s="3021"/>
      <c r="Z463" s="3021"/>
      <c r="AA463" s="3021"/>
      <c r="AB463" s="3021"/>
      <c r="AC463" s="3021"/>
      <c r="AD463" s="3021"/>
      <c r="AE463" s="3021"/>
      <c r="AF463" s="3021"/>
      <c r="AG463" s="3021"/>
      <c r="AH463" s="3021"/>
      <c r="AI463" s="3021"/>
      <c r="AJ463" s="3021"/>
      <c r="AK463" s="3021"/>
      <c r="AL463" s="3021"/>
      <c r="AM463" s="3021"/>
    </row>
    <row r="464" spans="2:40" ht="36" customHeight="1">
      <c r="B464" s="3143" t="s">
        <v>2695</v>
      </c>
      <c r="C464" s="3021"/>
      <c r="D464" s="3021"/>
      <c r="E464" s="3021"/>
      <c r="F464" s="3021"/>
      <c r="G464" s="3021"/>
      <c r="H464" s="3021"/>
      <c r="I464" s="1935"/>
      <c r="J464" s="3021"/>
      <c r="K464" s="3021"/>
      <c r="L464" s="3021"/>
      <c r="M464" s="3021"/>
      <c r="N464" s="3021"/>
      <c r="O464" s="3021"/>
      <c r="P464" s="3021"/>
      <c r="Q464" s="3021"/>
      <c r="R464" s="3021"/>
      <c r="S464" s="3021"/>
      <c r="T464" s="3021"/>
      <c r="U464" s="3021"/>
      <c r="V464" s="3021"/>
      <c r="W464" s="3021"/>
      <c r="X464" s="3021"/>
      <c r="Y464" s="3021"/>
      <c r="Z464" s="3021"/>
      <c r="AA464" s="3021"/>
      <c r="AB464" s="3021"/>
      <c r="AC464" s="3021"/>
      <c r="AD464" s="3021"/>
      <c r="AE464" s="3021"/>
      <c r="AF464" s="3021"/>
      <c r="AG464" s="3021"/>
      <c r="AH464" s="3021"/>
      <c r="AI464" s="3021"/>
      <c r="AJ464" s="3021"/>
      <c r="AK464" s="3021"/>
      <c r="AL464" s="3021"/>
      <c r="AM464" s="3021"/>
    </row>
    <row r="465" spans="2:39" ht="75" customHeight="1">
      <c r="B465" s="2445"/>
      <c r="C465" s="1861"/>
      <c r="D465" s="1861"/>
      <c r="E465" s="1861"/>
      <c r="F465" s="1861"/>
      <c r="G465" s="1861"/>
      <c r="H465" s="1861"/>
      <c r="I465" s="1861"/>
      <c r="J465" s="1861"/>
      <c r="K465" s="1861"/>
      <c r="L465" s="1861"/>
      <c r="M465" s="1861"/>
      <c r="N465" s="1861"/>
      <c r="O465" s="1861"/>
      <c r="P465" s="1861"/>
      <c r="Q465" s="1861"/>
      <c r="R465" s="1861"/>
      <c r="S465" s="1861"/>
      <c r="T465" s="1861"/>
      <c r="U465" s="1861"/>
      <c r="V465" s="1861"/>
      <c r="W465" s="1861"/>
      <c r="X465" s="1861"/>
      <c r="Y465" s="1861"/>
      <c r="Z465" s="1861"/>
      <c r="AA465" s="1861"/>
      <c r="AB465" s="1861"/>
      <c r="AC465" s="1861"/>
      <c r="AD465" s="1861"/>
      <c r="AE465" s="1861"/>
      <c r="AF465" s="1861"/>
      <c r="AG465" s="1861"/>
      <c r="AH465" s="1861"/>
      <c r="AI465" s="1861"/>
      <c r="AJ465" s="1861"/>
      <c r="AK465" s="1861"/>
      <c r="AL465" s="1861"/>
      <c r="AM465" s="1862"/>
    </row>
    <row r="466" spans="2:39" ht="18" customHeight="1"/>
    <row r="467" spans="2:39" ht="18" customHeight="1">
      <c r="B467" s="3178" t="s">
        <v>2696</v>
      </c>
      <c r="C467" s="1953"/>
      <c r="D467" s="1953"/>
      <c r="E467" s="1953"/>
      <c r="F467" s="1953"/>
      <c r="G467" s="1953"/>
      <c r="H467" s="1953"/>
      <c r="I467" s="1953"/>
      <c r="J467" s="1953"/>
      <c r="K467" s="1953"/>
      <c r="L467" s="1953"/>
      <c r="M467" s="1953"/>
      <c r="N467" s="1953"/>
      <c r="O467" s="1953"/>
      <c r="P467" s="1953"/>
      <c r="Q467" s="1953"/>
      <c r="R467" s="1953"/>
      <c r="S467" s="1953"/>
      <c r="T467" s="1953"/>
      <c r="U467" s="1953"/>
      <c r="V467" s="1953"/>
      <c r="W467" s="1953"/>
      <c r="X467" s="1953"/>
      <c r="Y467" s="1953"/>
      <c r="Z467" s="1953"/>
      <c r="AA467" s="1953"/>
      <c r="AB467" s="1953"/>
      <c r="AC467" s="1953"/>
      <c r="AD467" s="1953"/>
      <c r="AE467" s="1953"/>
      <c r="AF467" s="1953"/>
      <c r="AG467" s="1953"/>
      <c r="AH467" s="1953"/>
      <c r="AI467" s="1953"/>
      <c r="AJ467" s="1953"/>
      <c r="AK467" s="1953"/>
      <c r="AL467" s="1953"/>
      <c r="AM467" s="1770"/>
    </row>
    <row r="468" spans="2:39" ht="18" customHeight="1">
      <c r="B468" s="3135" t="s">
        <v>2697</v>
      </c>
      <c r="C468" s="3021"/>
      <c r="D468" s="3021"/>
      <c r="E468" s="3021"/>
      <c r="F468" s="3021"/>
      <c r="G468" s="3021"/>
      <c r="H468" s="3021"/>
      <c r="I468" s="1935"/>
      <c r="J468" s="3021"/>
      <c r="K468" s="3021"/>
      <c r="L468" s="3021"/>
      <c r="M468" s="3021"/>
      <c r="N468" s="3021"/>
      <c r="O468" s="3021"/>
      <c r="P468" s="3021"/>
      <c r="Q468" s="3021"/>
      <c r="R468" s="3021"/>
      <c r="S468" s="3021"/>
      <c r="T468" s="3021"/>
      <c r="U468" s="3021"/>
      <c r="V468" s="3021"/>
      <c r="W468" s="3021"/>
      <c r="X468" s="3021"/>
      <c r="Y468" s="3021"/>
      <c r="Z468" s="3021"/>
      <c r="AA468" s="3021"/>
      <c r="AB468" s="3021"/>
      <c r="AC468" s="3021"/>
      <c r="AD468" s="3021"/>
      <c r="AE468" s="3021"/>
      <c r="AF468" s="3021"/>
      <c r="AG468" s="3021"/>
      <c r="AH468" s="3021"/>
      <c r="AI468" s="3021"/>
      <c r="AJ468" s="3021"/>
      <c r="AK468" s="3021"/>
      <c r="AL468" s="3021"/>
      <c r="AM468" s="1889"/>
    </row>
    <row r="469" spans="2:39" ht="18" customHeight="1">
      <c r="B469" s="3112" t="s">
        <v>2294</v>
      </c>
      <c r="C469" s="1953"/>
      <c r="D469" s="1953"/>
      <c r="E469" s="1953"/>
      <c r="F469" s="1953"/>
      <c r="G469" s="1953"/>
      <c r="H469" s="1770"/>
      <c r="I469" s="3172" t="s">
        <v>693</v>
      </c>
      <c r="J469" s="1864"/>
      <c r="K469" s="1864"/>
      <c r="L469" s="1864"/>
      <c r="M469" s="1864"/>
      <c r="N469" s="1864"/>
      <c r="O469" s="1864"/>
      <c r="P469" s="1864"/>
      <c r="Q469" s="1864"/>
      <c r="R469" s="1864"/>
      <c r="S469" s="1864"/>
      <c r="T469" s="1864"/>
      <c r="U469" s="1864"/>
      <c r="V469" s="1864"/>
      <c r="W469" s="1864"/>
      <c r="X469" s="1864"/>
      <c r="Y469" s="1864"/>
      <c r="Z469" s="1864"/>
      <c r="AA469" s="1864"/>
      <c r="AB469" s="1864"/>
      <c r="AC469" s="1864"/>
      <c r="AD469" s="1864"/>
      <c r="AE469" s="1864"/>
      <c r="AF469" s="1864"/>
      <c r="AG469" s="1864"/>
      <c r="AH469" s="1864"/>
      <c r="AI469" s="1864"/>
      <c r="AJ469" s="1864"/>
      <c r="AK469" s="1864"/>
      <c r="AL469" s="1864"/>
      <c r="AM469" s="1865"/>
    </row>
    <row r="470" spans="2:39" ht="18" customHeight="1">
      <c r="B470" s="2479"/>
      <c r="C470" s="1877"/>
      <c r="D470" s="1877"/>
      <c r="E470" s="1877"/>
      <c r="F470" s="1877"/>
      <c r="G470" s="1877"/>
      <c r="H470" s="1772"/>
      <c r="I470" s="2574"/>
      <c r="J470" s="1869"/>
      <c r="K470" s="1869"/>
      <c r="L470" s="1869"/>
      <c r="M470" s="1869"/>
      <c r="N470" s="1869"/>
      <c r="O470" s="1869"/>
      <c r="P470" s="1869"/>
      <c r="Q470" s="1869"/>
      <c r="R470" s="1869"/>
      <c r="S470" s="1869"/>
      <c r="T470" s="1869"/>
      <c r="U470" s="1869"/>
      <c r="V470" s="1869"/>
      <c r="W470" s="1869"/>
      <c r="X470" s="1869"/>
      <c r="Y470" s="1869"/>
      <c r="Z470" s="1869"/>
      <c r="AA470" s="1869"/>
      <c r="AB470" s="1869"/>
      <c r="AC470" s="1869"/>
      <c r="AD470" s="1869"/>
      <c r="AE470" s="1869"/>
      <c r="AF470" s="1869"/>
      <c r="AG470" s="1869"/>
      <c r="AH470" s="1869"/>
      <c r="AI470" s="1869"/>
      <c r="AJ470" s="1869"/>
      <c r="AK470" s="1869"/>
      <c r="AL470" s="1869"/>
      <c r="AM470" s="1870"/>
    </row>
    <row r="471" spans="2:39" ht="18" customHeight="1">
      <c r="B471" s="3112" t="s">
        <v>989</v>
      </c>
      <c r="C471" s="1777"/>
      <c r="D471" s="1777"/>
      <c r="E471" s="1777"/>
      <c r="F471" s="1777"/>
      <c r="G471" s="1777"/>
      <c r="H471" s="1778"/>
      <c r="I471" s="3109"/>
      <c r="J471" s="1861"/>
      <c r="K471" s="1861"/>
      <c r="L471" s="1861"/>
      <c r="M471" s="1861"/>
      <c r="N471" s="1861"/>
      <c r="O471" s="1861"/>
      <c r="P471" s="1861"/>
      <c r="Q471" s="1861"/>
      <c r="R471" s="1861"/>
      <c r="S471" s="1861"/>
      <c r="T471" s="1861"/>
      <c r="U471" s="1861"/>
      <c r="V471" s="1861"/>
      <c r="W471" s="1861"/>
      <c r="X471" s="1861"/>
      <c r="Y471" s="1861"/>
      <c r="Z471" s="1861"/>
      <c r="AA471" s="1861"/>
      <c r="AB471" s="1861"/>
      <c r="AC471" s="1861"/>
      <c r="AD471" s="1861"/>
      <c r="AE471" s="1861"/>
      <c r="AF471" s="1861"/>
      <c r="AG471" s="1861"/>
      <c r="AH471" s="1861"/>
      <c r="AI471" s="1861"/>
      <c r="AJ471" s="1861"/>
      <c r="AK471" s="1861"/>
      <c r="AL471" s="1861"/>
      <c r="AM471" s="1862"/>
    </row>
    <row r="472" spans="2:39" ht="18" customHeight="1">
      <c r="B472" s="3112" t="s">
        <v>2296</v>
      </c>
      <c r="C472" s="1777"/>
      <c r="D472" s="1777"/>
      <c r="E472" s="1777"/>
      <c r="F472" s="1777"/>
      <c r="G472" s="1777"/>
      <c r="H472" s="1778"/>
      <c r="I472" s="3172"/>
      <c r="J472" s="1861"/>
      <c r="K472" s="1861"/>
      <c r="L472" s="1861"/>
      <c r="M472" s="1861"/>
      <c r="N472" s="1861"/>
      <c r="O472" s="1861"/>
      <c r="P472" s="1861"/>
      <c r="Q472" s="1861"/>
      <c r="R472" s="1861"/>
      <c r="S472" s="1861"/>
      <c r="T472" s="1861"/>
      <c r="U472" s="1861"/>
      <c r="V472" s="1861"/>
      <c r="W472" s="1861"/>
      <c r="X472" s="1861"/>
      <c r="Y472" s="1861"/>
      <c r="Z472" s="1861"/>
      <c r="AA472" s="1861"/>
      <c r="AB472" s="1861"/>
      <c r="AC472" s="1861"/>
      <c r="AD472" s="1861"/>
      <c r="AE472" s="1861"/>
      <c r="AF472" s="1861"/>
      <c r="AG472" s="1861"/>
      <c r="AH472" s="1861"/>
      <c r="AI472" s="1861"/>
      <c r="AJ472" s="1861"/>
      <c r="AK472" s="1861"/>
      <c r="AL472" s="1861"/>
      <c r="AM472" s="1862"/>
    </row>
    <row r="473" spans="2:39" ht="18" customHeight="1">
      <c r="B473" s="3112" t="s">
        <v>2698</v>
      </c>
      <c r="C473" s="1777"/>
      <c r="D473" s="1777"/>
      <c r="E473" s="1777"/>
      <c r="F473" s="1777"/>
      <c r="G473" s="1777"/>
      <c r="H473" s="1778"/>
      <c r="I473" s="3172"/>
      <c r="J473" s="1861"/>
      <c r="K473" s="1861"/>
      <c r="L473" s="1861"/>
      <c r="M473" s="1861"/>
      <c r="N473" s="1861"/>
      <c r="O473" s="1861"/>
      <c r="P473" s="1861"/>
      <c r="Q473" s="1861"/>
      <c r="R473" s="1861"/>
      <c r="S473" s="1861"/>
      <c r="T473" s="1861"/>
      <c r="U473" s="1861"/>
      <c r="V473" s="1861"/>
      <c r="W473" s="1861"/>
      <c r="X473" s="1861"/>
      <c r="Y473" s="1861"/>
      <c r="Z473" s="1861"/>
      <c r="AA473" s="1861"/>
      <c r="AB473" s="1861"/>
      <c r="AC473" s="1861"/>
      <c r="AD473" s="1861"/>
      <c r="AE473" s="1861"/>
      <c r="AF473" s="1861"/>
      <c r="AG473" s="1861"/>
      <c r="AH473" s="1861"/>
      <c r="AI473" s="1861"/>
      <c r="AJ473" s="1861"/>
      <c r="AK473" s="1861"/>
      <c r="AL473" s="1861"/>
      <c r="AM473" s="1862"/>
    </row>
    <row r="474" spans="2:39" ht="18" customHeight="1">
      <c r="B474" s="3112" t="s">
        <v>2699</v>
      </c>
      <c r="C474" s="1777"/>
      <c r="D474" s="1777"/>
      <c r="E474" s="1777"/>
      <c r="F474" s="1777"/>
      <c r="G474" s="1777"/>
      <c r="H474" s="1778"/>
      <c r="I474" s="3134"/>
      <c r="J474" s="1861"/>
      <c r="K474" s="1861"/>
      <c r="L474" s="1861"/>
      <c r="M474" s="1861"/>
      <c r="N474" s="1862"/>
      <c r="O474" s="3164" t="s">
        <v>2295</v>
      </c>
      <c r="P474" s="1772"/>
      <c r="Q474" s="3154"/>
      <c r="R474" s="1861"/>
      <c r="S474" s="1862"/>
    </row>
    <row r="475" spans="2:39" s="384" customFormat="1" ht="18" customHeight="1"/>
    <row r="476" spans="2:39" ht="18" customHeight="1">
      <c r="B476" s="3178" t="s">
        <v>2700</v>
      </c>
      <c r="C476" s="1953"/>
      <c r="D476" s="1953"/>
      <c r="E476" s="1953"/>
      <c r="F476" s="1953"/>
      <c r="G476" s="1953"/>
      <c r="H476" s="1953"/>
      <c r="I476" s="1953"/>
      <c r="J476" s="1953"/>
      <c r="K476" s="1953"/>
      <c r="L476" s="1953"/>
      <c r="M476" s="1953"/>
      <c r="N476" s="1953"/>
      <c r="O476" s="1953"/>
      <c r="P476" s="1953"/>
      <c r="Q476" s="1953"/>
      <c r="R476" s="1953"/>
      <c r="S476" s="1953"/>
      <c r="T476" s="1953"/>
      <c r="U476" s="1953"/>
      <c r="V476" s="1953"/>
      <c r="W476" s="1953"/>
      <c r="X476" s="1953"/>
      <c r="Y476" s="1953"/>
      <c r="Z476" s="1953"/>
      <c r="AA476" s="1953"/>
      <c r="AB476" s="1953"/>
      <c r="AC476" s="1953"/>
      <c r="AD476" s="1953"/>
      <c r="AE476" s="1953"/>
      <c r="AF476" s="1953"/>
      <c r="AG476" s="1953"/>
      <c r="AH476" s="1953"/>
      <c r="AI476" s="1953"/>
      <c r="AJ476" s="1953"/>
      <c r="AK476" s="1953"/>
      <c r="AL476" s="1953"/>
      <c r="AM476" s="1770"/>
    </row>
    <row r="477" spans="2:39" ht="18" customHeight="1">
      <c r="B477" s="3135" t="s">
        <v>2701</v>
      </c>
      <c r="C477" s="3021"/>
      <c r="D477" s="3021"/>
      <c r="E477" s="3021"/>
      <c r="F477" s="3021"/>
      <c r="G477" s="3021"/>
      <c r="H477" s="3021"/>
      <c r="I477" s="1935"/>
      <c r="J477" s="3021"/>
      <c r="K477" s="3021"/>
      <c r="L477" s="3021"/>
      <c r="M477" s="3021"/>
      <c r="N477" s="3021"/>
      <c r="O477" s="3021"/>
      <c r="P477" s="3021"/>
      <c r="Q477" s="3021"/>
      <c r="R477" s="3021"/>
      <c r="S477" s="3021"/>
      <c r="T477" s="3021"/>
      <c r="U477" s="3021"/>
      <c r="V477" s="3021"/>
      <c r="W477" s="3021"/>
      <c r="X477" s="3021"/>
      <c r="Y477" s="3021"/>
      <c r="Z477" s="3021"/>
      <c r="AA477" s="3021"/>
      <c r="AB477" s="3021"/>
      <c r="AC477" s="3021"/>
      <c r="AD477" s="3021"/>
      <c r="AE477" s="3021"/>
      <c r="AF477" s="3021"/>
      <c r="AG477" s="3021"/>
      <c r="AH477" s="3021"/>
      <c r="AI477" s="3021"/>
      <c r="AJ477" s="3021"/>
      <c r="AK477" s="3021"/>
      <c r="AL477" s="3021"/>
      <c r="AM477" s="1889"/>
    </row>
    <row r="478" spans="2:39" ht="18" customHeight="1">
      <c r="B478" s="3112" t="s">
        <v>2294</v>
      </c>
      <c r="C478" s="1953"/>
      <c r="D478" s="1953"/>
      <c r="E478" s="1953"/>
      <c r="F478" s="1953"/>
      <c r="G478" s="1953"/>
      <c r="H478" s="1770"/>
      <c r="I478" s="3172" t="s">
        <v>693</v>
      </c>
      <c r="J478" s="1864"/>
      <c r="K478" s="1864"/>
      <c r="L478" s="1864"/>
      <c r="M478" s="1864"/>
      <c r="N478" s="1864"/>
      <c r="O478" s="1864"/>
      <c r="P478" s="1864"/>
      <c r="Q478" s="1864"/>
      <c r="R478" s="1864"/>
      <c r="S478" s="1864"/>
      <c r="T478" s="1864"/>
      <c r="U478" s="1864"/>
      <c r="V478" s="1864"/>
      <c r="W478" s="1864"/>
      <c r="X478" s="1864"/>
      <c r="Y478" s="1864"/>
      <c r="Z478" s="1864"/>
      <c r="AA478" s="1864"/>
      <c r="AB478" s="1864"/>
      <c r="AC478" s="1864"/>
      <c r="AD478" s="1864"/>
      <c r="AE478" s="1864"/>
      <c r="AF478" s="1864"/>
      <c r="AG478" s="1864"/>
      <c r="AH478" s="1864"/>
      <c r="AI478" s="1864"/>
      <c r="AJ478" s="1864"/>
      <c r="AK478" s="1864"/>
      <c r="AL478" s="1864"/>
      <c r="AM478" s="1865"/>
    </row>
    <row r="479" spans="2:39" ht="18" customHeight="1">
      <c r="B479" s="2479"/>
      <c r="C479" s="1877"/>
      <c r="D479" s="1877"/>
      <c r="E479" s="1877"/>
      <c r="F479" s="1877"/>
      <c r="G479" s="1877"/>
      <c r="H479" s="1772"/>
      <c r="I479" s="2574"/>
      <c r="J479" s="1869"/>
      <c r="K479" s="1869"/>
      <c r="L479" s="1869"/>
      <c r="M479" s="1869"/>
      <c r="N479" s="1869"/>
      <c r="O479" s="1869"/>
      <c r="P479" s="1869"/>
      <c r="Q479" s="1869"/>
      <c r="R479" s="1869"/>
      <c r="S479" s="1869"/>
      <c r="T479" s="1869"/>
      <c r="U479" s="1869"/>
      <c r="V479" s="1869"/>
      <c r="W479" s="1869"/>
      <c r="X479" s="1869"/>
      <c r="Y479" s="1869"/>
      <c r="Z479" s="1869"/>
      <c r="AA479" s="1869"/>
      <c r="AB479" s="1869"/>
      <c r="AC479" s="1869"/>
      <c r="AD479" s="1869"/>
      <c r="AE479" s="1869"/>
      <c r="AF479" s="1869"/>
      <c r="AG479" s="1869"/>
      <c r="AH479" s="1869"/>
      <c r="AI479" s="1869"/>
      <c r="AJ479" s="1869"/>
      <c r="AK479" s="1869"/>
      <c r="AL479" s="1869"/>
      <c r="AM479" s="1870"/>
    </row>
    <row r="480" spans="2:39" ht="18" customHeight="1">
      <c r="B480" s="3112" t="s">
        <v>989</v>
      </c>
      <c r="C480" s="1777"/>
      <c r="D480" s="1777"/>
      <c r="E480" s="1777"/>
      <c r="F480" s="1777"/>
      <c r="G480" s="1777"/>
      <c r="H480" s="1778"/>
      <c r="I480" s="3109"/>
      <c r="J480" s="1861"/>
      <c r="K480" s="1861"/>
      <c r="L480" s="1861"/>
      <c r="M480" s="1861"/>
      <c r="N480" s="1861"/>
      <c r="O480" s="1861"/>
      <c r="P480" s="1861"/>
      <c r="Q480" s="1861"/>
      <c r="R480" s="1861"/>
      <c r="S480" s="1861"/>
      <c r="T480" s="1861"/>
      <c r="U480" s="1861"/>
      <c r="V480" s="1861"/>
      <c r="W480" s="1861"/>
      <c r="X480" s="1861"/>
      <c r="Y480" s="1861"/>
      <c r="Z480" s="1861"/>
      <c r="AA480" s="1861"/>
      <c r="AB480" s="1861"/>
      <c r="AC480" s="1861"/>
      <c r="AD480" s="1861"/>
      <c r="AE480" s="1861"/>
      <c r="AF480" s="1861"/>
      <c r="AG480" s="1861"/>
      <c r="AH480" s="1861"/>
      <c r="AI480" s="1861"/>
      <c r="AJ480" s="1861"/>
      <c r="AK480" s="1861"/>
      <c r="AL480" s="1861"/>
      <c r="AM480" s="1862"/>
    </row>
    <row r="481" spans="2:39" ht="18" customHeight="1">
      <c r="B481" s="3112" t="s">
        <v>2296</v>
      </c>
      <c r="C481" s="1777"/>
      <c r="D481" s="1777"/>
      <c r="E481" s="1777"/>
      <c r="F481" s="1777"/>
      <c r="G481" s="1777"/>
      <c r="H481" s="1778"/>
      <c r="I481" s="3172"/>
      <c r="J481" s="1861"/>
      <c r="K481" s="1861"/>
      <c r="L481" s="1861"/>
      <c r="M481" s="1861"/>
      <c r="N481" s="1861"/>
      <c r="O481" s="1861"/>
      <c r="P481" s="1861"/>
      <c r="Q481" s="1861"/>
      <c r="R481" s="1861"/>
      <c r="S481" s="1861"/>
      <c r="T481" s="1861"/>
      <c r="U481" s="1861"/>
      <c r="V481" s="1861"/>
      <c r="W481" s="1861"/>
      <c r="X481" s="1861"/>
      <c r="Y481" s="1861"/>
      <c r="Z481" s="1861"/>
      <c r="AA481" s="1861"/>
      <c r="AB481" s="1861"/>
      <c r="AC481" s="1861"/>
      <c r="AD481" s="1861"/>
      <c r="AE481" s="1861"/>
      <c r="AF481" s="1861"/>
      <c r="AG481" s="1861"/>
      <c r="AH481" s="1861"/>
      <c r="AI481" s="1861"/>
      <c r="AJ481" s="1861"/>
      <c r="AK481" s="1861"/>
      <c r="AL481" s="1861"/>
      <c r="AM481" s="1862"/>
    </row>
    <row r="482" spans="2:39" ht="18" customHeight="1">
      <c r="B482" s="3112" t="s">
        <v>2698</v>
      </c>
      <c r="C482" s="1777"/>
      <c r="D482" s="1777"/>
      <c r="E482" s="1777"/>
      <c r="F482" s="1777"/>
      <c r="G482" s="1777"/>
      <c r="H482" s="1778"/>
      <c r="I482" s="3172"/>
      <c r="J482" s="1861"/>
      <c r="K482" s="1861"/>
      <c r="L482" s="1861"/>
      <c r="M482" s="1861"/>
      <c r="N482" s="1861"/>
      <c r="O482" s="1861"/>
      <c r="P482" s="1861"/>
      <c r="Q482" s="1861"/>
      <c r="R482" s="1861"/>
      <c r="S482" s="1861"/>
      <c r="T482" s="1861"/>
      <c r="U482" s="1861"/>
      <c r="V482" s="1861"/>
      <c r="W482" s="1861"/>
      <c r="X482" s="1861"/>
      <c r="Y482" s="1861"/>
      <c r="Z482" s="1861"/>
      <c r="AA482" s="1861"/>
      <c r="AB482" s="1861"/>
      <c r="AC482" s="1861"/>
      <c r="AD482" s="1861"/>
      <c r="AE482" s="1861"/>
      <c r="AF482" s="1861"/>
      <c r="AG482" s="1861"/>
      <c r="AH482" s="1861"/>
      <c r="AI482" s="1861"/>
      <c r="AJ482" s="1861"/>
      <c r="AK482" s="1861"/>
      <c r="AL482" s="1861"/>
      <c r="AM482" s="1862"/>
    </row>
    <row r="483" spans="2:39" ht="18" customHeight="1">
      <c r="B483" s="3112" t="s">
        <v>2699</v>
      </c>
      <c r="C483" s="1777"/>
      <c r="D483" s="1777"/>
      <c r="E483" s="1777"/>
      <c r="F483" s="1777"/>
      <c r="G483" s="1777"/>
      <c r="H483" s="1778"/>
      <c r="I483" s="3134"/>
      <c r="J483" s="1861"/>
      <c r="K483" s="1861"/>
      <c r="L483" s="1861"/>
      <c r="M483" s="1861"/>
      <c r="N483" s="1862"/>
      <c r="O483" s="3164" t="s">
        <v>2295</v>
      </c>
      <c r="P483" s="1772"/>
      <c r="Q483" s="3154"/>
      <c r="R483" s="1861"/>
      <c r="S483" s="1862"/>
    </row>
    <row r="486" spans="2:39" ht="18" customHeight="1">
      <c r="B486" s="1791" t="s">
        <v>461</v>
      </c>
      <c r="C486" s="3021"/>
      <c r="D486" s="3021"/>
      <c r="E486" s="3021"/>
      <c r="F486" s="3021"/>
      <c r="G486" s="3021"/>
      <c r="H486" s="3021"/>
      <c r="I486" s="1935"/>
      <c r="J486" s="3021"/>
      <c r="K486" s="3021"/>
      <c r="L486" s="3021"/>
      <c r="M486" s="3021"/>
      <c r="N486" s="3021"/>
      <c r="O486" s="3021"/>
      <c r="P486" s="3021"/>
      <c r="Q486" s="3021"/>
      <c r="R486" s="3021"/>
      <c r="S486" s="3021"/>
      <c r="T486" s="3021"/>
      <c r="U486" s="3021"/>
      <c r="V486" s="3021"/>
      <c r="W486" s="3021"/>
      <c r="X486" s="3021"/>
      <c r="Y486" s="3021"/>
      <c r="Z486" s="3021"/>
      <c r="AA486" s="3021"/>
      <c r="AB486" s="3021"/>
      <c r="AC486" s="3021"/>
      <c r="AD486" s="3021"/>
      <c r="AE486" s="3021"/>
      <c r="AF486" s="3021"/>
      <c r="AG486" s="3021"/>
      <c r="AH486" s="3021"/>
      <c r="AI486" s="3021"/>
      <c r="AJ486" s="3021"/>
      <c r="AK486" s="3021"/>
      <c r="AL486" s="3021"/>
      <c r="AM486" s="3021"/>
    </row>
  </sheetData>
  <sheetProtection algorithmName="SHA-512" hashValue="cERhWhzGxoc3Zw5U+AcrqbUDElNr41a8KzfMsaDHFwR5EQ0ZsXLdiMmu53EhJOFvQWNgxBGXXoFrFyO6TJisow==" saltValue="XTHFQxbAlUqGeg3t1VfYXQ==" spinCount="100000" sheet="1" objects="1" scenarios="1"/>
  <mergeCells count="1105">
    <mergeCell ref="Q483:S483"/>
    <mergeCell ref="B360:E360"/>
    <mergeCell ref="N31:T31"/>
    <mergeCell ref="F23:AM23"/>
    <mergeCell ref="B85:AM85"/>
    <mergeCell ref="B372:E372"/>
    <mergeCell ref="V400:X400"/>
    <mergeCell ref="U246:Z246"/>
    <mergeCell ref="AA230:AF230"/>
    <mergeCell ref="U233:Z233"/>
    <mergeCell ref="AC459:AM459"/>
    <mergeCell ref="AK362:AM362"/>
    <mergeCell ref="V408:X408"/>
    <mergeCell ref="V402:X402"/>
    <mergeCell ref="AK43:AL43"/>
    <mergeCell ref="B238:F238"/>
    <mergeCell ref="B141:AM141"/>
    <mergeCell ref="M60:N60"/>
    <mergeCell ref="AE43:AF43"/>
    <mergeCell ref="B361:E361"/>
    <mergeCell ref="U248:Z248"/>
    <mergeCell ref="B159:AM159"/>
    <mergeCell ref="AF300:AH300"/>
    <mergeCell ref="U235:Z235"/>
    <mergeCell ref="B253:F253"/>
    <mergeCell ref="AK364:AM364"/>
    <mergeCell ref="AA255:AF255"/>
    <mergeCell ref="AK51:AL51"/>
    <mergeCell ref="Z430:AB430"/>
    <mergeCell ref="Y50:Z50"/>
    <mergeCell ref="B441:AM441"/>
    <mergeCell ref="L29:M29"/>
    <mergeCell ref="C422:Y422"/>
    <mergeCell ref="AA232:AF232"/>
    <mergeCell ref="B21:E21"/>
    <mergeCell ref="Y52:Z52"/>
    <mergeCell ref="Y414:AA414"/>
    <mergeCell ref="B274:AM274"/>
    <mergeCell ref="AE359:AJ359"/>
    <mergeCell ref="L31:M31"/>
    <mergeCell ref="G225:N225"/>
    <mergeCell ref="B60:H60"/>
    <mergeCell ref="B390:AM390"/>
    <mergeCell ref="AA250:AF250"/>
    <mergeCell ref="I53:N53"/>
    <mergeCell ref="G251:N251"/>
    <mergeCell ref="AB409:AG409"/>
    <mergeCell ref="G308:AM308"/>
    <mergeCell ref="O261:T261"/>
    <mergeCell ref="B389:AM389"/>
    <mergeCell ref="B327:AM327"/>
    <mergeCell ref="B156:AM156"/>
    <mergeCell ref="Y47:Z47"/>
    <mergeCell ref="F26:AM26"/>
    <mergeCell ref="U31:V31"/>
    <mergeCell ref="AB395:AG395"/>
    <mergeCell ref="Y393:AA393"/>
    <mergeCell ref="B207:AM207"/>
    <mergeCell ref="B252:F252"/>
    <mergeCell ref="AG41:AL41"/>
    <mergeCell ref="G227:N227"/>
    <mergeCell ref="M50:N50"/>
    <mergeCell ref="U228:Z228"/>
    <mergeCell ref="G226:N226"/>
    <mergeCell ref="Y42:Z42"/>
    <mergeCell ref="B227:F227"/>
    <mergeCell ref="P288:R288"/>
    <mergeCell ref="B224:F224"/>
    <mergeCell ref="AC60:AF60"/>
    <mergeCell ref="O259:T259"/>
    <mergeCell ref="O234:T234"/>
    <mergeCell ref="B94:AJ94"/>
    <mergeCell ref="B154:AM154"/>
    <mergeCell ref="B325:AM325"/>
    <mergeCell ref="V396:X396"/>
    <mergeCell ref="AE50:AF50"/>
    <mergeCell ref="B58:H58"/>
    <mergeCell ref="B376:C376"/>
    <mergeCell ref="B136:AM136"/>
    <mergeCell ref="B52:H52"/>
    <mergeCell ref="E309:Q309"/>
    <mergeCell ref="AG263:AM263"/>
    <mergeCell ref="B124:N124"/>
    <mergeCell ref="AJ318:AM318"/>
    <mergeCell ref="B16:E16"/>
    <mergeCell ref="B93:AM93"/>
    <mergeCell ref="B149:AM149"/>
    <mergeCell ref="B220:AM220"/>
    <mergeCell ref="B264:AM264"/>
    <mergeCell ref="AA251:AF251"/>
    <mergeCell ref="B385:AM385"/>
    <mergeCell ref="U254:Z254"/>
    <mergeCell ref="G310:AM310"/>
    <mergeCell ref="AA238:AF238"/>
    <mergeCell ref="AG261:AM261"/>
    <mergeCell ref="N32:T32"/>
    <mergeCell ref="B86:AM86"/>
    <mergeCell ref="Y406:AA406"/>
    <mergeCell ref="B452:I452"/>
    <mergeCell ref="AJ316:AM316"/>
    <mergeCell ref="B18:E18"/>
    <mergeCell ref="B151:AM151"/>
    <mergeCell ref="V410:X410"/>
    <mergeCell ref="U256:Z256"/>
    <mergeCell ref="B101:AM101"/>
    <mergeCell ref="B91:T91"/>
    <mergeCell ref="B225:F225"/>
    <mergeCell ref="U244:Z244"/>
    <mergeCell ref="AE363:AJ363"/>
    <mergeCell ref="C424:Y424"/>
    <mergeCell ref="B436:AM436"/>
    <mergeCell ref="Y45:Z45"/>
    <mergeCell ref="U251:Z251"/>
    <mergeCell ref="B267:AM267"/>
    <mergeCell ref="B23:E23"/>
    <mergeCell ref="D383:AJ383"/>
    <mergeCell ref="F10:AM10"/>
    <mergeCell ref="AC460:AM460"/>
    <mergeCell ref="B11:E11"/>
    <mergeCell ref="B115:AF115"/>
    <mergeCell ref="U249:Z249"/>
    <mergeCell ref="Z425:AB425"/>
    <mergeCell ref="B182:AM182"/>
    <mergeCell ref="B38:AM38"/>
    <mergeCell ref="B469:H470"/>
    <mergeCell ref="B254:F254"/>
    <mergeCell ref="V411:X411"/>
    <mergeCell ref="B467:AM467"/>
    <mergeCell ref="B321:D321"/>
    <mergeCell ref="O53:T53"/>
    <mergeCell ref="AB412:AG412"/>
    <mergeCell ref="B378:C378"/>
    <mergeCell ref="AA364:AD364"/>
    <mergeCell ref="AA240:AF240"/>
    <mergeCell ref="X321:Y321"/>
    <mergeCell ref="B381:C381"/>
    <mergeCell ref="V393:X393"/>
    <mergeCell ref="C427:Y427"/>
    <mergeCell ref="E321:W321"/>
    <mergeCell ref="AK383:AM383"/>
    <mergeCell ref="U242:Z242"/>
    <mergeCell ref="B366:AM366"/>
    <mergeCell ref="B259:F259"/>
    <mergeCell ref="B66:AM66"/>
    <mergeCell ref="G243:N243"/>
    <mergeCell ref="AE364:AJ364"/>
    <mergeCell ref="AE52:AF52"/>
    <mergeCell ref="B180:AM180"/>
    <mergeCell ref="F5:AM5"/>
    <mergeCell ref="B40:AM40"/>
    <mergeCell ref="B211:AM211"/>
    <mergeCell ref="B338:AM338"/>
    <mergeCell ref="AB399:AG399"/>
    <mergeCell ref="B318:AI318"/>
    <mergeCell ref="B41:H42"/>
    <mergeCell ref="W29:AM29"/>
    <mergeCell ref="B183:AM183"/>
    <mergeCell ref="I54:N54"/>
    <mergeCell ref="D368:AI368"/>
    <mergeCell ref="B177:AM177"/>
    <mergeCell ref="B444:AM444"/>
    <mergeCell ref="V323:W323"/>
    <mergeCell ref="I41:N41"/>
    <mergeCell ref="I483:N483"/>
    <mergeCell ref="B104:AM104"/>
    <mergeCell ref="B275:AM275"/>
    <mergeCell ref="L32:M32"/>
    <mergeCell ref="B6:E6"/>
    <mergeCell ref="U225:Z225"/>
    <mergeCell ref="D370:AI370"/>
    <mergeCell ref="B404:U404"/>
    <mergeCell ref="B24:E24"/>
    <mergeCell ref="B302:AM302"/>
    <mergeCell ref="B277:AM277"/>
    <mergeCell ref="B106:AM106"/>
    <mergeCell ref="G241:N241"/>
    <mergeCell ref="T450:W450"/>
    <mergeCell ref="AE362:AJ362"/>
    <mergeCell ref="R63:AB63"/>
    <mergeCell ref="G228:N228"/>
    <mergeCell ref="B17:E17"/>
    <mergeCell ref="B30:C30"/>
    <mergeCell ref="B54:H55"/>
    <mergeCell ref="G246:N246"/>
    <mergeCell ref="B270:AM270"/>
    <mergeCell ref="G311:AM311"/>
    <mergeCell ref="B186:AM186"/>
    <mergeCell ref="AH391:AK391"/>
    <mergeCell ref="B457:AM457"/>
    <mergeCell ref="M299:AM299"/>
    <mergeCell ref="C430:Y430"/>
    <mergeCell ref="J451:P451"/>
    <mergeCell ref="U247:Z247"/>
    <mergeCell ref="B92:AM92"/>
    <mergeCell ref="B19:E19"/>
    <mergeCell ref="Y412:AA412"/>
    <mergeCell ref="AA254:AF254"/>
    <mergeCell ref="B107:AM107"/>
    <mergeCell ref="K297:L297"/>
    <mergeCell ref="AA228:AF228"/>
    <mergeCell ref="B400:Q400"/>
    <mergeCell ref="T451:W451"/>
    <mergeCell ref="B448:I448"/>
    <mergeCell ref="AH404:AK404"/>
    <mergeCell ref="B246:F246"/>
    <mergeCell ref="AK59:AL59"/>
    <mergeCell ref="F19:AM19"/>
    <mergeCell ref="F17:AM17"/>
    <mergeCell ref="M55:N55"/>
    <mergeCell ref="B130:AM130"/>
    <mergeCell ref="O244:T244"/>
    <mergeCell ref="B249:F249"/>
    <mergeCell ref="B481:H481"/>
    <mergeCell ref="U257:Z257"/>
    <mergeCell ref="B486:AM486"/>
    <mergeCell ref="Y43:Z43"/>
    <mergeCell ref="G247:N247"/>
    <mergeCell ref="B265:AM265"/>
    <mergeCell ref="C278:U278"/>
    <mergeCell ref="S43:T43"/>
    <mergeCell ref="O255:T255"/>
    <mergeCell ref="I469:AM470"/>
    <mergeCell ref="B20:E20"/>
    <mergeCell ref="Y413:AA413"/>
    <mergeCell ref="B247:F247"/>
    <mergeCell ref="B10:E10"/>
    <mergeCell ref="B185:AM185"/>
    <mergeCell ref="B262:F262"/>
    <mergeCell ref="N35:T35"/>
    <mergeCell ref="AH409:AK409"/>
    <mergeCell ref="O121:AM121"/>
    <mergeCell ref="O232:T232"/>
    <mergeCell ref="B412:U412"/>
    <mergeCell ref="B276:AM276"/>
    <mergeCell ref="B105:AM105"/>
    <mergeCell ref="B176:AM176"/>
    <mergeCell ref="B214:AM214"/>
    <mergeCell ref="B347:AM347"/>
    <mergeCell ref="B341:AM341"/>
    <mergeCell ref="AK45:AL45"/>
    <mergeCell ref="G249:N249"/>
    <mergeCell ref="B468:AM468"/>
    <mergeCell ref="T452:W452"/>
    <mergeCell ref="W32:AM32"/>
    <mergeCell ref="B461:N461"/>
    <mergeCell ref="G252:N252"/>
    <mergeCell ref="H113:P113"/>
    <mergeCell ref="O245:T245"/>
    <mergeCell ref="O458:AB458"/>
    <mergeCell ref="O250:T250"/>
    <mergeCell ref="S44:T44"/>
    <mergeCell ref="B439:AM439"/>
    <mergeCell ref="G245:N245"/>
    <mergeCell ref="B114:AF114"/>
    <mergeCell ref="O238:T238"/>
    <mergeCell ref="Q452:S452"/>
    <mergeCell ref="U32:V32"/>
    <mergeCell ref="C288:O288"/>
    <mergeCell ref="AA359:AB359"/>
    <mergeCell ref="AE49:AF49"/>
    <mergeCell ref="AG233:AM233"/>
    <mergeCell ref="U241:Z241"/>
    <mergeCell ref="AH402:AK402"/>
    <mergeCell ref="D35:K35"/>
    <mergeCell ref="B169:AM169"/>
    <mergeCell ref="P291:R291"/>
    <mergeCell ref="B455:AM455"/>
    <mergeCell ref="B397:U397"/>
    <mergeCell ref="B172:AM172"/>
    <mergeCell ref="U231:Z231"/>
    <mergeCell ref="B243:F243"/>
    <mergeCell ref="AH396:AK396"/>
    <mergeCell ref="AA362:AD362"/>
    <mergeCell ref="B34:C34"/>
    <mergeCell ref="B170:AM170"/>
    <mergeCell ref="AG236:AM236"/>
    <mergeCell ref="B459:N459"/>
    <mergeCell ref="B171:AM171"/>
    <mergeCell ref="F359:Z359"/>
    <mergeCell ref="B402:Q402"/>
    <mergeCell ref="M57:N57"/>
    <mergeCell ref="AC320:AM320"/>
    <mergeCell ref="F24:AM24"/>
    <mergeCell ref="Q449:S449"/>
    <mergeCell ref="U29:V29"/>
    <mergeCell ref="AB393:AG393"/>
    <mergeCell ref="B328:AM328"/>
    <mergeCell ref="B157:AM157"/>
    <mergeCell ref="AG223:AM223"/>
    <mergeCell ref="W34:AM35"/>
    <mergeCell ref="AA259:AF259"/>
    <mergeCell ref="AA253:AF253"/>
    <mergeCell ref="O229:T229"/>
    <mergeCell ref="B392:U392"/>
    <mergeCell ref="B309:D309"/>
    <mergeCell ref="D34:K34"/>
    <mergeCell ref="B350:AM350"/>
    <mergeCell ref="B67:M67"/>
    <mergeCell ref="AE47:AF47"/>
    <mergeCell ref="B152:AM152"/>
    <mergeCell ref="B454:AM454"/>
    <mergeCell ref="B228:F228"/>
    <mergeCell ref="B391:U391"/>
    <mergeCell ref="G253:N253"/>
    <mergeCell ref="AG259:AM259"/>
    <mergeCell ref="B450:I450"/>
    <mergeCell ref="B155:AM155"/>
    <mergeCell ref="AG54:AL54"/>
    <mergeCell ref="X452:AC452"/>
    <mergeCell ref="V295:AB295"/>
    <mergeCell ref="AA252:AF252"/>
    <mergeCell ref="O251:T251"/>
    <mergeCell ref="B463:AM463"/>
    <mergeCell ref="B320:AB320"/>
    <mergeCell ref="B438:AM438"/>
    <mergeCell ref="B49:H49"/>
    <mergeCell ref="B204:AM204"/>
    <mergeCell ref="B198:AM198"/>
    <mergeCell ref="O230:T230"/>
    <mergeCell ref="AH399:AK399"/>
    <mergeCell ref="AG229:AM229"/>
    <mergeCell ref="B296:AM296"/>
    <mergeCell ref="B173:AM173"/>
    <mergeCell ref="B31:C31"/>
    <mergeCell ref="AG239:AM239"/>
    <mergeCell ref="B271:AM271"/>
    <mergeCell ref="B75:AM75"/>
    <mergeCell ref="AG53:AL53"/>
    <mergeCell ref="AA256:AF256"/>
    <mergeCell ref="V394:X394"/>
    <mergeCell ref="AA248:AF248"/>
    <mergeCell ref="V309:AB309"/>
    <mergeCell ref="P287:R287"/>
    <mergeCell ref="B117:AE117"/>
    <mergeCell ref="AC57:AF57"/>
    <mergeCell ref="M42:N42"/>
    <mergeCell ref="B88:AM88"/>
    <mergeCell ref="B167:AM167"/>
    <mergeCell ref="B272:AM272"/>
    <mergeCell ref="B161:AM161"/>
    <mergeCell ref="B39:AM39"/>
    <mergeCell ref="AC54:AF55"/>
    <mergeCell ref="B22:E22"/>
    <mergeCell ref="D382:AJ382"/>
    <mergeCell ref="B70:AM70"/>
    <mergeCell ref="Y415:AA415"/>
    <mergeCell ref="S49:T49"/>
    <mergeCell ref="G263:N263"/>
    <mergeCell ref="B234:F234"/>
    <mergeCell ref="AG255:AM255"/>
    <mergeCell ref="E323:U323"/>
    <mergeCell ref="X450:AC450"/>
    <mergeCell ref="N322:P322"/>
    <mergeCell ref="B123:AM123"/>
    <mergeCell ref="M44:N44"/>
    <mergeCell ref="B221:AM221"/>
    <mergeCell ref="B110:AM110"/>
    <mergeCell ref="R399:S399"/>
    <mergeCell ref="S52:T52"/>
    <mergeCell ref="W33:AM33"/>
    <mergeCell ref="Q450:S450"/>
    <mergeCell ref="AB398:AG398"/>
    <mergeCell ref="N34:T34"/>
    <mergeCell ref="S42:T42"/>
    <mergeCell ref="B197:AM197"/>
    <mergeCell ref="U258:Z258"/>
    <mergeCell ref="O41:T41"/>
    <mergeCell ref="M49:N49"/>
    <mergeCell ref="Z431:AB431"/>
    <mergeCell ref="N67:P67"/>
    <mergeCell ref="G262:N262"/>
    <mergeCell ref="D380:AJ380"/>
    <mergeCell ref="F16:AM16"/>
    <mergeCell ref="F6:AM6"/>
    <mergeCell ref="B257:F257"/>
    <mergeCell ref="M45:N45"/>
    <mergeCell ref="B113:G113"/>
    <mergeCell ref="B191:AM191"/>
    <mergeCell ref="B471:H471"/>
    <mergeCell ref="O474:P474"/>
    <mergeCell ref="B178:AM178"/>
    <mergeCell ref="B349:AM349"/>
    <mergeCell ref="B476:AM476"/>
    <mergeCell ref="AE361:AJ361"/>
    <mergeCell ref="B413:U413"/>
    <mergeCell ref="M47:N47"/>
    <mergeCell ref="B44:H44"/>
    <mergeCell ref="F20:AM20"/>
    <mergeCell ref="AG250:AM250"/>
    <mergeCell ref="Z321:AB321"/>
    <mergeCell ref="B217:AM217"/>
    <mergeCell ref="AA360:AD360"/>
    <mergeCell ref="B32:C32"/>
    <mergeCell ref="AH412:AK412"/>
    <mergeCell ref="B65:AM65"/>
    <mergeCell ref="O124:AM124"/>
    <mergeCell ref="B192:AM192"/>
    <mergeCell ref="O235:T235"/>
    <mergeCell ref="B415:U415"/>
    <mergeCell ref="AG258:AM258"/>
    <mergeCell ref="B472:H472"/>
    <mergeCell ref="B222:AM222"/>
    <mergeCell ref="AK48:AL48"/>
    <mergeCell ref="B344:AM344"/>
    <mergeCell ref="F4:AM4"/>
    <mergeCell ref="L30:M30"/>
    <mergeCell ref="AK95:AM95"/>
    <mergeCell ref="O253:T253"/>
    <mergeCell ref="B419:AK419"/>
    <mergeCell ref="O240:T240"/>
    <mergeCell ref="F373:M373"/>
    <mergeCell ref="B408:U408"/>
    <mergeCell ref="AG251:AM251"/>
    <mergeCell ref="T100:U100"/>
    <mergeCell ref="B284:Y284"/>
    <mergeCell ref="AG238:AM238"/>
    <mergeCell ref="AG232:AM232"/>
    <mergeCell ref="AK97:AM97"/>
    <mergeCell ref="B410:U410"/>
    <mergeCell ref="AA224:AF224"/>
    <mergeCell ref="B103:AM103"/>
    <mergeCell ref="B78:AM78"/>
    <mergeCell ref="Y398:AA398"/>
    <mergeCell ref="B205:AM205"/>
    <mergeCell ref="B339:AM339"/>
    <mergeCell ref="O125:AM125"/>
    <mergeCell ref="B314:AM314"/>
    <mergeCell ref="D33:K33"/>
    <mergeCell ref="C291:O291"/>
    <mergeCell ref="B403:U403"/>
    <mergeCell ref="AG246:AM246"/>
    <mergeCell ref="AK49:AL49"/>
    <mergeCell ref="V401:X401"/>
    <mergeCell ref="F18:AM18"/>
    <mergeCell ref="S50:T50"/>
    <mergeCell ref="V395:X395"/>
    <mergeCell ref="I471:AM471"/>
    <mergeCell ref="I478:AM479"/>
    <mergeCell ref="AB391:AG391"/>
    <mergeCell ref="E118:M118"/>
    <mergeCell ref="M48:N48"/>
    <mergeCell ref="P293:R293"/>
    <mergeCell ref="B45:H45"/>
    <mergeCell ref="B200:AM200"/>
    <mergeCell ref="B194:AM194"/>
    <mergeCell ref="B458:N458"/>
    <mergeCell ref="I482:AM482"/>
    <mergeCell ref="AI300:AM300"/>
    <mergeCell ref="C293:O293"/>
    <mergeCell ref="B474:H474"/>
    <mergeCell ref="AA361:AD361"/>
    <mergeCell ref="AA41:AF41"/>
    <mergeCell ref="I473:AM473"/>
    <mergeCell ref="J449:P449"/>
    <mergeCell ref="P292:R292"/>
    <mergeCell ref="AH413:AK413"/>
    <mergeCell ref="AG260:AM260"/>
    <mergeCell ref="B131:AM131"/>
    <mergeCell ref="V372:AB372"/>
    <mergeCell ref="B47:H47"/>
    <mergeCell ref="Q447:S447"/>
    <mergeCell ref="Y409:AA409"/>
    <mergeCell ref="D376:AJ376"/>
    <mergeCell ref="B465:AM465"/>
    <mergeCell ref="B59:H59"/>
    <mergeCell ref="B482:H482"/>
    <mergeCell ref="V414:X414"/>
    <mergeCell ref="I481:AM481"/>
    <mergeCell ref="AH415:AK415"/>
    <mergeCell ref="B2:AM2"/>
    <mergeCell ref="B46:H46"/>
    <mergeCell ref="B195:AM195"/>
    <mergeCell ref="AC461:AM461"/>
    <mergeCell ref="B358:AM358"/>
    <mergeCell ref="U250:Z250"/>
    <mergeCell ref="B48:H48"/>
    <mergeCell ref="B255:F255"/>
    <mergeCell ref="B226:F226"/>
    <mergeCell ref="G259:N259"/>
    <mergeCell ref="F12:AM12"/>
    <mergeCell ref="U223:Z223"/>
    <mergeCell ref="R62:AB62"/>
    <mergeCell ref="AK363:AM363"/>
    <mergeCell ref="B84:AM84"/>
    <mergeCell ref="G261:N261"/>
    <mergeCell ref="O254:T254"/>
    <mergeCell ref="B420:AK420"/>
    <mergeCell ref="AK307:AM307"/>
    <mergeCell ref="AH397:AK397"/>
    <mergeCell ref="AB404:AG404"/>
    <mergeCell ref="B434:AM434"/>
    <mergeCell ref="B9:E9"/>
    <mergeCell ref="B142:AM142"/>
    <mergeCell ref="O256:T256"/>
    <mergeCell ref="B213:AM213"/>
    <mergeCell ref="B384:AM384"/>
    <mergeCell ref="B80:AM80"/>
    <mergeCell ref="B313:AM313"/>
    <mergeCell ref="AH408:AK408"/>
    <mergeCell ref="F22:AM22"/>
    <mergeCell ref="B4:E4"/>
    <mergeCell ref="B248:F248"/>
    <mergeCell ref="Y397:AA397"/>
    <mergeCell ref="B399:Q399"/>
    <mergeCell ref="B81:AM81"/>
    <mergeCell ref="B208:AM208"/>
    <mergeCell ref="B235:F235"/>
    <mergeCell ref="AE42:AF42"/>
    <mergeCell ref="N373:U373"/>
    <mergeCell ref="AK58:AL58"/>
    <mergeCell ref="AG254:AM254"/>
    <mergeCell ref="B219:AM219"/>
    <mergeCell ref="V398:X398"/>
    <mergeCell ref="B210:AM210"/>
    <mergeCell ref="AE44:AF44"/>
    <mergeCell ref="I472:AM472"/>
    <mergeCell ref="AK60:AL60"/>
    <mergeCell ref="AK360:AM360"/>
    <mergeCell ref="AB392:AG392"/>
    <mergeCell ref="F25:AM25"/>
    <mergeCell ref="V406:X406"/>
    <mergeCell ref="U236:Z236"/>
    <mergeCell ref="B379:C379"/>
    <mergeCell ref="B437:AM437"/>
    <mergeCell ref="J450:P450"/>
    <mergeCell ref="Y46:Z46"/>
    <mergeCell ref="AB394:AG394"/>
    <mergeCell ref="F13:AM13"/>
    <mergeCell ref="V399:X399"/>
    <mergeCell ref="B51:H51"/>
    <mergeCell ref="B236:F236"/>
    <mergeCell ref="AG231:AM231"/>
    <mergeCell ref="O483:P483"/>
    <mergeCell ref="B333:AM333"/>
    <mergeCell ref="D378:AJ378"/>
    <mergeCell ref="B300:L300"/>
    <mergeCell ref="Y392:AA392"/>
    <mergeCell ref="Z428:AB428"/>
    <mergeCell ref="Y48:Z48"/>
    <mergeCell ref="B28:AM28"/>
    <mergeCell ref="J452:P452"/>
    <mergeCell ref="B99:AM99"/>
    <mergeCell ref="B74:AM74"/>
    <mergeCell ref="Y394:AA394"/>
    <mergeCell ref="B68:AM68"/>
    <mergeCell ref="AK376:AM376"/>
    <mergeCell ref="O231:T231"/>
    <mergeCell ref="B364:E364"/>
    <mergeCell ref="D379:AJ379"/>
    <mergeCell ref="V416:X416"/>
    <mergeCell ref="B297:J297"/>
    <mergeCell ref="B95:AJ95"/>
    <mergeCell ref="G236:N236"/>
    <mergeCell ref="AK42:AL42"/>
    <mergeCell ref="U262:Z262"/>
    <mergeCell ref="G223:N223"/>
    <mergeCell ref="V391:X391"/>
    <mergeCell ref="M59:N59"/>
    <mergeCell ref="B374:AM374"/>
    <mergeCell ref="B76:AM76"/>
    <mergeCell ref="AK378:AM378"/>
    <mergeCell ref="AC59:AF59"/>
    <mergeCell ref="U53:Z53"/>
    <mergeCell ref="B97:AJ97"/>
    <mergeCell ref="B12:E12"/>
    <mergeCell ref="B145:AM145"/>
    <mergeCell ref="Y405:AA405"/>
    <mergeCell ref="B387:AM387"/>
    <mergeCell ref="AA247:AF247"/>
    <mergeCell ref="G306:AM306"/>
    <mergeCell ref="B181:AM181"/>
    <mergeCell ref="P290:R290"/>
    <mergeCell ref="AH411:AK411"/>
    <mergeCell ref="Y49:Z49"/>
    <mergeCell ref="B362:E362"/>
    <mergeCell ref="AG257:AM257"/>
    <mergeCell ref="B298:L298"/>
    <mergeCell ref="B87:AM87"/>
    <mergeCell ref="B14:E14"/>
    <mergeCell ref="U34:V35"/>
    <mergeCell ref="B147:AM147"/>
    <mergeCell ref="M300:AE300"/>
    <mergeCell ref="Y407:AA407"/>
    <mergeCell ref="G234:N234"/>
    <mergeCell ref="B241:F241"/>
    <mergeCell ref="AA243:AF243"/>
    <mergeCell ref="U252:Z252"/>
    <mergeCell ref="B13:E13"/>
    <mergeCell ref="B25:E25"/>
    <mergeCell ref="B77:AM77"/>
    <mergeCell ref="G229:N229"/>
    <mergeCell ref="B15:E15"/>
    <mergeCell ref="T402:U402"/>
    <mergeCell ref="B411:U411"/>
    <mergeCell ref="AA225:AF225"/>
    <mergeCell ref="B359:E359"/>
    <mergeCell ref="N30:T30"/>
    <mergeCell ref="AK94:AM94"/>
    <mergeCell ref="AE46:AF46"/>
    <mergeCell ref="B382:C382"/>
    <mergeCell ref="AA234:AF234"/>
    <mergeCell ref="B316:AI316"/>
    <mergeCell ref="B336:AM336"/>
    <mergeCell ref="D381:AJ381"/>
    <mergeCell ref="B165:AM165"/>
    <mergeCell ref="U234:Z234"/>
    <mergeCell ref="R309:U309"/>
    <mergeCell ref="Y51:Z51"/>
    <mergeCell ref="V297:AB297"/>
    <mergeCell ref="B102:AM102"/>
    <mergeCell ref="AA236:AF236"/>
    <mergeCell ref="B96:AJ96"/>
    <mergeCell ref="AA223:AF223"/>
    <mergeCell ref="AA235:AF235"/>
    <mergeCell ref="AK57:AL57"/>
    <mergeCell ref="B79:AM79"/>
    <mergeCell ref="AG248:AM248"/>
    <mergeCell ref="B144:AM144"/>
    <mergeCell ref="G112:AM112"/>
    <mergeCell ref="B315:AM315"/>
    <mergeCell ref="AG235:AM235"/>
    <mergeCell ref="C292:O292"/>
    <mergeCell ref="AA227:AF227"/>
    <mergeCell ref="B223:F223"/>
    <mergeCell ref="U239:Z239"/>
    <mergeCell ref="B150:AM150"/>
    <mergeCell ref="B215:AM215"/>
    <mergeCell ref="AA246:AF246"/>
    <mergeCell ref="B414:U414"/>
    <mergeCell ref="B189:AM189"/>
    <mergeCell ref="B216:AM216"/>
    <mergeCell ref="R402:S402"/>
    <mergeCell ref="B261:F261"/>
    <mergeCell ref="B343:AM343"/>
    <mergeCell ref="Q474:S474"/>
    <mergeCell ref="B456:AM456"/>
    <mergeCell ref="C423:Y423"/>
    <mergeCell ref="F364:Z364"/>
    <mergeCell ref="AE45:AF45"/>
    <mergeCell ref="B363:E363"/>
    <mergeCell ref="AC458:AM458"/>
    <mergeCell ref="AE307:AJ307"/>
    <mergeCell ref="B322:D322"/>
    <mergeCell ref="B242:F242"/>
    <mergeCell ref="B380:C380"/>
    <mergeCell ref="B334:AM334"/>
    <mergeCell ref="B163:AM163"/>
    <mergeCell ref="AH393:AK393"/>
    <mergeCell ref="Z423:AB423"/>
    <mergeCell ref="AB407:AG407"/>
    <mergeCell ref="Y399:AA399"/>
    <mergeCell ref="T401:U401"/>
    <mergeCell ref="Y404:AA404"/>
    <mergeCell ref="B442:AM442"/>
    <mergeCell ref="T448:W448"/>
    <mergeCell ref="AE360:AJ360"/>
    <mergeCell ref="V404:X404"/>
    <mergeCell ref="B308:F308"/>
    <mergeCell ref="AE48:AF48"/>
    <mergeCell ref="X451:AC451"/>
    <mergeCell ref="Z429:AB429"/>
    <mergeCell ref="F362:Z362"/>
    <mergeCell ref="AB413:AG413"/>
    <mergeCell ref="O224:T224"/>
    <mergeCell ref="M298:N298"/>
    <mergeCell ref="AK381:AM381"/>
    <mergeCell ref="B239:F239"/>
    <mergeCell ref="AH392:AK392"/>
    <mergeCell ref="AK380:AM380"/>
    <mergeCell ref="B310:F310"/>
    <mergeCell ref="Z422:AB422"/>
    <mergeCell ref="AE51:AF51"/>
    <mergeCell ref="V403:X403"/>
    <mergeCell ref="AH410:AK410"/>
    <mergeCell ref="V417:X417"/>
    <mergeCell ref="Z421:AB421"/>
    <mergeCell ref="AK379:AM379"/>
    <mergeCell ref="B231:F231"/>
    <mergeCell ref="AB405:AG405"/>
    <mergeCell ref="AA233:AF233"/>
    <mergeCell ref="AG256:AM256"/>
    <mergeCell ref="O257:T257"/>
    <mergeCell ref="Z284:AF284"/>
    <mergeCell ref="B89:AM89"/>
    <mergeCell ref="B153:AM153"/>
    <mergeCell ref="C290:O290"/>
    <mergeCell ref="G239:N239"/>
    <mergeCell ref="B121:N121"/>
    <mergeCell ref="AK55:AL55"/>
    <mergeCell ref="AG252:AM252"/>
    <mergeCell ref="T399:U399"/>
    <mergeCell ref="V278:Z278"/>
    <mergeCell ref="J447:P447"/>
    <mergeCell ref="U243:Z243"/>
    <mergeCell ref="AH394:AK394"/>
    <mergeCell ref="B373:E373"/>
    <mergeCell ref="B478:H479"/>
    <mergeCell ref="AB415:AG415"/>
    <mergeCell ref="B329:AM329"/>
    <mergeCell ref="F363:Z363"/>
    <mergeCell ref="AA249:AF249"/>
    <mergeCell ref="O225:T225"/>
    <mergeCell ref="AK382:AM382"/>
    <mergeCell ref="AB408:AG408"/>
    <mergeCell ref="Z424:AB424"/>
    <mergeCell ref="B393:U393"/>
    <mergeCell ref="G255:N255"/>
    <mergeCell ref="B368:C368"/>
    <mergeCell ref="J448:P448"/>
    <mergeCell ref="B266:AM266"/>
    <mergeCell ref="G242:N242"/>
    <mergeCell ref="U227:Z227"/>
    <mergeCell ref="B331:AM331"/>
    <mergeCell ref="AA257:AF257"/>
    <mergeCell ref="O227:T227"/>
    <mergeCell ref="B232:F232"/>
    <mergeCell ref="B370:C370"/>
    <mergeCell ref="AB410:AG410"/>
    <mergeCell ref="B395:U395"/>
    <mergeCell ref="B330:AM330"/>
    <mergeCell ref="D375:AJ375"/>
    <mergeCell ref="G244:N244"/>
    <mergeCell ref="B268:AM268"/>
    <mergeCell ref="Y408:AA408"/>
    <mergeCell ref="C431:Y431"/>
    <mergeCell ref="AF118:AK118"/>
    <mergeCell ref="F9:AM9"/>
    <mergeCell ref="B263:F263"/>
    <mergeCell ref="B90:AM90"/>
    <mergeCell ref="Y410:AA410"/>
    <mergeCell ref="D377:AJ377"/>
    <mergeCell ref="U224:Z224"/>
    <mergeCell ref="B244:F244"/>
    <mergeCell ref="B184:AM184"/>
    <mergeCell ref="U260:Z260"/>
    <mergeCell ref="B229:F229"/>
    <mergeCell ref="U238:Z238"/>
    <mergeCell ref="AK115:AM115"/>
    <mergeCell ref="F14:AM14"/>
    <mergeCell ref="V413:X413"/>
    <mergeCell ref="U253:Z253"/>
    <mergeCell ref="AK375:AM375"/>
    <mergeCell ref="U240:Z240"/>
    <mergeCell ref="B258:F258"/>
    <mergeCell ref="B401:Q401"/>
    <mergeCell ref="Y411:AA411"/>
    <mergeCell ref="AH405:AK405"/>
    <mergeCell ref="B245:F245"/>
    <mergeCell ref="F15:AM15"/>
    <mergeCell ref="D30:K30"/>
    <mergeCell ref="D29:K29"/>
    <mergeCell ref="U61:W61"/>
    <mergeCell ref="T400:U400"/>
    <mergeCell ref="M56:N56"/>
    <mergeCell ref="M43:N43"/>
    <mergeCell ref="B29:C29"/>
    <mergeCell ref="B460:N460"/>
    <mergeCell ref="B179:AM179"/>
    <mergeCell ref="N118:AE118"/>
    <mergeCell ref="B375:C375"/>
    <mergeCell ref="B337:AM337"/>
    <mergeCell ref="AK377:AM377"/>
    <mergeCell ref="B166:AM166"/>
    <mergeCell ref="AC58:AF58"/>
    <mergeCell ref="B260:F260"/>
    <mergeCell ref="B464:AM464"/>
    <mergeCell ref="AA262:AF262"/>
    <mergeCell ref="AH407:AK407"/>
    <mergeCell ref="AA231:AF231"/>
    <mergeCell ref="B352:AM352"/>
    <mergeCell ref="AK56:AL56"/>
    <mergeCell ref="B37:AM37"/>
    <mergeCell ref="B174:AM174"/>
    <mergeCell ref="B108:AM108"/>
    <mergeCell ref="E322:M322"/>
    <mergeCell ref="AF117:AH117"/>
    <mergeCell ref="B168:AM168"/>
    <mergeCell ref="M46:N46"/>
    <mergeCell ref="O120:AM120"/>
    <mergeCell ref="AK44:AL44"/>
    <mergeCell ref="S45:T45"/>
    <mergeCell ref="B120:N120"/>
    <mergeCell ref="B100:S100"/>
    <mergeCell ref="P286:R286"/>
    <mergeCell ref="B187:AM187"/>
    <mergeCell ref="C425:Y425"/>
    <mergeCell ref="AG253:AM253"/>
    <mergeCell ref="R400:S400"/>
    <mergeCell ref="I474:N474"/>
    <mergeCell ref="G230:N230"/>
    <mergeCell ref="B143:AM143"/>
    <mergeCell ref="B383:C383"/>
    <mergeCell ref="U229:Z229"/>
    <mergeCell ref="AA245:AF245"/>
    <mergeCell ref="C429:Y429"/>
    <mergeCell ref="AA239:AF239"/>
    <mergeCell ref="B477:AM477"/>
    <mergeCell ref="G238:N238"/>
    <mergeCell ref="G232:N232"/>
    <mergeCell ref="V397:X397"/>
    <mergeCell ref="T447:W447"/>
    <mergeCell ref="O246:T246"/>
    <mergeCell ref="O459:AB459"/>
    <mergeCell ref="B446:G446"/>
    <mergeCell ref="B311:F311"/>
    <mergeCell ref="O243:T243"/>
    <mergeCell ref="AG226:AM226"/>
    <mergeCell ref="U259:Z259"/>
    <mergeCell ref="C281:U281"/>
    <mergeCell ref="AH395:AK395"/>
    <mergeCell ref="B175:AM175"/>
    <mergeCell ref="B398:U398"/>
    <mergeCell ref="G260:N260"/>
    <mergeCell ref="X447:AC447"/>
    <mergeCell ref="B162:AM162"/>
    <mergeCell ref="C280:U280"/>
    <mergeCell ref="AA258:AF258"/>
    <mergeCell ref="U261:Z261"/>
    <mergeCell ref="B269:AM269"/>
    <mergeCell ref="C282:U282"/>
    <mergeCell ref="B5:E5"/>
    <mergeCell ref="Y417:AG417"/>
    <mergeCell ref="O233:T233"/>
    <mergeCell ref="B355:AM355"/>
    <mergeCell ref="T449:W449"/>
    <mergeCell ref="G233:N233"/>
    <mergeCell ref="F372:M372"/>
    <mergeCell ref="O226:T226"/>
    <mergeCell ref="B134:AM134"/>
    <mergeCell ref="O248:T248"/>
    <mergeCell ref="AH400:AK400"/>
    <mergeCell ref="O461:AB461"/>
    <mergeCell ref="B240:F240"/>
    <mergeCell ref="AG225:AM225"/>
    <mergeCell ref="AL116:AM116"/>
    <mergeCell ref="U255:Z255"/>
    <mergeCell ref="B357:AM357"/>
    <mergeCell ref="V279:Z279"/>
    <mergeCell ref="B71:AM71"/>
    <mergeCell ref="O241:T241"/>
    <mergeCell ref="B332:AM332"/>
    <mergeCell ref="C279:U279"/>
    <mergeCell ref="AA263:AF263"/>
    <mergeCell ref="B125:N125"/>
    <mergeCell ref="O228:T228"/>
    <mergeCell ref="AG227:AM227"/>
    <mergeCell ref="B396:U396"/>
    <mergeCell ref="G258:N258"/>
    <mergeCell ref="B111:AM111"/>
    <mergeCell ref="B98:AM98"/>
    <mergeCell ref="F11:AM11"/>
    <mergeCell ref="V281:Z281"/>
    <mergeCell ref="Q451:S451"/>
    <mergeCell ref="B188:AM188"/>
    <mergeCell ref="H446:AM446"/>
    <mergeCell ref="B126:AM126"/>
    <mergeCell ref="O236:T236"/>
    <mergeCell ref="B416:U416"/>
    <mergeCell ref="F361:Z361"/>
    <mergeCell ref="B109:AM109"/>
    <mergeCell ref="O223:T223"/>
    <mergeCell ref="B218:AM218"/>
    <mergeCell ref="B351:AM351"/>
    <mergeCell ref="B295:U295"/>
    <mergeCell ref="B345:AM345"/>
    <mergeCell ref="AB406:AG406"/>
    <mergeCell ref="B193:AM193"/>
    <mergeCell ref="U230:Z230"/>
    <mergeCell ref="G240:N240"/>
    <mergeCell ref="B190:AM190"/>
    <mergeCell ref="B409:U409"/>
    <mergeCell ref="C421:Y421"/>
    <mergeCell ref="B433:AM433"/>
    <mergeCell ref="B435:AM435"/>
    <mergeCell ref="AG240:AM240"/>
    <mergeCell ref="AB414:AG414"/>
    <mergeCell ref="AA242:AF242"/>
    <mergeCell ref="AB401:AG401"/>
    <mergeCell ref="B112:F112"/>
    <mergeCell ref="B148:AM148"/>
    <mergeCell ref="B449:I449"/>
    <mergeCell ref="U245:Z245"/>
    <mergeCell ref="V415:X415"/>
    <mergeCell ref="C428:Y428"/>
    <mergeCell ref="W30:AM30"/>
    <mergeCell ref="AK96:AM96"/>
    <mergeCell ref="X448:AC448"/>
    <mergeCell ref="B426:AB426"/>
    <mergeCell ref="B250:F250"/>
    <mergeCell ref="U91:V91"/>
    <mergeCell ref="B346:AM346"/>
    <mergeCell ref="G254:N254"/>
    <mergeCell ref="B451:I451"/>
    <mergeCell ref="G248:N248"/>
    <mergeCell ref="O247:T247"/>
    <mergeCell ref="AH114:AI114"/>
    <mergeCell ref="O460:AB460"/>
    <mergeCell ref="W31:AM31"/>
    <mergeCell ref="Q448:S448"/>
    <mergeCell ref="G235:N235"/>
    <mergeCell ref="U33:V33"/>
    <mergeCell ref="B230:F230"/>
    <mergeCell ref="AB397:AG397"/>
    <mergeCell ref="AL118:AM118"/>
    <mergeCell ref="R401:S401"/>
    <mergeCell ref="O249:T249"/>
    <mergeCell ref="B73:AM73"/>
    <mergeCell ref="B371:AM371"/>
    <mergeCell ref="AH401:AK401"/>
    <mergeCell ref="AA53:AF53"/>
    <mergeCell ref="AH398:AK398"/>
    <mergeCell ref="D31:K31"/>
    <mergeCell ref="C289:O289"/>
    <mergeCell ref="AK47:AL47"/>
    <mergeCell ref="B209:AM209"/>
    <mergeCell ref="O129:AM129"/>
    <mergeCell ref="B480:H480"/>
    <mergeCell ref="C286:O286"/>
    <mergeCell ref="B33:C33"/>
    <mergeCell ref="V280:Z280"/>
    <mergeCell ref="AG241:AM241"/>
    <mergeCell ref="B137:AM137"/>
    <mergeCell ref="V407:X407"/>
    <mergeCell ref="B256:F256"/>
    <mergeCell ref="O128:AM128"/>
    <mergeCell ref="AG228:AM228"/>
    <mergeCell ref="B323:D323"/>
    <mergeCell ref="AH403:AK403"/>
    <mergeCell ref="B406:U406"/>
    <mergeCell ref="B35:C35"/>
    <mergeCell ref="B27:AB27"/>
    <mergeCell ref="V282:Z282"/>
    <mergeCell ref="B201:AM201"/>
    <mergeCell ref="B335:AM335"/>
    <mergeCell ref="B164:AM164"/>
    <mergeCell ref="B139:AM139"/>
    <mergeCell ref="AG243:AM243"/>
    <mergeCell ref="AJ369:AM369"/>
    <mergeCell ref="S47:T47"/>
    <mergeCell ref="B128:N128"/>
    <mergeCell ref="AA260:AF260"/>
    <mergeCell ref="C287:O287"/>
    <mergeCell ref="AG242:AM242"/>
    <mergeCell ref="B212:AM212"/>
    <mergeCell ref="B206:AM206"/>
    <mergeCell ref="S46:T46"/>
    <mergeCell ref="AJ368:AM368"/>
    <mergeCell ref="B203:AM203"/>
    <mergeCell ref="B26:E26"/>
    <mergeCell ref="S48:T48"/>
    <mergeCell ref="AA261:AF261"/>
    <mergeCell ref="M51:N51"/>
    <mergeCell ref="I480:AM480"/>
    <mergeCell ref="B116:AK116"/>
    <mergeCell ref="B326:AM326"/>
    <mergeCell ref="AH115:AI115"/>
    <mergeCell ref="P289:R289"/>
    <mergeCell ref="B483:H483"/>
    <mergeCell ref="D32:K32"/>
    <mergeCell ref="O262:T262"/>
    <mergeCell ref="B353:AM353"/>
    <mergeCell ref="B56:H56"/>
    <mergeCell ref="AH414:AK414"/>
    <mergeCell ref="B417:U417"/>
    <mergeCell ref="B43:H43"/>
    <mergeCell ref="G231:N231"/>
    <mergeCell ref="B132:AM132"/>
    <mergeCell ref="B119:AM119"/>
    <mergeCell ref="AG247:AM247"/>
    <mergeCell ref="AK50:AL50"/>
    <mergeCell ref="AH416:AK416"/>
    <mergeCell ref="X449:AC449"/>
    <mergeCell ref="O242:T242"/>
    <mergeCell ref="AA241:AF241"/>
    <mergeCell ref="AB400:AG400"/>
    <mergeCell ref="X61:AB61"/>
    <mergeCell ref="B237:AM237"/>
    <mergeCell ref="U30:V30"/>
    <mergeCell ref="B138:AM138"/>
    <mergeCell ref="B473:H473"/>
    <mergeCell ref="L35:M35"/>
    <mergeCell ref="Y402:AA402"/>
    <mergeCell ref="B307:E307"/>
    <mergeCell ref="B440:AM440"/>
    <mergeCell ref="V373:AB373"/>
    <mergeCell ref="Y396:AG396"/>
    <mergeCell ref="B407:U407"/>
    <mergeCell ref="AK359:AM359"/>
    <mergeCell ref="B342:AM342"/>
    <mergeCell ref="AK46:AL46"/>
    <mergeCell ref="Y395:AA395"/>
    <mergeCell ref="F7:AM7"/>
    <mergeCell ref="B69:AM69"/>
    <mergeCell ref="O239:T239"/>
    <mergeCell ref="B196:AM196"/>
    <mergeCell ref="F305:AM305"/>
    <mergeCell ref="B367:AM367"/>
    <mergeCell ref="N33:T33"/>
    <mergeCell ref="AJ317:AM317"/>
    <mergeCell ref="B57:H57"/>
    <mergeCell ref="AK52:AL52"/>
    <mergeCell ref="G256:N256"/>
    <mergeCell ref="B348:AM348"/>
    <mergeCell ref="B394:U394"/>
    <mergeCell ref="V392:X392"/>
    <mergeCell ref="F307:AD307"/>
    <mergeCell ref="B251:F251"/>
    <mergeCell ref="Y44:Z44"/>
    <mergeCell ref="B118:D118"/>
    <mergeCell ref="AK361:AM361"/>
    <mergeCell ref="B160:AM160"/>
    <mergeCell ref="AH417:AK417"/>
    <mergeCell ref="B3:AM3"/>
    <mergeCell ref="B445:AM445"/>
    <mergeCell ref="B122:AM122"/>
    <mergeCell ref="AB402:AG402"/>
    <mergeCell ref="AG244:AM244"/>
    <mergeCell ref="L33:M33"/>
    <mergeCell ref="B7:E7"/>
    <mergeCell ref="Y400:AA400"/>
    <mergeCell ref="B140:AM140"/>
    <mergeCell ref="AJ370:AM370"/>
    <mergeCell ref="B129:N129"/>
    <mergeCell ref="B62:Q62"/>
    <mergeCell ref="AH406:AK406"/>
    <mergeCell ref="B303:AM303"/>
    <mergeCell ref="B405:U405"/>
    <mergeCell ref="X323:AB323"/>
    <mergeCell ref="Z427:AB427"/>
    <mergeCell ref="B127:AM127"/>
    <mergeCell ref="Q322:AB322"/>
    <mergeCell ref="B285:AM285"/>
    <mergeCell ref="AJ319:AM319"/>
    <mergeCell ref="S51:T51"/>
    <mergeCell ref="F8:AM8"/>
    <mergeCell ref="N372:U372"/>
    <mergeCell ref="AA226:AF226"/>
    <mergeCell ref="G257:N257"/>
    <mergeCell ref="AG249:AM249"/>
    <mergeCell ref="U41:Z41"/>
    <mergeCell ref="AC56:AF56"/>
    <mergeCell ref="AA229:AF229"/>
    <mergeCell ref="B418:AM418"/>
    <mergeCell ref="B356:AM356"/>
    <mergeCell ref="V412:X412"/>
    <mergeCell ref="B72:AM72"/>
    <mergeCell ref="B50:H50"/>
    <mergeCell ref="B305:E305"/>
    <mergeCell ref="G224:N224"/>
    <mergeCell ref="B199:AM199"/>
    <mergeCell ref="B319:AI319"/>
    <mergeCell ref="AK114:AM114"/>
    <mergeCell ref="M52:N52"/>
    <mergeCell ref="O252:T252"/>
    <mergeCell ref="B299:L299"/>
    <mergeCell ref="D369:AI369"/>
    <mergeCell ref="B82:AM82"/>
    <mergeCell ref="O258:T258"/>
    <mergeCell ref="V409:X409"/>
    <mergeCell ref="U263:Z263"/>
    <mergeCell ref="AG224:AM224"/>
    <mergeCell ref="B377:C377"/>
    <mergeCell ref="B63:Q63"/>
    <mergeCell ref="B273:AM273"/>
    <mergeCell ref="B202:AM202"/>
    <mergeCell ref="AG230:AM230"/>
    <mergeCell ref="U226:Z226"/>
    <mergeCell ref="Y391:AA391"/>
    <mergeCell ref="B53:H53"/>
    <mergeCell ref="B306:F306"/>
    <mergeCell ref="B233:F233"/>
    <mergeCell ref="AB411:AG411"/>
    <mergeCell ref="F360:Z360"/>
    <mergeCell ref="AB416:AG416"/>
    <mergeCell ref="AA244:AF244"/>
    <mergeCell ref="AB403:AG403"/>
    <mergeCell ref="G250:N250"/>
    <mergeCell ref="L34:M34"/>
    <mergeCell ref="B8:E8"/>
    <mergeCell ref="Y401:AA401"/>
    <mergeCell ref="B447:I447"/>
    <mergeCell ref="V405:X405"/>
    <mergeCell ref="B146:AM146"/>
    <mergeCell ref="O260:T260"/>
    <mergeCell ref="B388:AM388"/>
    <mergeCell ref="B304:AM304"/>
    <mergeCell ref="Y416:AA416"/>
    <mergeCell ref="N29:T29"/>
    <mergeCell ref="B83:AM83"/>
    <mergeCell ref="Y403:AA403"/>
    <mergeCell ref="AG245:AM245"/>
    <mergeCell ref="AC359:AD359"/>
    <mergeCell ref="F21:AM21"/>
    <mergeCell ref="U232:Z232"/>
    <mergeCell ref="B61:T61"/>
    <mergeCell ref="B369:C369"/>
    <mergeCell ref="AG262:AM262"/>
    <mergeCell ref="O263:T263"/>
    <mergeCell ref="AA363:AD363"/>
    <mergeCell ref="B158:AM158"/>
    <mergeCell ref="M58:N58"/>
    <mergeCell ref="AG234:AM234"/>
    <mergeCell ref="B133:AM133"/>
    <mergeCell ref="B317:AI317"/>
    <mergeCell ref="B135:AM135"/>
  </mergeCells>
  <conditionalFormatting sqref="AH114:AI114 AK114:AM114">
    <cfRule type="expression" dxfId="1015" priority="2">
      <formula>IF($AG$114="",FALSE,$AG$114&lt;4)</formula>
    </cfRule>
  </conditionalFormatting>
  <conditionalFormatting sqref="AH115:AI115 AK115:AM115">
    <cfRule type="expression" dxfId="1014" priority="1">
      <formula>IF($AG$115="",FALSE,$AG$115&lt;2)</formula>
    </cfRule>
  </conditionalFormatting>
  <dataValidations count="12">
    <dataValidation type="list" allowBlank="1" showInputMessage="1" showErrorMessage="1" sqref="AJ114:AJ115" xr:uid="{00000000-0002-0000-1600-000000000000}">
      <formula1>"1,2,3,4,5,6,7,8,9,10,11"</formula1>
    </dataValidation>
    <dataValidation type="list" allowBlank="1" sqref="Y392:Y395 Y399:Y403 Y405:Y416" xr:uid="{00000000-0002-0000-1600-000001000000}">
      <formula1>"Cash,In-kind"</formula1>
    </dataValidation>
    <dataValidation type="list" allowBlank="1" showErrorMessage="1" sqref="AK361:AM364" xr:uid="{00000000-0002-0000-1600-000002000000}">
      <formula1>"On-Site,Off-Site"</formula1>
    </dataValidation>
    <dataValidation type="list" allowBlank="1" showInputMessage="1" showErrorMessage="1" sqref="AG114:AG115" xr:uid="{00000000-0002-0000-1600-000003000000}">
      <formula1>"1,2,3,4,5,6,7,8,9,10,11,12,13,14,15,16,17,18,19,20+"</formula1>
    </dataValidation>
    <dataValidation type="list" allowBlank="1" showErrorMessage="1" sqref="AB392:AG395 AB399:AG403 AB405:AG416" xr:uid="{00000000-0002-0000-1600-000004000000}">
      <formula1>"Committed,Intend to Fund or Provide,Not Committed"</formula1>
    </dataValidation>
    <dataValidation type="list" allowBlank="1" showInputMessage="1" showErrorMessage="1" sqref="B5:E6 B8:E9 B11:E13 B15:E16 B18:E19 B21:E23 B25:E26 K297 M298 N67 P286:P293 T100 U91 V297:V298 AJ316:AM319 AK94:AK97" xr:uid="{00000000-0002-0000-1600-000005000000}">
      <formula1>"Yes,No"</formula1>
    </dataValidation>
    <dataValidation type="list" allowBlank="1" showInputMessage="1" showErrorMessage="1" sqref="AL116:AM116 AL118:AM118" xr:uid="{00000000-0002-0000-1600-000006000000}">
      <formula1>"Yes,No,N/A"</formula1>
    </dataValidation>
    <dataValidation type="list" allowBlank="1" sqref="H113" xr:uid="{00000000-0002-0000-1600-000007000000}">
      <formula1>"Owner/Operator,Contract,Memorandum of Understanding,Letter of Commitment"</formula1>
    </dataValidation>
    <dataValidation type="list" allowBlank="1" showErrorMessage="1" sqref="U225:U236 U240:U263" xr:uid="{00000000-0002-0000-1600-000008000000}">
      <formula1>"Sponsor,Division of Sponsor's Org,Project Partner"</formula1>
    </dataValidation>
    <dataValidation type="list" allowBlank="1" showErrorMessage="1" sqref="AA225:AA236 AA240:AA263" xr:uid="{00000000-0002-0000-1600-000009000000}">
      <formula1>"Contract,Memorandum of Understanding,Commitment Letter"</formula1>
    </dataValidation>
    <dataValidation allowBlank="1" showErrorMessage="1" sqref="B392:B395 C393:U395" xr:uid="{00000000-0002-0000-1600-00000A000000}"/>
    <dataValidation type="list" allowBlank="1" sqref="B361:E364" xr:uid="{00000000-0002-0000-1600-00000B000000}">
      <formula1>"Case Manager,Peer Support,HMIS Admin.,Resident Services Coordinator"</formula1>
    </dataValidation>
  </dataValidations>
  <pageMargins left="0.7" right="0.7" top="0.75" bottom="0.75" header="0.3" footer="0.3"/>
  <pageSetup scale="49" orientation="portrait" r:id="rId1"/>
  <rowBreaks count="16" manualBreakCount="16">
    <brk id="63" min="1" max="28" man="1"/>
    <brk id="83" min="1" max="28" man="1"/>
    <brk id="107" min="1" max="28" man="1"/>
    <brk id="145" min="1" max="28" man="1"/>
    <brk id="164" min="1" max="28" man="1"/>
    <brk id="186" min="1" max="28" man="1"/>
    <brk id="209" min="1" max="28" man="1"/>
    <brk id="219" min="1" max="28" man="1"/>
    <brk id="236" min="1" max="28" man="1"/>
    <brk id="247" min="1" max="28" man="1"/>
    <brk id="258" min="1" max="28" man="1"/>
    <brk id="276" min="1" max="28" man="1"/>
    <brk id="333" min="1" max="28" man="1"/>
    <brk id="354" min="1" max="28" man="1"/>
    <brk id="396" min="1" max="28" man="1"/>
    <brk id="443" min="1" max="28" man="1"/>
  </rowBreaks>
  <legacyDrawing r:id="rId2"/>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5">
    <tabColor rgb="FF7030A0"/>
  </sheetPr>
  <dimension ref="B2:AP39"/>
  <sheetViews>
    <sheetView showGridLines="0" showRowColHeaders="0" zoomScale="80" zoomScaleNormal="80" workbookViewId="0">
      <selection activeCell="C14" sqref="C14:AK14"/>
    </sheetView>
  </sheetViews>
  <sheetFormatPr defaultColWidth="9.28515625" defaultRowHeight="18" customHeight="1"/>
  <cols>
    <col min="1" max="1" width="9.28515625" style="426" customWidth="1"/>
    <col min="2" max="39" width="4.28515625" style="426" customWidth="1"/>
    <col min="40" max="41" width="9.28515625" style="426" customWidth="1"/>
    <col min="42" max="42" width="9.28515625" style="426" hidden="1" customWidth="1"/>
    <col min="43" max="43" width="9.28515625" style="426" customWidth="1"/>
    <col min="44" max="16384" width="9.28515625" style="426"/>
  </cols>
  <sheetData>
    <row r="2" spans="2:39" ht="18" customHeight="1">
      <c r="B2" s="3000" t="s">
        <v>2702</v>
      </c>
      <c r="C2" s="1877"/>
      <c r="D2" s="1877"/>
      <c r="E2" s="1877"/>
      <c r="F2" s="1877"/>
      <c r="G2" s="1877"/>
      <c r="H2" s="1877"/>
      <c r="I2" s="1877"/>
      <c r="J2" s="1877"/>
      <c r="K2" s="1877"/>
      <c r="L2" s="1877"/>
      <c r="M2" s="1877"/>
      <c r="N2" s="1877"/>
      <c r="O2" s="1877"/>
      <c r="P2" s="1877"/>
      <c r="Q2" s="1877"/>
      <c r="R2" s="1877"/>
      <c r="S2" s="1877"/>
      <c r="T2" s="1877"/>
      <c r="U2" s="1877"/>
      <c r="V2" s="1877"/>
      <c r="W2" s="1877"/>
      <c r="X2" s="1877"/>
      <c r="Y2" s="1877"/>
      <c r="Z2" s="1877"/>
      <c r="AA2" s="1877"/>
      <c r="AB2" s="1877"/>
      <c r="AC2" s="1877"/>
      <c r="AD2" s="1877"/>
      <c r="AE2" s="1877"/>
      <c r="AF2" s="1877"/>
      <c r="AG2" s="1877"/>
      <c r="AH2" s="1877"/>
      <c r="AI2" s="1877"/>
      <c r="AJ2" s="1877"/>
      <c r="AK2" s="1877"/>
      <c r="AL2" s="1877"/>
      <c r="AM2" s="1877"/>
    </row>
    <row r="4" spans="2:39" ht="18" customHeight="1">
      <c r="B4" s="2512" t="s">
        <v>587</v>
      </c>
      <c r="C4" s="1929"/>
      <c r="D4" s="1929"/>
      <c r="E4" s="1929"/>
      <c r="F4" s="1929"/>
      <c r="G4" s="1929"/>
      <c r="H4" s="1929"/>
      <c r="I4" s="1929"/>
      <c r="J4" s="1929"/>
      <c r="K4" s="1929"/>
      <c r="L4" s="1929"/>
      <c r="M4" s="1929"/>
      <c r="N4" s="1929"/>
      <c r="O4" s="1929"/>
      <c r="P4" s="1929"/>
      <c r="Q4" s="1929"/>
      <c r="R4" s="1929"/>
      <c r="S4" s="1929"/>
      <c r="T4" s="1929"/>
      <c r="U4" s="1929"/>
      <c r="V4" s="1929"/>
      <c r="W4" s="1929"/>
      <c r="X4" s="1929"/>
      <c r="Y4" s="1929"/>
      <c r="Z4" s="1929"/>
      <c r="AA4" s="1929"/>
      <c r="AB4" s="1929"/>
      <c r="AC4" s="1929"/>
      <c r="AD4" s="1929"/>
      <c r="AE4" s="1929"/>
      <c r="AF4" s="1929"/>
      <c r="AG4" s="1929"/>
      <c r="AH4" s="1929"/>
      <c r="AI4" s="1929"/>
      <c r="AJ4" s="1929"/>
      <c r="AK4" s="1929"/>
      <c r="AL4" s="1929"/>
      <c r="AM4" s="1929"/>
    </row>
    <row r="5" spans="2:39" ht="99" customHeight="1">
      <c r="B5" s="1802" t="s">
        <v>2703</v>
      </c>
      <c r="C5" s="1929"/>
      <c r="D5" s="1929"/>
      <c r="E5" s="1929"/>
      <c r="F5" s="1929"/>
      <c r="G5" s="1929"/>
      <c r="H5" s="1929"/>
      <c r="I5" s="1929"/>
      <c r="J5" s="1929"/>
      <c r="K5" s="1929"/>
      <c r="L5" s="1929"/>
      <c r="M5" s="1929"/>
      <c r="N5" s="1929"/>
      <c r="O5" s="1929"/>
      <c r="P5" s="1929"/>
      <c r="Q5" s="1929"/>
      <c r="R5" s="1929"/>
      <c r="S5" s="1929"/>
      <c r="T5" s="1929"/>
      <c r="U5" s="1929"/>
      <c r="V5" s="1929"/>
      <c r="W5" s="1929"/>
      <c r="X5" s="1929"/>
      <c r="Y5" s="1929"/>
      <c r="Z5" s="1929"/>
      <c r="AA5" s="1929"/>
      <c r="AB5" s="1929"/>
      <c r="AC5" s="1929"/>
      <c r="AD5" s="1929"/>
      <c r="AE5" s="1929"/>
      <c r="AF5" s="1929"/>
      <c r="AG5" s="1929"/>
      <c r="AH5" s="1929"/>
      <c r="AI5" s="1929"/>
      <c r="AJ5" s="1929"/>
      <c r="AK5" s="1929"/>
      <c r="AL5" s="1929"/>
      <c r="AM5" s="1929"/>
    </row>
    <row r="7" spans="2:39" ht="18" hidden="1" customHeight="1">
      <c r="B7" s="270" t="s">
        <v>2151</v>
      </c>
      <c r="C7" s="1802" t="s">
        <v>2704</v>
      </c>
      <c r="D7" s="1929"/>
      <c r="E7" s="1929"/>
      <c r="F7" s="1929"/>
      <c r="G7" s="1929"/>
      <c r="H7" s="1929"/>
      <c r="I7" s="1929"/>
      <c r="J7" s="1929"/>
      <c r="K7" s="1929"/>
      <c r="L7" s="1929"/>
      <c r="M7" s="1929"/>
      <c r="N7" s="1929"/>
      <c r="O7" s="1929"/>
      <c r="P7" s="1929"/>
      <c r="Q7" s="1929"/>
      <c r="R7" s="1929"/>
      <c r="S7" s="1929"/>
      <c r="T7" s="1929"/>
      <c r="U7" s="1929"/>
      <c r="V7" s="1929"/>
      <c r="W7" s="1929"/>
      <c r="X7" s="1929"/>
      <c r="Y7" s="1929"/>
      <c r="Z7" s="1929"/>
      <c r="AA7" s="1929"/>
      <c r="AB7" s="1929"/>
      <c r="AC7" s="1929"/>
      <c r="AD7" s="1929"/>
      <c r="AE7" s="1929"/>
      <c r="AF7" s="1929"/>
      <c r="AG7" s="1929"/>
      <c r="AH7" s="1929"/>
      <c r="AI7" s="1929"/>
      <c r="AJ7" s="1929"/>
      <c r="AK7" s="1929"/>
    </row>
    <row r="8" spans="2:39" ht="36" hidden="1" customHeight="1">
      <c r="C8" s="1802" t="s">
        <v>2705</v>
      </c>
      <c r="D8" s="1929"/>
      <c r="E8" s="1929"/>
      <c r="F8" s="1929"/>
      <c r="G8" s="1929"/>
      <c r="H8" s="1929"/>
      <c r="I8" s="1929"/>
      <c r="J8" s="1929"/>
      <c r="K8" s="1929"/>
      <c r="L8" s="1929"/>
      <c r="M8" s="1929"/>
      <c r="N8" s="1929"/>
      <c r="O8" s="1929"/>
      <c r="P8" s="1929"/>
      <c r="Q8" s="1929"/>
      <c r="R8" s="1929"/>
      <c r="S8" s="1929"/>
      <c r="T8" s="1929"/>
      <c r="U8" s="1929"/>
      <c r="V8" s="1929"/>
      <c r="W8" s="1929"/>
      <c r="X8" s="1929"/>
      <c r="Y8" s="1929"/>
      <c r="Z8" s="1929"/>
      <c r="AA8" s="1929"/>
      <c r="AB8" s="1929"/>
      <c r="AC8" s="1929"/>
      <c r="AD8" s="1929"/>
      <c r="AE8" s="1929"/>
      <c r="AF8" s="1929"/>
      <c r="AG8" s="1929"/>
      <c r="AH8" s="1929"/>
      <c r="AI8" s="1929"/>
      <c r="AJ8" s="1929"/>
      <c r="AK8" s="1929"/>
    </row>
    <row r="9" spans="2:39" ht="18" hidden="1" customHeight="1">
      <c r="C9" s="1802" t="s">
        <v>2706</v>
      </c>
      <c r="D9" s="1929"/>
      <c r="E9" s="1929"/>
      <c r="F9" s="1929"/>
      <c r="G9" s="1929"/>
      <c r="H9" s="1929"/>
      <c r="I9" s="1929"/>
      <c r="J9" s="1929"/>
      <c r="K9" s="1929"/>
      <c r="L9" s="1929"/>
      <c r="M9" s="1929"/>
      <c r="N9" s="1929"/>
      <c r="O9" s="1929"/>
      <c r="P9" s="1929"/>
      <c r="Q9" s="1929"/>
      <c r="R9" s="1929"/>
      <c r="S9" s="1929"/>
      <c r="T9" s="1929"/>
      <c r="U9" s="1929"/>
      <c r="V9" s="1929"/>
      <c r="W9" s="1929"/>
      <c r="X9" s="1929"/>
      <c r="Y9" s="1929"/>
      <c r="Z9" s="1929"/>
      <c r="AA9" s="1929"/>
      <c r="AB9" s="1929"/>
      <c r="AC9" s="1929"/>
      <c r="AD9" s="1929"/>
      <c r="AE9" s="1929"/>
      <c r="AF9" s="1929"/>
      <c r="AG9" s="1929"/>
      <c r="AH9" s="1929"/>
      <c r="AI9" s="1929"/>
      <c r="AJ9" s="1929"/>
      <c r="AK9" s="1929"/>
    </row>
    <row r="10" spans="2:39" ht="18" hidden="1" customHeight="1">
      <c r="C10" s="671" t="str">
        <f>CHAR(149)</f>
        <v>•</v>
      </c>
      <c r="D10" s="1802" t="s">
        <v>2707</v>
      </c>
      <c r="E10" s="1929"/>
      <c r="F10" s="1929"/>
      <c r="G10" s="1929"/>
      <c r="H10" s="1929"/>
      <c r="I10" s="1929"/>
      <c r="J10" s="1929"/>
      <c r="K10" s="1929"/>
      <c r="L10" s="1929"/>
      <c r="M10" s="1929"/>
      <c r="N10" s="1929"/>
      <c r="O10" s="1929"/>
      <c r="P10" s="1929"/>
      <c r="Q10" s="1929"/>
      <c r="R10" s="1929"/>
      <c r="S10" s="1929"/>
      <c r="T10" s="1929"/>
      <c r="U10" s="1929"/>
      <c r="V10" s="1929"/>
      <c r="W10" s="1929"/>
      <c r="X10" s="1929"/>
      <c r="Y10" s="1929"/>
      <c r="Z10" s="1929"/>
      <c r="AA10" s="1929"/>
      <c r="AB10" s="1929"/>
      <c r="AC10" s="1929"/>
      <c r="AD10" s="1929"/>
      <c r="AE10" s="1929"/>
      <c r="AF10" s="1929"/>
      <c r="AG10" s="1929"/>
      <c r="AH10" s="1929"/>
      <c r="AI10" s="1929"/>
      <c r="AJ10" s="1929"/>
      <c r="AK10" s="1929"/>
      <c r="AL10" s="1973" t="b">
        <f>IFERROR(IF('Unit Mix'!M8/TotalUnits&gt;=40%,TRUE,FALSE),FALSE)</f>
        <v>0</v>
      </c>
      <c r="AM10" s="1778"/>
    </row>
    <row r="11" spans="2:39" ht="18" hidden="1" customHeight="1">
      <c r="C11" s="671" t="str">
        <f>CHAR(149)</f>
        <v>•</v>
      </c>
      <c r="D11" s="1802" t="s">
        <v>2708</v>
      </c>
      <c r="E11" s="1929"/>
      <c r="F11" s="1929"/>
      <c r="G11" s="1929"/>
      <c r="H11" s="1929"/>
      <c r="I11" s="1929"/>
      <c r="J11" s="1929"/>
      <c r="K11" s="1929"/>
      <c r="L11" s="1929"/>
      <c r="M11" s="1929"/>
      <c r="N11" s="1929"/>
      <c r="O11" s="1929"/>
      <c r="P11" s="1929"/>
      <c r="Q11" s="1929"/>
      <c r="R11" s="1929"/>
      <c r="S11" s="1929"/>
      <c r="T11" s="1929"/>
      <c r="U11" s="1929"/>
      <c r="V11" s="1929"/>
      <c r="W11" s="1929"/>
      <c r="X11" s="1929"/>
      <c r="Y11" s="1929"/>
      <c r="Z11" s="1929"/>
      <c r="AA11" s="1929"/>
      <c r="AB11" s="1929"/>
      <c r="AC11" s="1929"/>
      <c r="AD11" s="1929"/>
      <c r="AE11" s="1929"/>
      <c r="AF11" s="1929"/>
      <c r="AG11" s="1929"/>
      <c r="AH11" s="1929"/>
      <c r="AI11" s="1929"/>
      <c r="AJ11" s="1929"/>
      <c r="AK11" s="1929"/>
      <c r="AL11" s="1973" t="b">
        <f>IFERROR(IF('Unit Mix'!P8/TotalUnits&gt;=40%,TRUE,FALSE),FALSE)</f>
        <v>0</v>
      </c>
      <c r="AM11" s="1778"/>
    </row>
    <row r="12" spans="2:39" ht="54" hidden="1" customHeight="1">
      <c r="C12" s="671" t="str">
        <f>CHAR(149)</f>
        <v>•</v>
      </c>
      <c r="D12" s="1802" t="s">
        <v>2709</v>
      </c>
      <c r="E12" s="1929"/>
      <c r="F12" s="1929"/>
      <c r="G12" s="1929"/>
      <c r="H12" s="1929"/>
      <c r="I12" s="1929"/>
      <c r="J12" s="1929"/>
      <c r="K12" s="1929"/>
      <c r="L12" s="1929"/>
      <c r="M12" s="1929"/>
      <c r="N12" s="1929"/>
      <c r="O12" s="1929"/>
      <c r="P12" s="1929"/>
      <c r="Q12" s="1929"/>
      <c r="R12" s="1929"/>
      <c r="S12" s="1929"/>
      <c r="T12" s="1929"/>
      <c r="U12" s="1929"/>
      <c r="V12" s="1929"/>
      <c r="W12" s="1929"/>
      <c r="X12" s="1929"/>
      <c r="Y12" s="1929"/>
      <c r="Z12" s="1929"/>
      <c r="AA12" s="1929"/>
      <c r="AB12" s="1929"/>
      <c r="AC12" s="1929"/>
      <c r="AD12" s="1929"/>
      <c r="AE12" s="1929"/>
      <c r="AF12" s="1929"/>
      <c r="AG12" s="1929"/>
      <c r="AH12" s="1929"/>
      <c r="AI12" s="1929"/>
      <c r="AJ12" s="1929"/>
      <c r="AK12" s="1929"/>
      <c r="AL12" s="1973" t="b">
        <f>IFERROR(IF('Unit Mix'!Q8/TotalUnits&gt;=40%,TRUE,FALSE),FALSE)</f>
        <v>0</v>
      </c>
      <c r="AM12" s="1778"/>
    </row>
    <row r="13" spans="2:39" ht="18" hidden="1" customHeight="1"/>
    <row r="14" spans="2:39" ht="18" hidden="1" customHeight="1">
      <c r="B14" s="270" t="s">
        <v>2154</v>
      </c>
      <c r="C14" s="1802" t="s">
        <v>2710</v>
      </c>
      <c r="D14" s="1929"/>
      <c r="E14" s="1929"/>
      <c r="F14" s="1929"/>
      <c r="G14" s="1929"/>
      <c r="H14" s="1929"/>
      <c r="I14" s="1929"/>
      <c r="J14" s="1929"/>
      <c r="K14" s="1929"/>
      <c r="L14" s="1929"/>
      <c r="M14" s="1929"/>
      <c r="N14" s="1929"/>
      <c r="O14" s="1929"/>
      <c r="P14" s="1929"/>
      <c r="Q14" s="1929"/>
      <c r="R14" s="1929"/>
      <c r="S14" s="1929"/>
      <c r="T14" s="1929"/>
      <c r="U14" s="1929"/>
      <c r="V14" s="1929"/>
      <c r="W14" s="1929"/>
      <c r="X14" s="1929"/>
      <c r="Y14" s="1929"/>
      <c r="Z14" s="1929"/>
      <c r="AA14" s="1929"/>
      <c r="AB14" s="1929"/>
      <c r="AC14" s="1929"/>
      <c r="AD14" s="1929"/>
      <c r="AE14" s="1929"/>
      <c r="AF14" s="1929"/>
      <c r="AG14" s="1929"/>
      <c r="AH14" s="1929"/>
      <c r="AI14" s="1929"/>
      <c r="AJ14" s="1929"/>
      <c r="AK14" s="1929"/>
    </row>
    <row r="15" spans="2:39" ht="36" hidden="1" customHeight="1">
      <c r="C15" s="673" t="s">
        <v>2711</v>
      </c>
      <c r="D15" s="1802" t="s">
        <v>2712</v>
      </c>
      <c r="E15" s="1929"/>
      <c r="F15" s="1929"/>
      <c r="G15" s="1929"/>
      <c r="H15" s="1929"/>
      <c r="I15" s="1929"/>
      <c r="J15" s="1929"/>
      <c r="K15" s="1929"/>
      <c r="L15" s="1929"/>
      <c r="M15" s="1929"/>
      <c r="N15" s="1929"/>
      <c r="O15" s="1929"/>
      <c r="P15" s="1929"/>
      <c r="Q15" s="1929"/>
      <c r="R15" s="1929"/>
      <c r="S15" s="1929"/>
      <c r="T15" s="1929"/>
      <c r="U15" s="1929"/>
      <c r="V15" s="1929"/>
      <c r="W15" s="1929"/>
      <c r="X15" s="1929"/>
      <c r="Y15" s="1929"/>
      <c r="Z15" s="1929"/>
      <c r="AA15" s="1929"/>
      <c r="AB15" s="1929"/>
      <c r="AC15" s="1929"/>
      <c r="AD15" s="1929"/>
      <c r="AE15" s="1929"/>
      <c r="AF15" s="1929"/>
      <c r="AG15" s="1929"/>
      <c r="AH15" s="1929"/>
      <c r="AI15" s="1929"/>
      <c r="AJ15" s="1929"/>
      <c r="AK15" s="1929"/>
      <c r="AL15" s="1973" t="b">
        <f>IFERROR(IF(SUMIF(UnitsTbl[Restricted Income Level],"&lt;=50%",UnitsTbl[Total Units])/TotalUnits&gt;=15%,TRUE,FALSE),FALSE)</f>
        <v>0</v>
      </c>
      <c r="AM15" s="1778"/>
    </row>
    <row r="16" spans="2:39" ht="18" hidden="1" customHeight="1">
      <c r="C16" s="673" t="s">
        <v>2713</v>
      </c>
      <c r="D16" s="2180" t="s">
        <v>2714</v>
      </c>
      <c r="E16" s="1929"/>
      <c r="F16" s="1929"/>
      <c r="G16" s="1929"/>
      <c r="H16" s="1929"/>
      <c r="I16" s="1929"/>
      <c r="J16" s="1929"/>
      <c r="K16" s="1929"/>
      <c r="L16" s="1929"/>
      <c r="M16" s="1929"/>
      <c r="N16" s="1929"/>
      <c r="O16" s="1929"/>
      <c r="P16" s="1929"/>
      <c r="Q16" s="1929"/>
      <c r="R16" s="1929"/>
      <c r="S16" s="1929"/>
      <c r="T16" s="1929"/>
      <c r="U16" s="1929"/>
      <c r="V16" s="1929"/>
      <c r="W16" s="1929"/>
      <c r="X16" s="1929"/>
      <c r="Y16" s="1929"/>
      <c r="Z16" s="1929"/>
      <c r="AA16" s="1929"/>
      <c r="AB16" s="1929"/>
      <c r="AC16" s="1929"/>
      <c r="AD16" s="1929"/>
      <c r="AE16" s="1929"/>
      <c r="AF16" s="1929"/>
      <c r="AG16" s="1929"/>
      <c r="AH16" s="1929"/>
      <c r="AI16" s="1929"/>
      <c r="AJ16" s="1929"/>
      <c r="AK16" s="1929"/>
      <c r="AL16" s="1873" t="s">
        <v>198</v>
      </c>
      <c r="AM16" s="1862"/>
    </row>
    <row r="17" spans="2:42" ht="18" hidden="1" customHeight="1">
      <c r="B17" s="2268" t="s">
        <v>558</v>
      </c>
      <c r="C17" s="1777"/>
      <c r="D17" s="1778"/>
      <c r="E17" s="2179" t="str">
        <f>'Document Checklist-Full List'!$E$131</f>
        <v>57. Transit Station Distance Map</v>
      </c>
      <c r="F17" s="1777"/>
      <c r="G17" s="1777"/>
      <c r="H17" s="1777"/>
      <c r="I17" s="1777"/>
      <c r="J17" s="1777"/>
      <c r="K17" s="1777"/>
      <c r="L17" s="1777"/>
      <c r="M17" s="1778"/>
      <c r="N17" s="2179" t="str">
        <f>'Document Checklist-Full List'!$N$131</f>
        <v>Provide a map highlighting the distance of the transit station from the Project site.</v>
      </c>
      <c r="O17" s="1777"/>
      <c r="P17" s="1777"/>
      <c r="Q17" s="1777"/>
      <c r="R17" s="1777"/>
      <c r="S17" s="1777"/>
      <c r="T17" s="1777"/>
      <c r="U17" s="1777"/>
      <c r="V17" s="1777"/>
      <c r="W17" s="1777"/>
      <c r="X17" s="1777"/>
      <c r="Y17" s="1777"/>
      <c r="Z17" s="1777"/>
      <c r="AA17" s="1777"/>
      <c r="AB17" s="1777"/>
      <c r="AC17" s="1777"/>
      <c r="AD17" s="1777"/>
      <c r="AE17" s="1778"/>
      <c r="AF17" s="1886" t="s">
        <v>559</v>
      </c>
      <c r="AG17" s="1777"/>
      <c r="AH17" s="1777"/>
      <c r="AI17" s="1777"/>
      <c r="AJ17" s="1777"/>
      <c r="AK17" s="1778"/>
      <c r="AL17" s="1911"/>
      <c r="AM17" s="1862"/>
      <c r="AP17" s="58" t="s">
        <v>2715</v>
      </c>
    </row>
    <row r="18" spans="2:42" s="58" customFormat="1" ht="9" hidden="1" customHeight="1">
      <c r="AP18" s="58" t="s">
        <v>2716</v>
      </c>
    </row>
    <row r="19" spans="2:42" ht="18" hidden="1" customHeight="1">
      <c r="C19" s="673" t="s">
        <v>2717</v>
      </c>
      <c r="D19" s="2993" t="str">
        <f>IF(Scoring!$AL$249="Yes","P","O")</f>
        <v>O</v>
      </c>
      <c r="E19" s="1929"/>
      <c r="AP19" s="58" t="s">
        <v>2718</v>
      </c>
    </row>
    <row r="20" spans="2:42" ht="36" hidden="1" customHeight="1">
      <c r="C20" s="673" t="s">
        <v>2719</v>
      </c>
      <c r="D20" s="1802" t="s">
        <v>2720</v>
      </c>
      <c r="E20" s="1929"/>
      <c r="F20" s="1929"/>
      <c r="G20" s="1929"/>
      <c r="H20" s="1929"/>
      <c r="I20" s="1929"/>
      <c r="J20" s="1929"/>
      <c r="K20" s="1929"/>
      <c r="L20" s="1929"/>
      <c r="M20" s="1929"/>
      <c r="N20" s="1929"/>
      <c r="O20" s="1929"/>
      <c r="P20" s="1929"/>
      <c r="Q20" s="1929"/>
      <c r="R20" s="1929"/>
      <c r="S20" s="1929"/>
      <c r="T20" s="1929"/>
      <c r="U20" s="1929"/>
      <c r="V20" s="1929"/>
      <c r="W20" s="1929"/>
      <c r="X20" s="1929"/>
      <c r="Y20" s="1929"/>
      <c r="Z20" s="1929"/>
      <c r="AA20" s="1929"/>
      <c r="AB20" s="1929"/>
      <c r="AC20" s="1929"/>
      <c r="AD20" s="1929"/>
      <c r="AE20" s="1929"/>
      <c r="AF20" s="1929"/>
      <c r="AG20" s="1929"/>
      <c r="AH20" s="1929"/>
      <c r="AI20" s="1929"/>
      <c r="AJ20" s="1929"/>
      <c r="AK20" s="1929"/>
      <c r="AP20" s="58" t="s">
        <v>2721</v>
      </c>
    </row>
    <row r="21" spans="2:42" ht="18" hidden="1" customHeight="1">
      <c r="D21" s="3197"/>
      <c r="E21" s="1861"/>
      <c r="F21" s="1861"/>
      <c r="G21" s="1861"/>
      <c r="H21" s="1861"/>
      <c r="I21" s="1861"/>
      <c r="J21" s="1861"/>
      <c r="K21" s="1861"/>
      <c r="L21" s="1861"/>
      <c r="M21" s="1861"/>
      <c r="N21" s="1861"/>
      <c r="O21" s="1861"/>
      <c r="P21" s="1861"/>
      <c r="Q21" s="1861"/>
      <c r="R21" s="1861"/>
      <c r="S21" s="1861"/>
      <c r="T21" s="1861"/>
      <c r="U21" s="1861"/>
      <c r="V21" s="1861"/>
      <c r="W21" s="1861"/>
      <c r="X21" s="1861"/>
      <c r="Y21" s="1861"/>
      <c r="Z21" s="1861"/>
      <c r="AA21" s="1861"/>
      <c r="AB21" s="1861"/>
      <c r="AC21" s="1861"/>
      <c r="AD21" s="1861"/>
      <c r="AE21" s="1861"/>
      <c r="AF21" s="1861"/>
      <c r="AG21" s="1861"/>
      <c r="AH21" s="1861"/>
      <c r="AI21" s="1861"/>
      <c r="AJ21" s="1861"/>
      <c r="AK21" s="1862"/>
      <c r="AP21" s="58" t="s">
        <v>2722</v>
      </c>
    </row>
    <row r="22" spans="2:42" ht="36" hidden="1" customHeight="1">
      <c r="B22" s="1866" t="s">
        <v>558</v>
      </c>
      <c r="C22" s="1777"/>
      <c r="D22" s="1778"/>
      <c r="E22" s="1890" t="str">
        <f>'Document Checklist-Full List'!$E$132</f>
        <v>58. Designated Transit-Oriented Development Plan</v>
      </c>
      <c r="F22" s="1777"/>
      <c r="G22" s="1777"/>
      <c r="H22" s="1777"/>
      <c r="I22" s="1777"/>
      <c r="J22" s="1777"/>
      <c r="K22" s="1777"/>
      <c r="L22" s="1778"/>
      <c r="M22" s="1885" t="str">
        <f>'Document Checklist-Full List'!$N$132</f>
        <v>Provide a copy of the relevant plan showing area designation.</v>
      </c>
      <c r="N22" s="1777"/>
      <c r="O22" s="1777"/>
      <c r="P22" s="1777"/>
      <c r="Q22" s="1777"/>
      <c r="R22" s="1777"/>
      <c r="S22" s="1777"/>
      <c r="T22" s="1777"/>
      <c r="U22" s="1777"/>
      <c r="V22" s="1777"/>
      <c r="W22" s="1777"/>
      <c r="X22" s="1777"/>
      <c r="Y22" s="1777"/>
      <c r="Z22" s="1777"/>
      <c r="AA22" s="1777"/>
      <c r="AB22" s="1777"/>
      <c r="AC22" s="1777"/>
      <c r="AD22" s="1777"/>
      <c r="AE22" s="1778"/>
      <c r="AF22" s="1886" t="s">
        <v>559</v>
      </c>
      <c r="AG22" s="1777"/>
      <c r="AH22" s="1777"/>
      <c r="AI22" s="1777"/>
      <c r="AJ22" s="1777"/>
      <c r="AK22" s="1778"/>
      <c r="AL22" s="1911"/>
      <c r="AM22" s="1862"/>
    </row>
    <row r="23" spans="2:42" ht="18" hidden="1" customHeight="1"/>
    <row r="24" spans="2:42" s="58" customFormat="1" ht="18" customHeight="1"/>
    <row r="25" spans="2:42" ht="18" customHeight="1">
      <c r="B25" s="2529" t="s">
        <v>461</v>
      </c>
      <c r="C25" s="1929"/>
      <c r="D25" s="1929"/>
      <c r="E25" s="1929"/>
      <c r="F25" s="1929"/>
      <c r="G25" s="1929"/>
      <c r="H25" s="1929"/>
      <c r="I25" s="1929"/>
      <c r="J25" s="1929"/>
      <c r="K25" s="1929"/>
      <c r="L25" s="1929"/>
      <c r="M25" s="1929"/>
      <c r="N25" s="1929"/>
      <c r="O25" s="1929"/>
      <c r="P25" s="1929"/>
      <c r="Q25" s="1929"/>
      <c r="R25" s="1929"/>
      <c r="S25" s="1929"/>
      <c r="T25" s="1929"/>
      <c r="U25" s="1929"/>
      <c r="V25" s="1929"/>
      <c r="W25" s="1929"/>
      <c r="X25" s="1929"/>
      <c r="Y25" s="1929"/>
      <c r="Z25" s="1929"/>
      <c r="AA25" s="1929"/>
      <c r="AB25" s="1929"/>
      <c r="AC25" s="1929"/>
      <c r="AD25" s="1929"/>
      <c r="AE25" s="1929"/>
      <c r="AF25" s="1929"/>
      <c r="AG25" s="1929"/>
      <c r="AH25" s="1929"/>
      <c r="AI25" s="1929"/>
      <c r="AJ25" s="1929"/>
      <c r="AK25" s="1929"/>
      <c r="AL25" s="1929"/>
      <c r="AM25" s="1929"/>
    </row>
    <row r="39" spans="21:21" ht="18" customHeight="1">
      <c r="U39" s="616"/>
    </row>
  </sheetData>
  <sheetProtection algorithmName="SHA-512" hashValue="DPHCmFcl6o8QQasALNShAPG5w5hSHrkFtTx+OblAD6oDxJD5/m/wr9t1JzzWlIjZlXD4x4WNjdOy+J+8d8tkTA==" saltValue="EOQ45UOEhR37UFNst+b/GQ==" spinCount="100000" sheet="1" objects="1" scenarios="1"/>
  <mergeCells count="31">
    <mergeCell ref="B4:AM4"/>
    <mergeCell ref="D12:AK12"/>
    <mergeCell ref="N17:AE17"/>
    <mergeCell ref="B25:AM25"/>
    <mergeCell ref="D15:AK15"/>
    <mergeCell ref="C14:AK14"/>
    <mergeCell ref="AL16:AM16"/>
    <mergeCell ref="AF17:AK17"/>
    <mergeCell ref="D20:AK20"/>
    <mergeCell ref="B5:AM5"/>
    <mergeCell ref="D16:AK16"/>
    <mergeCell ref="D19:E19"/>
    <mergeCell ref="AL15:AM15"/>
    <mergeCell ref="B17:D17"/>
    <mergeCell ref="AL11:AM11"/>
    <mergeCell ref="B2:AM2"/>
    <mergeCell ref="AL12:AM12"/>
    <mergeCell ref="D10:AK10"/>
    <mergeCell ref="C9:AK9"/>
    <mergeCell ref="AF22:AK22"/>
    <mergeCell ref="AL17:AM17"/>
    <mergeCell ref="D21:AK21"/>
    <mergeCell ref="D11:AK11"/>
    <mergeCell ref="B22:D22"/>
    <mergeCell ref="E17:M17"/>
    <mergeCell ref="C8:AK8"/>
    <mergeCell ref="AL10:AM10"/>
    <mergeCell ref="E22:L22"/>
    <mergeCell ref="M22:AE22"/>
    <mergeCell ref="AL22:AM22"/>
    <mergeCell ref="C7:AK7"/>
  </mergeCells>
  <conditionalFormatting sqref="AL10:AM10">
    <cfRule type="cellIs" dxfId="1013" priority="11" operator="equal">
      <formula>TRUE</formula>
    </cfRule>
    <cfRule type="cellIs" dxfId="1012" priority="12" operator="equal">
      <formula>FALSE</formula>
    </cfRule>
  </conditionalFormatting>
  <conditionalFormatting sqref="AL11:AM11">
    <cfRule type="cellIs" dxfId="1011" priority="9" operator="equal">
      <formula>TRUE</formula>
    </cfRule>
    <cfRule type="cellIs" dxfId="1010" priority="10" operator="equal">
      <formula>FALSE</formula>
    </cfRule>
  </conditionalFormatting>
  <conditionalFormatting sqref="AL12:AM12">
    <cfRule type="cellIs" dxfId="1009" priority="7" operator="equal">
      <formula>TRUE</formula>
    </cfRule>
    <cfRule type="cellIs" dxfId="1008" priority="8" operator="equal">
      <formula>FALSE</formula>
    </cfRule>
  </conditionalFormatting>
  <conditionalFormatting sqref="AL15:AM15">
    <cfRule type="cellIs" dxfId="1007" priority="5" operator="equal">
      <formula>TRUE</formula>
    </cfRule>
    <cfRule type="cellIs" dxfId="1006" priority="6" operator="equal">
      <formula>FALSE</formula>
    </cfRule>
  </conditionalFormatting>
  <conditionalFormatting sqref="D19">
    <cfRule type="cellIs" dxfId="1005" priority="3" operator="equal">
      <formula>"O"</formula>
    </cfRule>
  </conditionalFormatting>
  <conditionalFormatting sqref="AL22">
    <cfRule type="cellIs" dxfId="1004" priority="2" operator="equal">
      <formula>"Yes"</formula>
    </cfRule>
  </conditionalFormatting>
  <conditionalFormatting sqref="AL17">
    <cfRule type="cellIs" dxfId="1003" priority="1" operator="equal">
      <formula>"Yes"</formula>
    </cfRule>
  </conditionalFormatting>
  <dataValidations count="4">
    <dataValidation type="list" allowBlank="1" showInputMessage="1" showErrorMessage="1" sqref="AL17 AL22" xr:uid="{00000000-0002-0000-1700-000000000000}">
      <formula1>"Yes,No,N/A"</formula1>
    </dataValidation>
    <dataValidation type="list" allowBlank="1" showInputMessage="1" showErrorMessage="1" sqref="AL16:AM16" xr:uid="{00000000-0002-0000-1700-000001000000}">
      <formula1>"Yes,No"</formula1>
    </dataValidation>
    <dataValidation type="list" allowBlank="1" showErrorMessage="1" sqref="D21" xr:uid="{00000000-0002-0000-1700-000002000000}">
      <formula1>$AP$17:$AP$21</formula1>
    </dataValidation>
    <dataValidation type="list" allowBlank="1" showInputMessage="1" showErrorMessage="1" sqref="AL17:AM17 AL22:AM22" xr:uid="{00000000-0002-0000-1700-000003000000}">
      <formula1>"Yes, No, N/A"</formula1>
    </dataValidation>
  </dataValidations>
  <pageMargins left="0.7" right="0.7" top="0.75" bottom="0.75" header="0.3" footer="0.3"/>
  <legacyDrawing r:id="rId1"/>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MHPThresholdRequirements">
    <tabColor rgb="FF7030A0"/>
  </sheetPr>
  <dimension ref="A2:CM193"/>
  <sheetViews>
    <sheetView showGridLines="0" zoomScaleNormal="100" workbookViewId="0"/>
  </sheetViews>
  <sheetFormatPr defaultColWidth="4" defaultRowHeight="18" customHeight="1"/>
  <cols>
    <col min="1" max="1" width="8.7109375" style="476" customWidth="1"/>
    <col min="2" max="3" width="4.28515625" style="426" customWidth="1"/>
    <col min="4" max="39" width="4.28515625" style="476" customWidth="1"/>
    <col min="40" max="40" width="4" style="476" customWidth="1"/>
    <col min="41" max="47" width="4" style="476" hidden="1" customWidth="1"/>
    <col min="48" max="48" width="2.28515625" style="476" hidden="1" customWidth="1"/>
    <col min="49" max="49" width="0.7109375" style="476" hidden="1" customWidth="1"/>
    <col min="50" max="50" width="9.7109375" style="476" hidden="1" customWidth="1"/>
    <col min="51" max="51" width="31.28515625" style="476" hidden="1" customWidth="1"/>
    <col min="52" max="53" width="1.7109375" style="476" hidden="1" customWidth="1"/>
    <col min="54" max="55" width="5.28515625" style="476" hidden="1" customWidth="1"/>
    <col min="56" max="56" width="2.42578125" style="476" hidden="1" customWidth="1"/>
    <col min="57" max="57" width="2.28515625" style="476" hidden="1" customWidth="1"/>
    <col min="58" max="59" width="5.28515625" style="476" hidden="1" customWidth="1"/>
    <col min="60" max="60" width="1.7109375" style="476" hidden="1" customWidth="1"/>
    <col min="61" max="61" width="3.7109375" style="476" hidden="1" customWidth="1"/>
    <col min="62" max="62" width="5.28515625" style="476" hidden="1" customWidth="1"/>
    <col min="63" max="64" width="2.28515625" style="476" hidden="1" customWidth="1"/>
    <col min="65" max="65" width="27.7109375" style="476" hidden="1" customWidth="1"/>
    <col min="66" max="66" width="5.28515625" style="476" hidden="1" customWidth="1"/>
    <col min="67" max="67" width="4" style="476" hidden="1" customWidth="1"/>
    <col min="68" max="68" width="7.28515625" style="476" hidden="1" customWidth="1"/>
    <col min="69" max="70" width="0" style="476" hidden="1"/>
    <col min="71" max="71" width="4" style="476" customWidth="1"/>
    <col min="72" max="72" width="8" style="476" bestFit="1" customWidth="1"/>
    <col min="73" max="73" width="4" style="476" customWidth="1"/>
    <col min="74" max="16384" width="4" style="476"/>
  </cols>
  <sheetData>
    <row r="2" spans="1:72" ht="18" customHeight="1" thickBot="1">
      <c r="B2" s="3208" t="s">
        <v>423</v>
      </c>
      <c r="C2" s="1877"/>
      <c r="D2" s="1877"/>
      <c r="E2" s="1877"/>
      <c r="F2" s="1877"/>
      <c r="G2" s="1877"/>
      <c r="H2" s="1877"/>
      <c r="I2" s="1877"/>
      <c r="J2" s="1877"/>
      <c r="K2" s="1877"/>
      <c r="L2" s="1877"/>
      <c r="M2" s="1877"/>
      <c r="N2" s="1877"/>
      <c r="O2" s="1877"/>
      <c r="P2" s="1877"/>
      <c r="Q2" s="1877"/>
      <c r="R2" s="1877"/>
      <c r="S2" s="1877"/>
      <c r="T2" s="1877"/>
      <c r="U2" s="1877"/>
      <c r="V2" s="1877"/>
      <c r="W2" s="1877"/>
      <c r="X2" s="1877"/>
      <c r="Y2" s="1877"/>
      <c r="Z2" s="1877"/>
      <c r="AA2" s="1877"/>
      <c r="AB2" s="1877"/>
      <c r="AC2" s="1877"/>
      <c r="AD2" s="1877"/>
      <c r="AE2" s="1877"/>
      <c r="AF2" s="1877"/>
      <c r="AG2" s="1877"/>
      <c r="AH2" s="1877"/>
      <c r="AI2" s="1877"/>
      <c r="AJ2" s="1877"/>
      <c r="AK2" s="1877"/>
      <c r="AL2" s="1877"/>
      <c r="AM2" s="1877"/>
      <c r="BF2" s="1701"/>
      <c r="BG2" s="1701"/>
      <c r="BH2" s="1701"/>
      <c r="BI2" s="1701"/>
      <c r="BJ2" s="1701"/>
      <c r="BK2" s="1701"/>
      <c r="BL2" s="1701"/>
      <c r="BM2" s="1701"/>
      <c r="BN2" s="1701"/>
      <c r="BO2" s="1701"/>
      <c r="BP2" s="1701"/>
      <c r="BQ2" s="1701"/>
      <c r="BR2" s="1701"/>
      <c r="BS2" s="1701"/>
      <c r="BT2" s="1701"/>
    </row>
    <row r="3" spans="1:72" ht="18" customHeight="1" thickTop="1" thickBot="1">
      <c r="AX3" s="592"/>
      <c r="AY3" s="592"/>
      <c r="BF3" s="1701"/>
      <c r="BG3" s="1701"/>
      <c r="BH3" s="1701"/>
      <c r="BI3" s="1701"/>
      <c r="BJ3" s="1701"/>
      <c r="BK3" s="1701"/>
      <c r="BL3" s="1701"/>
      <c r="BM3" s="1701"/>
      <c r="BN3" s="1701"/>
      <c r="BO3" s="1701"/>
      <c r="BP3" s="1701"/>
      <c r="BQ3" s="1701"/>
      <c r="BR3" s="1701"/>
      <c r="BS3" s="1701"/>
      <c r="BT3" s="1701"/>
    </row>
    <row r="4" spans="1:72" ht="27.75" customHeight="1" thickTop="1" thickBot="1">
      <c r="B4" s="3209" t="s">
        <v>2723</v>
      </c>
      <c r="C4" s="1929"/>
      <c r="D4" s="2180"/>
      <c r="E4" s="2180"/>
      <c r="F4" s="2180"/>
      <c r="G4" s="2180"/>
      <c r="H4" s="2180"/>
      <c r="I4" s="2180"/>
      <c r="J4" s="2180"/>
      <c r="K4" s="2180"/>
      <c r="L4" s="2180"/>
      <c r="M4" s="2180"/>
      <c r="N4" s="2180"/>
      <c r="O4" s="2180"/>
      <c r="P4" s="2180"/>
      <c r="Q4" s="2180"/>
      <c r="R4" s="2180"/>
      <c r="S4" s="2444"/>
      <c r="T4" s="3211" t="s">
        <v>2724</v>
      </c>
      <c r="U4" s="3212"/>
      <c r="V4" s="3212"/>
      <c r="W4" s="3212"/>
      <c r="X4" s="3212"/>
      <c r="Y4" s="3213"/>
      <c r="AX4" s="592"/>
      <c r="AY4" s="592"/>
      <c r="BF4" s="1701"/>
      <c r="BG4" s="1701"/>
      <c r="BH4" s="1701"/>
      <c r="BI4" s="1701"/>
      <c r="BJ4" s="1701"/>
      <c r="BK4" s="1701"/>
      <c r="BL4" s="1701"/>
      <c r="BM4" s="1701"/>
      <c r="BN4" s="1701"/>
      <c r="BO4" s="1701"/>
      <c r="BP4" s="1701"/>
      <c r="BQ4" s="1701"/>
      <c r="BR4" s="1701"/>
      <c r="BS4" s="1701"/>
      <c r="BT4" s="1701"/>
    </row>
    <row r="5" spans="1:72" ht="18" customHeight="1" thickTop="1" thickBot="1">
      <c r="AX5" s="592"/>
      <c r="AY5" s="592"/>
      <c r="BF5" s="1701"/>
      <c r="BG5" s="1701"/>
      <c r="BH5" s="1701"/>
      <c r="BI5" s="1701"/>
      <c r="BJ5" s="1701"/>
      <c r="BK5" s="1701"/>
      <c r="BL5" s="1701"/>
      <c r="BM5" s="1701"/>
      <c r="BN5" s="1701"/>
      <c r="BO5" s="1701"/>
      <c r="BP5" s="1701"/>
      <c r="BQ5" s="1701"/>
      <c r="BR5" s="1701"/>
      <c r="BS5" s="1701"/>
      <c r="BT5" s="1701"/>
    </row>
    <row r="6" spans="1:72" ht="81" customHeight="1" thickTop="1" thickBot="1">
      <c r="B6" s="1802" t="s">
        <v>1964</v>
      </c>
      <c r="C6" s="1929"/>
      <c r="D6" s="2180"/>
      <c r="E6" s="2180"/>
      <c r="F6" s="2180"/>
      <c r="G6" s="2180"/>
      <c r="H6" s="2180"/>
      <c r="I6" s="2180"/>
      <c r="J6" s="2180"/>
      <c r="K6" s="2180"/>
      <c r="L6" s="2180"/>
      <c r="M6" s="2180"/>
      <c r="N6" s="2180"/>
      <c r="O6" s="2180"/>
      <c r="P6" s="2180"/>
      <c r="Q6" s="2180"/>
      <c r="R6" s="2180"/>
      <c r="S6" s="2180"/>
      <c r="T6" s="2180"/>
      <c r="U6" s="2180"/>
      <c r="V6" s="2180"/>
      <c r="W6" s="2180"/>
      <c r="X6" s="2180"/>
      <c r="Y6" s="2180"/>
      <c r="Z6" s="2180"/>
      <c r="AA6" s="2180"/>
      <c r="AB6" s="2180"/>
      <c r="AC6" s="2180"/>
      <c r="AD6" s="2180"/>
      <c r="AE6" s="2180"/>
      <c r="AF6" s="2180"/>
      <c r="AG6" s="2180"/>
      <c r="AH6" s="2180"/>
      <c r="AI6" s="2180"/>
      <c r="AJ6" s="2180"/>
      <c r="AK6" s="2180"/>
      <c r="AL6" s="2180"/>
      <c r="AM6" s="2180"/>
      <c r="AX6" s="592"/>
      <c r="AY6" s="592"/>
      <c r="BF6" s="1701"/>
      <c r="BG6" s="1701"/>
      <c r="BH6" s="1701"/>
      <c r="BI6" s="1701"/>
      <c r="BJ6" s="1701"/>
      <c r="BK6" s="1701"/>
      <c r="BL6" s="1701"/>
      <c r="BM6" s="1701"/>
      <c r="BN6" s="1701"/>
      <c r="BO6" s="1701"/>
      <c r="BP6" s="1701"/>
      <c r="BQ6" s="1701"/>
      <c r="BR6" s="1701"/>
      <c r="BS6" s="1701"/>
      <c r="BT6" s="1701"/>
    </row>
    <row r="7" spans="1:72" ht="36" customHeight="1" thickTop="1" thickBot="1">
      <c r="B7" s="3007" t="s">
        <v>2725</v>
      </c>
      <c r="C7" s="1796"/>
      <c r="D7" s="1796"/>
      <c r="E7" s="1796"/>
      <c r="F7" s="2988" t="s">
        <v>2726</v>
      </c>
      <c r="G7" s="1796"/>
      <c r="H7" s="1796"/>
      <c r="I7" s="1796"/>
      <c r="J7" s="1796"/>
      <c r="K7" s="1796"/>
      <c r="L7" s="1796"/>
      <c r="M7" s="1796"/>
      <c r="N7" s="1796"/>
      <c r="O7" s="1796"/>
      <c r="P7" s="1796"/>
      <c r="Q7" s="1796"/>
      <c r="R7" s="1796"/>
      <c r="S7" s="1796"/>
      <c r="T7" s="1796"/>
      <c r="U7" s="1796"/>
      <c r="V7" s="1796"/>
      <c r="W7" s="1796"/>
      <c r="X7" s="1796"/>
      <c r="Y7" s="1796"/>
      <c r="Z7" s="1796"/>
      <c r="AA7" s="1796"/>
      <c r="AB7" s="1796"/>
      <c r="AC7" s="1796"/>
      <c r="AD7" s="1796"/>
      <c r="AE7" s="1796"/>
      <c r="AF7" s="1796"/>
      <c r="AG7" s="1796"/>
      <c r="AH7" s="1796"/>
      <c r="AI7" s="1796"/>
      <c r="AJ7" s="1796"/>
      <c r="AK7" s="1796"/>
      <c r="AL7" s="1796"/>
      <c r="AM7" s="1796"/>
      <c r="AX7" s="592"/>
      <c r="AY7" s="592"/>
      <c r="BF7" s="1701"/>
      <c r="BG7" s="1701"/>
      <c r="BH7" s="1701"/>
      <c r="BI7" s="1701"/>
      <c r="BJ7" s="1701"/>
      <c r="BK7" s="1701"/>
      <c r="BL7" s="1701"/>
      <c r="BM7" s="1701"/>
      <c r="BN7" s="1701"/>
      <c r="BO7" s="1701"/>
      <c r="BP7" s="1701"/>
      <c r="BQ7" s="1701"/>
      <c r="BR7" s="1701"/>
      <c r="BS7" s="1701"/>
      <c r="BT7" s="1701"/>
    </row>
    <row r="8" spans="1:72" ht="18" customHeight="1" thickTop="1" thickBot="1">
      <c r="B8" s="790"/>
      <c r="C8" s="790"/>
      <c r="D8" s="790"/>
      <c r="E8" s="478"/>
      <c r="F8" s="478"/>
      <c r="G8" s="478"/>
      <c r="H8" s="478"/>
      <c r="I8" s="478"/>
      <c r="J8" s="478"/>
      <c r="K8" s="478"/>
      <c r="L8" s="478"/>
      <c r="M8" s="478"/>
      <c r="N8" s="478"/>
      <c r="O8" s="478"/>
      <c r="P8" s="478"/>
      <c r="Q8" s="478"/>
      <c r="R8" s="478"/>
      <c r="S8" s="478"/>
      <c r="T8" s="478"/>
      <c r="U8" s="478"/>
      <c r="V8" s="478"/>
      <c r="W8" s="478"/>
      <c r="X8" s="478"/>
      <c r="Y8" s="478"/>
      <c r="Z8" s="478"/>
      <c r="AA8" s="478"/>
      <c r="AB8" s="478"/>
      <c r="AC8" s="478"/>
      <c r="AD8" s="478"/>
      <c r="AE8" s="478"/>
      <c r="AF8" s="478"/>
      <c r="AG8" s="478"/>
      <c r="AH8" s="478"/>
      <c r="AI8" s="478"/>
      <c r="AJ8" s="478"/>
      <c r="AK8" s="478"/>
      <c r="AL8" s="478"/>
      <c r="AM8" s="478"/>
      <c r="AX8" s="592"/>
      <c r="AY8" s="592"/>
    </row>
    <row r="9" spans="1:72" ht="18" customHeight="1" thickTop="1" thickBot="1">
      <c r="A9" s="1701"/>
      <c r="B9" s="244" t="s">
        <v>608</v>
      </c>
      <c r="C9" s="2180" t="s">
        <v>2727</v>
      </c>
      <c r="D9" s="2180"/>
      <c r="E9" s="2180"/>
      <c r="F9" s="2180"/>
      <c r="G9" s="2180"/>
      <c r="H9" s="2180"/>
      <c r="I9" s="2180"/>
      <c r="J9" s="2180"/>
      <c r="K9" s="2180"/>
      <c r="L9" s="2180"/>
      <c r="M9" s="2180"/>
      <c r="N9" s="2180"/>
      <c r="O9" s="2180"/>
      <c r="P9" s="2180"/>
      <c r="Q9" s="2180"/>
      <c r="R9" s="2180"/>
      <c r="S9" s="2180"/>
      <c r="T9" s="2180"/>
      <c r="U9" s="2180"/>
      <c r="V9" s="2180"/>
      <c r="W9" s="2180"/>
      <c r="X9" s="2180"/>
      <c r="Y9" s="2180"/>
      <c r="Z9" s="2180"/>
      <c r="AA9" s="2180"/>
      <c r="AB9" s="2180"/>
      <c r="AC9" s="2180"/>
      <c r="AD9" s="2180"/>
      <c r="AE9" s="2180"/>
      <c r="AF9" s="2180"/>
      <c r="AG9" s="2180"/>
      <c r="AH9" s="2180"/>
      <c r="AI9" s="2180"/>
      <c r="AJ9" s="2180"/>
      <c r="AL9" s="1911"/>
      <c r="AM9" s="1862"/>
      <c r="AX9" s="592"/>
      <c r="AY9" s="592"/>
    </row>
    <row r="10" spans="1:72" ht="18" customHeight="1" thickTop="1" thickBot="1">
      <c r="A10" s="1701"/>
      <c r="B10" s="244"/>
      <c r="C10" s="2994" t="s">
        <v>2728</v>
      </c>
      <c r="D10" s="2180"/>
      <c r="E10" s="2180"/>
      <c r="F10" s="2180"/>
      <c r="G10" s="2180"/>
      <c r="H10" s="2180"/>
      <c r="I10" s="2180"/>
      <c r="J10" s="2180"/>
      <c r="K10" s="2180"/>
      <c r="L10" s="2180"/>
      <c r="M10" s="2180"/>
      <c r="N10" s="2180"/>
      <c r="O10" s="2180"/>
      <c r="P10" s="2180"/>
      <c r="Q10" s="2180"/>
      <c r="R10" s="2180"/>
      <c r="S10" s="2180"/>
      <c r="T10" s="2180"/>
      <c r="U10" s="2180"/>
      <c r="V10" s="2180"/>
      <c r="W10" s="2180"/>
      <c r="X10" s="2180"/>
      <c r="Y10" s="2180"/>
      <c r="Z10" s="2180"/>
      <c r="AA10" s="2180"/>
      <c r="AB10" s="2180"/>
      <c r="AC10" s="2180"/>
      <c r="AD10" s="2180"/>
      <c r="AE10" s="2180"/>
      <c r="AF10" s="2180"/>
      <c r="AG10" s="2180"/>
      <c r="AH10" s="2180"/>
      <c r="AI10" s="2180"/>
      <c r="AJ10" s="2180"/>
      <c r="AK10" s="2180"/>
      <c r="AL10" s="58"/>
      <c r="AM10" s="58"/>
      <c r="AX10" s="592"/>
      <c r="AY10" s="592"/>
    </row>
    <row r="11" spans="1:72" ht="18" customHeight="1" thickTop="1" thickBot="1">
      <c r="A11" s="1701"/>
      <c r="B11" s="244"/>
      <c r="C11" s="265" t="s">
        <v>608</v>
      </c>
      <c r="D11" s="2993" t="str">
        <f>IF(AND(IsMhp,vmProjectDevType&gt;0),"P","O")</f>
        <v>O</v>
      </c>
      <c r="E11" s="2180"/>
      <c r="AX11" s="592"/>
      <c r="AY11" s="592"/>
    </row>
    <row r="12" spans="1:72" ht="18" customHeight="1" thickTop="1" thickBot="1">
      <c r="C12" s="476"/>
      <c r="D12" s="270" t="s">
        <v>613</v>
      </c>
      <c r="E12" s="2993" t="str">
        <f>IF(AND(IsMhp,'Unit Mix'!$D$8&gt;=5),"P","O")</f>
        <v>O</v>
      </c>
      <c r="F12" s="2180"/>
      <c r="AX12" s="592"/>
      <c r="AY12" s="592"/>
    </row>
    <row r="13" spans="1:72" ht="18" customHeight="1" thickTop="1" thickBot="1">
      <c r="A13" s="1701"/>
      <c r="C13" s="265" t="s">
        <v>611</v>
      </c>
      <c r="D13" s="2993" t="str">
        <f>IF(AND(IsMhp,'Project Overview'!$AL$154="Yes"),"P","O")</f>
        <v>O</v>
      </c>
      <c r="E13" s="2180"/>
      <c r="AX13" s="592"/>
      <c r="AY13" s="592"/>
    </row>
    <row r="14" spans="1:72" ht="18" customHeight="1" thickTop="1" thickBot="1">
      <c r="A14" s="1701"/>
      <c r="C14" s="265" t="s">
        <v>619</v>
      </c>
      <c r="D14" s="2993" t="str">
        <f>IF(AND(IsMhp,'Project Overview'!$AL$524="Yes",OR(AL15="Yes",AL16="Yes",AL17="Yes",AL18="Yes")),"P","O")</f>
        <v>O</v>
      </c>
      <c r="E14" s="2180"/>
      <c r="AX14" s="592"/>
      <c r="AY14" s="592"/>
    </row>
    <row r="15" spans="1:72" s="58" customFormat="1" ht="36.75" hidden="1" customHeight="1" thickTop="1" thickBot="1">
      <c r="A15" s="136"/>
      <c r="D15" s="1802" t="s">
        <v>2729</v>
      </c>
      <c r="E15" s="1945"/>
      <c r="F15" s="1945"/>
      <c r="G15" s="1945"/>
      <c r="H15" s="1945"/>
      <c r="I15" s="1945"/>
      <c r="J15" s="1945"/>
      <c r="K15" s="1945"/>
      <c r="L15" s="1945"/>
      <c r="M15" s="1945"/>
      <c r="N15" s="1945"/>
      <c r="O15" s="1945"/>
      <c r="P15" s="1945"/>
      <c r="Q15" s="1945"/>
      <c r="R15" s="1945"/>
      <c r="S15" s="1945"/>
      <c r="T15" s="1945"/>
      <c r="U15" s="1945"/>
      <c r="V15" s="1945"/>
      <c r="W15" s="1945"/>
      <c r="X15" s="1945"/>
      <c r="Y15" s="1945"/>
      <c r="Z15" s="1945"/>
      <c r="AA15" s="1945"/>
      <c r="AB15" s="1945"/>
      <c r="AC15" s="1945"/>
      <c r="AD15" s="1945"/>
      <c r="AE15" s="1945"/>
      <c r="AF15" s="1945"/>
      <c r="AG15" s="1945"/>
      <c r="AH15" s="1945"/>
      <c r="AI15" s="1945"/>
      <c r="AJ15" s="1945"/>
      <c r="AK15" s="1945"/>
      <c r="AL15" s="1911"/>
      <c r="AM15" s="1862"/>
      <c r="AX15" s="593"/>
      <c r="AY15" s="593"/>
    </row>
    <row r="16" spans="1:72" s="58" customFormat="1" ht="36" hidden="1" customHeight="1" thickTop="1" thickBot="1">
      <c r="A16" s="136"/>
      <c r="D16" s="1802" t="s">
        <v>2730</v>
      </c>
      <c r="E16" s="1945"/>
      <c r="F16" s="1945"/>
      <c r="G16" s="1945"/>
      <c r="H16" s="1945"/>
      <c r="I16" s="1945"/>
      <c r="J16" s="1945"/>
      <c r="K16" s="1945"/>
      <c r="L16" s="1945"/>
      <c r="M16" s="1945"/>
      <c r="N16" s="1945"/>
      <c r="O16" s="1945"/>
      <c r="P16" s="1945"/>
      <c r="Q16" s="1945"/>
      <c r="R16" s="1945"/>
      <c r="S16" s="1945"/>
      <c r="T16" s="1945"/>
      <c r="U16" s="1945"/>
      <c r="V16" s="1945"/>
      <c r="W16" s="1945"/>
      <c r="X16" s="1945"/>
      <c r="Y16" s="1945"/>
      <c r="Z16" s="1945"/>
      <c r="AA16" s="1945"/>
      <c r="AB16" s="1945"/>
      <c r="AC16" s="1945"/>
      <c r="AD16" s="1945"/>
      <c r="AE16" s="1945"/>
      <c r="AF16" s="1945"/>
      <c r="AG16" s="1945"/>
      <c r="AH16" s="1945"/>
      <c r="AI16" s="1945"/>
      <c r="AJ16" s="1945"/>
      <c r="AK16" s="1945"/>
      <c r="AL16" s="1911"/>
      <c r="AM16" s="1862"/>
      <c r="AX16" s="593"/>
      <c r="AY16" s="593"/>
    </row>
    <row r="17" spans="1:72" s="58" customFormat="1" ht="36" hidden="1" customHeight="1" thickTop="1" thickBot="1">
      <c r="A17" s="136"/>
      <c r="D17" s="1802" t="s">
        <v>2731</v>
      </c>
      <c r="E17" s="1945"/>
      <c r="F17" s="1945"/>
      <c r="G17" s="1945"/>
      <c r="H17" s="1945"/>
      <c r="I17" s="1945"/>
      <c r="J17" s="1945"/>
      <c r="K17" s="1945"/>
      <c r="L17" s="1945"/>
      <c r="M17" s="1945"/>
      <c r="N17" s="1945"/>
      <c r="O17" s="1945"/>
      <c r="P17" s="1945"/>
      <c r="Q17" s="1945"/>
      <c r="R17" s="1945"/>
      <c r="S17" s="1945"/>
      <c r="T17" s="1945"/>
      <c r="U17" s="1945"/>
      <c r="V17" s="1945"/>
      <c r="W17" s="1945"/>
      <c r="X17" s="1945"/>
      <c r="Y17" s="1945"/>
      <c r="Z17" s="1945"/>
      <c r="AA17" s="1945"/>
      <c r="AB17" s="1945"/>
      <c r="AC17" s="1945"/>
      <c r="AD17" s="1945"/>
      <c r="AE17" s="1945"/>
      <c r="AF17" s="1945"/>
      <c r="AG17" s="1945"/>
      <c r="AH17" s="1945"/>
      <c r="AI17" s="1945"/>
      <c r="AJ17" s="1945"/>
      <c r="AK17" s="1945"/>
      <c r="AL17" s="1911"/>
      <c r="AM17" s="1862"/>
      <c r="AX17" s="593"/>
      <c r="AY17" s="593"/>
    </row>
    <row r="18" spans="1:72" s="58" customFormat="1" ht="18" hidden="1" customHeight="1" thickTop="1" thickBot="1">
      <c r="A18" s="136"/>
      <c r="D18" s="1802" t="s">
        <v>2732</v>
      </c>
      <c r="E18" s="1945"/>
      <c r="F18" s="1945"/>
      <c r="G18" s="1945"/>
      <c r="H18" s="1945"/>
      <c r="I18" s="1945"/>
      <c r="J18" s="1945"/>
      <c r="K18" s="1945"/>
      <c r="L18" s="1945"/>
      <c r="M18" s="1945"/>
      <c r="N18" s="1945"/>
      <c r="O18" s="1945"/>
      <c r="P18" s="1945"/>
      <c r="Q18" s="1945"/>
      <c r="R18" s="1945"/>
      <c r="S18" s="1945"/>
      <c r="T18" s="1945"/>
      <c r="U18" s="1945"/>
      <c r="V18" s="1945"/>
      <c r="W18" s="1945"/>
      <c r="X18" s="1945"/>
      <c r="Y18" s="1945"/>
      <c r="Z18" s="1945"/>
      <c r="AA18" s="1945"/>
      <c r="AB18" s="1945"/>
      <c r="AC18" s="1945"/>
      <c r="AD18" s="1945"/>
      <c r="AE18" s="1945"/>
      <c r="AF18" s="1945"/>
      <c r="AG18" s="1945"/>
      <c r="AH18" s="1945"/>
      <c r="AI18" s="1945"/>
      <c r="AJ18" s="1945"/>
      <c r="AK18" s="1945"/>
      <c r="AL18" s="1911"/>
      <c r="AM18" s="1862"/>
      <c r="AX18" s="593"/>
      <c r="AY18" s="593"/>
    </row>
    <row r="19" spans="1:72" ht="18" customHeight="1" thickTop="1" thickBot="1">
      <c r="A19" s="1701"/>
      <c r="C19" s="265" t="s">
        <v>623</v>
      </c>
      <c r="D19" s="2180" t="s">
        <v>2733</v>
      </c>
      <c r="E19" s="2180"/>
      <c r="F19" s="2180"/>
      <c r="G19" s="2180"/>
      <c r="H19" s="2180"/>
      <c r="I19" s="2180"/>
      <c r="J19" s="2180"/>
      <c r="K19" s="2180"/>
      <c r="L19" s="2180"/>
      <c r="M19" s="2180"/>
      <c r="N19" s="2180"/>
      <c r="O19" s="2180"/>
      <c r="P19" s="2180"/>
      <c r="Q19" s="2180"/>
      <c r="R19" s="2180"/>
      <c r="S19" s="2180"/>
      <c r="T19" s="2180"/>
      <c r="U19" s="2180"/>
      <c r="V19" s="2180"/>
      <c r="W19" s="2180"/>
      <c r="X19" s="2180"/>
      <c r="Y19" s="2180"/>
      <c r="Z19" s="2180"/>
      <c r="AA19" s="2180"/>
      <c r="AB19" s="2180"/>
      <c r="AC19" s="2180"/>
      <c r="AD19" s="2180"/>
      <c r="AE19" s="2180"/>
      <c r="AF19" s="2180"/>
      <c r="AG19" s="2180"/>
      <c r="AH19" s="2180"/>
      <c r="AI19" s="2180"/>
      <c r="AJ19" s="2180"/>
      <c r="AK19" s="2180"/>
      <c r="AL19" s="2180"/>
      <c r="AM19" s="2180"/>
      <c r="AX19" s="592"/>
      <c r="AY19" s="592"/>
    </row>
    <row r="20" spans="1:72" ht="18" hidden="1" customHeight="1" thickTop="1" thickBot="1">
      <c r="C20" s="265"/>
      <c r="D20" s="267" t="s">
        <v>613</v>
      </c>
      <c r="E20" s="2993" t="str">
        <f>IF(AND(IsMhp,IsLargeFamily,LargeFamily),"P","O")</f>
        <v>O</v>
      </c>
      <c r="F20" s="2180"/>
      <c r="G20" s="3201" t="str">
        <f>IF(E20="O","Large Family - Not meeting the requirements.","")</f>
        <v>Large Family - Not meeting the requirements.</v>
      </c>
      <c r="H20" s="2180"/>
      <c r="I20" s="2180"/>
      <c r="J20" s="2180"/>
      <c r="K20" s="2180"/>
      <c r="L20" s="2180"/>
      <c r="M20" s="2180"/>
      <c r="N20" s="2180"/>
      <c r="O20" s="2180"/>
      <c r="P20" s="2180"/>
      <c r="Q20" s="2180"/>
      <c r="R20" s="2180"/>
      <c r="S20" s="2180"/>
      <c r="T20" s="2180"/>
      <c r="U20" s="2180"/>
      <c r="V20" s="2180"/>
      <c r="W20" s="2180"/>
      <c r="X20" s="2180"/>
      <c r="Y20" s="2180"/>
      <c r="Z20" s="2180"/>
      <c r="AA20" s="2180"/>
      <c r="AB20" s="2180"/>
      <c r="AC20" s="2180"/>
      <c r="AD20" s="2180"/>
      <c r="AE20" s="2180"/>
      <c r="AF20" s="2180"/>
      <c r="AG20" s="2180"/>
      <c r="AH20" s="2180"/>
      <c r="AI20" s="2180"/>
      <c r="AJ20" s="2180"/>
      <c r="AK20" s="2180"/>
      <c r="AX20" s="592"/>
      <c r="AY20" s="592"/>
    </row>
    <row r="21" spans="1:72" ht="18" hidden="1" customHeight="1" thickTop="1" thickBot="1">
      <c r="C21" s="265"/>
      <c r="D21" s="267" t="s">
        <v>615</v>
      </c>
      <c r="E21" s="2993" t="str">
        <f>IF(AND(IsMhp,IsSenior,'Unit Mix'!$Z$7=100%),"P","O")</f>
        <v>O</v>
      </c>
      <c r="F21" s="2180"/>
      <c r="G21" s="3201" t="str">
        <f>IF(E21="O","Senior -  Not meeting the requirements.","")</f>
        <v>Senior -  Not meeting the requirements.</v>
      </c>
      <c r="H21" s="2180"/>
      <c r="I21" s="2180"/>
      <c r="J21" s="2180"/>
      <c r="K21" s="2180"/>
      <c r="L21" s="2180"/>
      <c r="M21" s="2180"/>
      <c r="N21" s="2180"/>
      <c r="O21" s="2180"/>
      <c r="P21" s="2180"/>
      <c r="Q21" s="2180"/>
      <c r="R21" s="2180"/>
      <c r="S21" s="2180"/>
      <c r="T21" s="2180"/>
      <c r="U21" s="2180"/>
      <c r="V21" s="2180"/>
      <c r="W21" s="2180"/>
      <c r="X21" s="2180"/>
      <c r="Y21" s="2180"/>
      <c r="Z21" s="2180"/>
      <c r="AA21" s="2180"/>
      <c r="AB21" s="2180"/>
      <c r="AC21" s="2180"/>
      <c r="AD21" s="2180"/>
      <c r="AE21" s="2180"/>
      <c r="AF21" s="2180"/>
      <c r="AG21" s="2180"/>
      <c r="AH21" s="2180"/>
      <c r="AI21" s="2180"/>
      <c r="AJ21" s="2180"/>
      <c r="AK21" s="2180"/>
      <c r="AX21" s="592"/>
      <c r="AY21" s="592"/>
    </row>
    <row r="22" spans="1:72" ht="53.25" hidden="1" customHeight="1" thickTop="1" thickBot="1">
      <c r="C22" s="265"/>
      <c r="D22" s="267"/>
      <c r="E22" s="1802" t="s">
        <v>2734</v>
      </c>
      <c r="F22" s="2180"/>
      <c r="G22" s="2180"/>
      <c r="H22" s="2180"/>
      <c r="I22" s="2180"/>
      <c r="J22" s="2180"/>
      <c r="K22" s="2180"/>
      <c r="L22" s="2180"/>
      <c r="M22" s="2180"/>
      <c r="N22" s="2180"/>
      <c r="O22" s="2180"/>
      <c r="P22" s="2180"/>
      <c r="Q22" s="2180"/>
      <c r="R22" s="2180"/>
      <c r="S22" s="2180"/>
      <c r="T22" s="2180"/>
      <c r="U22" s="2180"/>
      <c r="V22" s="2180"/>
      <c r="W22" s="2180"/>
      <c r="X22" s="2180"/>
      <c r="Y22" s="2180"/>
      <c r="Z22" s="2180"/>
      <c r="AA22" s="2180"/>
      <c r="AB22" s="2180"/>
      <c r="AC22" s="2180"/>
      <c r="AD22" s="2180"/>
      <c r="AE22" s="2180"/>
      <c r="AF22" s="2180"/>
      <c r="AG22" s="2180"/>
      <c r="AH22" s="2180"/>
      <c r="AI22" s="2180"/>
      <c r="AJ22" s="2180"/>
      <c r="AK22" s="2180"/>
      <c r="AL22" s="382"/>
      <c r="AM22" s="382"/>
      <c r="AX22" s="592"/>
      <c r="AY22" s="592"/>
    </row>
    <row r="23" spans="1:72" ht="18" hidden="1" customHeight="1" thickTop="1" thickBot="1">
      <c r="C23" s="265"/>
      <c r="D23" s="267" t="s">
        <v>617</v>
      </c>
      <c r="E23" s="3203" t="str">
        <f>IFERROR(IF(AND(IsMhp,IsFarmworker,'Unit Mix'!$AA$7&gt;=25%),"P","O"),"O")</f>
        <v>O</v>
      </c>
      <c r="F23" s="2180"/>
      <c r="G23" s="3201" t="str">
        <f>IF(E23="O","Farmworker Housing -  Not meeting the requirements.","")</f>
        <v>Farmworker Housing -  Not meeting the requirements.</v>
      </c>
      <c r="H23" s="2180"/>
      <c r="I23" s="2180"/>
      <c r="J23" s="2180"/>
      <c r="K23" s="2180"/>
      <c r="L23" s="2180"/>
      <c r="M23" s="2180"/>
      <c r="N23" s="2180"/>
      <c r="O23" s="2180"/>
      <c r="P23" s="2180"/>
      <c r="Q23" s="2180"/>
      <c r="R23" s="2180"/>
      <c r="S23" s="2180"/>
      <c r="T23" s="2180"/>
      <c r="U23" s="2180"/>
      <c r="V23" s="2180"/>
      <c r="W23" s="2180"/>
      <c r="X23" s="2180"/>
      <c r="Y23" s="2180"/>
      <c r="Z23" s="2180"/>
      <c r="AA23" s="2180"/>
      <c r="AB23" s="2180"/>
      <c r="AC23" s="2180"/>
      <c r="AD23" s="2180"/>
      <c r="AE23" s="2180"/>
      <c r="AF23" s="2180"/>
      <c r="AG23" s="2180"/>
      <c r="AH23" s="2180"/>
      <c r="AI23" s="2180"/>
      <c r="AJ23" s="2180"/>
      <c r="AK23" s="2180"/>
      <c r="AL23" s="478"/>
      <c r="AM23" s="478"/>
      <c r="AX23" s="592"/>
      <c r="AY23" s="592"/>
    </row>
    <row r="24" spans="1:72" ht="18" hidden="1" customHeight="1" thickTop="1" thickBot="1">
      <c r="C24" s="265"/>
      <c r="E24" s="2996" t="s">
        <v>2735</v>
      </c>
      <c r="F24" s="2180"/>
      <c r="G24" s="2180"/>
      <c r="H24" s="2180"/>
      <c r="I24" s="2180"/>
      <c r="J24" s="2180"/>
      <c r="K24" s="2180"/>
      <c r="L24" s="2180"/>
      <c r="M24" s="2180"/>
      <c r="N24" s="2180"/>
      <c r="O24" s="2180"/>
      <c r="P24" s="2180"/>
      <c r="Q24" s="2180"/>
      <c r="R24" s="2180"/>
      <c r="S24" s="2180"/>
      <c r="T24" s="2180"/>
      <c r="U24" s="2180"/>
      <c r="V24" s="2180"/>
      <c r="W24" s="2180"/>
      <c r="X24" s="2180"/>
      <c r="Y24" s="2180"/>
      <c r="Z24" s="2180"/>
      <c r="AA24" s="2180"/>
      <c r="AB24" s="2180"/>
      <c r="AC24" s="2180"/>
      <c r="AD24" s="2180"/>
      <c r="AE24" s="2180"/>
      <c r="AF24" s="2180"/>
      <c r="AG24" s="2180"/>
      <c r="AH24" s="2180"/>
      <c r="AI24" s="1889"/>
      <c r="AJ24" s="2124">
        <f>SUM(UnitsTbl[Agricultural Households])</f>
        <v>0</v>
      </c>
      <c r="AK24" s="1778"/>
      <c r="AL24" s="2124" t="b">
        <f>IFERROR(IF(AND(IsMhp,vmFarmworker,SUM(UnitsTbl[Agricultural Households]))&gt;=SUM(UnitsTbl[Total Units])*0.25,TRUE,FALSE),"N/A")</f>
        <v>1</v>
      </c>
      <c r="AM24" s="1778"/>
      <c r="AX24" s="592"/>
      <c r="AY24" s="592"/>
    </row>
    <row r="25" spans="1:72" ht="18" hidden="1" customHeight="1" thickTop="1" thickBot="1">
      <c r="B25" s="122"/>
      <c r="C25" s="122"/>
      <c r="D25" s="122"/>
      <c r="E25" s="2996" t="s">
        <v>2736</v>
      </c>
      <c r="F25" s="2180"/>
      <c r="G25" s="2180"/>
      <c r="H25" s="2180"/>
      <c r="I25" s="2180"/>
      <c r="J25" s="2180"/>
      <c r="K25" s="2180"/>
      <c r="L25" s="2180"/>
      <c r="M25" s="2180"/>
      <c r="N25" s="2180"/>
      <c r="O25" s="2180"/>
      <c r="P25" s="2180"/>
      <c r="Q25" s="2180"/>
      <c r="R25" s="2180"/>
      <c r="S25" s="2180"/>
      <c r="T25" s="2180"/>
      <c r="U25" s="2180"/>
      <c r="V25" s="2180"/>
      <c r="W25" s="2180"/>
      <c r="X25" s="2180"/>
      <c r="Y25" s="2180"/>
      <c r="Z25" s="2180"/>
      <c r="AA25" s="2180"/>
      <c r="AB25" s="2180"/>
      <c r="AC25" s="2180"/>
      <c r="AD25" s="2180"/>
      <c r="AE25" s="2180"/>
      <c r="AF25" s="2180"/>
      <c r="AG25" s="2180"/>
      <c r="AH25" s="2180"/>
      <c r="AI25" s="1889"/>
      <c r="AJ25" s="1973">
        <f>SUMIFS(UnitsTbl[Agricultural Households],UnitsTbl[Restricted Income Level],30%)+SUMIFS(UnitsTbl[Agricultural Households],UnitsTbl[Restricted Income Level],25%)+SUMIFS(UnitsTbl[Agricultural Households],UnitsTbl[Restricted Income Level],20%)+SUMIFS(UnitsTbl[Agricultural Households],UnitsTbl[Restricted Income Level],15%)</f>
        <v>0</v>
      </c>
      <c r="AK25" s="1778"/>
      <c r="AL25" s="2124" t="str">
        <f>IFERROR(IF(AND(IsMhp,vmFarmworker="Yes",AL24=TRUE,AJ25/AJ24&gt;=10%),TRUE,FALSE),"N/A")</f>
        <v>N/A</v>
      </c>
      <c r="AM25" s="1778"/>
      <c r="AX25" s="592"/>
      <c r="AY25" s="592"/>
    </row>
    <row r="26" spans="1:72" ht="36" hidden="1" customHeight="1" thickTop="1" thickBot="1">
      <c r="B26" s="476"/>
      <c r="C26" s="58"/>
      <c r="D26" s="58"/>
      <c r="E26" s="3214" t="s">
        <v>2737</v>
      </c>
      <c r="F26" s="2180"/>
      <c r="G26" s="2180"/>
      <c r="H26" s="2180"/>
      <c r="I26" s="2180"/>
      <c r="J26" s="2180"/>
      <c r="K26" s="2180"/>
      <c r="L26" s="2180"/>
      <c r="M26" s="2180"/>
      <c r="N26" s="2180"/>
      <c r="O26" s="2180"/>
      <c r="P26" s="2180"/>
      <c r="Q26" s="2180"/>
      <c r="R26" s="2180"/>
      <c r="S26" s="2180"/>
      <c r="T26" s="2180"/>
      <c r="U26" s="2180"/>
      <c r="V26" s="2180"/>
      <c r="W26" s="2180"/>
      <c r="X26" s="2180"/>
      <c r="Y26" s="2180"/>
      <c r="Z26" s="2180"/>
      <c r="AA26" s="2180"/>
      <c r="AB26" s="2180"/>
      <c r="AC26" s="2180"/>
      <c r="AD26" s="2180"/>
      <c r="AE26" s="2180"/>
      <c r="AF26" s="2180"/>
      <c r="AG26" s="2180"/>
      <c r="AH26" s="2180"/>
      <c r="AI26" s="2180"/>
      <c r="AJ26" s="2180"/>
      <c r="AK26" s="1889"/>
      <c r="AL26" s="1911"/>
      <c r="AM26" s="1862"/>
      <c r="AX26" s="592"/>
      <c r="AY26" s="592"/>
    </row>
    <row r="27" spans="1:72" ht="36" hidden="1" customHeight="1" thickTop="1" thickBot="1">
      <c r="A27" s="1701"/>
      <c r="B27" s="476"/>
      <c r="C27" s="347"/>
      <c r="D27" s="347"/>
      <c r="E27" s="1723" t="s">
        <v>1989</v>
      </c>
      <c r="F27" s="3210" t="s">
        <v>2738</v>
      </c>
      <c r="G27" s="2180"/>
      <c r="H27" s="2180"/>
      <c r="I27" s="2180"/>
      <c r="J27" s="2180"/>
      <c r="K27" s="2180"/>
      <c r="L27" s="2180"/>
      <c r="M27" s="2180"/>
      <c r="N27" s="2180"/>
      <c r="O27" s="2180"/>
      <c r="P27" s="2180"/>
      <c r="Q27" s="2180"/>
      <c r="R27" s="2180"/>
      <c r="S27" s="2180"/>
      <c r="T27" s="2180"/>
      <c r="U27" s="2180"/>
      <c r="V27" s="2180"/>
      <c r="W27" s="2180"/>
      <c r="X27" s="2180"/>
      <c r="Y27" s="2180"/>
      <c r="Z27" s="2180"/>
      <c r="AA27" s="2180"/>
      <c r="AB27" s="2180"/>
      <c r="AC27" s="2180"/>
      <c r="AD27" s="2180"/>
      <c r="AE27" s="2180"/>
      <c r="AF27" s="2180"/>
      <c r="AG27" s="2180"/>
      <c r="AH27" s="2180"/>
      <c r="AI27" s="2180"/>
      <c r="AJ27" s="2180"/>
      <c r="AK27" s="1889"/>
      <c r="AL27" s="1911"/>
      <c r="AM27" s="1862"/>
      <c r="AX27" s="592"/>
      <c r="AY27" s="592"/>
    </row>
    <row r="28" spans="1:72" s="136" customFormat="1" ht="18" hidden="1" customHeight="1" thickTop="1">
      <c r="D28" s="267" t="s">
        <v>634</v>
      </c>
      <c r="E28" s="2995" t="s">
        <v>2739</v>
      </c>
      <c r="F28" s="2167"/>
      <c r="G28" s="2167"/>
      <c r="H28" s="2167"/>
      <c r="I28" s="2167"/>
      <c r="J28" s="2167"/>
      <c r="K28" s="2167"/>
      <c r="L28" s="2167"/>
      <c r="M28" s="2167"/>
      <c r="N28" s="2167"/>
      <c r="O28" s="2167"/>
      <c r="P28" s="2167"/>
      <c r="Q28" s="2167"/>
      <c r="R28" s="2167"/>
      <c r="S28" s="2167"/>
      <c r="T28" s="2167"/>
      <c r="U28" s="2167"/>
      <c r="V28" s="2167"/>
      <c r="W28" s="2167"/>
      <c r="X28" s="2167"/>
      <c r="Y28" s="2167"/>
      <c r="Z28" s="2167"/>
      <c r="AA28" s="2167"/>
      <c r="AB28" s="2167"/>
      <c r="AC28" s="2167"/>
      <c r="AD28" s="2167"/>
      <c r="AE28" s="2167"/>
      <c r="AF28" s="2167"/>
      <c r="AG28" s="2167"/>
      <c r="AH28" s="2167"/>
      <c r="AI28" s="2167"/>
      <c r="AJ28" s="2167"/>
      <c r="AK28" s="2167"/>
    </row>
    <row r="29" spans="1:72" s="136" customFormat="1" ht="18" hidden="1" customHeight="1" thickBot="1">
      <c r="E29" s="2995" t="s">
        <v>2740</v>
      </c>
      <c r="F29" s="2167"/>
      <c r="G29" s="2167"/>
      <c r="H29" s="2167"/>
      <c r="I29" s="2167"/>
      <c r="J29" s="2167"/>
      <c r="K29" s="2167"/>
      <c r="L29" s="2167"/>
      <c r="M29" s="2167"/>
      <c r="N29" s="2167"/>
      <c r="O29" s="2167"/>
      <c r="P29" s="2167"/>
      <c r="Q29" s="2167"/>
      <c r="R29" s="2167"/>
      <c r="S29" s="2167"/>
      <c r="T29" s="2167"/>
      <c r="U29" s="2167"/>
      <c r="V29" s="2167"/>
      <c r="W29" s="2167"/>
      <c r="X29" s="2167"/>
      <c r="Y29" s="2167"/>
      <c r="Z29" s="2167"/>
      <c r="AA29" s="2167"/>
      <c r="AB29" s="2167"/>
      <c r="AC29" s="2167"/>
      <c r="AD29" s="2167"/>
      <c r="AE29" s="2167"/>
      <c r="AF29" s="2167"/>
      <c r="AG29" s="2167"/>
      <c r="AH29" s="2167"/>
      <c r="AI29" s="2167"/>
      <c r="AJ29" s="2167"/>
      <c r="AK29" s="2167"/>
      <c r="AL29" s="1886" t="b">
        <f>IFERROR(IF(SUMIF(UnitsTbl[Restricted Income Level],"&lt;=60%",UnitsTbl[Total Units])/TotalUnits&gt;=20%,TRUE,FALSE),FALSE)</f>
        <v>0</v>
      </c>
      <c r="AM29" s="1778"/>
    </row>
    <row r="30" spans="1:72" ht="64.5" hidden="1" customHeight="1" thickTop="1" thickBot="1">
      <c r="A30" s="1701"/>
      <c r="C30" s="265"/>
      <c r="D30" s="267" t="s">
        <v>1820</v>
      </c>
      <c r="E30" s="1806" t="s">
        <v>2741</v>
      </c>
      <c r="F30" s="2180"/>
      <c r="G30" s="2180"/>
      <c r="H30" s="2180"/>
      <c r="I30" s="2180"/>
      <c r="J30" s="2180"/>
      <c r="K30" s="2180"/>
      <c r="L30" s="2180"/>
      <c r="M30" s="2180"/>
      <c r="N30" s="2180"/>
      <c r="O30" s="2180"/>
      <c r="P30" s="2180"/>
      <c r="Q30" s="2180"/>
      <c r="R30" s="2180"/>
      <c r="S30" s="2180"/>
      <c r="T30" s="2180"/>
      <c r="U30" s="2180"/>
      <c r="V30" s="2180"/>
      <c r="W30" s="2180"/>
      <c r="X30" s="2180"/>
      <c r="Y30" s="2180"/>
      <c r="Z30" s="2180"/>
      <c r="AA30" s="2180"/>
      <c r="AB30" s="2180"/>
      <c r="AC30" s="2180"/>
      <c r="AD30" s="2180"/>
      <c r="AE30" s="2180"/>
      <c r="AF30" s="2180"/>
      <c r="AG30" s="2180"/>
      <c r="AH30" s="2180"/>
      <c r="AI30" s="2180"/>
      <c r="AJ30" s="2180"/>
      <c r="AK30" s="2180"/>
      <c r="AL30" s="3215"/>
      <c r="AM30" s="1953"/>
      <c r="AX30" s="592"/>
      <c r="AY30" s="592"/>
      <c r="BT30" s="590"/>
    </row>
    <row r="31" spans="1:72" ht="18" hidden="1" customHeight="1" thickTop="1" thickBot="1">
      <c r="C31" s="265"/>
      <c r="D31" s="267"/>
      <c r="E31" s="267" t="s">
        <v>1989</v>
      </c>
      <c r="F31" s="2993" t="str">
        <f>IF(AND(IsMhp,IsAtHighRisk,'At High Risk Req'!$AJ$18="Meets"),"P","O")</f>
        <v>O</v>
      </c>
      <c r="G31" s="2180"/>
      <c r="H31" s="267" t="s">
        <v>1990</v>
      </c>
      <c r="I31" s="2993" t="str">
        <f>IF(AND(IsMhp,IsAtHighRisk,'At High Risk Req'!$AJ$19="Meets"),"P","O")</f>
        <v>O</v>
      </c>
      <c r="J31" s="2180"/>
      <c r="K31" s="267" t="s">
        <v>1996</v>
      </c>
      <c r="L31" s="2993" t="str">
        <f>IF(AND(IsMhp,IsAtHighRisk,'At High Risk Req'!$AJ$20="Meets"),"P","O")</f>
        <v>O</v>
      </c>
      <c r="M31" s="2180"/>
      <c r="N31" s="267" t="s">
        <v>1999</v>
      </c>
      <c r="O31" s="2993" t="str">
        <f>IF(AND(IsMhp,IsAtHighRisk,'At High Risk Req'!$AJ$21="Meets"),"P","O")</f>
        <v>O</v>
      </c>
      <c r="P31" s="2180"/>
      <c r="Q31" s="267" t="s">
        <v>2742</v>
      </c>
      <c r="R31" s="2993" t="str">
        <f>IF(AND(IsMhp,IsAtHighRisk,'At High Risk Req'!$AJ$24="Meets"),"P","O")</f>
        <v>O</v>
      </c>
      <c r="S31" s="2180"/>
      <c r="T31" s="267" t="s">
        <v>2743</v>
      </c>
      <c r="U31" s="2993" t="str">
        <f>IF(AND(IsMhp,IsAtHighRisk,'At High Risk Req'!$AJ$25="Meets"),"P","O")</f>
        <v>O</v>
      </c>
      <c r="V31" s="2180"/>
      <c r="W31" s="267" t="s">
        <v>2744</v>
      </c>
      <c r="X31" s="2993" t="str">
        <f>IF(AND(IsMhp,IsAtHighRisk,'At High Risk Req'!$AJ$26="Yes"),"P","O")</f>
        <v>O</v>
      </c>
      <c r="Y31" s="2180"/>
      <c r="Z31" s="267" t="s">
        <v>2745</v>
      </c>
      <c r="AA31" s="2993" t="str">
        <f>IF(AND(IsMhp,IsAtHighRisk,'At High Risk Req'!$AJ$27="Yes"),"P","O")</f>
        <v>O</v>
      </c>
      <c r="AB31" s="2180"/>
      <c r="AC31" s="267" t="s">
        <v>2746</v>
      </c>
      <c r="AD31" s="2993" t="str">
        <f>IF(AND(IsMhp,IsAtHighRisk,'At High Risk Req'!$AJ$28="Yes"),"P","O")</f>
        <v>O</v>
      </c>
      <c r="AE31" s="2180"/>
      <c r="AF31" s="267" t="s">
        <v>2747</v>
      </c>
      <c r="AG31" s="2993" t="str">
        <f>IF(AND(IsMhp,IsAtHighRisk,'At High Risk Req'!$AJ$29="Yes"),"P","O")</f>
        <v>O</v>
      </c>
      <c r="AH31" s="2180"/>
      <c r="AX31" s="592"/>
      <c r="AY31" s="592"/>
    </row>
    <row r="32" spans="1:72" ht="18" hidden="1" customHeight="1" thickTop="1" thickBot="1">
      <c r="A32" s="1701"/>
      <c r="C32" s="265"/>
      <c r="D32" s="267" t="s">
        <v>1820</v>
      </c>
      <c r="E32" s="2993" t="str">
        <f>IFERROR(IF(AND(IsMhp,IsSpecialNeeds,SUM('Unit Mix'!$L$8,'Unit Mix'!$T$8)/'Unit Mix'!$Y$3&gt;=25%),"P","O"),"O")</f>
        <v>O</v>
      </c>
      <c r="F32" s="2180"/>
      <c r="G32" s="3201" t="str">
        <f>IF(E32="O","Special Needs -  Not meeting the requirements.","")</f>
        <v>Special Needs -  Not meeting the requirements.</v>
      </c>
      <c r="H32" s="2180"/>
      <c r="I32" s="2180"/>
      <c r="J32" s="2180"/>
      <c r="K32" s="2180"/>
      <c r="L32" s="2180"/>
      <c r="M32" s="2180"/>
      <c r="N32" s="2180"/>
      <c r="O32" s="2180"/>
      <c r="P32" s="2180"/>
      <c r="Q32" s="2180"/>
      <c r="R32" s="2180"/>
      <c r="S32" s="2180"/>
      <c r="T32" s="2180"/>
      <c r="U32" s="2180"/>
      <c r="V32" s="2180"/>
      <c r="W32" s="2180"/>
      <c r="X32" s="2180"/>
      <c r="Y32" s="2180"/>
      <c r="Z32" s="2180"/>
      <c r="AA32" s="2180"/>
      <c r="AB32" s="2180"/>
      <c r="AC32" s="2180"/>
      <c r="AD32" s="2180"/>
      <c r="AE32" s="2180"/>
      <c r="AF32" s="2180"/>
      <c r="AG32" s="2180"/>
      <c r="AH32" s="2180"/>
      <c r="AI32" s="2180"/>
      <c r="AJ32" s="2180"/>
      <c r="AK32" s="2180"/>
      <c r="AX32" s="592"/>
      <c r="AY32" s="592"/>
    </row>
    <row r="33" spans="3:91" ht="18" hidden="1" customHeight="1" thickTop="1" thickBot="1">
      <c r="C33" s="265"/>
      <c r="D33" s="267"/>
      <c r="E33" s="265" t="s">
        <v>1989</v>
      </c>
      <c r="F33" s="2993" t="str">
        <f>IF(AND(IsMhp,IsSpecialNeeds,'MHP - Supportive Services Plan'!$N$77="&gt;=3 years"),"P","O")</f>
        <v>O</v>
      </c>
      <c r="G33" s="2180"/>
      <c r="J33" s="1700"/>
      <c r="K33" s="1700"/>
      <c r="AX33" s="592"/>
      <c r="AY33" s="592"/>
    </row>
    <row r="34" spans="3:91" ht="18" hidden="1" customHeight="1" thickTop="1" thickBot="1">
      <c r="C34" s="265"/>
      <c r="D34" s="267"/>
      <c r="E34" s="265" t="s">
        <v>1990</v>
      </c>
      <c r="F34" s="2993" t="str">
        <f>IF(AND(IsMhp,IsSpecialNeeds,Scoring!$AR$111&gt;=1,Scoring!$AS$111&gt;=1),"P","O")</f>
        <v>O</v>
      </c>
      <c r="G34" s="2180"/>
      <c r="J34" s="1700"/>
      <c r="K34" s="1700"/>
      <c r="AX34" s="592"/>
      <c r="AY34" s="592"/>
    </row>
    <row r="35" spans="3:91" ht="18" hidden="1" customHeight="1" thickTop="1" thickBot="1">
      <c r="C35" s="265"/>
      <c r="D35" s="267"/>
      <c r="E35" s="265" t="s">
        <v>1996</v>
      </c>
      <c r="F35" s="2993" t="str">
        <f>IF(AND(IsMhp,IsSpecialNeeds,OR('MHP - Supportive Services Plan'!$T$79='MHP - Supportive Services Plan'!$AO$69,'MHP - Supportive Services Plan'!$T$79='MHP - Supportive Services Plan'!$AO$70,'MHP - Supportive Services Plan'!$T$79='MHP - Supportive Services Plan'!$AO$71)),"P","O")</f>
        <v>O</v>
      </c>
      <c r="G35" s="2180"/>
      <c r="H35" s="382"/>
      <c r="I35" s="382"/>
      <c r="J35" s="382"/>
      <c r="K35" s="382"/>
      <c r="L35" s="382"/>
      <c r="M35" s="382"/>
      <c r="N35" s="382"/>
      <c r="O35" s="382"/>
      <c r="P35" s="382"/>
      <c r="Q35" s="382"/>
      <c r="R35" s="382"/>
      <c r="S35" s="382"/>
      <c r="T35" s="382"/>
      <c r="U35" s="382"/>
      <c r="V35" s="382"/>
      <c r="W35" s="382"/>
      <c r="X35" s="382"/>
      <c r="Y35" s="382"/>
      <c r="Z35" s="382"/>
      <c r="AA35" s="382"/>
      <c r="AB35" s="382"/>
      <c r="AC35" s="382"/>
      <c r="AD35" s="382"/>
      <c r="AE35" s="382"/>
      <c r="AF35" s="382"/>
      <c r="AG35" s="382"/>
      <c r="AH35" s="382"/>
      <c r="AI35" s="382"/>
      <c r="AJ35" s="382"/>
      <c r="AK35" s="382"/>
      <c r="AL35" s="382"/>
      <c r="AM35" s="382"/>
      <c r="AX35" s="592"/>
      <c r="AY35" s="592"/>
    </row>
    <row r="36" spans="3:91" ht="36" hidden="1" customHeight="1" thickTop="1" thickBot="1">
      <c r="C36" s="265"/>
      <c r="E36" s="265" t="s">
        <v>1999</v>
      </c>
      <c r="F36" s="1802" t="s">
        <v>2748</v>
      </c>
      <c r="G36" s="2180"/>
      <c r="H36" s="2180"/>
      <c r="I36" s="2180"/>
      <c r="J36" s="2180"/>
      <c r="K36" s="2180"/>
      <c r="L36" s="2180"/>
      <c r="M36" s="2180"/>
      <c r="N36" s="2180"/>
      <c r="O36" s="2180"/>
      <c r="P36" s="2180"/>
      <c r="Q36" s="2180"/>
      <c r="R36" s="2180"/>
      <c r="S36" s="2180"/>
      <c r="T36" s="2180"/>
      <c r="U36" s="2180"/>
      <c r="V36" s="2180"/>
      <c r="W36" s="2180"/>
      <c r="X36" s="2180"/>
      <c r="Y36" s="2180"/>
      <c r="Z36" s="2180"/>
      <c r="AA36" s="2180"/>
      <c r="AB36" s="2180"/>
      <c r="AC36" s="2180"/>
      <c r="AD36" s="2180"/>
      <c r="AE36" s="2180"/>
      <c r="AF36" s="2180"/>
      <c r="AG36" s="2180"/>
      <c r="AH36" s="2180"/>
      <c r="AI36" s="2180"/>
      <c r="AJ36" s="2180"/>
      <c r="AK36" s="2180"/>
      <c r="AL36" s="1911"/>
      <c r="AM36" s="1862"/>
      <c r="AX36" s="592"/>
      <c r="AY36" s="592"/>
    </row>
    <row r="37" spans="3:91" ht="18" hidden="1" customHeight="1" thickTop="1" thickBot="1">
      <c r="C37" s="265"/>
      <c r="E37" s="265" t="s">
        <v>2742</v>
      </c>
      <c r="F37" s="2993" t="str">
        <f>IF(AND(IsMhp,IsSpecialNeeds,'MHP - Supportive Services Plan'!$L$38="Yes"),"P","O")</f>
        <v>O</v>
      </c>
      <c r="G37" s="2180"/>
      <c r="AX37" s="592"/>
      <c r="AY37" s="592"/>
    </row>
    <row r="38" spans="3:91" ht="36" hidden="1" customHeight="1" thickTop="1" thickBot="1">
      <c r="C38" s="265" t="s">
        <v>627</v>
      </c>
      <c r="D38" s="1802" t="s">
        <v>2749</v>
      </c>
      <c r="E38" s="2180"/>
      <c r="F38" s="2180"/>
      <c r="G38" s="2180"/>
      <c r="H38" s="2180"/>
      <c r="I38" s="2180"/>
      <c r="J38" s="2180"/>
      <c r="K38" s="2180"/>
      <c r="L38" s="2180"/>
      <c r="M38" s="2180"/>
      <c r="N38" s="2180"/>
      <c r="O38" s="2180"/>
      <c r="P38" s="2180"/>
      <c r="Q38" s="2180"/>
      <c r="R38" s="2180"/>
      <c r="S38" s="2180"/>
      <c r="T38" s="2180"/>
      <c r="U38" s="2180"/>
      <c r="V38" s="2180"/>
      <c r="W38" s="2180"/>
      <c r="X38" s="2180"/>
      <c r="Y38" s="2180"/>
      <c r="Z38" s="2180"/>
      <c r="AA38" s="2180"/>
      <c r="AB38" s="2180"/>
      <c r="AC38" s="2180"/>
      <c r="AD38" s="2180"/>
      <c r="AE38" s="2180"/>
      <c r="AF38" s="2180"/>
      <c r="AG38" s="2180"/>
      <c r="AH38" s="2180"/>
      <c r="AI38" s="2180"/>
      <c r="AJ38" s="2180"/>
      <c r="AK38" s="2180"/>
      <c r="AL38" s="382"/>
      <c r="AM38" s="382"/>
      <c r="AX38" s="592"/>
      <c r="AY38" s="592"/>
    </row>
    <row r="39" spans="3:91" s="136" customFormat="1" ht="35.25" hidden="1" customHeight="1" thickTop="1" thickBot="1">
      <c r="D39" s="2525" t="s">
        <v>2750</v>
      </c>
      <c r="E39" s="2167"/>
      <c r="F39" s="2167"/>
      <c r="G39" s="2167"/>
      <c r="H39" s="2167"/>
      <c r="I39" s="2167"/>
      <c r="J39" s="2167"/>
      <c r="K39" s="2167"/>
      <c r="L39" s="2167"/>
      <c r="M39" s="2167"/>
      <c r="N39" s="2167"/>
      <c r="O39" s="2167"/>
      <c r="P39" s="2167"/>
      <c r="Q39" s="2167"/>
      <c r="R39" s="2167"/>
      <c r="S39" s="2167"/>
      <c r="T39" s="2167"/>
      <c r="U39" s="2167"/>
      <c r="V39" s="2167"/>
      <c r="W39" s="2167"/>
      <c r="X39" s="2167"/>
      <c r="Y39" s="2167"/>
      <c r="Z39" s="2167"/>
      <c r="AA39" s="2167"/>
      <c r="AB39" s="2167"/>
      <c r="AC39" s="2167"/>
      <c r="AD39" s="2167"/>
      <c r="AE39" s="2167"/>
      <c r="AF39" s="2167"/>
      <c r="AG39" s="2167"/>
      <c r="AH39" s="2167"/>
      <c r="AI39" s="2167"/>
      <c r="AJ39" s="2167"/>
      <c r="AK39" s="2167"/>
      <c r="AL39" s="1886" t="b">
        <f>IF(AND(IsMhp,IsSpecialNeeds,'Unit Mix'!M8&gt;=1),TRUE,FALSE)</f>
        <v>0</v>
      </c>
      <c r="AM39" s="1778"/>
      <c r="AX39" s="594"/>
      <c r="AY39" s="594"/>
    </row>
    <row r="40" spans="3:91" s="136" customFormat="1" ht="78" hidden="1" customHeight="1" thickTop="1" thickBot="1">
      <c r="D40" s="267" t="s">
        <v>613</v>
      </c>
      <c r="E40" s="1802" t="s">
        <v>2751</v>
      </c>
      <c r="F40" s="2167"/>
      <c r="G40" s="2167"/>
      <c r="H40" s="2167"/>
      <c r="I40" s="2167"/>
      <c r="J40" s="2167"/>
      <c r="K40" s="2167"/>
      <c r="L40" s="2167"/>
      <c r="M40" s="2167"/>
      <c r="N40" s="2167"/>
      <c r="O40" s="2167"/>
      <c r="P40" s="2167"/>
      <c r="Q40" s="2167"/>
      <c r="R40" s="2167"/>
      <c r="S40" s="2167"/>
      <c r="T40" s="2167"/>
      <c r="U40" s="2167"/>
      <c r="V40" s="2167"/>
      <c r="W40" s="2167"/>
      <c r="X40" s="2167"/>
      <c r="Y40" s="2167"/>
      <c r="Z40" s="2167"/>
      <c r="AA40" s="2167"/>
      <c r="AB40" s="2167"/>
      <c r="AC40" s="2167"/>
      <c r="AD40" s="2167"/>
      <c r="AE40" s="2167"/>
      <c r="AF40" s="2167"/>
      <c r="AG40" s="2167"/>
      <c r="AH40" s="2167"/>
      <c r="AI40" s="2167"/>
      <c r="AJ40" s="2167"/>
      <c r="AK40" s="2167"/>
      <c r="AL40" s="1911"/>
      <c r="AM40" s="1862"/>
      <c r="AX40" s="594"/>
      <c r="AY40" s="594"/>
    </row>
    <row r="41" spans="3:91" s="136" customFormat="1" ht="78" hidden="1" customHeight="1" thickTop="1" thickBot="1">
      <c r="D41" s="267" t="s">
        <v>615</v>
      </c>
      <c r="E41" s="2525" t="s">
        <v>2752</v>
      </c>
      <c r="F41" s="2167"/>
      <c r="G41" s="2167"/>
      <c r="H41" s="2167"/>
      <c r="I41" s="2167"/>
      <c r="J41" s="2167"/>
      <c r="K41" s="2167"/>
      <c r="L41" s="2167"/>
      <c r="M41" s="2167"/>
      <c r="N41" s="2167"/>
      <c r="O41" s="2167"/>
      <c r="P41" s="2167"/>
      <c r="Q41" s="2167"/>
      <c r="R41" s="2167"/>
      <c r="S41" s="2167"/>
      <c r="T41" s="2167"/>
      <c r="U41" s="2167"/>
      <c r="V41" s="2167"/>
      <c r="W41" s="2167"/>
      <c r="X41" s="2167"/>
      <c r="Y41" s="2167"/>
      <c r="Z41" s="2167"/>
      <c r="AA41" s="2167"/>
      <c r="AB41" s="2167"/>
      <c r="AC41" s="2167"/>
      <c r="AD41" s="2167"/>
      <c r="AE41" s="2167"/>
      <c r="AF41" s="2167"/>
      <c r="AG41" s="2167"/>
      <c r="AH41" s="2167"/>
      <c r="AI41" s="2167"/>
      <c r="AJ41" s="2167"/>
      <c r="AK41" s="2167"/>
      <c r="AL41" s="1911"/>
      <c r="AM41" s="1862"/>
      <c r="AX41" s="594"/>
      <c r="AY41" s="594"/>
    </row>
    <row r="42" spans="3:91" s="136" customFormat="1" ht="36" hidden="1" customHeight="1" thickTop="1" thickBot="1">
      <c r="D42" s="267" t="s">
        <v>617</v>
      </c>
      <c r="E42" s="267" t="s">
        <v>1989</v>
      </c>
      <c r="F42" s="2989" t="s">
        <v>2753</v>
      </c>
      <c r="G42" s="2167"/>
      <c r="H42" s="2167"/>
      <c r="I42" s="2167"/>
      <c r="J42" s="2167"/>
      <c r="K42" s="2167"/>
      <c r="L42" s="2167"/>
      <c r="M42" s="2167"/>
      <c r="N42" s="2167"/>
      <c r="O42" s="2167"/>
      <c r="P42" s="2167"/>
      <c r="Q42" s="2167"/>
      <c r="R42" s="2167"/>
      <c r="S42" s="2167"/>
      <c r="T42" s="2167"/>
      <c r="U42" s="2167"/>
      <c r="V42" s="2167"/>
      <c r="W42" s="2167"/>
      <c r="X42" s="2167"/>
      <c r="Y42" s="2167"/>
      <c r="Z42" s="2167"/>
      <c r="AA42" s="2167"/>
      <c r="AB42" s="2167"/>
      <c r="AC42" s="2167"/>
      <c r="AD42" s="2167"/>
      <c r="AE42" s="2167"/>
      <c r="AF42" s="2167"/>
      <c r="AG42" s="2167"/>
      <c r="AH42" s="2167"/>
      <c r="AI42" s="2167"/>
      <c r="AJ42" s="2167"/>
      <c r="AK42" s="1889"/>
      <c r="AL42" s="1911"/>
      <c r="AM42" s="1862"/>
      <c r="AX42" s="595"/>
      <c r="AY42" s="595"/>
      <c r="AZ42" s="382"/>
      <c r="BA42" s="382"/>
      <c r="BB42" s="382"/>
      <c r="BC42" s="382"/>
      <c r="BD42" s="382"/>
      <c r="BE42" s="382"/>
      <c r="BF42" s="382"/>
      <c r="BG42" s="382"/>
      <c r="BH42" s="382"/>
      <c r="BI42" s="382"/>
      <c r="BJ42" s="382"/>
      <c r="BK42" s="382"/>
      <c r="BL42" s="382"/>
      <c r="BM42" s="382"/>
      <c r="BN42" s="382"/>
      <c r="BO42" s="382"/>
      <c r="BP42" s="382"/>
      <c r="BQ42" s="382"/>
      <c r="BR42" s="382"/>
      <c r="BS42" s="382"/>
      <c r="BT42" s="382"/>
      <c r="BU42" s="382"/>
      <c r="BV42" s="382"/>
      <c r="BW42" s="382"/>
      <c r="BX42" s="382"/>
      <c r="BY42" s="382"/>
      <c r="BZ42" s="382"/>
      <c r="CA42" s="382"/>
      <c r="CB42" s="382"/>
      <c r="CC42" s="382"/>
      <c r="CD42" s="382"/>
      <c r="CE42" s="382"/>
      <c r="CF42" s="382"/>
      <c r="CG42" s="382"/>
      <c r="CH42" s="382"/>
      <c r="CI42" s="382"/>
      <c r="CJ42" s="382"/>
      <c r="CK42" s="382"/>
      <c r="CL42" s="382"/>
      <c r="CM42" s="382"/>
    </row>
    <row r="43" spans="3:91" s="136" customFormat="1" ht="18" hidden="1" customHeight="1" thickTop="1" thickBot="1">
      <c r="F43" s="267" t="s">
        <v>648</v>
      </c>
      <c r="G43" s="2995" t="s">
        <v>2754</v>
      </c>
      <c r="H43" s="2167"/>
      <c r="I43" s="2167"/>
      <c r="J43" s="2167"/>
      <c r="K43" s="2167"/>
      <c r="L43" s="2167"/>
      <c r="M43" s="2167"/>
      <c r="N43" s="2167"/>
      <c r="O43" s="2167"/>
      <c r="P43" s="2167"/>
      <c r="Q43" s="2167"/>
      <c r="R43" s="2167"/>
      <c r="S43" s="2167"/>
      <c r="T43" s="2167"/>
      <c r="U43" s="2167"/>
      <c r="V43" s="2167"/>
      <c r="W43" s="2167"/>
      <c r="X43" s="2167"/>
      <c r="Y43" s="2167"/>
      <c r="Z43" s="2167"/>
      <c r="AA43" s="2167"/>
      <c r="AB43" s="2167"/>
      <c r="AC43" s="2167"/>
      <c r="AD43" s="2167"/>
      <c r="AE43" s="2167"/>
      <c r="AF43" s="2167"/>
      <c r="AG43" s="2167"/>
      <c r="AH43" s="2167"/>
      <c r="AI43" s="2167"/>
      <c r="AJ43" s="2167"/>
      <c r="AK43" s="2167"/>
      <c r="AX43" s="594"/>
      <c r="AY43" s="594"/>
    </row>
    <row r="44" spans="3:91" s="136" customFormat="1" ht="18" hidden="1" customHeight="1" thickTop="1" thickBot="1">
      <c r="F44" s="267" t="s">
        <v>648</v>
      </c>
      <c r="G44" s="2995" t="s">
        <v>2755</v>
      </c>
      <c r="H44" s="2167"/>
      <c r="I44" s="2167"/>
      <c r="J44" s="2167"/>
      <c r="K44" s="2167"/>
      <c r="L44" s="2167"/>
      <c r="M44" s="2167"/>
      <c r="N44" s="2167"/>
      <c r="O44" s="2167"/>
      <c r="P44" s="2167"/>
      <c r="Q44" s="2167"/>
      <c r="R44" s="2167"/>
      <c r="S44" s="2167"/>
      <c r="T44" s="2167"/>
      <c r="U44" s="2167"/>
      <c r="V44" s="2167"/>
      <c r="W44" s="2167"/>
      <c r="X44" s="2167"/>
      <c r="Y44" s="2167"/>
      <c r="Z44" s="2167"/>
      <c r="AA44" s="2167"/>
      <c r="AB44" s="2167"/>
      <c r="AC44" s="2167"/>
      <c r="AD44" s="2167"/>
      <c r="AE44" s="2167"/>
      <c r="AF44" s="2167"/>
      <c r="AG44" s="2167"/>
      <c r="AH44" s="2167"/>
      <c r="AI44" s="2167"/>
      <c r="AJ44" s="2167"/>
      <c r="AK44" s="2167"/>
      <c r="AX44" s="594"/>
      <c r="AY44" s="594"/>
    </row>
    <row r="45" spans="3:91" s="136" customFormat="1" ht="36" hidden="1" customHeight="1" thickTop="1" thickBot="1">
      <c r="E45" s="267" t="s">
        <v>1990</v>
      </c>
      <c r="F45" s="2525" t="s">
        <v>2756</v>
      </c>
      <c r="G45" s="2167"/>
      <c r="H45" s="2167"/>
      <c r="I45" s="2167"/>
      <c r="J45" s="2167"/>
      <c r="K45" s="2167"/>
      <c r="L45" s="2167"/>
      <c r="M45" s="2167"/>
      <c r="N45" s="2167"/>
      <c r="O45" s="2167"/>
      <c r="P45" s="2167"/>
      <c r="Q45" s="2167"/>
      <c r="R45" s="2167"/>
      <c r="S45" s="2167"/>
      <c r="T45" s="2167"/>
      <c r="U45" s="2167"/>
      <c r="V45" s="2167"/>
      <c r="W45" s="2167"/>
      <c r="X45" s="2167"/>
      <c r="Y45" s="2167"/>
      <c r="Z45" s="2167"/>
      <c r="AA45" s="2167"/>
      <c r="AB45" s="2167"/>
      <c r="AC45" s="2167"/>
      <c r="AD45" s="2167"/>
      <c r="AE45" s="2167"/>
      <c r="AF45" s="2167"/>
      <c r="AG45" s="2167"/>
      <c r="AH45" s="2167"/>
      <c r="AI45" s="2167"/>
      <c r="AJ45" s="2167"/>
      <c r="AK45" s="2167"/>
      <c r="AX45" s="594"/>
      <c r="AY45" s="594"/>
    </row>
    <row r="46" spans="3:91" s="136" customFormat="1" ht="36" hidden="1" customHeight="1" thickTop="1" thickBot="1">
      <c r="E46" s="267" t="s">
        <v>1996</v>
      </c>
      <c r="F46" s="2525" t="s">
        <v>2757</v>
      </c>
      <c r="G46" s="2167"/>
      <c r="H46" s="2167"/>
      <c r="I46" s="2167"/>
      <c r="J46" s="2167"/>
      <c r="K46" s="2167"/>
      <c r="L46" s="2167"/>
      <c r="M46" s="2167"/>
      <c r="N46" s="2167"/>
      <c r="O46" s="2167"/>
      <c r="P46" s="2167"/>
      <c r="Q46" s="2167"/>
      <c r="R46" s="2167"/>
      <c r="S46" s="2167"/>
      <c r="T46" s="2167"/>
      <c r="U46" s="2167"/>
      <c r="V46" s="2167"/>
      <c r="W46" s="2167"/>
      <c r="X46" s="2167"/>
      <c r="Y46" s="2167"/>
      <c r="Z46" s="2167"/>
      <c r="AA46" s="2167"/>
      <c r="AB46" s="2167"/>
      <c r="AC46" s="2167"/>
      <c r="AD46" s="2167"/>
      <c r="AE46" s="2167"/>
      <c r="AF46" s="2167"/>
      <c r="AG46" s="2167"/>
      <c r="AH46" s="2167"/>
      <c r="AI46" s="2167"/>
      <c r="AJ46" s="2167"/>
      <c r="AK46" s="2167"/>
      <c r="AX46" s="594"/>
      <c r="AY46" s="594"/>
    </row>
    <row r="47" spans="3:91" s="136" customFormat="1" ht="64.5" hidden="1" customHeight="1" thickTop="1" thickBot="1">
      <c r="D47" s="267" t="s">
        <v>634</v>
      </c>
      <c r="E47" s="1802" t="s">
        <v>2758</v>
      </c>
      <c r="F47" s="2167"/>
      <c r="G47" s="2167"/>
      <c r="H47" s="2167"/>
      <c r="I47" s="2167"/>
      <c r="J47" s="2167"/>
      <c r="K47" s="2167"/>
      <c r="L47" s="2167"/>
      <c r="M47" s="2167"/>
      <c r="N47" s="2167"/>
      <c r="O47" s="2167"/>
      <c r="P47" s="2167"/>
      <c r="Q47" s="2167"/>
      <c r="R47" s="2167"/>
      <c r="S47" s="2167"/>
      <c r="T47" s="2167"/>
      <c r="U47" s="2167"/>
      <c r="V47" s="2167"/>
      <c r="W47" s="2167"/>
      <c r="X47" s="2167"/>
      <c r="Y47" s="2167"/>
      <c r="Z47" s="2167"/>
      <c r="AA47" s="2167"/>
      <c r="AB47" s="2167"/>
      <c r="AC47" s="2167"/>
      <c r="AD47" s="2167"/>
      <c r="AE47" s="2167"/>
      <c r="AF47" s="2167"/>
      <c r="AG47" s="2167"/>
      <c r="AH47" s="2167"/>
      <c r="AI47" s="2167"/>
      <c r="AJ47" s="2167"/>
      <c r="AK47" s="2167"/>
      <c r="AL47" s="1911"/>
      <c r="AM47" s="1862"/>
      <c r="AX47" s="594"/>
      <c r="AY47" s="594"/>
    </row>
    <row r="48" spans="3:91" s="136" customFormat="1" ht="36" hidden="1" customHeight="1" thickTop="1" thickBot="1">
      <c r="D48" s="267"/>
      <c r="E48" s="267" t="s">
        <v>1989</v>
      </c>
      <c r="F48" s="1802" t="s">
        <v>2759</v>
      </c>
      <c r="G48" s="2167"/>
      <c r="H48" s="2167"/>
      <c r="I48" s="2167"/>
      <c r="J48" s="2167"/>
      <c r="K48" s="2167"/>
      <c r="L48" s="2167"/>
      <c r="M48" s="2167"/>
      <c r="N48" s="2167"/>
      <c r="O48" s="2167"/>
      <c r="P48" s="2167"/>
      <c r="Q48" s="2167"/>
      <c r="R48" s="2167"/>
      <c r="S48" s="2167"/>
      <c r="T48" s="2167"/>
      <c r="U48" s="2167"/>
      <c r="V48" s="2167"/>
      <c r="W48" s="2167"/>
      <c r="X48" s="2167"/>
      <c r="Y48" s="2167"/>
      <c r="Z48" s="2167"/>
      <c r="AA48" s="2167"/>
      <c r="AB48" s="2167"/>
      <c r="AC48" s="2167"/>
      <c r="AD48" s="2167"/>
      <c r="AE48" s="2167"/>
      <c r="AF48" s="2167"/>
      <c r="AG48" s="2167"/>
      <c r="AH48" s="2167"/>
      <c r="AI48" s="2167"/>
      <c r="AJ48" s="2167"/>
      <c r="AK48" s="2167"/>
      <c r="AX48" s="594"/>
      <c r="AY48" s="594"/>
    </row>
    <row r="49" spans="3:51" s="136" customFormat="1" ht="36.75" hidden="1" customHeight="1" thickTop="1" thickBot="1">
      <c r="D49" s="267"/>
      <c r="E49" s="267" t="s">
        <v>1990</v>
      </c>
      <c r="F49" s="2525" t="s">
        <v>2760</v>
      </c>
      <c r="G49" s="2167"/>
      <c r="H49" s="2167"/>
      <c r="I49" s="2167"/>
      <c r="J49" s="2167"/>
      <c r="K49" s="2167"/>
      <c r="L49" s="2167"/>
      <c r="M49" s="2167"/>
      <c r="N49" s="2167"/>
      <c r="O49" s="2167"/>
      <c r="P49" s="2167"/>
      <c r="Q49" s="2167"/>
      <c r="R49" s="2167"/>
      <c r="S49" s="2167"/>
      <c r="T49" s="2167"/>
      <c r="U49" s="2167"/>
      <c r="V49" s="2167"/>
      <c r="W49" s="2167"/>
      <c r="X49" s="2167"/>
      <c r="Y49" s="2167"/>
      <c r="Z49" s="2167"/>
      <c r="AA49" s="2167"/>
      <c r="AB49" s="2167"/>
      <c r="AC49" s="2167"/>
      <c r="AD49" s="2167"/>
      <c r="AE49" s="2167"/>
      <c r="AF49" s="2167"/>
      <c r="AG49" s="2167"/>
      <c r="AH49" s="2167"/>
      <c r="AI49" s="2167"/>
      <c r="AJ49" s="2167"/>
      <c r="AK49" s="2167"/>
      <c r="AX49" s="594"/>
      <c r="AY49" s="594"/>
    </row>
    <row r="50" spans="3:51" s="136" customFormat="1" ht="36" hidden="1" customHeight="1" thickTop="1" thickBot="1">
      <c r="D50" s="267"/>
      <c r="E50" s="267" t="s">
        <v>1996</v>
      </c>
      <c r="F50" s="2525" t="s">
        <v>2761</v>
      </c>
      <c r="G50" s="2167"/>
      <c r="H50" s="2167"/>
      <c r="I50" s="2167"/>
      <c r="J50" s="2167"/>
      <c r="K50" s="2167"/>
      <c r="L50" s="2167"/>
      <c r="M50" s="2167"/>
      <c r="N50" s="2167"/>
      <c r="O50" s="2167"/>
      <c r="P50" s="2167"/>
      <c r="Q50" s="2167"/>
      <c r="R50" s="2167"/>
      <c r="S50" s="2167"/>
      <c r="T50" s="2167"/>
      <c r="U50" s="2167"/>
      <c r="V50" s="2167"/>
      <c r="W50" s="2167"/>
      <c r="X50" s="2167"/>
      <c r="Y50" s="2167"/>
      <c r="Z50" s="2167"/>
      <c r="AA50" s="2167"/>
      <c r="AB50" s="2167"/>
      <c r="AC50" s="2167"/>
      <c r="AD50" s="2167"/>
      <c r="AE50" s="2167"/>
      <c r="AF50" s="2167"/>
      <c r="AG50" s="2167"/>
      <c r="AH50" s="2167"/>
      <c r="AI50" s="2167"/>
      <c r="AJ50" s="2167"/>
      <c r="AK50" s="2167"/>
      <c r="AX50" s="594"/>
      <c r="AY50" s="594"/>
    </row>
    <row r="51" spans="3:51" s="136" customFormat="1" ht="36" hidden="1" customHeight="1" thickTop="1" thickBot="1">
      <c r="D51" s="267" t="s">
        <v>1820</v>
      </c>
      <c r="E51" s="2525" t="s">
        <v>2762</v>
      </c>
      <c r="F51" s="2167"/>
      <c r="G51" s="2167"/>
      <c r="H51" s="2167"/>
      <c r="I51" s="2167"/>
      <c r="J51" s="2167"/>
      <c r="K51" s="2167"/>
      <c r="L51" s="2167"/>
      <c r="M51" s="2167"/>
      <c r="N51" s="2167"/>
      <c r="O51" s="2167"/>
      <c r="P51" s="2167"/>
      <c r="Q51" s="2167"/>
      <c r="R51" s="2167"/>
      <c r="S51" s="2167"/>
      <c r="T51" s="2167"/>
      <c r="U51" s="2167"/>
      <c r="V51" s="2167"/>
      <c r="W51" s="2167"/>
      <c r="X51" s="2167"/>
      <c r="Y51" s="2167"/>
      <c r="Z51" s="2167"/>
      <c r="AA51" s="2167"/>
      <c r="AB51" s="2167"/>
      <c r="AC51" s="2167"/>
      <c r="AD51" s="2167"/>
      <c r="AE51" s="2167"/>
      <c r="AF51" s="2167"/>
      <c r="AG51" s="2167"/>
      <c r="AH51" s="2167"/>
      <c r="AI51" s="2167"/>
      <c r="AJ51" s="2167"/>
      <c r="AK51" s="2167"/>
      <c r="AL51" s="1911"/>
      <c r="AM51" s="1862"/>
      <c r="AX51" s="594"/>
      <c r="AY51" s="594"/>
    </row>
    <row r="52" spans="3:51" s="136" customFormat="1" ht="54" hidden="1" customHeight="1" thickTop="1" thickBot="1">
      <c r="D52" s="267" t="s">
        <v>1821</v>
      </c>
      <c r="E52" s="2525" t="s">
        <v>2763</v>
      </c>
      <c r="F52" s="2167"/>
      <c r="G52" s="2167"/>
      <c r="H52" s="2167"/>
      <c r="I52" s="2167"/>
      <c r="J52" s="2167"/>
      <c r="K52" s="2167"/>
      <c r="L52" s="2167"/>
      <c r="M52" s="2167"/>
      <c r="N52" s="2167"/>
      <c r="O52" s="2167"/>
      <c r="P52" s="2167"/>
      <c r="Q52" s="2167"/>
      <c r="R52" s="2167"/>
      <c r="S52" s="2167"/>
      <c r="T52" s="2167"/>
      <c r="U52" s="2167"/>
      <c r="V52" s="2167"/>
      <c r="W52" s="2167"/>
      <c r="X52" s="2167"/>
      <c r="Y52" s="2167"/>
      <c r="Z52" s="2167"/>
      <c r="AA52" s="2167"/>
      <c r="AB52" s="2167"/>
      <c r="AC52" s="2167"/>
      <c r="AD52" s="2167"/>
      <c r="AE52" s="2167"/>
      <c r="AF52" s="2167"/>
      <c r="AG52" s="2167"/>
      <c r="AH52" s="2167"/>
      <c r="AI52" s="2167"/>
      <c r="AJ52" s="2167"/>
      <c r="AK52" s="2167"/>
      <c r="AL52" s="1911"/>
      <c r="AM52" s="1862"/>
      <c r="AX52" s="594"/>
      <c r="AY52" s="594"/>
    </row>
    <row r="53" spans="3:51" s="136" customFormat="1" ht="18" hidden="1" customHeight="1" thickTop="1" thickBot="1">
      <c r="D53" s="267" t="s">
        <v>1823</v>
      </c>
      <c r="E53" s="2995" t="s">
        <v>2764</v>
      </c>
      <c r="F53" s="2167"/>
      <c r="G53" s="2167"/>
      <c r="H53" s="2167"/>
      <c r="I53" s="2167"/>
      <c r="J53" s="2167"/>
      <c r="K53" s="2167"/>
      <c r="L53" s="2167"/>
      <c r="M53" s="2167"/>
      <c r="N53" s="2167"/>
      <c r="O53" s="2167"/>
      <c r="P53" s="2167"/>
      <c r="Q53" s="2167"/>
      <c r="R53" s="2167"/>
      <c r="S53" s="2167"/>
      <c r="T53" s="2167"/>
      <c r="U53" s="2167"/>
      <c r="V53" s="2167"/>
      <c r="W53" s="2167"/>
      <c r="X53" s="2167"/>
      <c r="Y53" s="2167"/>
      <c r="Z53" s="2167"/>
      <c r="AA53" s="2167"/>
      <c r="AB53" s="2167"/>
      <c r="AC53" s="2167"/>
      <c r="AD53" s="2167"/>
      <c r="AE53" s="2167"/>
      <c r="AF53" s="2167"/>
      <c r="AG53" s="2167"/>
      <c r="AH53" s="2167"/>
      <c r="AI53" s="2167"/>
      <c r="AJ53" s="2167"/>
      <c r="AK53" s="2167"/>
      <c r="AL53" s="1911"/>
      <c r="AM53" s="1862"/>
      <c r="AX53" s="594"/>
      <c r="AY53" s="594"/>
    </row>
    <row r="54" spans="3:51" s="136" customFormat="1" ht="18" hidden="1" customHeight="1" thickTop="1" thickBot="1">
      <c r="D54" s="267" t="s">
        <v>2765</v>
      </c>
      <c r="E54" s="2995" t="s">
        <v>2766</v>
      </c>
      <c r="F54" s="2167"/>
      <c r="G54" s="2167"/>
      <c r="H54" s="2167"/>
      <c r="I54" s="2167"/>
      <c r="J54" s="2167"/>
      <c r="K54" s="2167"/>
      <c r="L54" s="2167"/>
      <c r="M54" s="2167"/>
      <c r="N54" s="2167"/>
      <c r="O54" s="2167"/>
      <c r="P54" s="2167"/>
      <c r="Q54" s="2167"/>
      <c r="R54" s="2167"/>
      <c r="S54" s="2167"/>
      <c r="T54" s="2167"/>
      <c r="U54" s="2167"/>
      <c r="V54" s="2167"/>
      <c r="W54" s="2167"/>
      <c r="X54" s="2167"/>
      <c r="Y54" s="2167"/>
      <c r="Z54" s="2167"/>
      <c r="AA54" s="2167"/>
      <c r="AB54" s="2167"/>
      <c r="AC54" s="2167"/>
      <c r="AD54" s="2167"/>
      <c r="AE54" s="2167"/>
      <c r="AF54" s="2167"/>
      <c r="AG54" s="2167"/>
      <c r="AH54" s="2167"/>
      <c r="AI54" s="2167"/>
      <c r="AJ54" s="2167"/>
      <c r="AK54" s="2167"/>
      <c r="AL54" s="1911"/>
      <c r="AM54" s="1862"/>
      <c r="AX54" s="594"/>
      <c r="AY54" s="594"/>
    </row>
    <row r="55" spans="3:51" s="136" customFormat="1" ht="18" customHeight="1" thickTop="1" thickBot="1">
      <c r="C55" s="265" t="s">
        <v>629</v>
      </c>
      <c r="D55" s="2180" t="s">
        <v>2767</v>
      </c>
      <c r="E55" s="2167"/>
      <c r="F55" s="2167"/>
      <c r="G55" s="2167"/>
      <c r="H55" s="2167"/>
      <c r="I55" s="2167"/>
      <c r="J55" s="2167"/>
      <c r="K55" s="2167"/>
      <c r="L55" s="2167"/>
      <c r="M55" s="2167"/>
      <c r="N55" s="2167"/>
      <c r="O55" s="2167"/>
      <c r="P55" s="2167"/>
      <c r="Q55" s="2167"/>
      <c r="R55" s="2167"/>
      <c r="S55" s="2167"/>
      <c r="T55" s="2167"/>
      <c r="U55" s="2167"/>
      <c r="V55" s="2167"/>
      <c r="W55" s="2167"/>
      <c r="X55" s="2167"/>
      <c r="Y55" s="2167"/>
      <c r="Z55" s="2167"/>
      <c r="AA55" s="2167"/>
      <c r="AB55" s="2167"/>
      <c r="AC55" s="2167"/>
      <c r="AD55" s="2167"/>
      <c r="AE55" s="2167"/>
      <c r="AF55" s="2167"/>
      <c r="AG55" s="2167"/>
      <c r="AH55" s="2167"/>
      <c r="AI55" s="2167"/>
      <c r="AJ55" s="2167"/>
      <c r="AK55" s="2167"/>
      <c r="AX55" s="594"/>
      <c r="AY55" s="594"/>
    </row>
    <row r="56" spans="3:51" s="136" customFormat="1" ht="36" customHeight="1" thickTop="1" thickBot="1">
      <c r="D56" s="267" t="s">
        <v>613</v>
      </c>
      <c r="E56" s="1802" t="s">
        <v>2768</v>
      </c>
      <c r="F56" s="2167"/>
      <c r="G56" s="2167"/>
      <c r="H56" s="2167"/>
      <c r="I56" s="2167"/>
      <c r="J56" s="2167"/>
      <c r="K56" s="2167"/>
      <c r="L56" s="2167"/>
      <c r="M56" s="2167"/>
      <c r="N56" s="2167"/>
      <c r="O56" s="2167"/>
      <c r="P56" s="2167"/>
      <c r="Q56" s="2167"/>
      <c r="R56" s="2167"/>
      <c r="S56" s="2167"/>
      <c r="T56" s="2167"/>
      <c r="U56" s="2167"/>
      <c r="V56" s="2167"/>
      <c r="W56" s="2167"/>
      <c r="X56" s="2167"/>
      <c r="Y56" s="2167"/>
      <c r="Z56" s="2167"/>
      <c r="AA56" s="2167"/>
      <c r="AB56" s="2167"/>
      <c r="AC56" s="2167"/>
      <c r="AD56" s="2167"/>
      <c r="AE56" s="2167"/>
      <c r="AF56" s="2167"/>
      <c r="AG56" s="2167"/>
      <c r="AH56" s="2167"/>
      <c r="AI56" s="2167"/>
      <c r="AJ56" s="2167"/>
      <c r="AK56" s="2167"/>
      <c r="AL56" s="1911"/>
      <c r="AM56" s="1862"/>
      <c r="AX56" s="594"/>
      <c r="AY56" s="594"/>
    </row>
    <row r="57" spans="3:51" s="136" customFormat="1" ht="79.5" customHeight="1" thickTop="1" thickBot="1">
      <c r="D57" s="267" t="s">
        <v>615</v>
      </c>
      <c r="E57" s="1802" t="s">
        <v>2769</v>
      </c>
      <c r="F57" s="2167"/>
      <c r="G57" s="2167"/>
      <c r="H57" s="2167"/>
      <c r="I57" s="2167"/>
      <c r="J57" s="2167"/>
      <c r="K57" s="2167"/>
      <c r="L57" s="2167"/>
      <c r="M57" s="2167"/>
      <c r="N57" s="2167"/>
      <c r="O57" s="2167"/>
      <c r="P57" s="2167"/>
      <c r="Q57" s="2167"/>
      <c r="R57" s="2167"/>
      <c r="S57" s="2167"/>
      <c r="T57" s="2167"/>
      <c r="U57" s="2167"/>
      <c r="V57" s="2167"/>
      <c r="W57" s="2167"/>
      <c r="X57" s="2167"/>
      <c r="Y57" s="2167"/>
      <c r="Z57" s="2167"/>
      <c r="AA57" s="2167"/>
      <c r="AB57" s="2167"/>
      <c r="AC57" s="2167"/>
      <c r="AD57" s="2167"/>
      <c r="AE57" s="2167"/>
      <c r="AF57" s="2167"/>
      <c r="AG57" s="2167"/>
      <c r="AH57" s="2167"/>
      <c r="AI57" s="2167"/>
      <c r="AJ57" s="2167"/>
      <c r="AK57" s="2167"/>
      <c r="AL57" s="1911"/>
      <c r="AM57" s="1862"/>
      <c r="AX57" s="594"/>
      <c r="AY57" s="594"/>
    </row>
    <row r="58" spans="3:51" s="136" customFormat="1" ht="18" customHeight="1" thickTop="1" thickBot="1">
      <c r="C58" s="265" t="s">
        <v>1974</v>
      </c>
      <c r="D58" s="2180" t="s">
        <v>2013</v>
      </c>
      <c r="E58" s="2167"/>
      <c r="F58" s="2167"/>
      <c r="G58" s="2167"/>
      <c r="H58" s="2167"/>
      <c r="I58" s="2167"/>
      <c r="J58" s="2167"/>
      <c r="K58" s="2167"/>
      <c r="L58" s="2167"/>
      <c r="M58" s="2167"/>
      <c r="N58" s="2167"/>
      <c r="O58" s="2167"/>
      <c r="P58" s="2167"/>
      <c r="Q58" s="2167"/>
      <c r="R58" s="2167"/>
      <c r="S58" s="2167"/>
      <c r="T58" s="2167"/>
      <c r="U58" s="2167"/>
      <c r="V58" s="2167"/>
      <c r="W58" s="2167"/>
      <c r="X58" s="2167"/>
      <c r="Y58" s="2167"/>
      <c r="Z58" s="2167"/>
      <c r="AA58" s="2167"/>
      <c r="AB58" s="2167"/>
      <c r="AC58" s="2167"/>
      <c r="AD58" s="2167"/>
      <c r="AE58" s="2167"/>
      <c r="AF58" s="2167"/>
      <c r="AG58" s="2167"/>
      <c r="AH58" s="2167"/>
      <c r="AI58" s="2167"/>
      <c r="AJ58" s="2167"/>
      <c r="AK58" s="2167"/>
      <c r="AX58" s="594"/>
      <c r="AY58" s="594"/>
    </row>
    <row r="59" spans="3:51" s="136" customFormat="1" ht="18" customHeight="1" thickTop="1" thickBot="1">
      <c r="D59" s="267" t="s">
        <v>613</v>
      </c>
      <c r="E59" s="2180" t="s">
        <v>2770</v>
      </c>
      <c r="F59" s="2167"/>
      <c r="G59" s="2167"/>
      <c r="H59" s="2167"/>
      <c r="I59" s="2167"/>
      <c r="J59" s="2167"/>
      <c r="K59" s="2167"/>
      <c r="L59" s="2167"/>
      <c r="M59" s="2167"/>
      <c r="N59" s="2167"/>
      <c r="O59" s="2167"/>
      <c r="P59" s="2167"/>
      <c r="Q59" s="2167"/>
      <c r="R59" s="2167"/>
      <c r="S59" s="2167"/>
      <c r="T59" s="2167"/>
      <c r="U59" s="2167"/>
      <c r="V59" s="2167"/>
      <c r="W59" s="2167"/>
      <c r="X59" s="2167"/>
      <c r="Y59" s="2167"/>
      <c r="Z59" s="2167"/>
      <c r="AA59" s="2167"/>
      <c r="AB59" s="2167"/>
      <c r="AC59" s="2167"/>
      <c r="AD59" s="2167"/>
      <c r="AE59" s="2167"/>
      <c r="AF59" s="2167"/>
      <c r="AG59" s="2167"/>
      <c r="AH59" s="2167"/>
      <c r="AI59" s="2167"/>
      <c r="AJ59" s="2167"/>
      <c r="AK59" s="2167"/>
      <c r="AL59" s="1911"/>
      <c r="AM59" s="1862"/>
      <c r="AX59" s="594"/>
      <c r="AY59" s="594"/>
    </row>
    <row r="60" spans="3:51" s="136" customFormat="1" ht="18" hidden="1" customHeight="1" thickTop="1" thickBot="1">
      <c r="C60" s="267" t="s">
        <v>1977</v>
      </c>
      <c r="D60" s="1802" t="s">
        <v>2771</v>
      </c>
      <c r="E60" s="2167"/>
      <c r="F60" s="2167"/>
      <c r="G60" s="2167"/>
      <c r="H60" s="2167"/>
      <c r="I60" s="2167"/>
      <c r="J60" s="2167"/>
      <c r="K60" s="2167"/>
      <c r="L60" s="2167"/>
      <c r="M60" s="2167"/>
      <c r="N60" s="2167"/>
      <c r="O60" s="2167"/>
      <c r="P60" s="2167"/>
      <c r="Q60" s="2167"/>
      <c r="R60" s="2167"/>
      <c r="S60" s="2167"/>
      <c r="T60" s="2167"/>
      <c r="U60" s="2167"/>
      <c r="V60" s="2167"/>
      <c r="W60" s="2167"/>
      <c r="X60" s="2167"/>
      <c r="Y60" s="2167"/>
      <c r="Z60" s="2167"/>
      <c r="AA60" s="2167"/>
      <c r="AB60" s="2167"/>
      <c r="AC60" s="2167"/>
      <c r="AD60" s="2167"/>
      <c r="AE60" s="2167"/>
      <c r="AF60" s="2167"/>
      <c r="AG60" s="2167"/>
      <c r="AH60" s="2167"/>
      <c r="AI60" s="2167"/>
      <c r="AJ60" s="2167"/>
      <c r="AK60" s="2167"/>
      <c r="AX60" s="594"/>
      <c r="AY60" s="594"/>
    </row>
    <row r="61" spans="3:51" s="136" customFormat="1" ht="18" hidden="1" customHeight="1" thickTop="1" thickBot="1">
      <c r="D61" s="267" t="s">
        <v>613</v>
      </c>
      <c r="E61" s="2997" t="str">
        <f>IF(AND(IsMhp,vmTribalEntity="Yes",OR(vmIndianCountry="Indian Country",vmIndianCountry="Fee Land")),"P","O")</f>
        <v>O</v>
      </c>
      <c r="F61" s="2167"/>
      <c r="AX61" s="594"/>
      <c r="AY61" s="594"/>
    </row>
    <row r="62" spans="3:51" s="136" customFormat="1" ht="18" hidden="1" customHeight="1" thickTop="1" thickBot="1">
      <c r="D62" s="267" t="s">
        <v>615</v>
      </c>
      <c r="E62" s="2997" t="str">
        <f>IF(AND(IsMhp,vmTribalEntity,'Project Overview'!$AL$91="Yes"),"P","O")</f>
        <v>O</v>
      </c>
      <c r="F62" s="2167"/>
      <c r="H62" s="382"/>
      <c r="I62" s="382"/>
      <c r="J62" s="382"/>
      <c r="K62" s="382"/>
      <c r="L62" s="382"/>
      <c r="M62" s="382"/>
      <c r="N62" s="382"/>
      <c r="O62" s="382"/>
      <c r="P62" s="382"/>
      <c r="Q62" s="382"/>
      <c r="R62" s="382"/>
      <c r="S62" s="382"/>
      <c r="T62" s="382"/>
      <c r="U62" s="382"/>
      <c r="V62" s="382"/>
      <c r="W62" s="382"/>
      <c r="X62" s="382"/>
      <c r="Y62" s="382"/>
      <c r="Z62" s="382"/>
      <c r="AA62" s="382"/>
      <c r="AB62" s="382"/>
      <c r="AC62" s="382"/>
      <c r="AD62" s="382"/>
      <c r="AE62" s="382"/>
      <c r="AF62" s="382"/>
      <c r="AG62" s="382"/>
      <c r="AH62" s="382"/>
      <c r="AI62" s="382"/>
      <c r="AL62" s="382"/>
      <c r="AM62" s="382"/>
      <c r="AX62" s="594"/>
      <c r="AY62" s="594"/>
    </row>
    <row r="63" spans="3:51" s="136" customFormat="1" ht="18" customHeight="1" thickTop="1" thickBot="1">
      <c r="C63" s="265" t="s">
        <v>648</v>
      </c>
      <c r="D63" s="2180" t="s">
        <v>2019</v>
      </c>
      <c r="E63" s="2167"/>
      <c r="F63" s="2167"/>
      <c r="G63" s="2167"/>
      <c r="H63" s="2167"/>
      <c r="I63" s="2167"/>
      <c r="J63" s="2167"/>
      <c r="K63" s="2167"/>
      <c r="L63" s="2167"/>
      <c r="M63" s="2167"/>
      <c r="N63" s="2167"/>
      <c r="O63" s="2167"/>
      <c r="P63" s="2167"/>
      <c r="Q63" s="2167"/>
      <c r="R63" s="2167"/>
      <c r="S63" s="2167"/>
      <c r="T63" s="2167"/>
      <c r="U63" s="2167"/>
      <c r="V63" s="2167"/>
      <c r="W63" s="2167"/>
      <c r="X63" s="2167"/>
      <c r="Y63" s="2167"/>
      <c r="Z63" s="2167"/>
      <c r="AA63" s="2167"/>
      <c r="AB63" s="2167"/>
      <c r="AC63" s="2167"/>
      <c r="AD63" s="2167"/>
      <c r="AE63" s="2167"/>
      <c r="AF63" s="2167"/>
      <c r="AG63" s="2167"/>
      <c r="AH63" s="2167"/>
      <c r="AI63" s="2167"/>
      <c r="AJ63" s="2167"/>
      <c r="AK63" s="2167"/>
      <c r="AX63" s="594"/>
      <c r="AY63" s="594"/>
    </row>
    <row r="64" spans="3:51" s="136" customFormat="1" ht="18" customHeight="1" thickTop="1" thickBot="1">
      <c r="D64" s="267" t="s">
        <v>613</v>
      </c>
      <c r="E64" s="2180" t="s">
        <v>2020</v>
      </c>
      <c r="F64" s="2167"/>
      <c r="G64" s="2167"/>
      <c r="H64" s="2167"/>
      <c r="I64" s="2167"/>
      <c r="J64" s="2167"/>
      <c r="K64" s="2167"/>
      <c r="L64" s="2167"/>
      <c r="M64" s="2167"/>
      <c r="N64" s="2167"/>
      <c r="O64" s="2167"/>
      <c r="P64" s="2167"/>
      <c r="Q64" s="2167"/>
      <c r="R64" s="2167"/>
      <c r="S64" s="2167"/>
      <c r="T64" s="2167"/>
      <c r="U64" s="2167"/>
      <c r="V64" s="2167"/>
      <c r="W64" s="2167"/>
      <c r="X64" s="2167"/>
      <c r="Y64" s="2167"/>
      <c r="Z64" s="2167"/>
      <c r="AA64" s="2167"/>
      <c r="AB64" s="2167"/>
      <c r="AC64" s="2167"/>
      <c r="AD64" s="2167"/>
      <c r="AE64" s="2167"/>
      <c r="AF64" s="2167"/>
      <c r="AG64" s="2167"/>
      <c r="AH64" s="2167"/>
      <c r="AI64" s="2167"/>
      <c r="AJ64" s="2167"/>
      <c r="AK64" s="2167"/>
      <c r="AX64" s="594"/>
      <c r="AY64" s="594"/>
    </row>
    <row r="65" spans="2:66" s="136" customFormat="1" ht="54" customHeight="1" thickTop="1" thickBot="1">
      <c r="D65" s="476"/>
      <c r="E65" s="267" t="s">
        <v>1989</v>
      </c>
      <c r="F65" s="1802" t="s">
        <v>2772</v>
      </c>
      <c r="G65" s="2167"/>
      <c r="H65" s="2167"/>
      <c r="I65" s="2167"/>
      <c r="J65" s="2167"/>
      <c r="K65" s="2167"/>
      <c r="L65" s="2167"/>
      <c r="M65" s="2167"/>
      <c r="N65" s="2167"/>
      <c r="O65" s="2167"/>
      <c r="P65" s="2167"/>
      <c r="Q65" s="2167"/>
      <c r="R65" s="2167"/>
      <c r="S65" s="2167"/>
      <c r="T65" s="2167"/>
      <c r="U65" s="2167"/>
      <c r="V65" s="2167"/>
      <c r="W65" s="2167"/>
      <c r="X65" s="2167"/>
      <c r="Y65" s="2167"/>
      <c r="Z65" s="2167"/>
      <c r="AA65" s="2167"/>
      <c r="AB65" s="2167"/>
      <c r="AC65" s="2167"/>
      <c r="AD65" s="2167"/>
      <c r="AE65" s="2167"/>
      <c r="AF65" s="2167"/>
      <c r="AG65" s="2167"/>
      <c r="AH65" s="2167"/>
      <c r="AI65" s="2167"/>
      <c r="AJ65" s="2167"/>
      <c r="AK65" s="2167"/>
      <c r="AL65" s="1911"/>
      <c r="AM65" s="1862"/>
      <c r="AX65" s="594"/>
      <c r="AY65" s="594"/>
    </row>
    <row r="66" spans="2:66" s="136" customFormat="1" ht="18" customHeight="1" thickTop="1">
      <c r="F66" s="2015" t="s">
        <v>2773</v>
      </c>
      <c r="G66" s="2167"/>
      <c r="H66" s="2167"/>
      <c r="I66" s="2167"/>
      <c r="J66" s="2167"/>
      <c r="K66" s="2167"/>
      <c r="L66" s="2167"/>
      <c r="M66" s="2167"/>
      <c r="N66" s="2167"/>
      <c r="O66" s="2167"/>
      <c r="P66" s="2167"/>
      <c r="Q66" s="2167"/>
      <c r="R66" s="2167"/>
      <c r="S66" s="2167"/>
      <c r="T66" s="2167"/>
      <c r="U66" s="2167"/>
      <c r="V66" s="2167"/>
    </row>
    <row r="67" spans="2:66" s="136" customFormat="1" ht="18" customHeight="1" thickBot="1">
      <c r="E67" s="267" t="s">
        <v>1990</v>
      </c>
      <c r="F67" s="2525" t="s">
        <v>2774</v>
      </c>
      <c r="G67" s="2167"/>
      <c r="H67" s="2167"/>
      <c r="I67" s="2167"/>
      <c r="J67" s="2167"/>
      <c r="K67" s="2167"/>
      <c r="L67" s="2167"/>
      <c r="M67" s="2167"/>
      <c r="N67" s="2167"/>
      <c r="O67" s="2167"/>
      <c r="P67" s="2167"/>
      <c r="Q67" s="2167"/>
      <c r="R67" s="2167"/>
      <c r="S67" s="2167"/>
      <c r="T67" s="2167"/>
      <c r="U67" s="2167"/>
      <c r="V67" s="2167"/>
      <c r="W67" s="2167"/>
      <c r="X67" s="2167"/>
      <c r="Y67" s="2167"/>
      <c r="Z67" s="2167"/>
      <c r="AA67" s="2167"/>
      <c r="AB67" s="2167"/>
      <c r="AC67" s="2167"/>
      <c r="AD67" s="2167"/>
      <c r="AE67" s="2167"/>
      <c r="AF67" s="2167"/>
      <c r="AG67" s="2167"/>
      <c r="AH67" s="2167"/>
      <c r="AI67" s="2167"/>
      <c r="AJ67" s="2167"/>
      <c r="AK67" s="2167"/>
    </row>
    <row r="68" spans="2:66" s="136" customFormat="1" ht="18" customHeight="1" thickTop="1" thickBot="1">
      <c r="D68" s="267" t="s">
        <v>615</v>
      </c>
      <c r="E68" s="2180" t="s">
        <v>2775</v>
      </c>
      <c r="F68" s="2167"/>
      <c r="G68" s="2167"/>
      <c r="H68" s="2167"/>
      <c r="I68" s="2167"/>
      <c r="J68" s="2167"/>
      <c r="K68" s="2167"/>
      <c r="L68" s="2167"/>
      <c r="M68" s="2167"/>
      <c r="N68" s="2167"/>
      <c r="O68" s="2167"/>
      <c r="P68" s="2167"/>
      <c r="Q68" s="2167"/>
      <c r="R68" s="2167"/>
      <c r="S68" s="2167"/>
      <c r="T68" s="2167"/>
      <c r="U68" s="2167"/>
      <c r="V68" s="2167"/>
      <c r="W68" s="2167"/>
      <c r="X68" s="2167"/>
      <c r="Y68" s="2167"/>
      <c r="Z68" s="2167"/>
      <c r="AA68" s="2167"/>
      <c r="AB68" s="2167"/>
      <c r="AC68" s="2167"/>
      <c r="AD68" s="2167"/>
      <c r="AE68" s="2167"/>
      <c r="AF68" s="2167"/>
      <c r="AG68" s="2167"/>
      <c r="AH68" s="2167"/>
      <c r="AI68" s="2167"/>
      <c r="AJ68" s="2167"/>
      <c r="AK68" s="2167"/>
      <c r="AL68" s="1911"/>
      <c r="AM68" s="1862"/>
      <c r="AX68" s="594"/>
      <c r="AY68" s="594"/>
    </row>
    <row r="69" spans="2:66" s="136" customFormat="1" ht="36" customHeight="1" thickTop="1" thickBot="1">
      <c r="D69" s="267" t="s">
        <v>617</v>
      </c>
      <c r="E69" s="1802" t="s">
        <v>2776</v>
      </c>
      <c r="F69" s="2167"/>
      <c r="G69" s="2167"/>
      <c r="H69" s="2167"/>
      <c r="I69" s="2167"/>
      <c r="J69" s="2167"/>
      <c r="K69" s="2167"/>
      <c r="L69" s="2167"/>
      <c r="M69" s="2167"/>
      <c r="N69" s="2167"/>
      <c r="O69" s="2167"/>
      <c r="P69" s="2167"/>
      <c r="Q69" s="2167"/>
      <c r="R69" s="2167"/>
      <c r="S69" s="2167"/>
      <c r="T69" s="2167"/>
      <c r="U69" s="2167"/>
      <c r="V69" s="2167"/>
      <c r="W69" s="2167"/>
      <c r="X69" s="2167"/>
      <c r="Y69" s="2167"/>
      <c r="Z69" s="2167"/>
      <c r="AA69" s="2167"/>
      <c r="AB69" s="2167"/>
      <c r="AC69" s="2167"/>
      <c r="AD69" s="2167"/>
      <c r="AE69" s="2167"/>
      <c r="AF69" s="2167"/>
      <c r="AG69" s="2167"/>
      <c r="AH69" s="2167"/>
      <c r="AI69" s="2167"/>
      <c r="AJ69" s="2167"/>
      <c r="AK69" s="2167"/>
      <c r="AL69" s="1911"/>
      <c r="AM69" s="1862"/>
      <c r="AX69" s="594"/>
      <c r="AY69" s="594"/>
    </row>
    <row r="70" spans="2:66" s="136" customFormat="1" ht="36" customHeight="1" thickTop="1" thickBot="1">
      <c r="C70" s="265" t="s">
        <v>1980</v>
      </c>
      <c r="D70" s="3200" t="s">
        <v>2777</v>
      </c>
      <c r="E70" s="2167"/>
      <c r="F70" s="2167"/>
      <c r="G70" s="2167"/>
      <c r="H70" s="2167"/>
      <c r="I70" s="2167"/>
      <c r="J70" s="2167"/>
      <c r="K70" s="2167"/>
      <c r="L70" s="2167"/>
      <c r="M70" s="2167"/>
      <c r="N70" s="2167"/>
      <c r="O70" s="2167"/>
      <c r="P70" s="2167"/>
      <c r="Q70" s="2167"/>
      <c r="R70" s="2167"/>
      <c r="S70" s="2167"/>
      <c r="T70" s="2167"/>
      <c r="U70" s="2167"/>
      <c r="V70" s="2167"/>
      <c r="W70" s="2167"/>
      <c r="X70" s="2167"/>
      <c r="Y70" s="2167"/>
      <c r="Z70" s="2167"/>
      <c r="AA70" s="2167"/>
      <c r="AB70" s="2167"/>
      <c r="AC70" s="2167"/>
      <c r="AD70" s="2167"/>
      <c r="AE70" s="2167"/>
      <c r="AF70" s="2167"/>
      <c r="AG70" s="2167"/>
      <c r="AH70" s="2167"/>
      <c r="AI70" s="2167"/>
      <c r="AJ70" s="2167"/>
      <c r="AK70" s="1889"/>
      <c r="AL70" s="1911"/>
      <c r="AM70" s="1862"/>
      <c r="AO70" s="58"/>
      <c r="AP70" s="1701"/>
    </row>
    <row r="71" spans="2:66" s="136" customFormat="1" ht="18" customHeight="1" thickTop="1" thickBot="1">
      <c r="C71" s="265" t="s">
        <v>1985</v>
      </c>
      <c r="D71" s="2993" t="str">
        <f>IF(AND(IsMhp,'Project Overview'!$AL$156="Yes"),"P","O")</f>
        <v>O</v>
      </c>
      <c r="E71" s="2167"/>
      <c r="F71" s="382"/>
      <c r="G71" s="382"/>
      <c r="H71" s="382"/>
      <c r="I71" s="382"/>
      <c r="J71" s="382"/>
      <c r="K71" s="382"/>
      <c r="L71" s="382"/>
      <c r="M71" s="382"/>
      <c r="N71" s="382"/>
      <c r="O71" s="382"/>
      <c r="P71" s="382"/>
      <c r="Q71" s="382"/>
      <c r="R71" s="382"/>
      <c r="S71" s="382"/>
      <c r="T71" s="382"/>
      <c r="U71" s="382"/>
      <c r="V71" s="382"/>
      <c r="W71" s="382"/>
      <c r="X71" s="382"/>
      <c r="Y71" s="382"/>
      <c r="Z71" s="382"/>
      <c r="AA71" s="382"/>
      <c r="AB71" s="382"/>
      <c r="AC71" s="382"/>
      <c r="AD71" s="382"/>
      <c r="AE71" s="382"/>
      <c r="AF71" s="382"/>
      <c r="AG71" s="382"/>
      <c r="AH71" s="382"/>
      <c r="AI71" s="382"/>
      <c r="AJ71" s="382"/>
      <c r="AK71" s="382"/>
      <c r="AX71" s="594"/>
      <c r="AY71" s="594"/>
    </row>
    <row r="72" spans="2:66" s="136" customFormat="1" ht="18" customHeight="1" thickTop="1" thickBot="1">
      <c r="B72" s="2180" t="s">
        <v>1954</v>
      </c>
      <c r="C72" s="2167"/>
      <c r="D72" s="2167"/>
      <c r="E72" s="2167"/>
      <c r="F72" s="2167"/>
      <c r="G72" s="2167"/>
      <c r="H72" s="476"/>
      <c r="I72" s="476"/>
      <c r="J72" s="476"/>
      <c r="K72" s="476"/>
      <c r="L72" s="476"/>
      <c r="M72" s="476"/>
      <c r="N72" s="476"/>
      <c r="O72" s="476"/>
      <c r="P72" s="476"/>
      <c r="Q72" s="476"/>
      <c r="R72" s="476"/>
      <c r="S72" s="476"/>
      <c r="T72" s="476"/>
      <c r="U72" s="476"/>
      <c r="V72" s="476"/>
      <c r="W72" s="476"/>
      <c r="X72" s="476"/>
      <c r="Y72" s="476"/>
      <c r="Z72" s="476"/>
      <c r="AA72" s="476"/>
      <c r="AB72" s="476"/>
      <c r="AC72" s="476"/>
      <c r="AD72" s="476"/>
      <c r="AE72" s="476"/>
      <c r="AF72" s="476"/>
      <c r="AG72" s="476"/>
      <c r="AH72" s="476"/>
      <c r="AI72" s="476"/>
      <c r="AJ72" s="476"/>
      <c r="AK72" s="476"/>
      <c r="AL72" s="476"/>
      <c r="AM72" s="476"/>
      <c r="AX72" s="594"/>
      <c r="AY72" s="594"/>
    </row>
    <row r="73" spans="2:66" s="136" customFormat="1" ht="81" customHeight="1" thickTop="1" thickBot="1">
      <c r="B73" s="2003"/>
      <c r="C73" s="1861"/>
      <c r="D73" s="1861"/>
      <c r="E73" s="1861"/>
      <c r="F73" s="1861"/>
      <c r="G73" s="1861"/>
      <c r="H73" s="1861"/>
      <c r="I73" s="1861"/>
      <c r="J73" s="1861"/>
      <c r="K73" s="1861"/>
      <c r="L73" s="1861"/>
      <c r="M73" s="1861"/>
      <c r="N73" s="1861"/>
      <c r="O73" s="1861"/>
      <c r="P73" s="1861"/>
      <c r="Q73" s="1861"/>
      <c r="R73" s="1861"/>
      <c r="S73" s="1861"/>
      <c r="T73" s="1861"/>
      <c r="U73" s="1861"/>
      <c r="V73" s="1861"/>
      <c r="W73" s="1861"/>
      <c r="X73" s="1861"/>
      <c r="Y73" s="1861"/>
      <c r="Z73" s="1861"/>
      <c r="AA73" s="1861"/>
      <c r="AB73" s="1861"/>
      <c r="AC73" s="1861"/>
      <c r="AD73" s="1861"/>
      <c r="AE73" s="1861"/>
      <c r="AF73" s="1861"/>
      <c r="AG73" s="1861"/>
      <c r="AH73" s="1861"/>
      <c r="AI73" s="1861"/>
      <c r="AJ73" s="1861"/>
      <c r="AK73" s="1861"/>
      <c r="AL73" s="1861"/>
      <c r="AM73" s="1862"/>
      <c r="AX73" s="594"/>
      <c r="AY73" s="594"/>
    </row>
    <row r="74" spans="2:66" s="58" customFormat="1" ht="18" customHeight="1" thickTop="1" thickBot="1">
      <c r="AX74" s="593"/>
      <c r="AY74" s="593"/>
    </row>
    <row r="75" spans="2:66" ht="18" customHeight="1" thickTop="1" thickBot="1">
      <c r="B75" s="244" t="s">
        <v>611</v>
      </c>
      <c r="C75" s="1802" t="s">
        <v>2778</v>
      </c>
      <c r="D75" s="2180"/>
      <c r="E75" s="2180"/>
      <c r="F75" s="2180"/>
      <c r="G75" s="2180"/>
      <c r="H75" s="2180"/>
      <c r="I75" s="2180"/>
      <c r="J75" s="2180"/>
      <c r="K75" s="2180"/>
      <c r="L75" s="2180"/>
      <c r="M75" s="2180"/>
      <c r="N75" s="2180"/>
      <c r="O75" s="2180"/>
      <c r="P75" s="2180"/>
      <c r="Q75" s="2180"/>
      <c r="R75" s="2180"/>
      <c r="S75" s="2180"/>
      <c r="T75" s="2180"/>
      <c r="U75" s="2180"/>
      <c r="V75" s="2180"/>
      <c r="W75" s="2180"/>
      <c r="X75" s="2180"/>
      <c r="Y75" s="2180"/>
      <c r="Z75" s="2180"/>
      <c r="AA75" s="2180"/>
      <c r="AB75" s="2180"/>
      <c r="AC75" s="2180"/>
      <c r="AD75" s="2180"/>
      <c r="AE75" s="2180"/>
      <c r="AF75" s="2180"/>
      <c r="AG75" s="2180"/>
      <c r="AH75" s="2180"/>
      <c r="AI75" s="2180"/>
      <c r="AJ75" s="2180"/>
      <c r="AK75" s="2180"/>
      <c r="AL75" s="1911"/>
      <c r="AM75" s="1862"/>
      <c r="AX75" s="592"/>
      <c r="AY75" s="592"/>
    </row>
    <row r="76" spans="2:66" ht="18" customHeight="1" thickTop="1" thickBot="1">
      <c r="B76" s="244"/>
      <c r="C76" s="3207" t="s">
        <v>2779</v>
      </c>
      <c r="D76" s="2180"/>
      <c r="E76" s="2180"/>
      <c r="F76" s="2180"/>
      <c r="G76" s="2180"/>
      <c r="H76" s="2180"/>
      <c r="I76" s="2180"/>
      <c r="J76" s="2180"/>
      <c r="K76" s="2180"/>
      <c r="L76" s="2180"/>
      <c r="M76" s="2180"/>
      <c r="N76" s="2180"/>
      <c r="O76" s="2180"/>
      <c r="P76" s="2180"/>
      <c r="Q76" s="2180"/>
      <c r="R76" s="2180"/>
      <c r="S76" s="2180"/>
      <c r="T76" s="2180"/>
      <c r="U76" s="2180"/>
      <c r="V76" s="2180"/>
      <c r="W76" s="2180"/>
      <c r="X76" s="2180"/>
      <c r="Y76" s="2180"/>
      <c r="Z76" s="2180"/>
      <c r="AA76" s="2180"/>
      <c r="AB76" s="2180"/>
      <c r="AC76" s="2180"/>
      <c r="AD76" s="2180"/>
      <c r="AE76" s="2180"/>
      <c r="AF76" s="2180"/>
      <c r="AG76" s="2180"/>
      <c r="AH76" s="2180"/>
      <c r="AI76" s="2180"/>
      <c r="AJ76" s="2180"/>
      <c r="AK76" s="2180"/>
      <c r="AL76" s="478"/>
      <c r="AM76" s="478"/>
      <c r="AX76" s="592"/>
      <c r="AY76" s="592"/>
    </row>
    <row r="77" spans="2:66" ht="18" customHeight="1" thickTop="1" thickBot="1">
      <c r="B77" s="476"/>
      <c r="C77" s="264" t="s">
        <v>608</v>
      </c>
      <c r="D77" s="472" t="str">
        <f>IF(AND(IsMhp,vmSponsorType&gt;0),"P","O")</f>
        <v>O</v>
      </c>
      <c r="E77" s="472"/>
      <c r="F77" s="382"/>
      <c r="G77" s="382"/>
      <c r="H77" s="382"/>
      <c r="I77" s="382"/>
      <c r="J77" s="382"/>
      <c r="K77" s="382"/>
      <c r="L77" s="382"/>
      <c r="M77" s="382"/>
      <c r="N77" s="382"/>
      <c r="O77" s="382"/>
      <c r="P77" s="382"/>
      <c r="Q77" s="382"/>
      <c r="R77" s="382"/>
      <c r="S77" s="382"/>
      <c r="T77" s="382"/>
      <c r="U77" s="382"/>
      <c r="V77" s="382"/>
      <c r="W77" s="382"/>
      <c r="X77" s="382"/>
      <c r="Y77" s="382"/>
      <c r="Z77" s="382"/>
      <c r="AA77" s="382"/>
      <c r="AB77" s="382"/>
      <c r="AC77" s="382"/>
      <c r="AD77" s="382"/>
      <c r="AE77" s="382"/>
      <c r="AF77" s="382"/>
      <c r="AG77" s="382"/>
      <c r="AH77" s="382"/>
      <c r="AI77" s="382"/>
      <c r="AJ77" s="382"/>
      <c r="AK77" s="382"/>
      <c r="AN77" s="58"/>
      <c r="AO77" s="58"/>
      <c r="AP77" s="58"/>
      <c r="AQ77" s="58"/>
      <c r="AR77" s="58"/>
      <c r="AS77" s="58"/>
      <c r="AT77" s="58"/>
      <c r="AU77" s="58"/>
      <c r="AW77" s="58"/>
      <c r="AX77" s="596" t="str">
        <f>IF(D77="P","Pass","Fail")</f>
        <v>Fail</v>
      </c>
      <c r="AY77" s="597"/>
    </row>
    <row r="78" spans="2:66" ht="18" customHeight="1" thickTop="1" thickBot="1">
      <c r="C78" s="264" t="s">
        <v>611</v>
      </c>
      <c r="D78" s="2993" t="str">
        <f>IF(AND(IsMhp,'Project Overview'!$AL$271="Yes"),"P","O")</f>
        <v>O</v>
      </c>
      <c r="E78" s="2180"/>
      <c r="F78" s="58"/>
      <c r="G78" s="58"/>
      <c r="H78" s="58"/>
      <c r="I78" s="58"/>
      <c r="J78" s="58"/>
      <c r="K78" s="58"/>
      <c r="L78" s="58"/>
      <c r="M78" s="58"/>
      <c r="N78" s="58"/>
      <c r="O78" s="58"/>
      <c r="P78" s="58"/>
      <c r="Q78" s="58"/>
      <c r="R78" s="58"/>
      <c r="S78" s="58"/>
      <c r="T78" s="58"/>
      <c r="U78" s="58"/>
      <c r="V78" s="58"/>
      <c r="W78" s="58"/>
      <c r="X78" s="58"/>
      <c r="Y78" s="58"/>
      <c r="Z78" s="58"/>
      <c r="AA78" s="58"/>
      <c r="AB78" s="58"/>
      <c r="AC78" s="58"/>
      <c r="AD78" s="58"/>
      <c r="AE78" s="58"/>
      <c r="AF78" s="58"/>
      <c r="AG78" s="58"/>
      <c r="AH78" s="58"/>
      <c r="AI78" s="58"/>
      <c r="AJ78" s="58"/>
      <c r="AK78" s="58"/>
      <c r="AV78"/>
      <c r="AX78" s="596" t="str">
        <f>IF(D78="P","Pass","Fail")</f>
        <v>Fail</v>
      </c>
      <c r="AY78" s="592"/>
    </row>
    <row r="79" spans="2:66" ht="18" customHeight="1" thickTop="1" thickBot="1">
      <c r="B79" s="476"/>
      <c r="C79" s="264" t="s">
        <v>619</v>
      </c>
      <c r="D79" s="2993" t="str">
        <f>IF(AND(IsMhp,'Project Overview'!$AL$272="Yes"),"P","O")</f>
        <v>O</v>
      </c>
      <c r="E79" s="2180"/>
      <c r="F79" s="58"/>
      <c r="G79" s="58"/>
      <c r="H79" s="58"/>
      <c r="I79" s="58"/>
      <c r="J79" s="58"/>
      <c r="K79" s="58"/>
      <c r="L79" s="58"/>
      <c r="M79" s="58"/>
      <c r="N79" s="58"/>
      <c r="O79" s="58"/>
      <c r="P79" s="58"/>
      <c r="Q79" s="58"/>
      <c r="R79" s="58"/>
      <c r="S79" s="58"/>
      <c r="T79" s="58"/>
      <c r="U79" s="58"/>
      <c r="V79" s="58"/>
      <c r="W79" s="58"/>
      <c r="X79" s="58"/>
      <c r="Y79" s="58"/>
      <c r="Z79" s="58"/>
      <c r="AA79" s="58"/>
      <c r="AB79" s="58"/>
      <c r="AC79" s="58"/>
      <c r="AD79" s="58"/>
      <c r="AE79" s="58"/>
      <c r="AF79" s="58"/>
      <c r="AG79" s="58"/>
      <c r="AH79" s="58"/>
      <c r="AI79" s="58"/>
      <c r="AJ79" s="58"/>
      <c r="AK79" s="58"/>
      <c r="AL79" s="58"/>
      <c r="AM79" s="58"/>
      <c r="AV79"/>
      <c r="AX79" s="596" t="str">
        <f>IF(D79="P","Pass","Fail")</f>
        <v>Fail</v>
      </c>
      <c r="AY79" s="592"/>
    </row>
    <row r="80" spans="2:66" ht="18" customHeight="1" thickTop="1" thickBot="1">
      <c r="C80" s="264" t="s">
        <v>623</v>
      </c>
      <c r="D80" s="2993" t="str">
        <f>IF(AND(IsMhp,OR('Project Overview'!$AL$258="Yes",'Project Overview'!$AL$259="Yes",'Project Overview'!$AL$261="Yes")),"P","O")</f>
        <v>O</v>
      </c>
      <c r="E80" s="2180"/>
      <c r="F80" s="382"/>
      <c r="G80" s="382"/>
      <c r="H80" s="382"/>
      <c r="I80" s="382"/>
      <c r="J80" s="382"/>
      <c r="K80" s="382"/>
      <c r="L80" s="382"/>
      <c r="M80" s="382"/>
      <c r="N80" s="382"/>
      <c r="O80" s="382"/>
      <c r="P80" s="382"/>
      <c r="Q80" s="382"/>
      <c r="R80" s="382"/>
      <c r="S80" s="382"/>
      <c r="T80" s="382"/>
      <c r="U80" s="382"/>
      <c r="V80" s="382"/>
      <c r="W80" s="382"/>
      <c r="X80" s="382"/>
      <c r="Y80" s="382"/>
      <c r="Z80" s="382"/>
      <c r="AA80" s="382"/>
      <c r="AB80" s="382"/>
      <c r="AC80" s="382"/>
      <c r="AD80" s="382"/>
      <c r="AE80" s="382"/>
      <c r="AF80" s="382"/>
      <c r="AG80" s="382"/>
      <c r="AH80" s="382"/>
      <c r="AI80" s="382"/>
      <c r="AJ80" s="382"/>
      <c r="AK80" s="382"/>
      <c r="AX80" s="596" t="s">
        <v>2780</v>
      </c>
      <c r="AY80" s="592"/>
      <c r="BA80" s="1640"/>
      <c r="BB80" s="1400">
        <f>vmCBD</f>
        <v>0</v>
      </c>
      <c r="BC80" s="1401" t="s">
        <v>55</v>
      </c>
      <c r="BE80" s="1640"/>
      <c r="BF80" s="1400">
        <f>vmED</f>
        <v>0</v>
      </c>
      <c r="BG80" s="1401"/>
      <c r="BL80" s="1402"/>
      <c r="BM80" s="1403" t="str">
        <f>IF(vmQualifyingExp="Sponsor affiliated entity","Yes, Sponsor affiliated entity",IF( vmQualifyingExp="Sponsor principal","Yes, Sponsor principal","No"))</f>
        <v>No</v>
      </c>
      <c r="BN80" s="1401"/>
    </row>
    <row r="81" spans="1:54" s="58" customFormat="1" ht="18" customHeight="1" thickTop="1">
      <c r="D81" s="2996" t="s">
        <v>2781</v>
      </c>
      <c r="E81" s="1945"/>
      <c r="F81" s="1945"/>
      <c r="G81" s="1945"/>
      <c r="H81" s="1945"/>
      <c r="I81" s="1945"/>
      <c r="J81" s="1945"/>
      <c r="K81" s="1945"/>
      <c r="L81" s="1945"/>
      <c r="M81" s="1945"/>
      <c r="N81" s="1945"/>
      <c r="O81" s="1945"/>
      <c r="P81" s="1945"/>
      <c r="Q81" s="1945"/>
      <c r="R81" s="1945"/>
      <c r="S81" s="1889"/>
      <c r="T81" s="1873"/>
      <c r="U81" s="1862"/>
      <c r="W81" s="2184" t="s">
        <v>2782</v>
      </c>
      <c r="X81" s="1945"/>
      <c r="Y81" s="1945"/>
      <c r="Z81" s="1889"/>
      <c r="AA81" s="2764"/>
      <c r="AB81" s="1861"/>
      <c r="AC81" s="1861"/>
      <c r="AD81" s="1861"/>
      <c r="AE81" s="1861"/>
      <c r="AF81" s="1861"/>
      <c r="AG81" s="1861"/>
      <c r="AH81" s="1861"/>
      <c r="AI81" s="1862"/>
      <c r="AJ81" s="15"/>
      <c r="AK81" s="15"/>
      <c r="AL81" s="3204" t="b">
        <f>IFERROR(IF(TotalUnits/T81&gt;200%,TRUE,FALSE),FALSE)</f>
        <v>0</v>
      </c>
      <c r="AM81" s="1778"/>
      <c r="AN81" s="136"/>
    </row>
    <row r="82" spans="1:54" s="58" customFormat="1" ht="36" hidden="1" customHeight="1" thickTop="1" thickBot="1">
      <c r="D82" s="1802" t="s">
        <v>2783</v>
      </c>
      <c r="E82" s="1945"/>
      <c r="F82" s="1945"/>
      <c r="G82" s="1945"/>
      <c r="H82" s="1945"/>
      <c r="I82" s="1945"/>
      <c r="J82" s="1945"/>
      <c r="K82" s="1945"/>
      <c r="L82" s="1945"/>
      <c r="M82" s="1945"/>
      <c r="N82" s="1945"/>
      <c r="O82" s="1945"/>
      <c r="P82" s="1945"/>
      <c r="Q82" s="1945"/>
      <c r="R82" s="1945"/>
      <c r="S82" s="1945"/>
      <c r="T82" s="1945"/>
      <c r="U82" s="1945"/>
      <c r="V82" s="1945"/>
      <c r="W82" s="1945"/>
      <c r="X82" s="1945"/>
      <c r="Y82" s="1945"/>
      <c r="Z82" s="1945"/>
      <c r="AA82" s="1945"/>
      <c r="AB82" s="1945"/>
      <c r="AC82" s="1945"/>
      <c r="AD82" s="1945"/>
      <c r="AE82" s="1945"/>
      <c r="AF82" s="1945"/>
      <c r="AG82" s="1945"/>
      <c r="AH82" s="1945"/>
      <c r="AI82" s="1945"/>
      <c r="AJ82" s="1945"/>
      <c r="AK82" s="1945"/>
      <c r="AY82" s="593"/>
    </row>
    <row r="83" spans="1:54" s="58" customFormat="1" ht="36" hidden="1" customHeight="1" thickTop="1" thickBot="1">
      <c r="B83" s="2268" t="s">
        <v>558</v>
      </c>
      <c r="C83" s="1777"/>
      <c r="D83" s="1778"/>
      <c r="E83" s="2179" t="str">
        <f>'Document Checklist-Full List'!$E$211</f>
        <v>109. Farmworker Housing Experience</v>
      </c>
      <c r="F83" s="1777"/>
      <c r="G83" s="1777"/>
      <c r="H83" s="1777"/>
      <c r="I83" s="1777"/>
      <c r="J83" s="1777"/>
      <c r="K83" s="1777"/>
      <c r="L83" s="1777"/>
      <c r="M83" s="1778"/>
      <c r="N83" s="2179" t="str">
        <f>'Document Checklist-Full List'!$N$211</f>
        <v>Provide documentation verifying experience with occupancy restrictions for agricultural households.</v>
      </c>
      <c r="O83" s="1777"/>
      <c r="P83" s="1777"/>
      <c r="Q83" s="1777"/>
      <c r="R83" s="1777"/>
      <c r="S83" s="1777"/>
      <c r="T83" s="1777"/>
      <c r="U83" s="1777"/>
      <c r="V83" s="1777"/>
      <c r="W83" s="1777"/>
      <c r="X83" s="1777"/>
      <c r="Y83" s="1777"/>
      <c r="Z83" s="1777"/>
      <c r="AA83" s="1777"/>
      <c r="AB83" s="1777"/>
      <c r="AC83" s="1777"/>
      <c r="AD83" s="1777"/>
      <c r="AE83" s="1778"/>
      <c r="AF83" s="1886" t="s">
        <v>559</v>
      </c>
      <c r="AG83" s="1777"/>
      <c r="AH83" s="1777"/>
      <c r="AI83" s="1777"/>
      <c r="AJ83" s="1777"/>
      <c r="AK83" s="1778"/>
      <c r="AL83" s="1911"/>
      <c r="AM83" s="1862"/>
      <c r="AX83" s="599"/>
      <c r="AY83" s="593"/>
      <c r="BB83" s="1635">
        <f>COUNTIF(Scoring!$AA$113:$AC$122,"&gt;0")</f>
        <v>0</v>
      </c>
    </row>
    <row r="84" spans="1:54" ht="36" hidden="1" customHeight="1" thickTop="1" thickBot="1">
      <c r="A84" s="1701"/>
      <c r="C84" s="267" t="s">
        <v>627</v>
      </c>
      <c r="D84" s="1977" t="s">
        <v>2784</v>
      </c>
      <c r="E84" s="1953"/>
      <c r="F84" s="1953"/>
      <c r="G84" s="1953"/>
      <c r="H84" s="1953"/>
      <c r="I84" s="1953"/>
      <c r="J84" s="1953"/>
      <c r="K84" s="1953"/>
      <c r="L84" s="1953"/>
      <c r="M84" s="1953"/>
      <c r="N84" s="1953"/>
      <c r="O84" s="1953"/>
      <c r="P84" s="1953"/>
      <c r="Q84" s="1953"/>
      <c r="R84" s="1953"/>
      <c r="S84" s="1953"/>
      <c r="T84" s="1953"/>
      <c r="U84" s="1953"/>
      <c r="V84" s="1953"/>
      <c r="W84" s="1953"/>
      <c r="X84" s="1953"/>
      <c r="Y84" s="1953"/>
      <c r="Z84" s="1953"/>
      <c r="AA84" s="1953"/>
      <c r="AB84" s="1953"/>
      <c r="AC84" s="1953"/>
      <c r="AD84" s="1953"/>
      <c r="AE84" s="1953"/>
      <c r="AF84" s="1953"/>
      <c r="AG84" s="1953"/>
      <c r="AH84" s="1953"/>
      <c r="AI84" s="1953"/>
      <c r="AJ84" s="1953"/>
      <c r="AK84" s="1953"/>
      <c r="AX84" s="596" t="str">
        <f>IF(AND(EDFundingTarget="Yes",vmED2="Yes",$BF$80="Yes",$AX$80="Pass"),"Pass","Fail")</f>
        <v>Fail</v>
      </c>
      <c r="AY84" s="592"/>
    </row>
    <row r="85" spans="1:54" s="136" customFormat="1" ht="18" customHeight="1">
      <c r="D85" s="3198" t="s">
        <v>2785</v>
      </c>
      <c r="E85" s="2167"/>
      <c r="F85" s="2167"/>
      <c r="G85" s="2167"/>
      <c r="H85" s="2167"/>
      <c r="I85" s="2167"/>
      <c r="J85" s="2167"/>
      <c r="K85" s="2167"/>
      <c r="L85" s="2167"/>
      <c r="M85" s="2167"/>
      <c r="N85" s="2167"/>
      <c r="O85" s="2167"/>
      <c r="P85" s="2167"/>
      <c r="Q85" s="2167"/>
      <c r="R85" s="2167"/>
      <c r="S85" s="2167"/>
      <c r="T85" s="2167"/>
      <c r="U85" s="2167"/>
      <c r="V85" s="2167"/>
      <c r="W85" s="2167"/>
      <c r="X85" s="2167"/>
      <c r="Y85" s="2167"/>
      <c r="Z85" s="2167"/>
      <c r="AA85" s="2167"/>
      <c r="AB85" s="2167"/>
      <c r="AC85" s="2167"/>
      <c r="AD85" s="2167"/>
      <c r="AE85" s="2167"/>
      <c r="AF85" s="2167"/>
      <c r="AG85" s="2167"/>
      <c r="AH85" s="2167"/>
      <c r="AI85" s="2167"/>
      <c r="AJ85" s="2167"/>
      <c r="AK85" s="2167"/>
      <c r="AL85" s="1911"/>
      <c r="AM85" s="1862"/>
    </row>
    <row r="86" spans="1:54" s="136" customFormat="1" ht="18" customHeight="1" thickBot="1">
      <c r="D86" s="3206" t="s">
        <v>2786</v>
      </c>
      <c r="E86" s="2167"/>
      <c r="F86" s="2167"/>
      <c r="G86" s="2167"/>
      <c r="H86" s="2167"/>
      <c r="I86" s="2167"/>
      <c r="J86" s="2167"/>
      <c r="K86" s="2388"/>
      <c r="L86" s="1861"/>
      <c r="M86" s="1861"/>
      <c r="N86" s="1861"/>
      <c r="O86" s="1861"/>
      <c r="P86" s="1861"/>
      <c r="Q86" s="1861"/>
      <c r="R86" s="1861"/>
      <c r="S86" s="1861"/>
      <c r="T86" s="1861"/>
      <c r="U86" s="1861"/>
      <c r="V86" s="1861"/>
      <c r="W86" s="1861"/>
      <c r="X86" s="1861"/>
      <c r="Y86" s="1861"/>
      <c r="Z86" s="1861"/>
      <c r="AA86" s="1861"/>
      <c r="AB86" s="1861"/>
      <c r="AC86" s="1861"/>
      <c r="AD86" s="1861"/>
      <c r="AE86" s="1861"/>
      <c r="AF86" s="1861"/>
      <c r="AG86" s="1861"/>
      <c r="AH86" s="1861"/>
      <c r="AI86" s="1861"/>
      <c r="AJ86" s="1861"/>
      <c r="AK86" s="1862"/>
    </row>
    <row r="87" spans="1:54" ht="18" customHeight="1" thickTop="1" thickBot="1">
      <c r="C87" s="264" t="s">
        <v>629</v>
      </c>
      <c r="D87" s="2993" t="str">
        <f>IF(AND(IsMhp,'Project Overview'!$AL$253="Yes"),"P","O")</f>
        <v>O</v>
      </c>
      <c r="E87" s="2180"/>
      <c r="F87" s="382"/>
      <c r="G87" s="382"/>
      <c r="H87" s="382"/>
      <c r="I87" s="382"/>
      <c r="J87" s="382"/>
      <c r="K87" s="382"/>
      <c r="L87" s="382"/>
      <c r="M87" s="382"/>
      <c r="N87" s="382"/>
      <c r="O87" s="382"/>
      <c r="P87" s="382"/>
      <c r="Q87" s="382"/>
      <c r="R87" s="382"/>
      <c r="S87" s="382"/>
      <c r="T87" s="382"/>
      <c r="U87" s="382"/>
      <c r="V87" s="382"/>
      <c r="W87" s="382"/>
      <c r="X87" s="382"/>
      <c r="Y87" s="382"/>
      <c r="Z87" s="382"/>
      <c r="AA87" s="382"/>
      <c r="AB87" s="382"/>
      <c r="AC87" s="382"/>
      <c r="AD87" s="382"/>
      <c r="AE87" s="382"/>
      <c r="AF87" s="382"/>
      <c r="AG87" s="382"/>
      <c r="AH87" s="382"/>
      <c r="AI87" s="382"/>
      <c r="AJ87" s="382"/>
      <c r="AK87" s="382"/>
      <c r="AL87" s="58"/>
      <c r="AN87" s="1701"/>
      <c r="AO87" s="1701"/>
      <c r="AP87" s="1701"/>
      <c r="AQ87" s="1701"/>
      <c r="AR87" s="1701"/>
      <c r="AS87" s="1701"/>
      <c r="AT87" s="1701"/>
      <c r="AU87" s="1701"/>
      <c r="AV87" s="1701"/>
      <c r="AW87" s="1701"/>
      <c r="AX87" s="592"/>
      <c r="AY87" s="592"/>
    </row>
    <row r="88" spans="1:54" ht="180.75" customHeight="1" thickTop="1" thickBot="1">
      <c r="C88" s="264" t="s">
        <v>1974</v>
      </c>
      <c r="D88" s="1802" t="s">
        <v>2787</v>
      </c>
      <c r="E88" s="2180"/>
      <c r="F88" s="2180"/>
      <c r="G88" s="2180"/>
      <c r="H88" s="2180"/>
      <c r="I88" s="2180"/>
      <c r="J88" s="2180"/>
      <c r="K88" s="2180"/>
      <c r="L88" s="2180"/>
      <c r="M88" s="2180"/>
      <c r="N88" s="2180"/>
      <c r="O88" s="2180"/>
      <c r="P88" s="2180"/>
      <c r="Q88" s="2180"/>
      <c r="R88" s="2180"/>
      <c r="S88" s="2180"/>
      <c r="T88" s="2180"/>
      <c r="U88" s="2180"/>
      <c r="V88" s="2180"/>
      <c r="W88" s="2180"/>
      <c r="X88" s="2180"/>
      <c r="Y88" s="2180"/>
      <c r="Z88" s="2180"/>
      <c r="AA88" s="2180"/>
      <c r="AB88" s="2180"/>
      <c r="AC88" s="2180"/>
      <c r="AD88" s="2180"/>
      <c r="AE88" s="2180"/>
      <c r="AF88" s="2180"/>
      <c r="AG88" s="2180"/>
      <c r="AH88" s="2180"/>
      <c r="AI88" s="2180"/>
      <c r="AJ88" s="2180"/>
      <c r="AK88" s="2180"/>
      <c r="AL88" s="58"/>
      <c r="AX88" s="592"/>
      <c r="AY88" s="592"/>
    </row>
    <row r="89" spans="1:54" ht="36" customHeight="1" thickTop="1" thickBot="1">
      <c r="D89" s="1802" t="s">
        <v>2788</v>
      </c>
      <c r="E89" s="2180"/>
      <c r="F89" s="2180"/>
      <c r="G89" s="2180"/>
      <c r="H89" s="2180"/>
      <c r="I89" s="2180"/>
      <c r="J89" s="2180"/>
      <c r="K89" s="2180"/>
      <c r="L89" s="2180"/>
      <c r="M89" s="2180"/>
      <c r="N89" s="2180"/>
      <c r="O89" s="2180"/>
      <c r="P89" s="2180"/>
      <c r="Q89" s="2180"/>
      <c r="R89" s="2180"/>
      <c r="S89" s="2180"/>
      <c r="T89" s="2180"/>
      <c r="U89" s="2180"/>
      <c r="V89" s="2180"/>
      <c r="W89" s="2180"/>
      <c r="X89" s="2180"/>
      <c r="Y89" s="2180"/>
      <c r="Z89" s="2180"/>
      <c r="AA89" s="2180"/>
      <c r="AB89" s="2180"/>
      <c r="AC89" s="2180"/>
      <c r="AD89" s="2180"/>
      <c r="AE89" s="2180"/>
      <c r="AF89" s="2180"/>
      <c r="AG89" s="2180"/>
      <c r="AH89" s="2180"/>
      <c r="AI89" s="2180"/>
      <c r="AJ89" s="2180"/>
      <c r="AK89" s="2180"/>
      <c r="AL89" s="1911"/>
      <c r="AM89" s="1862"/>
      <c r="AX89" s="592"/>
      <c r="AY89" s="592"/>
    </row>
    <row r="90" spans="1:54" ht="18" customHeight="1" thickTop="1" thickBot="1">
      <c r="B90" s="1891" t="s">
        <v>2174</v>
      </c>
      <c r="C90" s="1877"/>
      <c r="D90" s="1877"/>
      <c r="E90" s="1877"/>
      <c r="F90" s="1877"/>
      <c r="G90" s="1877"/>
      <c r="H90" s="1877"/>
      <c r="I90" s="1877"/>
      <c r="J90" s="1877"/>
      <c r="K90" s="1877"/>
      <c r="L90" s="1877"/>
      <c r="M90" s="1877"/>
      <c r="N90" s="1877"/>
      <c r="O90" s="1877"/>
      <c r="P90" s="1877"/>
      <c r="Q90" s="1877"/>
      <c r="R90" s="1877"/>
      <c r="S90" s="1877"/>
      <c r="T90" s="1877"/>
      <c r="U90" s="1877"/>
      <c r="V90" s="1877"/>
      <c r="W90" s="1877"/>
      <c r="X90" s="1877"/>
      <c r="Y90" s="1877"/>
      <c r="Z90" s="1877"/>
      <c r="AA90" s="1877"/>
      <c r="AB90" s="1877"/>
      <c r="AC90" s="1877"/>
      <c r="AD90" s="1877"/>
      <c r="AE90" s="1877"/>
      <c r="AF90" s="1877"/>
      <c r="AG90" s="1877"/>
      <c r="AH90" s="1877"/>
      <c r="AI90" s="1877"/>
      <c r="AJ90" s="1877"/>
      <c r="AK90" s="1877"/>
      <c r="AL90" s="1877"/>
      <c r="AM90" s="1877"/>
      <c r="AX90" s="592"/>
      <c r="AY90" s="592"/>
    </row>
    <row r="91" spans="1:54" ht="108" customHeight="1" thickTop="1" thickBot="1">
      <c r="B91" s="1874"/>
      <c r="C91" s="1869"/>
      <c r="D91" s="1869"/>
      <c r="E91" s="1869"/>
      <c r="F91" s="1869"/>
      <c r="G91" s="1869"/>
      <c r="H91" s="1869"/>
      <c r="I91" s="1869"/>
      <c r="J91" s="1869"/>
      <c r="K91" s="1869"/>
      <c r="L91" s="1869"/>
      <c r="M91" s="1869"/>
      <c r="N91" s="1869"/>
      <c r="O91" s="1869"/>
      <c r="P91" s="1869"/>
      <c r="Q91" s="1869"/>
      <c r="R91" s="1869"/>
      <c r="S91" s="1869"/>
      <c r="T91" s="1869"/>
      <c r="U91" s="1869"/>
      <c r="V91" s="1869"/>
      <c r="W91" s="1869"/>
      <c r="X91" s="1869"/>
      <c r="Y91" s="1869"/>
      <c r="Z91" s="1869"/>
      <c r="AA91" s="1869"/>
      <c r="AB91" s="1869"/>
      <c r="AC91" s="1869"/>
      <c r="AD91" s="1869"/>
      <c r="AE91" s="1869"/>
      <c r="AF91" s="1869"/>
      <c r="AG91" s="1869"/>
      <c r="AH91" s="1869"/>
      <c r="AI91" s="1869"/>
      <c r="AJ91" s="1869"/>
      <c r="AK91" s="1869"/>
      <c r="AL91" s="1869"/>
      <c r="AM91" s="1870"/>
      <c r="AX91" s="592"/>
      <c r="AY91" s="592"/>
    </row>
    <row r="92" spans="1:54" ht="18" customHeight="1" thickTop="1" thickBot="1">
      <c r="B92" s="2180" t="s">
        <v>1954</v>
      </c>
      <c r="C92" s="1929"/>
      <c r="D92" s="2180"/>
      <c r="E92" s="2180"/>
      <c r="F92" s="2180"/>
      <c r="G92" s="2180"/>
      <c r="AX92" s="592"/>
      <c r="AY92" s="592"/>
    </row>
    <row r="93" spans="1:54" ht="81" customHeight="1" thickTop="1" thickBot="1">
      <c r="B93" s="2003"/>
      <c r="C93" s="1861"/>
      <c r="D93" s="1861"/>
      <c r="E93" s="1861"/>
      <c r="F93" s="1861"/>
      <c r="G93" s="1861"/>
      <c r="H93" s="1861"/>
      <c r="I93" s="1861"/>
      <c r="J93" s="1861"/>
      <c r="K93" s="1861"/>
      <c r="L93" s="1861"/>
      <c r="M93" s="1861"/>
      <c r="N93" s="1861"/>
      <c r="O93" s="1861"/>
      <c r="P93" s="1861"/>
      <c r="Q93" s="1861"/>
      <c r="R93" s="1861"/>
      <c r="S93" s="1861"/>
      <c r="T93" s="1861"/>
      <c r="U93" s="1861"/>
      <c r="V93" s="1861"/>
      <c r="W93" s="1861"/>
      <c r="X93" s="1861"/>
      <c r="Y93" s="1861"/>
      <c r="Z93" s="1861"/>
      <c r="AA93" s="1861"/>
      <c r="AB93" s="1861"/>
      <c r="AC93" s="1861"/>
      <c r="AD93" s="1861"/>
      <c r="AE93" s="1861"/>
      <c r="AF93" s="1861"/>
      <c r="AG93" s="1861"/>
      <c r="AH93" s="1861"/>
      <c r="AI93" s="1861"/>
      <c r="AJ93" s="1861"/>
      <c r="AK93" s="1861"/>
      <c r="AL93" s="1861"/>
      <c r="AM93" s="1862"/>
      <c r="AX93" s="592"/>
      <c r="AY93" s="592"/>
    </row>
    <row r="94" spans="1:54" s="136" customFormat="1" ht="18" customHeight="1" thickTop="1" thickBot="1">
      <c r="AX94" s="594"/>
      <c r="AY94" s="594"/>
    </row>
    <row r="95" spans="1:54" s="136" customFormat="1" ht="18" customHeight="1" thickTop="1" thickBot="1">
      <c r="B95" s="244" t="s">
        <v>619</v>
      </c>
      <c r="C95" s="2180" t="s">
        <v>2789</v>
      </c>
      <c r="D95" s="2167"/>
      <c r="E95" s="2167"/>
      <c r="F95" s="2167"/>
      <c r="G95" s="2167"/>
      <c r="H95" s="2167"/>
      <c r="I95" s="2167"/>
      <c r="J95" s="2167"/>
      <c r="K95" s="2167"/>
      <c r="L95" s="2167"/>
      <c r="M95" s="2167"/>
      <c r="N95" s="2167"/>
      <c r="O95" s="2167"/>
      <c r="P95" s="2167"/>
      <c r="Q95" s="2167"/>
      <c r="R95" s="2167"/>
      <c r="S95" s="2167"/>
      <c r="T95" s="2167"/>
      <c r="U95" s="2167"/>
      <c r="V95" s="2167"/>
      <c r="W95" s="2167"/>
      <c r="X95" s="2167"/>
      <c r="Y95" s="2167"/>
      <c r="Z95" s="2167"/>
      <c r="AA95" s="2167"/>
      <c r="AB95" s="2167"/>
      <c r="AC95" s="2167"/>
      <c r="AD95" s="2167"/>
      <c r="AE95" s="2167"/>
      <c r="AF95" s="2167"/>
      <c r="AG95" s="2167"/>
      <c r="AH95" s="2167"/>
      <c r="AI95" s="2167"/>
      <c r="AJ95" s="2167"/>
      <c r="AK95" s="2167"/>
      <c r="AL95" s="1911"/>
      <c r="AM95" s="1862"/>
      <c r="AX95" s="594"/>
      <c r="AY95" s="594"/>
    </row>
    <row r="96" spans="1:54" s="136" customFormat="1" ht="18" customHeight="1" thickTop="1" thickBot="1">
      <c r="B96" s="244"/>
      <c r="C96" s="3207" t="s">
        <v>2790</v>
      </c>
      <c r="D96" s="2167"/>
      <c r="E96" s="2167"/>
      <c r="F96" s="2167"/>
      <c r="G96" s="2167"/>
      <c r="H96" s="2167"/>
      <c r="I96" s="2167"/>
      <c r="J96" s="2167"/>
      <c r="K96" s="2167"/>
      <c r="L96" s="2167"/>
      <c r="M96" s="2167"/>
      <c r="N96" s="2167"/>
      <c r="O96" s="2167"/>
      <c r="P96" s="2167"/>
      <c r="Q96" s="2167"/>
      <c r="R96" s="2167"/>
      <c r="S96" s="2167"/>
      <c r="T96" s="2167"/>
      <c r="U96" s="2167"/>
      <c r="V96" s="2167"/>
      <c r="W96" s="2167"/>
      <c r="X96" s="2167"/>
      <c r="Y96" s="2167"/>
      <c r="Z96" s="2167"/>
      <c r="AA96" s="2167"/>
      <c r="AB96" s="2167"/>
      <c r="AC96" s="2167"/>
      <c r="AD96" s="2167"/>
      <c r="AE96" s="2167"/>
      <c r="AF96" s="2167"/>
      <c r="AG96" s="2167"/>
      <c r="AH96" s="2167"/>
      <c r="AI96" s="2167"/>
      <c r="AJ96" s="2167"/>
      <c r="AK96" s="2167"/>
      <c r="AX96" s="594"/>
      <c r="AY96" s="594"/>
    </row>
    <row r="97" spans="1:51" s="136" customFormat="1" ht="54" customHeight="1" thickTop="1" thickBot="1">
      <c r="B97" s="244"/>
      <c r="C97" s="1802" t="s">
        <v>2057</v>
      </c>
      <c r="D97" s="2167"/>
      <c r="E97" s="2167"/>
      <c r="F97" s="2167"/>
      <c r="G97" s="2167"/>
      <c r="H97" s="2167"/>
      <c r="I97" s="2167"/>
      <c r="J97" s="2167"/>
      <c r="K97" s="2167"/>
      <c r="L97" s="2167"/>
      <c r="M97" s="2167"/>
      <c r="N97" s="2167"/>
      <c r="O97" s="2167"/>
      <c r="P97" s="2167"/>
      <c r="Q97" s="2167"/>
      <c r="R97" s="2167"/>
      <c r="S97" s="2167"/>
      <c r="T97" s="2167"/>
      <c r="U97" s="2167"/>
      <c r="V97" s="2167"/>
      <c r="W97" s="2167"/>
      <c r="X97" s="2167"/>
      <c r="Y97" s="2167"/>
      <c r="Z97" s="2167"/>
      <c r="AA97" s="2167"/>
      <c r="AB97" s="2167"/>
      <c r="AC97" s="2167"/>
      <c r="AD97" s="2167"/>
      <c r="AE97" s="2167"/>
      <c r="AF97" s="2167"/>
      <c r="AG97" s="2167"/>
      <c r="AH97" s="2167"/>
      <c r="AI97" s="2167"/>
      <c r="AJ97" s="2167"/>
      <c r="AK97" s="2167"/>
      <c r="AX97" s="594"/>
      <c r="AY97" s="594"/>
    </row>
    <row r="98" spans="1:51" s="136" customFormat="1" ht="18" customHeight="1" thickTop="1" thickBot="1">
      <c r="C98" s="265" t="s">
        <v>608</v>
      </c>
      <c r="D98" s="2180" t="s">
        <v>2791</v>
      </c>
      <c r="E98" s="2167"/>
      <c r="F98" s="2167"/>
      <c r="G98" s="2167"/>
      <c r="H98" s="2167"/>
      <c r="I98" s="2167"/>
      <c r="J98" s="2167"/>
      <c r="K98" s="2167"/>
      <c r="L98" s="2167"/>
      <c r="M98" s="2167"/>
      <c r="N98" s="2167"/>
      <c r="O98" s="2167"/>
      <c r="P98" s="2167"/>
      <c r="Q98" s="2167"/>
      <c r="R98" s="2167"/>
      <c r="S98" s="2167"/>
      <c r="T98" s="2167"/>
      <c r="U98" s="2167"/>
      <c r="V98" s="2167"/>
      <c r="W98" s="2167"/>
      <c r="X98" s="2167"/>
      <c r="Y98" s="2167"/>
      <c r="Z98" s="2167"/>
      <c r="AA98" s="2167"/>
      <c r="AB98" s="2167"/>
      <c r="AC98" s="2167"/>
      <c r="AD98" s="2167"/>
      <c r="AE98" s="2167"/>
      <c r="AF98" s="2167"/>
      <c r="AG98" s="2167"/>
      <c r="AH98" s="2167"/>
      <c r="AI98" s="2167"/>
      <c r="AJ98" s="2167"/>
      <c r="AK98" s="2167"/>
      <c r="AL98" s="1911"/>
      <c r="AM98" s="1862"/>
      <c r="AX98" s="594"/>
      <c r="AY98" s="594"/>
    </row>
    <row r="99" spans="1:51" s="136" customFormat="1" ht="18" customHeight="1" thickTop="1" thickBot="1">
      <c r="C99" s="265" t="s">
        <v>611</v>
      </c>
      <c r="D99" s="2995" t="s">
        <v>2792</v>
      </c>
      <c r="E99" s="2167"/>
      <c r="F99" s="2167"/>
      <c r="G99" s="2167"/>
      <c r="H99" s="2167"/>
      <c r="I99" s="2167"/>
      <c r="J99" s="2167"/>
      <c r="K99" s="2167"/>
      <c r="L99" s="2167"/>
      <c r="M99" s="2167"/>
      <c r="N99" s="2167"/>
      <c r="O99" s="2167"/>
      <c r="P99" s="2167"/>
      <c r="Q99" s="2167"/>
      <c r="R99" s="2167"/>
      <c r="S99" s="2167"/>
      <c r="T99" s="2167"/>
      <c r="U99" s="2167"/>
      <c r="V99" s="2167"/>
      <c r="W99" s="2167"/>
      <c r="X99" s="2167"/>
      <c r="Y99" s="2167"/>
      <c r="Z99" s="2167"/>
      <c r="AA99" s="2167"/>
      <c r="AB99" s="2167"/>
      <c r="AC99" s="2167"/>
      <c r="AD99" s="2167"/>
      <c r="AE99" s="2167"/>
      <c r="AF99" s="2167"/>
      <c r="AG99" s="2167"/>
      <c r="AH99" s="2167"/>
      <c r="AI99" s="2167"/>
      <c r="AJ99" s="2167"/>
      <c r="AK99" s="2167"/>
      <c r="AL99" s="1911"/>
      <c r="AM99" s="1862"/>
      <c r="AX99" s="594"/>
      <c r="AY99" s="594"/>
    </row>
    <row r="100" spans="1:51" s="136" customFormat="1" ht="66" customHeight="1" thickTop="1" thickBot="1">
      <c r="C100" s="265" t="s">
        <v>619</v>
      </c>
      <c r="D100" s="2525" t="s">
        <v>2793</v>
      </c>
      <c r="E100" s="2167"/>
      <c r="F100" s="2167"/>
      <c r="G100" s="2167"/>
      <c r="H100" s="2167"/>
      <c r="I100" s="2167"/>
      <c r="J100" s="2167"/>
      <c r="K100" s="2167"/>
      <c r="L100" s="2167"/>
      <c r="M100" s="2167"/>
      <c r="N100" s="2167"/>
      <c r="O100" s="2167"/>
      <c r="P100" s="2167"/>
      <c r="Q100" s="2167"/>
      <c r="R100" s="2167"/>
      <c r="S100" s="2167"/>
      <c r="T100" s="2167"/>
      <c r="U100" s="2167"/>
      <c r="V100" s="2167"/>
      <c r="W100" s="2167"/>
      <c r="X100" s="2167"/>
      <c r="Y100" s="2167"/>
      <c r="Z100" s="2167"/>
      <c r="AA100" s="2167"/>
      <c r="AB100" s="2167"/>
      <c r="AC100" s="2167"/>
      <c r="AD100" s="2167"/>
      <c r="AE100" s="2167"/>
      <c r="AF100" s="2167"/>
      <c r="AG100" s="2167"/>
      <c r="AH100" s="2167"/>
      <c r="AI100" s="2167"/>
      <c r="AJ100" s="2167"/>
      <c r="AK100" s="2167"/>
      <c r="AL100" s="1911"/>
      <c r="AM100" s="1862"/>
      <c r="AX100" s="594"/>
      <c r="AY100" s="594"/>
    </row>
    <row r="101" spans="1:51" s="136" customFormat="1" ht="18" customHeight="1" thickTop="1" thickBot="1">
      <c r="B101" s="2180" t="s">
        <v>1954</v>
      </c>
      <c r="C101" s="2167"/>
      <c r="D101" s="2167"/>
      <c r="E101" s="2167"/>
      <c r="F101" s="2167"/>
      <c r="G101" s="2167"/>
      <c r="H101" s="476"/>
      <c r="I101" s="476"/>
      <c r="J101" s="476"/>
      <c r="K101" s="476"/>
      <c r="L101" s="476"/>
      <c r="M101" s="476"/>
      <c r="N101" s="476"/>
      <c r="O101" s="476"/>
      <c r="P101" s="476"/>
      <c r="Q101" s="476"/>
      <c r="R101" s="476"/>
      <c r="S101" s="476"/>
      <c r="T101" s="476"/>
      <c r="U101" s="476"/>
      <c r="V101" s="476"/>
      <c r="W101" s="476"/>
      <c r="X101" s="476"/>
      <c r="Y101" s="476"/>
      <c r="Z101" s="476"/>
      <c r="AA101" s="476"/>
      <c r="AB101" s="476"/>
      <c r="AC101" s="476"/>
      <c r="AD101" s="476"/>
      <c r="AE101" s="476"/>
      <c r="AF101" s="476"/>
      <c r="AG101" s="476"/>
      <c r="AH101" s="476"/>
      <c r="AI101" s="476"/>
      <c r="AJ101" s="476"/>
      <c r="AK101" s="476"/>
      <c r="AL101" s="476"/>
      <c r="AM101" s="476"/>
      <c r="AX101" s="594"/>
      <c r="AY101" s="594"/>
    </row>
    <row r="102" spans="1:51" s="136" customFormat="1" ht="81" customHeight="1" thickTop="1" thickBot="1">
      <c r="B102" s="2003"/>
      <c r="C102" s="1861"/>
      <c r="D102" s="1861"/>
      <c r="E102" s="1861"/>
      <c r="F102" s="1861"/>
      <c r="G102" s="1861"/>
      <c r="H102" s="1861"/>
      <c r="I102" s="1861"/>
      <c r="J102" s="1861"/>
      <c r="K102" s="1861"/>
      <c r="L102" s="1861"/>
      <c r="M102" s="1861"/>
      <c r="N102" s="1861"/>
      <c r="O102" s="1861"/>
      <c r="P102" s="1861"/>
      <c r="Q102" s="1861"/>
      <c r="R102" s="1861"/>
      <c r="S102" s="1861"/>
      <c r="T102" s="1861"/>
      <c r="U102" s="1861"/>
      <c r="V102" s="1861"/>
      <c r="W102" s="1861"/>
      <c r="X102" s="1861"/>
      <c r="Y102" s="1861"/>
      <c r="Z102" s="1861"/>
      <c r="AA102" s="1861"/>
      <c r="AB102" s="1861"/>
      <c r="AC102" s="1861"/>
      <c r="AD102" s="1861"/>
      <c r="AE102" s="1861"/>
      <c r="AF102" s="1861"/>
      <c r="AG102" s="1861"/>
      <c r="AH102" s="1861"/>
      <c r="AI102" s="1861"/>
      <c r="AJ102" s="1861"/>
      <c r="AK102" s="1861"/>
      <c r="AL102" s="1861"/>
      <c r="AM102" s="1862"/>
      <c r="AX102" s="594"/>
      <c r="AY102" s="594"/>
    </row>
    <row r="103" spans="1:51" s="136" customFormat="1" ht="18" customHeight="1" thickTop="1" thickBot="1">
      <c r="AX103" s="594"/>
      <c r="AY103" s="594"/>
    </row>
    <row r="104" spans="1:51" ht="18" customHeight="1" thickTop="1" thickBot="1">
      <c r="A104" s="1701"/>
      <c r="B104" s="244" t="s">
        <v>623</v>
      </c>
      <c r="C104" s="2180" t="s">
        <v>2794</v>
      </c>
      <c r="D104" s="2180"/>
      <c r="E104" s="2180"/>
      <c r="F104" s="2180"/>
      <c r="G104" s="2180"/>
      <c r="H104" s="2180"/>
      <c r="I104" s="2180"/>
      <c r="J104" s="2180"/>
      <c r="K104" s="2180"/>
      <c r="L104" s="2180"/>
      <c r="M104" s="2180"/>
      <c r="N104" s="2180"/>
      <c r="O104" s="2180"/>
      <c r="P104" s="2180"/>
      <c r="Q104" s="2180"/>
      <c r="AX104" s="592"/>
      <c r="AY104" s="592"/>
    </row>
    <row r="105" spans="1:51" ht="18" customHeight="1" thickTop="1" thickBot="1">
      <c r="B105" s="244"/>
      <c r="C105" s="3207" t="s">
        <v>2795</v>
      </c>
      <c r="D105" s="2180"/>
      <c r="E105" s="2180"/>
      <c r="F105" s="2180"/>
      <c r="G105" s="2180"/>
      <c r="H105" s="2180"/>
      <c r="I105" s="2180"/>
      <c r="J105" s="2180"/>
      <c r="K105" s="2180"/>
      <c r="L105" s="2180"/>
      <c r="M105" s="2180"/>
      <c r="N105" s="2180"/>
      <c r="O105" s="2180"/>
      <c r="P105" s="2180"/>
      <c r="Q105" s="2180"/>
      <c r="R105" s="2180"/>
      <c r="S105" s="2180"/>
      <c r="T105" s="2180"/>
      <c r="U105" s="2180"/>
      <c r="V105" s="2180"/>
      <c r="W105" s="2180"/>
      <c r="X105" s="2180"/>
      <c r="Y105" s="2180"/>
      <c r="Z105" s="2180"/>
      <c r="AA105" s="2180"/>
      <c r="AB105" s="2180"/>
      <c r="AC105" s="2180"/>
      <c r="AD105" s="2180"/>
      <c r="AE105" s="2180"/>
      <c r="AF105" s="2180"/>
      <c r="AG105" s="2180"/>
      <c r="AH105" s="2180"/>
      <c r="AI105" s="2180"/>
      <c r="AJ105" s="2180"/>
      <c r="AK105" s="2180"/>
      <c r="AL105" s="2180"/>
      <c r="AM105" s="2180"/>
      <c r="AX105" s="592"/>
      <c r="AY105" s="592"/>
    </row>
    <row r="106" spans="1:51" ht="18" customHeight="1" thickTop="1" thickBot="1">
      <c r="C106" s="264" t="s">
        <v>608</v>
      </c>
      <c r="D106" s="2180" t="s">
        <v>2796</v>
      </c>
      <c r="E106" s="2180"/>
      <c r="F106" s="2180"/>
      <c r="G106" s="2180"/>
      <c r="H106" s="2180"/>
      <c r="I106" s="2180"/>
      <c r="J106" s="2180"/>
      <c r="K106" s="2180"/>
      <c r="L106" s="2180"/>
      <c r="M106" s="2180"/>
      <c r="N106" s="2180"/>
      <c r="O106" s="2180"/>
      <c r="P106" s="2180"/>
      <c r="Q106" s="2180"/>
      <c r="R106" s="2180"/>
      <c r="S106" s="2180"/>
      <c r="AL106" s="1911"/>
      <c r="AM106" s="1862"/>
      <c r="AX106" s="592"/>
      <c r="AY106" s="592"/>
    </row>
    <row r="107" spans="1:51" ht="18" customHeight="1" thickTop="1" thickBot="1">
      <c r="C107" s="264" t="s">
        <v>611</v>
      </c>
      <c r="D107" s="2180" t="s">
        <v>2066</v>
      </c>
      <c r="E107" s="2180"/>
      <c r="F107" s="2180"/>
      <c r="G107" s="2180"/>
      <c r="H107" s="2180"/>
      <c r="I107" s="2180"/>
      <c r="J107" s="2180"/>
      <c r="K107" s="2180"/>
      <c r="L107" s="2180"/>
      <c r="M107" s="2180"/>
      <c r="N107" s="2180"/>
      <c r="O107" s="2180"/>
      <c r="P107" s="2180"/>
      <c r="Q107" s="2180"/>
      <c r="R107" s="2180"/>
      <c r="S107" s="2180"/>
      <c r="T107" s="2180"/>
      <c r="U107" s="2180"/>
      <c r="V107" s="2180"/>
      <c r="W107" s="2180"/>
      <c r="X107" s="2180"/>
      <c r="Y107" s="2180"/>
      <c r="Z107" s="2180"/>
      <c r="AA107" s="2180"/>
      <c r="AB107" s="2180"/>
      <c r="AC107" s="2180"/>
      <c r="AD107" s="2180"/>
      <c r="AE107" s="2180"/>
      <c r="AF107" s="2180"/>
      <c r="AG107" s="2180"/>
      <c r="AH107" s="2180"/>
      <c r="AI107" s="2180"/>
      <c r="AJ107" s="2180"/>
      <c r="AK107" s="2180"/>
      <c r="AX107" s="592"/>
      <c r="AY107" s="592"/>
    </row>
    <row r="108" spans="1:51" ht="18" customHeight="1" thickTop="1" thickBot="1">
      <c r="C108" s="476"/>
      <c r="D108" s="267" t="s">
        <v>613</v>
      </c>
      <c r="E108" s="2993" t="str">
        <f>IF(AND(IsMhp,'Document Checklist-Full List'!$AJ$24="Included"),"P","O")</f>
        <v>O</v>
      </c>
      <c r="F108" s="2180"/>
      <c r="AX108" s="592"/>
      <c r="AY108" s="592"/>
    </row>
    <row r="109" spans="1:51" ht="18" customHeight="1" thickTop="1" thickBot="1">
      <c r="D109" s="267" t="s">
        <v>615</v>
      </c>
      <c r="E109" s="2180" t="s">
        <v>2797</v>
      </c>
      <c r="F109" s="2180"/>
      <c r="G109" s="2180"/>
      <c r="H109" s="2180"/>
      <c r="I109" s="2180"/>
      <c r="J109" s="2180"/>
      <c r="K109" s="2180"/>
      <c r="L109" s="2180"/>
      <c r="M109" s="2180"/>
      <c r="N109" s="2180"/>
      <c r="O109" s="2180"/>
      <c r="P109" s="2180"/>
      <c r="Q109" s="2180"/>
      <c r="R109" s="2180"/>
      <c r="S109" s="2180"/>
      <c r="T109" s="2180"/>
      <c r="U109" s="2180"/>
      <c r="V109" s="2180"/>
      <c r="W109" s="2180"/>
      <c r="X109" s="2180"/>
      <c r="Y109" s="2180"/>
      <c r="Z109" s="2180"/>
      <c r="AA109" s="2180"/>
      <c r="AB109" s="2180"/>
      <c r="AC109" s="2180"/>
      <c r="AD109" s="2180"/>
      <c r="AE109" s="2180"/>
      <c r="AF109" s="2180"/>
      <c r="AG109" s="2180"/>
      <c r="AL109" s="1911"/>
      <c r="AM109" s="1862"/>
      <c r="AX109" s="592"/>
      <c r="AY109" s="592"/>
    </row>
    <row r="110" spans="1:51" s="58" customFormat="1" ht="18" customHeight="1" thickTop="1" thickBot="1">
      <c r="E110" s="267" t="s">
        <v>1989</v>
      </c>
      <c r="F110" s="1802" t="s">
        <v>2798</v>
      </c>
      <c r="G110" s="1945"/>
      <c r="H110" s="1945"/>
      <c r="I110" s="1945"/>
      <c r="J110" s="1945"/>
      <c r="K110" s="1945"/>
      <c r="L110" s="1945"/>
      <c r="M110" s="1945"/>
      <c r="N110" s="1945"/>
      <c r="O110" s="1945"/>
      <c r="P110" s="1945"/>
      <c r="Q110" s="1945"/>
      <c r="R110" s="1945"/>
      <c r="S110" s="1945"/>
      <c r="T110" s="1945"/>
      <c r="U110" s="1945"/>
      <c r="V110" s="1945"/>
      <c r="W110" s="1945"/>
      <c r="X110" s="1945"/>
      <c r="Y110" s="1945"/>
      <c r="Z110" s="1945"/>
      <c r="AA110" s="1945"/>
      <c r="AB110" s="1945"/>
      <c r="AC110" s="1945"/>
      <c r="AD110" s="1945"/>
      <c r="AE110" s="1945"/>
      <c r="AF110" s="1945"/>
      <c r="AG110" s="1945"/>
      <c r="AH110" s="1945"/>
      <c r="AI110" s="1945"/>
      <c r="AJ110" s="1945"/>
      <c r="AK110" s="1945"/>
    </row>
    <row r="111" spans="1:51" ht="36" customHeight="1" thickTop="1" thickBot="1">
      <c r="D111" s="267" t="s">
        <v>617</v>
      </c>
      <c r="E111" s="1802" t="s">
        <v>2799</v>
      </c>
      <c r="F111" s="2180"/>
      <c r="G111" s="2180"/>
      <c r="H111" s="2180"/>
      <c r="I111" s="2180"/>
      <c r="J111" s="2180"/>
      <c r="K111" s="2180"/>
      <c r="L111" s="2180"/>
      <c r="M111" s="2180"/>
      <c r="N111" s="2180"/>
      <c r="O111" s="2180"/>
      <c r="P111" s="2180"/>
      <c r="Q111" s="2180"/>
      <c r="R111" s="2180"/>
      <c r="S111" s="2180"/>
      <c r="T111" s="2180"/>
      <c r="U111" s="2180"/>
      <c r="V111" s="2180"/>
      <c r="W111" s="2180"/>
      <c r="X111" s="2180"/>
      <c r="Y111" s="2180"/>
      <c r="Z111" s="2180"/>
      <c r="AA111" s="2180"/>
      <c r="AB111" s="2180"/>
      <c r="AC111" s="2180"/>
      <c r="AD111" s="2180"/>
      <c r="AE111" s="2180"/>
      <c r="AF111" s="2180"/>
      <c r="AG111" s="2180"/>
      <c r="AH111" s="2180"/>
      <c r="AI111" s="2180"/>
      <c r="AJ111" s="2180"/>
      <c r="AK111" s="2180"/>
      <c r="AL111" s="1911"/>
      <c r="AM111" s="1862"/>
      <c r="AX111" s="592"/>
      <c r="AY111" s="592"/>
    </row>
    <row r="112" spans="1:51" s="58" customFormat="1" ht="54" customHeight="1" thickTop="1" thickBot="1">
      <c r="E112" s="267" t="s">
        <v>1989</v>
      </c>
      <c r="F112" s="1802" t="s">
        <v>2800</v>
      </c>
      <c r="G112" s="1945"/>
      <c r="H112" s="1945"/>
      <c r="I112" s="1945"/>
      <c r="J112" s="1945"/>
      <c r="K112" s="1945"/>
      <c r="L112" s="1945"/>
      <c r="M112" s="1945"/>
      <c r="N112" s="1945"/>
      <c r="O112" s="1945"/>
      <c r="P112" s="1945"/>
      <c r="Q112" s="1945"/>
      <c r="R112" s="1945"/>
      <c r="S112" s="1945"/>
      <c r="T112" s="1945"/>
      <c r="U112" s="1945"/>
      <c r="V112" s="1945"/>
      <c r="W112" s="1945"/>
      <c r="X112" s="1945"/>
      <c r="Y112" s="1945"/>
      <c r="Z112" s="1945"/>
      <c r="AA112" s="1945"/>
      <c r="AB112" s="1945"/>
      <c r="AC112" s="1945"/>
      <c r="AD112" s="1945"/>
      <c r="AE112" s="1945"/>
      <c r="AF112" s="1945"/>
      <c r="AG112" s="1945"/>
      <c r="AH112" s="1945"/>
      <c r="AI112" s="1945"/>
      <c r="AJ112" s="1945"/>
      <c r="AK112" s="1945"/>
    </row>
    <row r="113" spans="2:51" ht="18" customHeight="1" thickTop="1" thickBot="1">
      <c r="D113" s="267" t="s">
        <v>634</v>
      </c>
      <c r="E113" s="1802" t="s">
        <v>2070</v>
      </c>
      <c r="F113" s="2180"/>
      <c r="G113" s="2180"/>
      <c r="H113" s="2180"/>
      <c r="I113" s="2180"/>
      <c r="J113" s="2180"/>
      <c r="K113" s="2180"/>
      <c r="L113" s="2180"/>
      <c r="M113" s="2180"/>
      <c r="N113" s="2180"/>
      <c r="O113" s="2180"/>
      <c r="P113" s="2180"/>
      <c r="Q113" s="2180"/>
      <c r="R113" s="2180"/>
      <c r="S113" s="2180"/>
      <c r="T113" s="2180"/>
      <c r="U113" s="2180"/>
      <c r="V113" s="2180"/>
      <c r="W113" s="2180"/>
      <c r="X113" s="2180"/>
      <c r="Y113" s="2180"/>
      <c r="Z113" s="2180"/>
      <c r="AA113" s="2180"/>
      <c r="AB113" s="2180"/>
      <c r="AC113" s="2180"/>
      <c r="AD113" s="2180"/>
      <c r="AE113" s="2180"/>
      <c r="AF113" s="2180"/>
      <c r="AG113" s="2180"/>
      <c r="AH113" s="2180"/>
      <c r="AI113" s="2180"/>
      <c r="AJ113" s="2180"/>
      <c r="AK113" s="2180"/>
      <c r="AL113" s="1911"/>
      <c r="AM113" s="1862"/>
      <c r="AX113" s="592"/>
      <c r="AY113" s="592"/>
    </row>
    <row r="114" spans="2:51" s="58" customFormat="1" ht="36" customHeight="1" thickTop="1" thickBot="1">
      <c r="E114" s="1802" t="s">
        <v>2801</v>
      </c>
      <c r="F114" s="1945"/>
      <c r="G114" s="1945"/>
      <c r="H114" s="1945"/>
      <c r="I114" s="1945"/>
      <c r="J114" s="1945"/>
      <c r="K114" s="1945"/>
      <c r="L114" s="1945"/>
      <c r="M114" s="1945"/>
      <c r="N114" s="1945"/>
      <c r="O114" s="1945"/>
      <c r="P114" s="1945"/>
      <c r="Q114" s="1945"/>
      <c r="R114" s="1945"/>
      <c r="S114" s="1945"/>
      <c r="T114" s="1945"/>
      <c r="U114" s="1945"/>
      <c r="V114" s="1945"/>
      <c r="W114" s="1945"/>
      <c r="X114" s="1945"/>
      <c r="Y114" s="1945"/>
      <c r="Z114" s="1945"/>
      <c r="AA114" s="1945"/>
      <c r="AB114" s="1945"/>
      <c r="AC114" s="1945"/>
      <c r="AD114" s="1945"/>
      <c r="AE114" s="1945"/>
      <c r="AF114" s="1945"/>
      <c r="AG114" s="1945"/>
      <c r="AH114" s="1945"/>
      <c r="AI114" s="1945"/>
      <c r="AJ114" s="1945"/>
      <c r="AK114" s="1945"/>
    </row>
    <row r="115" spans="2:51" s="58" customFormat="1" ht="36" customHeight="1" thickTop="1" thickBot="1">
      <c r="E115" s="1802" t="s">
        <v>2802</v>
      </c>
      <c r="F115" s="1945"/>
      <c r="G115" s="1945"/>
      <c r="H115" s="1945"/>
      <c r="I115" s="1945"/>
      <c r="J115" s="1945"/>
      <c r="K115" s="1945"/>
      <c r="L115" s="1945"/>
      <c r="M115" s="1945"/>
      <c r="N115" s="1945"/>
      <c r="O115" s="1945"/>
      <c r="P115" s="1945"/>
      <c r="Q115" s="1945"/>
      <c r="R115" s="1945"/>
      <c r="S115" s="1945"/>
      <c r="T115" s="1945"/>
      <c r="U115" s="1945"/>
      <c r="V115" s="1945"/>
      <c r="W115" s="1945"/>
      <c r="X115" s="1945"/>
      <c r="Y115" s="1945"/>
      <c r="Z115" s="1945"/>
      <c r="AA115" s="1945"/>
      <c r="AB115" s="1945"/>
      <c r="AC115" s="1945"/>
      <c r="AD115" s="1945"/>
      <c r="AE115" s="1945"/>
      <c r="AF115" s="1945"/>
      <c r="AG115" s="1945"/>
      <c r="AH115" s="1945"/>
      <c r="AI115" s="1945"/>
      <c r="AJ115" s="1945"/>
      <c r="AK115" s="1945"/>
      <c r="AX115" s="593"/>
      <c r="AY115" s="593"/>
    </row>
    <row r="116" spans="2:51" s="58" customFormat="1" ht="18" customHeight="1" thickTop="1" thickBot="1">
      <c r="E116" s="3202" t="s">
        <v>2803</v>
      </c>
      <c r="F116" s="1877"/>
      <c r="G116" s="1877"/>
      <c r="H116" s="1877"/>
      <c r="I116" s="1877"/>
      <c r="J116" s="1877"/>
      <c r="K116" s="1877"/>
      <c r="L116" s="1877"/>
      <c r="M116" s="1877"/>
      <c r="N116" s="1877"/>
      <c r="O116" s="1877"/>
      <c r="P116" s="1877"/>
      <c r="Q116" s="1877"/>
      <c r="R116" s="1877"/>
      <c r="S116" s="1877"/>
      <c r="T116" s="1877"/>
      <c r="U116" s="1877"/>
      <c r="V116" s="1877"/>
      <c r="W116" s="1877"/>
      <c r="X116" s="1877"/>
      <c r="Y116" s="1877"/>
      <c r="Z116" s="1877"/>
      <c r="AA116" s="3205" t="s">
        <v>2804</v>
      </c>
      <c r="AB116" s="1945"/>
      <c r="AC116" s="382"/>
      <c r="AD116" s="382"/>
      <c r="AE116" s="382"/>
      <c r="AF116" s="382"/>
      <c r="AG116" s="382"/>
      <c r="AH116" s="382"/>
      <c r="AI116" s="382"/>
      <c r="AJ116" s="382"/>
      <c r="AK116" s="382"/>
      <c r="AX116" s="593"/>
      <c r="AY116" s="593"/>
    </row>
    <row r="117" spans="2:51" s="58" customFormat="1" ht="54" customHeight="1" thickTop="1" thickBot="1">
      <c r="B117" s="2268" t="s">
        <v>558</v>
      </c>
      <c r="C117" s="1777"/>
      <c r="D117" s="1778"/>
      <c r="E117" s="2179" t="str">
        <f>'Document Checklist-Full List'!$E$212</f>
        <v>110. "Entity Name" - Resolution</v>
      </c>
      <c r="F117" s="1777"/>
      <c r="G117" s="1777"/>
      <c r="H117" s="1777"/>
      <c r="I117" s="1777"/>
      <c r="J117" s="1777"/>
      <c r="K117" s="1777"/>
      <c r="L117" s="1777"/>
      <c r="M117" s="1778"/>
      <c r="N117" s="2179" t="str">
        <f>'Document Checklist-Full List'!$N$212</f>
        <v xml:space="preserve">Resolutions may be submitted with this application but are not required at the time of application. Resolutions must be submitted within sixty calendar days of a conditional award notification. </v>
      </c>
      <c r="O117" s="1777"/>
      <c r="P117" s="1777"/>
      <c r="Q117" s="1777"/>
      <c r="R117" s="1777"/>
      <c r="S117" s="1777"/>
      <c r="T117" s="1777"/>
      <c r="U117" s="1777"/>
      <c r="V117" s="1777"/>
      <c r="W117" s="1777"/>
      <c r="X117" s="1777"/>
      <c r="Y117" s="1777"/>
      <c r="Z117" s="1777"/>
      <c r="AA117" s="1777"/>
      <c r="AB117" s="1777"/>
      <c r="AC117" s="1777"/>
      <c r="AD117" s="1777"/>
      <c r="AE117" s="1778"/>
      <c r="AF117" s="1886" t="s">
        <v>559</v>
      </c>
      <c r="AG117" s="1777"/>
      <c r="AH117" s="1777"/>
      <c r="AI117" s="1777"/>
      <c r="AJ117" s="1777"/>
      <c r="AK117" s="1778"/>
      <c r="AL117" s="1911"/>
      <c r="AM117" s="1862"/>
      <c r="AX117" s="593"/>
      <c r="AY117" s="593"/>
    </row>
    <row r="118" spans="2:51" s="58" customFormat="1" ht="18" customHeight="1" thickTop="1">
      <c r="D118" s="267" t="s">
        <v>1820</v>
      </c>
      <c r="E118" s="2993" t="str">
        <f>IF('Project Overview'!$AL$361="Yes","P","O")</f>
        <v>O</v>
      </c>
      <c r="F118" s="1945"/>
    </row>
    <row r="119" spans="2:51" s="58" customFormat="1" ht="36" customHeight="1">
      <c r="D119" s="267" t="s">
        <v>1821</v>
      </c>
      <c r="E119" s="1802" t="s">
        <v>2805</v>
      </c>
      <c r="F119" s="1945"/>
      <c r="G119" s="1945"/>
      <c r="H119" s="1945"/>
      <c r="I119" s="1945"/>
      <c r="J119" s="1945"/>
      <c r="K119" s="1945"/>
      <c r="L119" s="1945"/>
      <c r="M119" s="1945"/>
      <c r="N119" s="1945"/>
      <c r="O119" s="1945"/>
      <c r="P119" s="1945"/>
      <c r="Q119" s="1945"/>
      <c r="R119" s="1945"/>
      <c r="S119" s="1945"/>
      <c r="T119" s="1945"/>
      <c r="U119" s="1945"/>
      <c r="V119" s="1945"/>
      <c r="W119" s="1945"/>
      <c r="X119" s="1945"/>
      <c r="Y119" s="1945"/>
      <c r="Z119" s="1945"/>
      <c r="AA119" s="1945"/>
      <c r="AB119" s="1945"/>
      <c r="AC119" s="1945"/>
      <c r="AD119" s="1945"/>
      <c r="AE119" s="1945"/>
      <c r="AF119" s="1945"/>
      <c r="AG119" s="1945"/>
      <c r="AH119" s="1945"/>
      <c r="AI119" s="1945"/>
      <c r="AJ119" s="1945"/>
      <c r="AK119" s="1945"/>
    </row>
    <row r="120" spans="2:51" s="382" customFormat="1" ht="36" customHeight="1">
      <c r="B120" s="2268" t="s">
        <v>558</v>
      </c>
      <c r="C120" s="1777"/>
      <c r="D120" s="1778"/>
      <c r="E120" s="2179" t="str">
        <f>'Document Checklist-Full List'!$E$213</f>
        <v>111. Basic architectural design</v>
      </c>
      <c r="F120" s="1777"/>
      <c r="G120" s="1777"/>
      <c r="H120" s="1777"/>
      <c r="I120" s="1777"/>
      <c r="J120" s="1777"/>
      <c r="K120" s="1777"/>
      <c r="L120" s="1777"/>
      <c r="M120" s="1778"/>
      <c r="N120" s="2179" t="str">
        <f>'Document Checklist-Full List'!$N$213</f>
        <v>Basic design, or first-level design, typically refers to the initial stages of planning a structure before getting into specifics.</v>
      </c>
      <c r="O120" s="1777"/>
      <c r="P120" s="1777"/>
      <c r="Q120" s="1777"/>
      <c r="R120" s="1777"/>
      <c r="S120" s="1777"/>
      <c r="T120" s="1777"/>
      <c r="U120" s="1777"/>
      <c r="V120" s="1777"/>
      <c r="W120" s="1777"/>
      <c r="X120" s="1777"/>
      <c r="Y120" s="1777"/>
      <c r="Z120" s="1777"/>
      <c r="AA120" s="1777"/>
      <c r="AB120" s="1777"/>
      <c r="AC120" s="1777"/>
      <c r="AD120" s="1777"/>
      <c r="AE120" s="1778"/>
      <c r="AF120" s="1886" t="s">
        <v>559</v>
      </c>
      <c r="AG120" s="1777"/>
      <c r="AH120" s="1777"/>
      <c r="AI120" s="1777"/>
      <c r="AJ120" s="1777"/>
      <c r="AK120" s="1778"/>
      <c r="AL120" s="1911"/>
      <c r="AM120" s="1862"/>
    </row>
    <row r="121" spans="2:51" s="58" customFormat="1" ht="36" customHeight="1" thickBot="1">
      <c r="E121" s="1802" t="s">
        <v>2806</v>
      </c>
      <c r="F121" s="1945"/>
      <c r="G121" s="1945"/>
      <c r="H121" s="1945"/>
      <c r="I121" s="1945"/>
      <c r="J121" s="1945"/>
      <c r="K121" s="1945"/>
      <c r="L121" s="1945"/>
      <c r="M121" s="1945"/>
      <c r="N121" s="1945"/>
      <c r="O121" s="1945"/>
      <c r="P121" s="1945"/>
      <c r="Q121" s="1945"/>
      <c r="R121" s="1945"/>
      <c r="S121" s="1945"/>
      <c r="T121" s="1945"/>
      <c r="U121" s="1945"/>
      <c r="V121" s="1945"/>
      <c r="W121" s="1945"/>
      <c r="X121" s="1945"/>
      <c r="Y121" s="1945"/>
      <c r="Z121" s="1945"/>
      <c r="AA121" s="1945"/>
      <c r="AB121" s="1945"/>
      <c r="AC121" s="1945"/>
      <c r="AD121" s="1945"/>
      <c r="AE121" s="1945"/>
      <c r="AF121" s="1945"/>
      <c r="AG121" s="1945"/>
      <c r="AH121" s="1945"/>
      <c r="AI121" s="1945"/>
      <c r="AJ121" s="1945"/>
      <c r="AK121" s="1945"/>
    </row>
    <row r="122" spans="2:51" ht="18" customHeight="1" thickTop="1" thickBot="1">
      <c r="C122" s="267" t="s">
        <v>619</v>
      </c>
      <c r="D122" s="2989" t="s">
        <v>2079</v>
      </c>
      <c r="E122" s="2180"/>
      <c r="F122" s="2180"/>
      <c r="G122" s="2180"/>
      <c r="H122" s="2180"/>
      <c r="I122" s="2180"/>
      <c r="J122" s="2180"/>
      <c r="K122" s="2180"/>
      <c r="L122" s="2180"/>
      <c r="M122" s="2180"/>
      <c r="N122" s="2180"/>
      <c r="O122" s="2180"/>
      <c r="P122" s="2180"/>
      <c r="Q122" s="2180"/>
      <c r="R122" s="2180"/>
      <c r="S122" s="2180"/>
      <c r="T122" s="2180"/>
      <c r="U122" s="2180"/>
      <c r="V122" s="2180"/>
      <c r="W122" s="2180"/>
      <c r="X122" s="2180"/>
      <c r="Y122" s="2180"/>
      <c r="Z122" s="2180"/>
      <c r="AA122" s="2180"/>
      <c r="AB122" s="2180"/>
      <c r="AC122" s="2180"/>
      <c r="AD122" s="2180"/>
      <c r="AE122" s="2180"/>
      <c r="AF122" s="2180"/>
      <c r="AG122" s="2180"/>
      <c r="AH122" s="2180"/>
      <c r="AI122" s="2180"/>
      <c r="AJ122" s="2180"/>
      <c r="AK122" s="1889"/>
      <c r="AL122" s="1911"/>
      <c r="AM122" s="1862"/>
      <c r="AX122" s="592"/>
      <c r="AY122" s="592"/>
    </row>
    <row r="123" spans="2:51" ht="63.75" customHeight="1" thickTop="1" thickBot="1">
      <c r="C123" s="264" t="s">
        <v>623</v>
      </c>
      <c r="D123" s="2081" t="s">
        <v>2807</v>
      </c>
      <c r="E123" s="2180"/>
      <c r="F123" s="2180"/>
      <c r="G123" s="2180"/>
      <c r="H123" s="2180"/>
      <c r="I123" s="2180"/>
      <c r="J123" s="2180"/>
      <c r="K123" s="2180"/>
      <c r="L123" s="2180"/>
      <c r="M123" s="2180"/>
      <c r="N123" s="2180"/>
      <c r="O123" s="2180"/>
      <c r="P123" s="2180"/>
      <c r="Q123" s="2180"/>
      <c r="R123" s="2180"/>
      <c r="S123" s="2180"/>
      <c r="T123" s="2180"/>
      <c r="U123" s="2180"/>
      <c r="V123" s="2180"/>
      <c r="W123" s="2180"/>
      <c r="X123" s="2180"/>
      <c r="Y123" s="2180"/>
      <c r="Z123" s="2180"/>
      <c r="AA123" s="2180"/>
      <c r="AB123" s="2180"/>
      <c r="AC123" s="2180"/>
      <c r="AD123" s="2180"/>
      <c r="AE123" s="2180"/>
      <c r="AF123" s="2180"/>
      <c r="AG123" s="2180"/>
      <c r="AH123" s="2180"/>
      <c r="AI123" s="2180"/>
      <c r="AJ123" s="2180"/>
      <c r="AK123" s="2180"/>
      <c r="AL123" s="1911"/>
      <c r="AM123" s="1862"/>
      <c r="AX123" s="592"/>
      <c r="AY123" s="592"/>
    </row>
    <row r="124" spans="2:51" s="58" customFormat="1" ht="36" customHeight="1" thickTop="1" thickBot="1">
      <c r="C124" s="264" t="s">
        <v>627</v>
      </c>
      <c r="D124" s="1802" t="s">
        <v>2808</v>
      </c>
      <c r="E124" s="1945"/>
      <c r="F124" s="1945"/>
      <c r="G124" s="1945"/>
      <c r="H124" s="1945"/>
      <c r="I124" s="1945"/>
      <c r="J124" s="1945"/>
      <c r="K124" s="1945"/>
      <c r="L124" s="1945"/>
      <c r="M124" s="1945"/>
      <c r="N124" s="1945"/>
      <c r="O124" s="1945"/>
      <c r="P124" s="1945"/>
      <c r="Q124" s="1945"/>
      <c r="R124" s="1945"/>
      <c r="S124" s="1945"/>
      <c r="T124" s="1945"/>
      <c r="U124" s="1945"/>
      <c r="V124" s="1945"/>
      <c r="W124" s="1945"/>
      <c r="X124" s="1945"/>
      <c r="Y124" s="1945"/>
      <c r="Z124" s="1945"/>
      <c r="AA124" s="1945"/>
      <c r="AB124" s="1945"/>
      <c r="AC124" s="1945"/>
      <c r="AD124" s="1945"/>
      <c r="AE124" s="1945"/>
      <c r="AF124" s="1945"/>
      <c r="AG124" s="1945"/>
      <c r="AH124" s="1945"/>
      <c r="AI124" s="1945"/>
      <c r="AJ124" s="1945"/>
      <c r="AK124" s="1945"/>
      <c r="AX124" s="593"/>
      <c r="AY124" s="593"/>
    </row>
    <row r="125" spans="2:51" s="58" customFormat="1" ht="18" customHeight="1" thickTop="1" thickBot="1">
      <c r="D125" s="1802" t="s">
        <v>2809</v>
      </c>
      <c r="E125" s="1945"/>
      <c r="F125" s="1945"/>
      <c r="G125" s="1945"/>
      <c r="H125" s="1945"/>
      <c r="I125" s="1945"/>
      <c r="J125" s="1945"/>
      <c r="K125" s="1945"/>
      <c r="L125" s="1945"/>
      <c r="M125" s="1945"/>
      <c r="N125" s="1945"/>
      <c r="O125" s="1945"/>
      <c r="P125" s="1945"/>
      <c r="Q125" s="1945"/>
      <c r="R125" s="1945"/>
      <c r="S125" s="1945"/>
      <c r="T125" s="1945"/>
      <c r="U125" s="1945"/>
      <c r="V125" s="1945"/>
      <c r="W125" s="1945"/>
      <c r="X125" s="1945"/>
      <c r="Y125" s="1945"/>
      <c r="Z125" s="1945"/>
      <c r="AA125" s="1945"/>
      <c r="AB125" s="1945"/>
      <c r="AC125" s="1945"/>
      <c r="AD125" s="1945"/>
      <c r="AE125" s="1945"/>
      <c r="AF125" s="1945"/>
      <c r="AG125" s="1945"/>
      <c r="AH125" s="1945"/>
      <c r="AI125" s="1945"/>
      <c r="AJ125" s="1945"/>
      <c r="AK125" s="1945"/>
      <c r="AL125" s="1911"/>
      <c r="AM125" s="1862"/>
      <c r="AX125" s="593"/>
      <c r="AY125" s="593"/>
    </row>
    <row r="126" spans="2:51" s="58" customFormat="1" ht="36" hidden="1" customHeight="1" thickTop="1" thickBot="1">
      <c r="C126" s="264"/>
      <c r="D126" s="1802" t="s">
        <v>2083</v>
      </c>
      <c r="E126" s="1945"/>
      <c r="F126" s="1945"/>
      <c r="G126" s="1945"/>
      <c r="H126" s="1945"/>
      <c r="I126" s="1945"/>
      <c r="J126" s="1945"/>
      <c r="K126" s="1945"/>
      <c r="L126" s="1945"/>
      <c r="M126" s="1945"/>
      <c r="N126" s="1945"/>
      <c r="O126" s="1945"/>
      <c r="P126" s="1945"/>
      <c r="Q126" s="1945"/>
      <c r="R126" s="1945"/>
      <c r="S126" s="1945"/>
      <c r="T126" s="1945"/>
      <c r="U126" s="1945"/>
      <c r="V126" s="1945"/>
      <c r="W126" s="1945"/>
      <c r="X126" s="1945"/>
      <c r="Y126" s="1945"/>
      <c r="Z126" s="1945"/>
      <c r="AA126" s="1945"/>
      <c r="AB126" s="1945"/>
      <c r="AC126" s="1945"/>
      <c r="AD126" s="1945"/>
      <c r="AE126" s="1945"/>
      <c r="AF126" s="1945"/>
      <c r="AG126" s="1945"/>
      <c r="AH126" s="1945"/>
      <c r="AI126" s="1945"/>
      <c r="AJ126" s="1945"/>
      <c r="AK126" s="1945"/>
      <c r="AL126" s="1911"/>
      <c r="AM126" s="1862"/>
      <c r="AX126" s="593"/>
      <c r="AY126" s="593"/>
    </row>
    <row r="127" spans="2:51" ht="18.75" customHeight="1" thickTop="1" thickBot="1">
      <c r="B127" s="2180" t="s">
        <v>1954</v>
      </c>
      <c r="C127" s="1929"/>
      <c r="D127" s="2180"/>
      <c r="E127" s="2180"/>
      <c r="F127" s="2180"/>
      <c r="G127" s="2180"/>
      <c r="AX127" s="592"/>
      <c r="AY127" s="592"/>
    </row>
    <row r="128" spans="2:51" ht="81" customHeight="1" thickTop="1" thickBot="1">
      <c r="B128" s="2003"/>
      <c r="C128" s="1861"/>
      <c r="D128" s="1861"/>
      <c r="E128" s="1861"/>
      <c r="F128" s="1861"/>
      <c r="G128" s="1861"/>
      <c r="H128" s="1861"/>
      <c r="I128" s="1861"/>
      <c r="J128" s="1861"/>
      <c r="K128" s="1861"/>
      <c r="L128" s="1861"/>
      <c r="M128" s="1861"/>
      <c r="N128" s="1861"/>
      <c r="O128" s="1861"/>
      <c r="P128" s="1861"/>
      <c r="Q128" s="1861"/>
      <c r="R128" s="1861"/>
      <c r="S128" s="1861"/>
      <c r="T128" s="1861"/>
      <c r="U128" s="1861"/>
      <c r="V128" s="1861"/>
      <c r="W128" s="1861"/>
      <c r="X128" s="1861"/>
      <c r="Y128" s="1861"/>
      <c r="Z128" s="1861"/>
      <c r="AA128" s="1861"/>
      <c r="AB128" s="1861"/>
      <c r="AC128" s="1861"/>
      <c r="AD128" s="1861"/>
      <c r="AE128" s="1861"/>
      <c r="AF128" s="1861"/>
      <c r="AG128" s="1861"/>
      <c r="AH128" s="1861"/>
      <c r="AI128" s="1861"/>
      <c r="AJ128" s="1861"/>
      <c r="AK128" s="1861"/>
      <c r="AL128" s="1861"/>
      <c r="AM128" s="1862"/>
      <c r="AX128" s="592"/>
      <c r="AY128" s="592"/>
    </row>
    <row r="129" spans="1:51" s="58" customFormat="1" ht="18" customHeight="1" thickTop="1" thickBot="1">
      <c r="AX129" s="593"/>
      <c r="AY129" s="593"/>
    </row>
    <row r="130" spans="1:51" ht="18" customHeight="1" thickTop="1" thickBot="1">
      <c r="B130" s="244" t="s">
        <v>627</v>
      </c>
      <c r="C130" s="2993" t="str">
        <f>IFERROR(IF(AND(IsMhp,Scoring!$AK$3&gt;=80),"P","O"),"O")</f>
        <v>O</v>
      </c>
      <c r="D130" s="2180"/>
      <c r="AX130" s="592"/>
      <c r="AY130" s="592"/>
    </row>
    <row r="131" spans="1:51" ht="54" customHeight="1" thickTop="1" thickBot="1">
      <c r="B131" s="244" t="s">
        <v>629</v>
      </c>
      <c r="C131" s="2989" t="s">
        <v>2084</v>
      </c>
      <c r="D131" s="2180"/>
      <c r="E131" s="2180"/>
      <c r="F131" s="2180"/>
      <c r="G131" s="2180"/>
      <c r="H131" s="2180"/>
      <c r="I131" s="2180"/>
      <c r="J131" s="2180"/>
      <c r="K131" s="2180"/>
      <c r="L131" s="2180"/>
      <c r="M131" s="2180"/>
      <c r="N131" s="2180"/>
      <c r="O131" s="2180"/>
      <c r="P131" s="2180"/>
      <c r="Q131" s="2180"/>
      <c r="R131" s="2180"/>
      <c r="S131" s="2180"/>
      <c r="T131" s="2180"/>
      <c r="U131" s="2180"/>
      <c r="V131" s="2180"/>
      <c r="W131" s="2180"/>
      <c r="X131" s="2180"/>
      <c r="Y131" s="2180"/>
      <c r="Z131" s="2180"/>
      <c r="AA131" s="2180"/>
      <c r="AB131" s="2180"/>
      <c r="AC131" s="2180"/>
      <c r="AD131" s="2180"/>
      <c r="AE131" s="2180"/>
      <c r="AF131" s="2180"/>
      <c r="AG131" s="2180"/>
      <c r="AH131" s="2180"/>
      <c r="AI131" s="2180"/>
      <c r="AJ131" s="2180"/>
      <c r="AK131" s="1889"/>
      <c r="AL131" s="1911"/>
      <c r="AM131" s="1862"/>
      <c r="AX131" s="592"/>
      <c r="AY131" s="592"/>
    </row>
    <row r="132" spans="1:51" ht="77.849999999999994" customHeight="1" thickTop="1" thickBot="1">
      <c r="A132" s="1723"/>
      <c r="B132" s="244" t="s">
        <v>1974</v>
      </c>
      <c r="C132" s="2989" t="s">
        <v>2810</v>
      </c>
      <c r="D132" s="2180"/>
      <c r="E132" s="2180"/>
      <c r="F132" s="2180"/>
      <c r="G132" s="2180"/>
      <c r="H132" s="2180"/>
      <c r="I132" s="2180"/>
      <c r="J132" s="2180"/>
      <c r="K132" s="2180"/>
      <c r="L132" s="2180"/>
      <c r="M132" s="2180"/>
      <c r="N132" s="2180"/>
      <c r="O132" s="2180"/>
      <c r="P132" s="2180"/>
      <c r="Q132" s="2180"/>
      <c r="R132" s="2180"/>
      <c r="S132" s="2180"/>
      <c r="T132" s="2180"/>
      <c r="U132" s="2180"/>
      <c r="V132" s="2180"/>
      <c r="W132" s="2180"/>
      <c r="X132" s="2180"/>
      <c r="Y132" s="2180"/>
      <c r="Z132" s="2180"/>
      <c r="AA132" s="2180"/>
      <c r="AB132" s="2180"/>
      <c r="AC132" s="2180"/>
      <c r="AD132" s="2180"/>
      <c r="AE132" s="2180"/>
      <c r="AF132" s="2180"/>
      <c r="AG132" s="2180"/>
      <c r="AH132" s="2180"/>
      <c r="AI132" s="2180"/>
      <c r="AJ132" s="2180"/>
      <c r="AK132" s="1889"/>
      <c r="AL132" s="1911"/>
      <c r="AM132" s="1862"/>
      <c r="AX132" s="592"/>
      <c r="AY132" s="592"/>
    </row>
    <row r="133" spans="1:51" s="640" customFormat="1" ht="18" customHeight="1" thickTop="1">
      <c r="C133" s="571" t="s">
        <v>613</v>
      </c>
      <c r="D133" s="1802" t="s">
        <v>2811</v>
      </c>
      <c r="E133" s="3199"/>
      <c r="F133" s="3199"/>
      <c r="G133" s="3199"/>
      <c r="H133" s="3199"/>
      <c r="I133" s="3199"/>
      <c r="J133" s="3199"/>
      <c r="K133" s="3199"/>
      <c r="L133" s="3199"/>
      <c r="M133" s="3199"/>
      <c r="N133" s="3199"/>
      <c r="O133" s="3199"/>
      <c r="P133" s="3199"/>
      <c r="Q133" s="3199"/>
      <c r="R133" s="3199"/>
      <c r="S133" s="3199"/>
      <c r="T133" s="3199"/>
      <c r="U133" s="3199"/>
      <c r="V133" s="3199"/>
      <c r="W133" s="3199"/>
      <c r="X133" s="3199"/>
      <c r="Y133" s="3199"/>
      <c r="Z133" s="3199"/>
      <c r="AA133" s="3199"/>
      <c r="AB133" s="3199"/>
      <c r="AC133" s="3199"/>
      <c r="AD133" s="3199"/>
      <c r="AE133" s="3199"/>
      <c r="AF133" s="3199"/>
      <c r="AG133" s="3199"/>
      <c r="AH133" s="3199"/>
      <c r="AI133" s="3199"/>
      <c r="AJ133" s="3199"/>
      <c r="AK133" s="3199"/>
    </row>
    <row r="134" spans="1:51" s="640" customFormat="1" ht="18" customHeight="1">
      <c r="C134" s="571" t="s">
        <v>615</v>
      </c>
      <c r="D134" s="1802" t="s">
        <v>2812</v>
      </c>
      <c r="E134" s="3199"/>
      <c r="F134" s="3199"/>
      <c r="G134" s="3199"/>
      <c r="H134" s="3199"/>
      <c r="I134" s="3199"/>
      <c r="J134" s="3199"/>
      <c r="K134" s="3199"/>
      <c r="L134" s="3199"/>
      <c r="M134" s="3199"/>
      <c r="N134" s="3199"/>
      <c r="O134" s="3199"/>
      <c r="P134" s="3199"/>
      <c r="Q134" s="3199"/>
      <c r="R134" s="3199"/>
      <c r="S134" s="3199"/>
      <c r="T134" s="3199"/>
      <c r="U134" s="3199"/>
      <c r="V134" s="3199"/>
      <c r="W134" s="3199"/>
      <c r="X134" s="3199"/>
      <c r="Y134" s="3199"/>
      <c r="Z134" s="3199"/>
      <c r="AA134" s="3199"/>
      <c r="AB134" s="3199"/>
      <c r="AC134" s="3199"/>
      <c r="AD134" s="3199"/>
      <c r="AE134" s="3199"/>
      <c r="AF134" s="3199"/>
      <c r="AG134" s="3199"/>
      <c r="AH134" s="3199"/>
      <c r="AI134" s="3199"/>
      <c r="AJ134" s="3199"/>
      <c r="AK134" s="3199"/>
    </row>
    <row r="135" spans="1:51" s="640" customFormat="1" ht="36" customHeight="1">
      <c r="C135" s="571" t="s">
        <v>617</v>
      </c>
      <c r="D135" s="1802" t="s">
        <v>2813</v>
      </c>
      <c r="E135" s="3199"/>
      <c r="F135" s="3199"/>
      <c r="G135" s="3199"/>
      <c r="H135" s="3199"/>
      <c r="I135" s="3199"/>
      <c r="J135" s="3199"/>
      <c r="K135" s="3199"/>
      <c r="L135" s="3199"/>
      <c r="M135" s="3199"/>
      <c r="N135" s="3199"/>
      <c r="O135" s="3199"/>
      <c r="P135" s="3199"/>
      <c r="Q135" s="3199"/>
      <c r="R135" s="3199"/>
      <c r="S135" s="3199"/>
      <c r="T135" s="3199"/>
      <c r="U135" s="3199"/>
      <c r="V135" s="3199"/>
      <c r="W135" s="3199"/>
      <c r="X135" s="3199"/>
      <c r="Y135" s="3199"/>
      <c r="Z135" s="3199"/>
      <c r="AA135" s="3199"/>
      <c r="AB135" s="3199"/>
      <c r="AC135" s="3199"/>
      <c r="AD135" s="3199"/>
      <c r="AE135" s="3199"/>
      <c r="AF135" s="3199"/>
      <c r="AG135" s="3199"/>
      <c r="AH135" s="3199"/>
      <c r="AI135" s="3199"/>
      <c r="AJ135" s="3199"/>
      <c r="AK135" s="3199"/>
    </row>
    <row r="136" spans="1:51" s="640" customFormat="1" ht="18" customHeight="1" thickBot="1">
      <c r="D136" s="2180" t="s">
        <v>2814</v>
      </c>
      <c r="E136" s="3199"/>
      <c r="F136" s="3199"/>
      <c r="G136" s="3199"/>
      <c r="H136" s="3199"/>
      <c r="I136" s="3199"/>
      <c r="J136" s="3199"/>
      <c r="K136" s="3199"/>
      <c r="L136" s="3199"/>
      <c r="M136" s="3199"/>
      <c r="N136" s="3199"/>
      <c r="O136" s="3199"/>
      <c r="P136" s="3199"/>
      <c r="Q136" s="3199"/>
      <c r="R136" s="3199"/>
      <c r="S136" s="3199"/>
      <c r="T136" s="3199"/>
      <c r="U136" s="3199"/>
      <c r="V136" s="3199"/>
      <c r="W136" s="3199"/>
      <c r="X136" s="3199"/>
      <c r="Y136" s="3199"/>
      <c r="Z136" s="3199"/>
      <c r="AA136" s="3199"/>
      <c r="AB136" s="3199"/>
      <c r="AC136" s="3199"/>
      <c r="AD136" s="3199"/>
      <c r="AE136" s="3199"/>
      <c r="AF136" s="3199"/>
      <c r="AG136" s="3199"/>
      <c r="AH136" s="3199"/>
      <c r="AI136" s="3199"/>
      <c r="AJ136" s="3199"/>
      <c r="AK136" s="3199"/>
      <c r="AL136" s="1911"/>
      <c r="AM136" s="1862"/>
    </row>
    <row r="137" spans="1:51" s="640" customFormat="1" ht="52.5" hidden="1" customHeight="1" thickBot="1">
      <c r="B137" s="2268" t="s">
        <v>558</v>
      </c>
      <c r="C137" s="1777"/>
      <c r="D137" s="1778"/>
      <c r="E137" s="2179" t="str">
        <f>'Document Checklist-Full List'!$E$214</f>
        <v>112. Proposed Rents - Needs</v>
      </c>
      <c r="F137" s="1777"/>
      <c r="G137" s="1777"/>
      <c r="H137" s="1777"/>
      <c r="I137" s="1777"/>
      <c r="J137" s="1777"/>
      <c r="K137" s="1777"/>
      <c r="L137" s="1777"/>
      <c r="M137" s="1778"/>
      <c r="N137" s="2179" t="str">
        <f>'Document Checklist-Full List'!$N$214</f>
        <v>Third-party documentation of anticipated public cash assistance payment levels shall be provided in the application which supports the need for the proposed rents.</v>
      </c>
      <c r="O137" s="1777"/>
      <c r="P137" s="1777"/>
      <c r="Q137" s="1777"/>
      <c r="R137" s="1777"/>
      <c r="S137" s="1777"/>
      <c r="T137" s="1777"/>
      <c r="U137" s="1777"/>
      <c r="V137" s="1777"/>
      <c r="W137" s="1777"/>
      <c r="X137" s="1777"/>
      <c r="Y137" s="1777"/>
      <c r="Z137" s="1777"/>
      <c r="AA137" s="1777"/>
      <c r="AB137" s="1777"/>
      <c r="AC137" s="1777"/>
      <c r="AD137" s="1777"/>
      <c r="AE137" s="1778"/>
      <c r="AF137" s="1886" t="s">
        <v>559</v>
      </c>
      <c r="AG137" s="1777"/>
      <c r="AH137" s="1777"/>
      <c r="AI137" s="1777"/>
      <c r="AJ137" s="1777"/>
      <c r="AK137" s="1778"/>
      <c r="AL137" s="1911"/>
      <c r="AM137" s="1862"/>
    </row>
    <row r="138" spans="1:51" ht="18" customHeight="1" thickTop="1" thickBot="1">
      <c r="B138" s="244" t="s">
        <v>1977</v>
      </c>
      <c r="C138" s="2993" t="str">
        <f>IF(AND(IsMhp,'Project Overview'!$AL$499="Yes"),"P","O")</f>
        <v>O</v>
      </c>
      <c r="D138" s="2180"/>
      <c r="E138" s="1802"/>
      <c r="F138" s="2180"/>
      <c r="G138" s="2180"/>
      <c r="H138" s="2180"/>
      <c r="I138" s="2180"/>
      <c r="J138" s="2180"/>
      <c r="K138" s="2180"/>
      <c r="L138" s="2180"/>
      <c r="M138" s="2180"/>
      <c r="N138" s="2180"/>
      <c r="O138" s="2180"/>
      <c r="P138" s="2180"/>
      <c r="Q138" s="2180"/>
      <c r="R138" s="2180"/>
      <c r="S138" s="2180"/>
      <c r="T138" s="2180"/>
      <c r="U138" s="2180"/>
      <c r="V138" s="2180"/>
      <c r="W138" s="2180"/>
      <c r="X138" s="2180"/>
      <c r="Y138" s="2180"/>
      <c r="Z138" s="2180"/>
      <c r="AA138" s="2180"/>
      <c r="AB138" s="2180"/>
      <c r="AC138" s="2180"/>
      <c r="AD138" s="2180"/>
      <c r="AE138" s="2180"/>
      <c r="AF138" s="2180"/>
      <c r="AG138" s="2180"/>
      <c r="AH138" s="2180"/>
      <c r="AI138" s="2180"/>
      <c r="AJ138" s="2180"/>
      <c r="AK138" s="2180"/>
      <c r="AL138" s="382"/>
      <c r="AM138" s="382"/>
      <c r="AN138" s="382"/>
      <c r="AO138" s="382"/>
      <c r="AP138" s="382"/>
      <c r="AQ138" s="382"/>
      <c r="AR138" s="382"/>
      <c r="AS138" s="382"/>
      <c r="AT138" s="382"/>
      <c r="AU138" s="382"/>
      <c r="AV138" s="382"/>
      <c r="AW138" s="382"/>
      <c r="AX138" s="592"/>
      <c r="AY138" s="592"/>
    </row>
    <row r="139" spans="1:51" ht="18" customHeight="1" thickTop="1" thickBot="1">
      <c r="B139" s="244" t="s">
        <v>648</v>
      </c>
      <c r="C139" s="2993" t="str">
        <f>IF(AND(IsMhp,'Project Overview'!$AL$505="Yes"),"P","O")</f>
        <v>O</v>
      </c>
      <c r="D139" s="2180"/>
      <c r="E139" s="1802"/>
      <c r="F139" s="2180"/>
      <c r="G139" s="2180"/>
      <c r="H139" s="2180"/>
      <c r="I139" s="2180"/>
      <c r="J139" s="2180"/>
      <c r="K139" s="2180"/>
      <c r="L139" s="2180"/>
      <c r="M139" s="2180"/>
      <c r="N139" s="2180"/>
      <c r="O139" s="2180"/>
      <c r="P139" s="2180"/>
      <c r="Q139" s="2180"/>
      <c r="R139" s="2180"/>
      <c r="S139" s="2180"/>
      <c r="T139" s="2180"/>
      <c r="U139" s="2180"/>
      <c r="V139" s="2180"/>
      <c r="W139" s="2180"/>
      <c r="X139" s="2180"/>
      <c r="Y139" s="2180"/>
      <c r="Z139" s="2180"/>
      <c r="AA139" s="2180"/>
      <c r="AB139" s="2180"/>
      <c r="AC139" s="2180"/>
      <c r="AD139" s="2180"/>
      <c r="AE139" s="2180"/>
      <c r="AF139" s="2180"/>
      <c r="AG139" s="2180"/>
      <c r="AH139" s="2180"/>
      <c r="AI139" s="2180"/>
      <c r="AJ139" s="2180"/>
      <c r="AK139" s="2180"/>
      <c r="AL139" s="382"/>
      <c r="AM139" s="382"/>
      <c r="AN139" s="382"/>
      <c r="AO139" s="382"/>
      <c r="AP139" s="382"/>
      <c r="AQ139" s="382"/>
      <c r="AR139" s="382"/>
      <c r="AS139" s="382"/>
      <c r="AT139" s="382"/>
      <c r="AU139" s="382"/>
      <c r="AV139" s="382"/>
      <c r="AW139" s="382"/>
      <c r="AX139" s="592"/>
      <c r="AY139" s="592"/>
    </row>
    <row r="140" spans="1:51" s="58" customFormat="1" ht="36" customHeight="1" thickTop="1" thickBot="1">
      <c r="B140" s="244" t="s">
        <v>1980</v>
      </c>
      <c r="C140" s="1802" t="s">
        <v>2086</v>
      </c>
      <c r="D140" s="1945"/>
      <c r="E140" s="1945"/>
      <c r="F140" s="1945"/>
      <c r="G140" s="1945"/>
      <c r="H140" s="1945"/>
      <c r="I140" s="1945"/>
      <c r="J140" s="1945"/>
      <c r="K140" s="1945"/>
      <c r="L140" s="1945"/>
      <c r="M140" s="1945"/>
      <c r="N140" s="1945"/>
      <c r="O140" s="1945"/>
      <c r="P140" s="1945"/>
      <c r="Q140" s="1945"/>
      <c r="R140" s="1945"/>
      <c r="S140" s="1945"/>
      <c r="T140" s="1945"/>
      <c r="U140" s="1945"/>
      <c r="V140" s="1945"/>
      <c r="W140" s="1945"/>
      <c r="X140" s="1945"/>
      <c r="Y140" s="1945"/>
      <c r="Z140" s="1945"/>
      <c r="AA140" s="1945"/>
      <c r="AB140" s="1945"/>
      <c r="AC140" s="1945"/>
      <c r="AD140" s="1945"/>
      <c r="AE140" s="1945"/>
      <c r="AF140" s="1945"/>
      <c r="AG140" s="1945"/>
      <c r="AH140" s="1945"/>
      <c r="AI140" s="1945"/>
      <c r="AJ140" s="1945"/>
      <c r="AK140" s="1945"/>
      <c r="AL140" s="1911"/>
      <c r="AM140" s="1862"/>
      <c r="AX140" s="593"/>
      <c r="AY140" s="593"/>
    </row>
    <row r="141" spans="1:51" ht="18" customHeight="1" thickTop="1" thickBot="1">
      <c r="B141" s="244" t="s">
        <v>1985</v>
      </c>
      <c r="C141" s="2993" t="str">
        <f>IF(AND(IsMhp,'Project Overview'!$AL$152="Yes"),"P","O")</f>
        <v>O</v>
      </c>
      <c r="D141" s="2180"/>
      <c r="E141" s="382"/>
      <c r="F141" s="382"/>
      <c r="G141" s="382"/>
      <c r="H141" s="382"/>
      <c r="I141" s="382"/>
      <c r="J141" s="382"/>
      <c r="K141" s="382"/>
      <c r="L141" s="382"/>
      <c r="M141" s="382"/>
      <c r="N141" s="382"/>
      <c r="O141" s="382"/>
      <c r="P141" s="382"/>
      <c r="Q141" s="382"/>
      <c r="R141" s="382"/>
      <c r="S141" s="382"/>
      <c r="T141" s="382"/>
      <c r="U141" s="382"/>
      <c r="V141" s="382"/>
      <c r="W141" s="382"/>
      <c r="X141" s="382"/>
      <c r="Y141" s="382"/>
      <c r="Z141" s="382"/>
      <c r="AA141" s="382"/>
      <c r="AB141" s="382"/>
      <c r="AC141" s="382"/>
      <c r="AD141" s="382"/>
      <c r="AE141" s="382"/>
      <c r="AF141" s="382"/>
      <c r="AG141" s="382"/>
      <c r="AH141" s="382"/>
      <c r="AI141" s="382"/>
      <c r="AJ141" s="382"/>
      <c r="AK141" s="382"/>
      <c r="AL141" s="382"/>
      <c r="AM141" s="382"/>
      <c r="AX141" s="592"/>
      <c r="AY141" s="592"/>
    </row>
    <row r="142" spans="1:51" ht="66" customHeight="1" thickTop="1" thickBot="1">
      <c r="B142" s="244" t="s">
        <v>1987</v>
      </c>
      <c r="C142" s="1802" t="s">
        <v>2815</v>
      </c>
      <c r="D142" s="2180"/>
      <c r="E142" s="2180"/>
      <c r="F142" s="2180"/>
      <c r="G142" s="2180"/>
      <c r="H142" s="2180"/>
      <c r="I142" s="2180"/>
      <c r="J142" s="2180"/>
      <c r="K142" s="2180"/>
      <c r="L142" s="2180"/>
      <c r="M142" s="2180"/>
      <c r="N142" s="2180"/>
      <c r="O142" s="2180"/>
      <c r="P142" s="2180"/>
      <c r="Q142" s="2180"/>
      <c r="R142" s="2180"/>
      <c r="S142" s="2180"/>
      <c r="T142" s="2180"/>
      <c r="U142" s="2180"/>
      <c r="V142" s="2180"/>
      <c r="W142" s="2180"/>
      <c r="X142" s="2180"/>
      <c r="Y142" s="2180"/>
      <c r="Z142" s="2180"/>
      <c r="AA142" s="2180"/>
      <c r="AB142" s="2180"/>
      <c r="AC142" s="2180"/>
      <c r="AD142" s="2180"/>
      <c r="AE142" s="2180"/>
      <c r="AF142" s="2180"/>
      <c r="AG142" s="2180"/>
      <c r="AH142" s="2180"/>
      <c r="AI142" s="2180"/>
      <c r="AJ142" s="2180"/>
      <c r="AK142" s="2180"/>
      <c r="AL142" s="1911"/>
      <c r="AM142" s="1862"/>
      <c r="AX142" s="592"/>
      <c r="AY142" s="592"/>
    </row>
    <row r="143" spans="1:51" ht="30" customHeight="1" thickTop="1" thickBot="1">
      <c r="B143" s="244" t="s">
        <v>2001</v>
      </c>
      <c r="C143" s="1802" t="s">
        <v>2816</v>
      </c>
      <c r="D143" s="2180"/>
      <c r="E143" s="2180"/>
      <c r="F143" s="2180"/>
      <c r="G143" s="2180"/>
      <c r="H143" s="2180"/>
      <c r="I143" s="2180"/>
      <c r="J143" s="2180"/>
      <c r="K143" s="2180"/>
      <c r="L143" s="2180"/>
      <c r="M143" s="2180"/>
      <c r="N143" s="2180"/>
      <c r="O143" s="2180"/>
      <c r="P143" s="2180"/>
      <c r="Q143" s="2180"/>
      <c r="R143" s="2180"/>
      <c r="S143" s="2180"/>
      <c r="T143" s="2180"/>
      <c r="U143" s="2180"/>
      <c r="V143" s="2180"/>
      <c r="W143" s="2180"/>
      <c r="X143" s="2180"/>
      <c r="Y143" s="2180"/>
      <c r="Z143" s="2180"/>
      <c r="AA143" s="2180"/>
      <c r="AB143" s="2180"/>
      <c r="AC143" s="2180"/>
      <c r="AD143" s="2180"/>
      <c r="AE143" s="2180"/>
      <c r="AF143" s="2180"/>
      <c r="AG143" s="2180"/>
      <c r="AH143" s="2180"/>
      <c r="AI143" s="2180"/>
      <c r="AJ143" s="2180"/>
      <c r="AK143" s="2180"/>
      <c r="AL143" s="1911"/>
      <c r="AM143" s="1862"/>
      <c r="AX143" s="592"/>
      <c r="AY143" s="592"/>
    </row>
    <row r="144" spans="1:51" s="58" customFormat="1" ht="77.25" customHeight="1" thickTop="1" thickBot="1">
      <c r="B144" s="2268" t="s">
        <v>558</v>
      </c>
      <c r="C144" s="1777"/>
      <c r="D144" s="1778"/>
      <c r="E144" s="2179" t="str">
        <f>'Document Checklist-Full List'!$E$215</f>
        <v>113. Service Amenity List</v>
      </c>
      <c r="F144" s="1777"/>
      <c r="G144" s="1777"/>
      <c r="H144" s="1777"/>
      <c r="I144" s="1777"/>
      <c r="J144" s="1777"/>
      <c r="K144" s="1777"/>
      <c r="L144" s="1777"/>
      <c r="M144" s="1778"/>
      <c r="N144" s="2179" t="str">
        <f>'Document Checklist-Full List'!$N$215</f>
        <v xml:space="preserve">Projects that do not include Special Needs Units shall provide service amenities sufficient to achieve a minimum score of 7 points pursuant to TCAC Regulations, as set forth in CCR Title 4 §10325(c)(4)(B)List of service amenities qualifying for TCAC points, include service amenity name, number of service hours, and amount of TCAC points earned. </v>
      </c>
      <c r="O144" s="1777"/>
      <c r="P144" s="1777"/>
      <c r="Q144" s="1777"/>
      <c r="R144" s="1777"/>
      <c r="S144" s="1777"/>
      <c r="T144" s="1777"/>
      <c r="U144" s="1777"/>
      <c r="V144" s="1777"/>
      <c r="W144" s="1777"/>
      <c r="X144" s="1777"/>
      <c r="Y144" s="1777"/>
      <c r="Z144" s="1777"/>
      <c r="AA144" s="1777"/>
      <c r="AB144" s="1777"/>
      <c r="AC144" s="1777"/>
      <c r="AD144" s="1777"/>
      <c r="AE144" s="1778"/>
      <c r="AF144" s="1886" t="s">
        <v>559</v>
      </c>
      <c r="AG144" s="1777"/>
      <c r="AH144" s="1777"/>
      <c r="AI144" s="1777"/>
      <c r="AJ144" s="1777"/>
      <c r="AK144" s="1778"/>
      <c r="AL144" s="1911"/>
      <c r="AM144" s="1862"/>
      <c r="AX144" s="593"/>
      <c r="AY144" s="593"/>
    </row>
    <row r="145" spans="2:51" ht="18" customHeight="1" thickTop="1" thickBot="1">
      <c r="B145" s="244" t="s">
        <v>2005</v>
      </c>
      <c r="C145" s="2180" t="s">
        <v>2817</v>
      </c>
      <c r="D145" s="2180"/>
      <c r="E145" s="2180"/>
      <c r="F145" s="2180"/>
      <c r="G145" s="2180"/>
      <c r="H145" s="2180"/>
      <c r="I145" s="2180"/>
      <c r="J145" s="2180"/>
      <c r="K145" s="2180"/>
      <c r="L145" s="2180"/>
      <c r="M145" s="2180"/>
      <c r="N145" s="2180"/>
      <c r="O145" s="2180"/>
      <c r="P145" s="2180"/>
      <c r="Q145" s="2180"/>
      <c r="R145" s="2180"/>
      <c r="S145" s="2180"/>
      <c r="T145" s="2180"/>
      <c r="U145" s="2180"/>
      <c r="V145" s="2180"/>
      <c r="W145" s="2180"/>
      <c r="X145" s="2180"/>
      <c r="Y145" s="2180"/>
      <c r="Z145" s="2180"/>
      <c r="AC145" s="58"/>
      <c r="AF145" s="382"/>
      <c r="AG145" s="382"/>
      <c r="AH145" s="382"/>
      <c r="AI145" s="382"/>
      <c r="AJ145" s="382"/>
      <c r="AK145" s="382"/>
      <c r="AL145" s="1911"/>
      <c r="AM145" s="1862"/>
      <c r="AX145" s="592"/>
      <c r="AY145" s="592"/>
    </row>
    <row r="146" spans="2:51" ht="36" customHeight="1" thickTop="1" thickBot="1">
      <c r="B146" s="244" t="s">
        <v>2007</v>
      </c>
      <c r="C146" s="1802" t="s">
        <v>2091</v>
      </c>
      <c r="D146" s="2180"/>
      <c r="E146" s="2180"/>
      <c r="F146" s="2180"/>
      <c r="G146" s="2180"/>
      <c r="H146" s="2180"/>
      <c r="I146" s="2180"/>
      <c r="J146" s="2180"/>
      <c r="K146" s="2180"/>
      <c r="L146" s="2180"/>
      <c r="M146" s="2180"/>
      <c r="N146" s="2180"/>
      <c r="O146" s="2180"/>
      <c r="P146" s="2180"/>
      <c r="Q146" s="2180"/>
      <c r="R146" s="2180"/>
      <c r="S146" s="2180"/>
      <c r="T146" s="2180"/>
      <c r="U146" s="2180"/>
      <c r="V146" s="2180"/>
      <c r="W146" s="2180"/>
      <c r="X146" s="2180"/>
      <c r="Y146" s="2180"/>
      <c r="Z146" s="2180"/>
      <c r="AA146" s="2180"/>
      <c r="AB146" s="2180"/>
      <c r="AC146" s="2180"/>
      <c r="AD146" s="2180"/>
      <c r="AE146" s="2180"/>
      <c r="AF146" s="2180"/>
      <c r="AG146" s="2180"/>
      <c r="AH146" s="2180"/>
      <c r="AI146" s="2180"/>
      <c r="AJ146" s="2180"/>
      <c r="AL146" s="1911"/>
      <c r="AM146" s="1862"/>
      <c r="AX146" s="592"/>
      <c r="AY146" s="592"/>
    </row>
    <row r="147" spans="2:51" ht="78" customHeight="1" thickTop="1" thickBot="1">
      <c r="B147" s="244"/>
      <c r="C147" s="269" t="s">
        <v>613</v>
      </c>
      <c r="D147" s="1802" t="s">
        <v>2092</v>
      </c>
      <c r="E147" s="2180"/>
      <c r="F147" s="2180"/>
      <c r="G147" s="2180"/>
      <c r="H147" s="2180"/>
      <c r="I147" s="2180"/>
      <c r="J147" s="2180"/>
      <c r="K147" s="2180"/>
      <c r="L147" s="2180"/>
      <c r="M147" s="2180"/>
      <c r="N147" s="2180"/>
      <c r="O147" s="2180"/>
      <c r="P147" s="2180"/>
      <c r="Q147" s="2180"/>
      <c r="R147" s="2180"/>
      <c r="S147" s="2180"/>
      <c r="T147" s="2180"/>
      <c r="U147" s="2180"/>
      <c r="V147" s="2180"/>
      <c r="W147" s="2180"/>
      <c r="X147" s="2180"/>
      <c r="Y147" s="2180"/>
      <c r="Z147" s="2180"/>
      <c r="AA147" s="2180"/>
      <c r="AB147" s="2180"/>
      <c r="AC147" s="2180"/>
      <c r="AD147" s="2180"/>
      <c r="AE147" s="2180"/>
      <c r="AF147" s="2180"/>
      <c r="AG147" s="2180"/>
      <c r="AH147" s="2180"/>
      <c r="AI147" s="2180"/>
      <c r="AJ147" s="2180"/>
      <c r="AK147" s="2180"/>
      <c r="AL147" s="382"/>
      <c r="AM147" s="382"/>
      <c r="AX147" s="592"/>
      <c r="AY147" s="592"/>
    </row>
    <row r="148" spans="2:51" ht="79.5" customHeight="1" thickTop="1" thickBot="1">
      <c r="B148" s="244"/>
      <c r="C148" s="269" t="s">
        <v>615</v>
      </c>
      <c r="D148" s="1802" t="s">
        <v>2818</v>
      </c>
      <c r="E148" s="2180"/>
      <c r="F148" s="2180"/>
      <c r="G148" s="2180"/>
      <c r="H148" s="2180"/>
      <c r="I148" s="2180"/>
      <c r="J148" s="2180"/>
      <c r="K148" s="2180"/>
      <c r="L148" s="2180"/>
      <c r="M148" s="2180"/>
      <c r="N148" s="2180"/>
      <c r="O148" s="2180"/>
      <c r="P148" s="2180"/>
      <c r="Q148" s="2180"/>
      <c r="R148" s="2180"/>
      <c r="S148" s="2180"/>
      <c r="T148" s="2180"/>
      <c r="U148" s="2180"/>
      <c r="V148" s="2180"/>
      <c r="W148" s="2180"/>
      <c r="X148" s="2180"/>
      <c r="Y148" s="2180"/>
      <c r="Z148" s="2180"/>
      <c r="AA148" s="2180"/>
      <c r="AB148" s="2180"/>
      <c r="AC148" s="2180"/>
      <c r="AD148" s="2180"/>
      <c r="AE148" s="2180"/>
      <c r="AF148" s="2180"/>
      <c r="AG148" s="2180"/>
      <c r="AH148" s="2180"/>
      <c r="AI148" s="2180"/>
      <c r="AJ148" s="2180"/>
      <c r="AK148" s="2180"/>
      <c r="AL148" s="382"/>
      <c r="AM148" s="382"/>
      <c r="AX148" s="592"/>
      <c r="AY148" s="592"/>
    </row>
    <row r="149" spans="2:51" ht="18" hidden="1" customHeight="1" thickTop="1" thickBot="1">
      <c r="B149" s="244"/>
      <c r="C149" s="269" t="s">
        <v>617</v>
      </c>
      <c r="D149" s="2989" t="s">
        <v>2094</v>
      </c>
      <c r="E149" s="2180"/>
      <c r="F149" s="2180"/>
      <c r="G149" s="2180"/>
      <c r="H149" s="2180"/>
      <c r="I149" s="2180"/>
      <c r="J149" s="2180"/>
      <c r="K149" s="2180"/>
      <c r="L149" s="2180"/>
      <c r="M149" s="2180"/>
      <c r="N149" s="2180"/>
      <c r="O149" s="2180"/>
      <c r="P149" s="2180"/>
      <c r="Q149" s="2180"/>
      <c r="R149" s="2180"/>
      <c r="S149" s="2180"/>
      <c r="T149" s="2180"/>
      <c r="U149" s="2180"/>
      <c r="V149" s="2180"/>
      <c r="W149" s="2180"/>
      <c r="X149" s="2180"/>
      <c r="Y149" s="2180"/>
      <c r="Z149" s="2180"/>
      <c r="AA149" s="2180"/>
      <c r="AB149" s="2180"/>
      <c r="AC149" s="2180"/>
      <c r="AD149" s="2180"/>
      <c r="AE149" s="2180"/>
      <c r="AF149" s="2180"/>
      <c r="AG149" s="2180"/>
      <c r="AH149" s="2180"/>
      <c r="AI149" s="2180"/>
      <c r="AJ149" s="2180"/>
      <c r="AK149" s="1889"/>
      <c r="AL149" s="1911"/>
      <c r="AM149" s="1862"/>
      <c r="AX149" s="592"/>
      <c r="AY149" s="592"/>
    </row>
    <row r="150" spans="2:51" ht="18" hidden="1" customHeight="1" thickTop="1" thickBot="1">
      <c r="B150" s="271"/>
      <c r="C150" s="267"/>
      <c r="D150" s="267" t="s">
        <v>1989</v>
      </c>
      <c r="E150" s="1802" t="s">
        <v>2095</v>
      </c>
      <c r="F150" s="2180"/>
      <c r="G150" s="2180"/>
      <c r="H150" s="2180"/>
      <c r="I150" s="2180"/>
      <c r="J150" s="2180"/>
      <c r="K150" s="2180"/>
      <c r="L150" s="2180"/>
      <c r="M150" s="2180"/>
      <c r="N150" s="2180"/>
      <c r="O150" s="2180"/>
      <c r="P150" s="2180"/>
      <c r="Q150" s="2180"/>
      <c r="R150" s="2180"/>
      <c r="S150" s="2180"/>
      <c r="T150" s="2180"/>
      <c r="U150" s="2180"/>
      <c r="V150" s="2180"/>
      <c r="W150" s="2180"/>
      <c r="X150" s="2180"/>
      <c r="Y150" s="2180"/>
      <c r="Z150" s="2180"/>
      <c r="AA150" s="2180"/>
      <c r="AB150" s="2180"/>
      <c r="AC150" s="2180"/>
      <c r="AD150" s="2180"/>
      <c r="AE150" s="2180"/>
      <c r="AF150" s="2180"/>
      <c r="AG150" s="2180"/>
      <c r="AH150" s="2180"/>
      <c r="AI150" s="2180"/>
      <c r="AJ150" s="2180"/>
      <c r="AK150" s="2180"/>
      <c r="AX150" s="592"/>
      <c r="AY150" s="592"/>
    </row>
    <row r="151" spans="2:51" ht="18" hidden="1" customHeight="1" thickTop="1" thickBot="1">
      <c r="B151" s="271"/>
      <c r="C151" s="267"/>
      <c r="D151" s="267" t="s">
        <v>1990</v>
      </c>
      <c r="E151" s="2180" t="s">
        <v>2096</v>
      </c>
      <c r="F151" s="2180"/>
      <c r="G151" s="2180"/>
      <c r="H151" s="2180"/>
      <c r="I151" s="2180"/>
      <c r="J151" s="2180"/>
      <c r="K151" s="2180"/>
      <c r="L151" s="2180"/>
      <c r="M151" s="2180"/>
      <c r="N151" s="2180"/>
      <c r="O151" s="2180"/>
      <c r="P151" s="2180"/>
      <c r="Q151" s="2180"/>
      <c r="R151" s="2180"/>
      <c r="S151" s="2180"/>
      <c r="T151" s="2180"/>
      <c r="U151" s="2180"/>
      <c r="V151" s="2180"/>
      <c r="W151" s="2180"/>
      <c r="X151" s="2180"/>
      <c r="Y151" s="2180"/>
      <c r="Z151" s="2180"/>
      <c r="AA151" s="2180"/>
      <c r="AB151" s="2180"/>
      <c r="AC151" s="2180"/>
      <c r="AD151" s="2180"/>
      <c r="AE151" s="2180"/>
      <c r="AF151" s="2180"/>
      <c r="AG151" s="2180"/>
      <c r="AH151" s="2180"/>
      <c r="AI151" s="2180"/>
      <c r="AJ151" s="2180"/>
      <c r="AK151" s="2180"/>
      <c r="AX151" s="592"/>
      <c r="AY151" s="592"/>
    </row>
    <row r="152" spans="2:51" s="58" customFormat="1" ht="67.5" customHeight="1" thickTop="1" thickBot="1">
      <c r="C152" s="269" t="s">
        <v>634</v>
      </c>
      <c r="D152" s="1802" t="s">
        <v>2819</v>
      </c>
      <c r="E152" s="1945"/>
      <c r="F152" s="1945"/>
      <c r="G152" s="1945"/>
      <c r="H152" s="1945"/>
      <c r="I152" s="1945"/>
      <c r="J152" s="1945"/>
      <c r="K152" s="1945"/>
      <c r="L152" s="1945"/>
      <c r="M152" s="1945"/>
      <c r="N152" s="1945"/>
      <c r="O152" s="1945"/>
      <c r="P152" s="1945"/>
      <c r="Q152" s="1945"/>
      <c r="R152" s="1945"/>
      <c r="S152" s="1945"/>
      <c r="T152" s="1945"/>
      <c r="U152" s="1945"/>
      <c r="V152" s="1945"/>
      <c r="W152" s="1945"/>
      <c r="X152" s="1945"/>
      <c r="Y152" s="1945"/>
      <c r="Z152" s="1945"/>
      <c r="AA152" s="1945"/>
      <c r="AB152" s="1945"/>
      <c r="AC152" s="1945"/>
      <c r="AD152" s="1945"/>
      <c r="AE152" s="1945"/>
      <c r="AF152" s="1945"/>
      <c r="AG152" s="1945"/>
      <c r="AH152" s="1945"/>
      <c r="AI152" s="1945"/>
      <c r="AJ152" s="1945"/>
      <c r="AK152" s="1945"/>
      <c r="AL152" s="1911"/>
      <c r="AM152" s="1862"/>
      <c r="AX152" s="593"/>
      <c r="AY152" s="593"/>
    </row>
    <row r="153" spans="2:51" s="58" customFormat="1" ht="18" customHeight="1" thickTop="1" thickBot="1">
      <c r="B153" s="244" t="s">
        <v>2008</v>
      </c>
      <c r="C153" s="2180" t="s">
        <v>2098</v>
      </c>
      <c r="D153" s="1945"/>
      <c r="E153" s="1945"/>
      <c r="F153" s="1945"/>
      <c r="G153" s="1945"/>
      <c r="H153" s="1945"/>
      <c r="I153" s="1945"/>
      <c r="J153" s="1945"/>
      <c r="K153" s="1945"/>
      <c r="L153" s="1945"/>
      <c r="M153" s="1945"/>
      <c r="N153" s="1945"/>
      <c r="O153" s="1945"/>
      <c r="P153" s="1945"/>
      <c r="Q153" s="1945"/>
      <c r="R153" s="1945"/>
      <c r="S153" s="1945"/>
      <c r="T153" s="1945"/>
      <c r="U153" s="1945"/>
      <c r="V153" s="1945"/>
      <c r="W153" s="1945"/>
      <c r="X153" s="1945"/>
      <c r="Y153" s="1945"/>
      <c r="Z153" s="1945"/>
      <c r="AA153" s="1945"/>
      <c r="AB153" s="1945"/>
      <c r="AC153" s="1945"/>
      <c r="AD153" s="1945"/>
      <c r="AE153" s="1945"/>
      <c r="AF153" s="1945"/>
      <c r="AG153" s="1945"/>
      <c r="AH153" s="1945"/>
      <c r="AI153" s="1945"/>
      <c r="AJ153" s="1945"/>
      <c r="AK153" s="1945"/>
      <c r="AL153" s="1911"/>
      <c r="AM153" s="1862"/>
      <c r="AX153" s="593"/>
      <c r="AY153" s="593"/>
    </row>
    <row r="154" spans="2:51" s="58" customFormat="1" ht="54" customHeight="1" thickTop="1" thickBot="1">
      <c r="B154" s="244" t="s">
        <v>2010</v>
      </c>
      <c r="C154" s="1806" t="s">
        <v>2820</v>
      </c>
      <c r="D154" s="1945"/>
      <c r="E154" s="1945"/>
      <c r="F154" s="1945"/>
      <c r="G154" s="1945"/>
      <c r="H154" s="1945"/>
      <c r="I154" s="1945"/>
      <c r="J154" s="1945"/>
      <c r="K154" s="1945"/>
      <c r="L154" s="1945"/>
      <c r="M154" s="1945"/>
      <c r="N154" s="1945"/>
      <c r="O154" s="1945"/>
      <c r="P154" s="1945"/>
      <c r="Q154" s="1945"/>
      <c r="R154" s="1945"/>
      <c r="S154" s="1945"/>
      <c r="T154" s="1945"/>
      <c r="U154" s="1945"/>
      <c r="V154" s="1945"/>
      <c r="W154" s="1945"/>
      <c r="X154" s="1945"/>
      <c r="Y154" s="1945"/>
      <c r="Z154" s="1945"/>
      <c r="AA154" s="1945"/>
      <c r="AB154" s="1945"/>
      <c r="AC154" s="1945"/>
      <c r="AD154" s="1945"/>
      <c r="AE154" s="1945"/>
      <c r="AF154" s="1945"/>
      <c r="AG154" s="1945"/>
      <c r="AH154" s="1945"/>
      <c r="AI154" s="1945"/>
      <c r="AJ154" s="1945"/>
      <c r="AK154" s="1945"/>
      <c r="AL154" s="1911"/>
      <c r="AM154" s="1862"/>
      <c r="AX154" s="598"/>
      <c r="AY154" s="593"/>
    </row>
    <row r="155" spans="2:51" s="58" customFormat="1" ht="54" customHeight="1" thickTop="1" thickBot="1">
      <c r="C155" s="3202" t="s">
        <v>2821</v>
      </c>
      <c r="D155" s="1877"/>
      <c r="E155" s="1877"/>
      <c r="F155" s="1877"/>
      <c r="G155" s="1877"/>
      <c r="H155" s="1877"/>
      <c r="I155" s="1877"/>
      <c r="J155" s="1877"/>
      <c r="K155" s="1877"/>
      <c r="L155" s="1877"/>
      <c r="M155" s="1877"/>
      <c r="N155" s="1877"/>
      <c r="O155" s="1877"/>
      <c r="P155" s="1877"/>
      <c r="Q155" s="1877"/>
      <c r="R155" s="1877"/>
      <c r="S155" s="1877"/>
      <c r="T155" s="1877"/>
      <c r="U155" s="1877"/>
      <c r="V155" s="1877"/>
      <c r="W155" s="1877"/>
      <c r="X155" s="1877"/>
      <c r="Y155" s="1877"/>
      <c r="Z155" s="1877"/>
      <c r="AA155" s="1877"/>
      <c r="AB155" s="1877"/>
      <c r="AC155" s="1877"/>
      <c r="AD155" s="1877"/>
      <c r="AE155" s="1877"/>
      <c r="AF155" s="1877"/>
      <c r="AG155" s="1877"/>
      <c r="AH155" s="1877"/>
      <c r="AI155" s="1877"/>
      <c r="AJ155" s="1877"/>
      <c r="AK155" s="1877"/>
    </row>
    <row r="156" spans="2:51" s="58" customFormat="1" ht="36" customHeight="1" thickTop="1" thickBot="1">
      <c r="B156" s="2268" t="s">
        <v>558</v>
      </c>
      <c r="C156" s="1777"/>
      <c r="D156" s="1778"/>
      <c r="E156" s="2179" t="str">
        <f>'Document Checklist-Full List'!$E$216</f>
        <v>114. Preference Policy for Occupancy</v>
      </c>
      <c r="F156" s="1777"/>
      <c r="G156" s="1777"/>
      <c r="H156" s="1777"/>
      <c r="I156" s="1777"/>
      <c r="J156" s="1777"/>
      <c r="K156" s="1777"/>
      <c r="L156" s="1777"/>
      <c r="M156" s="1778"/>
      <c r="N156" s="2179" t="str">
        <f>'Document Checklist-Full List'!$N$216</f>
        <v>Provide a written analysis of how the project complies with all applicable state and federal law with respect to any preference policies for occupancy.</v>
      </c>
      <c r="O156" s="1777"/>
      <c r="P156" s="1777"/>
      <c r="Q156" s="1777"/>
      <c r="R156" s="1777"/>
      <c r="S156" s="1777"/>
      <c r="T156" s="1777"/>
      <c r="U156" s="1777"/>
      <c r="V156" s="1777"/>
      <c r="W156" s="1777"/>
      <c r="X156" s="1777"/>
      <c r="Y156" s="1777"/>
      <c r="Z156" s="1777"/>
      <c r="AA156" s="1777"/>
      <c r="AB156" s="1777"/>
      <c r="AC156" s="1777"/>
      <c r="AD156" s="1777"/>
      <c r="AE156" s="1778"/>
      <c r="AF156" s="1886" t="s">
        <v>559</v>
      </c>
      <c r="AG156" s="1777"/>
      <c r="AH156" s="1777"/>
      <c r="AI156" s="1777"/>
      <c r="AJ156" s="1777"/>
      <c r="AK156" s="1778"/>
      <c r="AL156" s="1911"/>
      <c r="AM156" s="1862"/>
      <c r="AX156" s="593"/>
      <c r="AY156" s="593"/>
    </row>
    <row r="157" spans="2:51" s="58" customFormat="1" ht="36" customHeight="1" thickTop="1">
      <c r="B157" s="244" t="s">
        <v>2012</v>
      </c>
      <c r="C157" s="1977" t="s">
        <v>2822</v>
      </c>
      <c r="D157" s="1953"/>
      <c r="E157" s="1953"/>
      <c r="F157" s="1953"/>
      <c r="G157" s="1953"/>
      <c r="H157" s="1953"/>
      <c r="I157" s="1953"/>
      <c r="J157" s="1953"/>
      <c r="K157" s="1953"/>
      <c r="L157" s="1953"/>
      <c r="M157" s="1953"/>
      <c r="N157" s="1953"/>
      <c r="O157" s="1953"/>
      <c r="P157" s="1953"/>
      <c r="Q157" s="1953"/>
      <c r="R157" s="1953"/>
      <c r="S157" s="1953"/>
      <c r="T157" s="1953"/>
      <c r="U157" s="1953"/>
      <c r="V157" s="1953"/>
      <c r="W157" s="1953"/>
      <c r="X157" s="1953"/>
      <c r="Y157" s="1953"/>
      <c r="Z157" s="1953"/>
      <c r="AA157" s="1953"/>
      <c r="AB157" s="1953"/>
      <c r="AC157" s="1953"/>
      <c r="AD157" s="1953"/>
      <c r="AE157" s="1953"/>
      <c r="AF157" s="1953"/>
      <c r="AG157" s="1953"/>
      <c r="AH157" s="1953"/>
      <c r="AI157" s="1953"/>
      <c r="AJ157" s="1953"/>
      <c r="AK157" s="1953"/>
    </row>
    <row r="158" spans="2:51" s="58" customFormat="1" ht="18" customHeight="1">
      <c r="C158" s="1802" t="s">
        <v>2823</v>
      </c>
      <c r="D158" s="1945"/>
      <c r="E158" s="1945"/>
      <c r="F158" s="1945"/>
      <c r="G158" s="1945"/>
      <c r="H158" s="1945"/>
      <c r="I158" s="1945"/>
      <c r="J158" s="1945"/>
      <c r="K158" s="1945"/>
      <c r="L158" s="1945"/>
      <c r="M158" s="1945"/>
      <c r="N158" s="1945"/>
      <c r="O158" s="1945"/>
      <c r="P158" s="1945"/>
      <c r="Q158" s="1945"/>
      <c r="R158" s="1945"/>
      <c r="S158" s="1945"/>
      <c r="T158" s="1945"/>
      <c r="U158" s="1945"/>
      <c r="V158" s="1945"/>
      <c r="W158" s="1945"/>
      <c r="X158" s="1945"/>
      <c r="Y158" s="1945"/>
      <c r="Z158" s="1945"/>
      <c r="AA158" s="1945"/>
      <c r="AB158" s="1945"/>
      <c r="AC158" s="1945"/>
      <c r="AD158" s="1945"/>
      <c r="AE158" s="1945"/>
      <c r="AF158" s="1945"/>
      <c r="AG158" s="1945"/>
      <c r="AH158" s="1945"/>
      <c r="AI158" s="1945"/>
      <c r="AJ158" s="1945"/>
      <c r="AK158" s="1945"/>
    </row>
    <row r="159" spans="2:51" s="58" customFormat="1" ht="18" customHeight="1" thickBot="1"/>
    <row r="160" spans="2:51" ht="18" customHeight="1" thickTop="1" thickBot="1">
      <c r="B160" s="2180" t="s">
        <v>1954</v>
      </c>
      <c r="C160" s="1929"/>
      <c r="D160" s="2180"/>
      <c r="E160" s="2180"/>
      <c r="F160" s="2180"/>
      <c r="G160" s="2180"/>
      <c r="AX160" s="592"/>
      <c r="AY160" s="592"/>
    </row>
    <row r="161" spans="1:51" ht="81.75" customHeight="1" thickTop="1" thickBot="1">
      <c r="B161" s="2003"/>
      <c r="C161" s="1861"/>
      <c r="D161" s="1861"/>
      <c r="E161" s="1861"/>
      <c r="F161" s="1861"/>
      <c r="G161" s="1861"/>
      <c r="H161" s="1861"/>
      <c r="I161" s="1861"/>
      <c r="J161" s="1861"/>
      <c r="K161" s="1861"/>
      <c r="L161" s="1861"/>
      <c r="M161" s="1861"/>
      <c r="N161" s="1861"/>
      <c r="O161" s="1861"/>
      <c r="P161" s="1861"/>
      <c r="Q161" s="1861"/>
      <c r="R161" s="1861"/>
      <c r="S161" s="1861"/>
      <c r="T161" s="1861"/>
      <c r="U161" s="1861"/>
      <c r="V161" s="1861"/>
      <c r="W161" s="1861"/>
      <c r="X161" s="1861"/>
      <c r="Y161" s="1861"/>
      <c r="Z161" s="1861"/>
      <c r="AA161" s="1861"/>
      <c r="AB161" s="1861"/>
      <c r="AC161" s="1861"/>
      <c r="AD161" s="1861"/>
      <c r="AE161" s="1861"/>
      <c r="AF161" s="1861"/>
      <c r="AG161" s="1861"/>
      <c r="AH161" s="1861"/>
      <c r="AI161" s="1861"/>
      <c r="AJ161" s="1861"/>
      <c r="AK161" s="1861"/>
      <c r="AL161" s="1861"/>
      <c r="AM161" s="1862"/>
      <c r="AX161" s="592"/>
      <c r="AY161" s="592"/>
    </row>
    <row r="162" spans="1:51" ht="18" customHeight="1" thickTop="1" thickBot="1">
      <c r="AX162" s="592"/>
      <c r="AY162" s="592"/>
    </row>
    <row r="163" spans="1:51" ht="36" customHeight="1" thickTop="1" thickBot="1">
      <c r="B163" s="3006" t="s">
        <v>2824</v>
      </c>
      <c r="C163" s="1877"/>
      <c r="D163" s="1877"/>
      <c r="E163" s="1877"/>
      <c r="F163" s="1877"/>
      <c r="G163" s="1877"/>
      <c r="H163" s="1877"/>
      <c r="I163" s="1877"/>
      <c r="J163" s="1877"/>
      <c r="K163" s="1877"/>
      <c r="L163" s="1877"/>
      <c r="M163" s="1877"/>
      <c r="N163" s="1877"/>
      <c r="O163" s="1877"/>
      <c r="P163" s="1877"/>
      <c r="Q163" s="1877"/>
      <c r="R163" s="1877"/>
      <c r="S163" s="1877"/>
      <c r="T163" s="1877"/>
      <c r="U163" s="1877"/>
      <c r="V163" s="1877"/>
      <c r="W163" s="1877"/>
      <c r="X163" s="1877"/>
      <c r="Y163" s="1877"/>
      <c r="Z163" s="1877"/>
      <c r="AA163" s="1877"/>
      <c r="AB163" s="1877"/>
      <c r="AC163" s="1877"/>
      <c r="AD163" s="1877"/>
      <c r="AE163" s="1877"/>
      <c r="AF163" s="1877"/>
      <c r="AG163" s="1877"/>
      <c r="AH163" s="1877"/>
      <c r="AI163" s="1877"/>
      <c r="AJ163" s="1877"/>
      <c r="AK163" s="1877"/>
      <c r="AL163" s="1877"/>
      <c r="AM163" s="1877"/>
      <c r="AX163" s="592"/>
      <c r="AY163" s="592"/>
    </row>
    <row r="164" spans="1:51" ht="18" customHeight="1" thickTop="1" thickBot="1">
      <c r="AX164" s="592"/>
      <c r="AY164" s="592"/>
    </row>
    <row r="165" spans="1:51" ht="18" customHeight="1" thickTop="1" thickBot="1">
      <c r="A165" s="1701"/>
      <c r="B165" s="2996" t="s">
        <v>2825</v>
      </c>
      <c r="C165" s="1929"/>
      <c r="D165" s="2180"/>
      <c r="E165" s="2180"/>
      <c r="F165" s="2180"/>
      <c r="G165" s="2180"/>
      <c r="H165" s="2180"/>
      <c r="I165" s="2180"/>
      <c r="J165" s="2180"/>
      <c r="K165" s="2180"/>
      <c r="L165" s="2180"/>
      <c r="M165" s="2180"/>
      <c r="N165" s="2180"/>
      <c r="O165" s="2180"/>
      <c r="P165" s="2180"/>
      <c r="Q165" s="1889"/>
      <c r="R165" s="1911"/>
      <c r="S165" s="1862"/>
      <c r="AX165" s="592"/>
      <c r="AY165" s="592"/>
    </row>
    <row r="166" spans="1:51" ht="18" customHeight="1" thickTop="1" thickBot="1">
      <c r="A166" s="1701"/>
      <c r="B166" s="2996" t="s">
        <v>2826</v>
      </c>
      <c r="C166" s="1929"/>
      <c r="D166" s="2180"/>
      <c r="E166" s="2180"/>
      <c r="F166" s="2180"/>
      <c r="G166" s="2180"/>
      <c r="H166" s="2180"/>
      <c r="I166" s="2180"/>
      <c r="J166" s="2180"/>
      <c r="K166" s="2180"/>
      <c r="L166" s="2180"/>
      <c r="M166" s="2180"/>
      <c r="N166" s="2180"/>
      <c r="O166" s="2180"/>
      <c r="P166" s="2180"/>
      <c r="Q166" s="1889"/>
      <c r="R166" s="1911"/>
      <c r="S166" s="1862"/>
      <c r="U166" s="15"/>
      <c r="V166" s="15"/>
      <c r="W166" s="15"/>
      <c r="AX166" s="592"/>
      <c r="AY166" s="592"/>
    </row>
    <row r="167" spans="1:51" ht="18" customHeight="1" thickTop="1" thickBot="1">
      <c r="A167" s="1701"/>
      <c r="B167" s="2996" t="s">
        <v>2827</v>
      </c>
      <c r="C167" s="1929"/>
      <c r="D167" s="2180"/>
      <c r="E167" s="2180"/>
      <c r="F167" s="2180"/>
      <c r="G167" s="2180"/>
      <c r="H167" s="2180"/>
      <c r="I167" s="2180"/>
      <c r="J167" s="2180"/>
      <c r="K167" s="2180"/>
      <c r="L167" s="2180"/>
      <c r="M167" s="2180"/>
      <c r="N167" s="2180"/>
      <c r="O167" s="2180"/>
      <c r="P167" s="2180"/>
      <c r="Q167" s="1889"/>
      <c r="R167" s="1911"/>
      <c r="S167" s="1862"/>
      <c r="AX167" s="592"/>
      <c r="AY167" s="592"/>
    </row>
    <row r="168" spans="1:51" ht="18" customHeight="1" thickTop="1" thickBot="1">
      <c r="A168" s="1701"/>
      <c r="B168" s="2996" t="s">
        <v>2828</v>
      </c>
      <c r="C168" s="1929"/>
      <c r="D168" s="2180"/>
      <c r="E168" s="2180"/>
      <c r="F168" s="2180"/>
      <c r="G168" s="2180"/>
      <c r="H168" s="2180"/>
      <c r="I168" s="2180"/>
      <c r="J168" s="2180"/>
      <c r="K168" s="2180"/>
      <c r="L168" s="2180"/>
      <c r="M168" s="2180"/>
      <c r="N168" s="2180"/>
      <c r="O168" s="2180"/>
      <c r="P168" s="2180"/>
      <c r="Q168" s="1889"/>
      <c r="R168" s="1911"/>
      <c r="S168" s="1862"/>
      <c r="AX168" s="592"/>
      <c r="AY168" s="592"/>
    </row>
    <row r="169" spans="1:51" ht="18" customHeight="1" thickTop="1" thickBot="1">
      <c r="A169" s="1701"/>
      <c r="B169" s="2996" t="s">
        <v>2829</v>
      </c>
      <c r="C169" s="1929"/>
      <c r="D169" s="2180"/>
      <c r="E169" s="2180"/>
      <c r="F169" s="2180"/>
      <c r="G169" s="2180"/>
      <c r="H169" s="2180"/>
      <c r="I169" s="2180"/>
      <c r="J169" s="2180"/>
      <c r="K169" s="2180"/>
      <c r="L169" s="2180"/>
      <c r="M169" s="2180"/>
      <c r="N169" s="2180"/>
      <c r="O169" s="2180"/>
      <c r="P169" s="2180"/>
      <c r="Q169" s="1889"/>
      <c r="R169" s="1911"/>
      <c r="S169" s="1862"/>
      <c r="AX169" s="592"/>
      <c r="AY169" s="592"/>
    </row>
    <row r="170" spans="1:51" ht="18" customHeight="1" thickTop="1" thickBot="1">
      <c r="A170" s="1701"/>
      <c r="B170" s="2996" t="s">
        <v>2830</v>
      </c>
      <c r="C170" s="1929"/>
      <c r="D170" s="2180"/>
      <c r="E170" s="2180"/>
      <c r="F170" s="2180"/>
      <c r="G170" s="2180"/>
      <c r="H170" s="2180"/>
      <c r="I170" s="2180"/>
      <c r="J170" s="2180"/>
      <c r="K170" s="2180"/>
      <c r="L170" s="2180"/>
      <c r="M170" s="2180"/>
      <c r="N170" s="2180"/>
      <c r="O170" s="2180"/>
      <c r="P170" s="2180"/>
      <c r="Q170" s="1889"/>
      <c r="R170" s="1911"/>
      <c r="S170" s="1862"/>
      <c r="AX170" s="592"/>
      <c r="AY170" s="592"/>
    </row>
    <row r="171" spans="1:51" ht="18" customHeight="1" thickTop="1" thickBot="1">
      <c r="A171" s="1701"/>
      <c r="B171" s="2996" t="s">
        <v>2831</v>
      </c>
      <c r="C171" s="1929"/>
      <c r="D171" s="2180"/>
      <c r="E171" s="2180"/>
      <c r="F171" s="2180"/>
      <c r="G171" s="2180"/>
      <c r="H171" s="2180"/>
      <c r="I171" s="2180"/>
      <c r="J171" s="2180"/>
      <c r="K171" s="2180"/>
      <c r="L171" s="2180"/>
      <c r="M171" s="2180"/>
      <c r="N171" s="2180"/>
      <c r="O171" s="2180"/>
      <c r="P171" s="2180"/>
      <c r="Q171" s="1889"/>
      <c r="R171" s="1911"/>
      <c r="S171" s="1862"/>
      <c r="AX171" s="592"/>
      <c r="AY171" s="592"/>
    </row>
    <row r="172" spans="1:51" ht="18" customHeight="1" thickTop="1" thickBot="1">
      <c r="A172" s="1701"/>
      <c r="B172" s="2996" t="s">
        <v>2832</v>
      </c>
      <c r="C172" s="1929"/>
      <c r="D172" s="2180"/>
      <c r="E172" s="2180"/>
      <c r="F172" s="2180"/>
      <c r="G172" s="2180"/>
      <c r="H172" s="2180"/>
      <c r="I172" s="2180"/>
      <c r="J172" s="2180"/>
      <c r="K172" s="2180"/>
      <c r="L172" s="2180"/>
      <c r="M172" s="2180"/>
      <c r="N172" s="2180"/>
      <c r="O172" s="2180"/>
      <c r="P172" s="2180"/>
      <c r="Q172" s="1889"/>
      <c r="R172" s="1911"/>
      <c r="S172" s="1862"/>
      <c r="AX172" s="592"/>
      <c r="AY172" s="592"/>
    </row>
    <row r="173" spans="1:51" ht="36" customHeight="1" thickTop="1" thickBot="1">
      <c r="A173" s="1701"/>
      <c r="B173" s="2989" t="s">
        <v>2833</v>
      </c>
      <c r="C173" s="1929"/>
      <c r="D173" s="2180"/>
      <c r="E173" s="2180"/>
      <c r="F173" s="2180"/>
      <c r="G173" s="2180"/>
      <c r="H173" s="2180"/>
      <c r="I173" s="2180"/>
      <c r="J173" s="2180"/>
      <c r="K173" s="2180"/>
      <c r="L173" s="2180"/>
      <c r="M173" s="2180"/>
      <c r="N173" s="2180"/>
      <c r="O173" s="2180"/>
      <c r="P173" s="2180"/>
      <c r="Q173" s="1889"/>
      <c r="R173" s="1911"/>
      <c r="S173" s="1862"/>
      <c r="AX173" s="592"/>
      <c r="AY173" s="592"/>
    </row>
    <row r="174" spans="1:51" ht="18" customHeight="1" thickTop="1" thickBot="1">
      <c r="A174" s="1670"/>
      <c r="B174" s="2996" t="s">
        <v>2834</v>
      </c>
      <c r="C174" s="1929"/>
      <c r="D174" s="2180"/>
      <c r="E174" s="2180"/>
      <c r="F174" s="2180"/>
      <c r="G174" s="2180"/>
      <c r="H174" s="2180"/>
      <c r="I174" s="2180"/>
      <c r="J174" s="2180"/>
      <c r="K174" s="2180"/>
      <c r="L174" s="2180"/>
      <c r="M174" s="2180"/>
      <c r="N174" s="2180"/>
      <c r="O174" s="2180"/>
      <c r="P174" s="2180"/>
      <c r="Q174" s="1889"/>
      <c r="R174" s="1911"/>
      <c r="S174" s="1862"/>
      <c r="AX174" s="592"/>
      <c r="AY174" s="592"/>
    </row>
    <row r="175" spans="1:51" ht="18" customHeight="1" thickTop="1" thickBot="1">
      <c r="A175" s="1670"/>
      <c r="B175" s="2996" t="s">
        <v>2835</v>
      </c>
      <c r="C175" s="1929"/>
      <c r="D175" s="2180"/>
      <c r="E175" s="2180"/>
      <c r="F175" s="2180"/>
      <c r="G175" s="2180"/>
      <c r="H175" s="2180"/>
      <c r="I175" s="2180"/>
      <c r="J175" s="2180"/>
      <c r="K175" s="2180"/>
      <c r="L175" s="2180"/>
      <c r="M175" s="2180"/>
      <c r="N175" s="2180"/>
      <c r="O175" s="2180"/>
      <c r="P175" s="2180"/>
      <c r="Q175" s="1889"/>
      <c r="R175" s="1911"/>
      <c r="S175" s="1862"/>
      <c r="AX175" s="592"/>
      <c r="AY175" s="592"/>
    </row>
    <row r="176" spans="1:51" ht="18" customHeight="1" thickTop="1" thickBot="1">
      <c r="A176" s="1701"/>
      <c r="B176" s="2996" t="s">
        <v>2836</v>
      </c>
      <c r="C176" s="1929"/>
      <c r="D176" s="2180"/>
      <c r="E176" s="2180"/>
      <c r="F176" s="2180"/>
      <c r="G176" s="2180"/>
      <c r="H176" s="2180"/>
      <c r="I176" s="2180"/>
      <c r="J176" s="2180"/>
      <c r="K176" s="2180"/>
      <c r="L176" s="2180"/>
      <c r="M176" s="2180"/>
      <c r="N176" s="2180"/>
      <c r="O176" s="2180"/>
      <c r="P176" s="2180"/>
      <c r="Q176" s="1889"/>
      <c r="R176" s="1911"/>
      <c r="S176" s="1862"/>
      <c r="AX176" s="592"/>
      <c r="AY176" s="592"/>
    </row>
    <row r="177" spans="1:51" ht="18" customHeight="1" thickTop="1" thickBot="1">
      <c r="A177" s="1701"/>
      <c r="B177" s="2996" t="s">
        <v>2837</v>
      </c>
      <c r="C177" s="1929"/>
      <c r="D177" s="2180"/>
      <c r="E177" s="2180"/>
      <c r="F177" s="2180"/>
      <c r="G177" s="2180"/>
      <c r="H177" s="2180"/>
      <c r="I177" s="2180"/>
      <c r="J177" s="2180"/>
      <c r="K177" s="2180"/>
      <c r="L177" s="2180"/>
      <c r="M177" s="2180"/>
      <c r="N177" s="2180"/>
      <c r="O177" s="2180"/>
      <c r="P177" s="2180"/>
      <c r="Q177" s="1889"/>
      <c r="R177" s="1911"/>
      <c r="S177" s="1862"/>
      <c r="AX177" s="592"/>
      <c r="AY177" s="592"/>
    </row>
    <row r="178" spans="1:51" ht="18" customHeight="1" thickTop="1" thickBot="1">
      <c r="A178" s="1701"/>
      <c r="B178" s="2996" t="s">
        <v>2838</v>
      </c>
      <c r="C178" s="1929"/>
      <c r="D178" s="2180"/>
      <c r="E178" s="2180"/>
      <c r="F178" s="2180"/>
      <c r="G178" s="2180"/>
      <c r="H178" s="2180"/>
      <c r="I178" s="2180"/>
      <c r="J178" s="2180"/>
      <c r="K178" s="2180"/>
      <c r="L178" s="2180"/>
      <c r="M178" s="2180"/>
      <c r="N178" s="2180"/>
      <c r="O178" s="2180"/>
      <c r="P178" s="2180"/>
      <c r="Q178" s="1889"/>
      <c r="R178" s="1911"/>
      <c r="S178" s="1862"/>
      <c r="AX178" s="592"/>
      <c r="AY178" s="592"/>
    </row>
    <row r="179" spans="1:51" ht="18" customHeight="1" thickTop="1" thickBot="1">
      <c r="A179" s="1701"/>
      <c r="B179" s="2996" t="s">
        <v>2839</v>
      </c>
      <c r="C179" s="1929"/>
      <c r="D179" s="2180"/>
      <c r="E179" s="2180"/>
      <c r="F179" s="2180"/>
      <c r="G179" s="2180"/>
      <c r="H179" s="2180"/>
      <c r="I179" s="2180"/>
      <c r="J179" s="2180"/>
      <c r="K179" s="2180"/>
      <c r="L179" s="2180"/>
      <c r="M179" s="2180"/>
      <c r="N179" s="2180"/>
      <c r="O179" s="2180"/>
      <c r="P179" s="2180"/>
      <c r="Q179" s="1889"/>
      <c r="R179" s="1911"/>
      <c r="S179" s="1862"/>
      <c r="AX179" s="592"/>
      <c r="AY179" s="592"/>
    </row>
    <row r="180" spans="1:51" ht="18" customHeight="1" thickTop="1" thickBot="1">
      <c r="A180" s="1701"/>
      <c r="B180" s="2180" t="s">
        <v>2840</v>
      </c>
      <c r="C180" s="1929"/>
      <c r="D180" s="2180"/>
      <c r="E180" s="2180"/>
      <c r="F180" s="2180"/>
      <c r="G180" s="2180"/>
      <c r="H180" s="2180"/>
      <c r="I180" s="2180"/>
      <c r="J180" s="2180"/>
      <c r="K180" s="2180"/>
      <c r="L180" s="2180"/>
      <c r="M180" s="2180"/>
      <c r="N180" s="2180"/>
      <c r="O180" s="2180"/>
      <c r="P180" s="2180"/>
      <c r="Q180" s="2180"/>
      <c r="AX180" s="592"/>
      <c r="AY180" s="592"/>
    </row>
    <row r="181" spans="1:51" s="136" customFormat="1" ht="54" customHeight="1" thickTop="1" thickBot="1">
      <c r="B181" s="3216" t="s">
        <v>2841</v>
      </c>
      <c r="C181" s="2167"/>
      <c r="D181" s="2167"/>
      <c r="E181" s="2167"/>
      <c r="F181" s="2167"/>
      <c r="G181" s="2167"/>
      <c r="H181" s="2167"/>
      <c r="I181" s="2167"/>
      <c r="J181" s="2167"/>
      <c r="K181" s="2167"/>
      <c r="L181" s="2167"/>
      <c r="M181" s="2167"/>
      <c r="N181" s="2167"/>
      <c r="O181" s="2167"/>
      <c r="P181" s="2167"/>
      <c r="Q181" s="2167"/>
      <c r="R181" s="2167"/>
      <c r="S181" s="2167"/>
      <c r="T181" s="2167"/>
      <c r="U181" s="2167"/>
      <c r="V181" s="1889"/>
      <c r="W181" s="1911"/>
      <c r="X181" s="1862"/>
    </row>
    <row r="182" spans="1:51" ht="18" customHeight="1" thickTop="1" thickBot="1">
      <c r="A182" s="1701"/>
      <c r="B182" s="2996" t="s">
        <v>2842</v>
      </c>
      <c r="C182" s="1929"/>
      <c r="D182" s="2180"/>
      <c r="E182" s="2180"/>
      <c r="F182" s="2180"/>
      <c r="G182" s="2180"/>
      <c r="H182" s="2180"/>
      <c r="I182" s="2180"/>
      <c r="J182" s="2180"/>
      <c r="K182" s="2180"/>
      <c r="L182" s="2180"/>
      <c r="M182" s="2180"/>
      <c r="N182" s="2180"/>
      <c r="O182" s="2180"/>
      <c r="P182" s="2180"/>
      <c r="Q182" s="1889"/>
      <c r="R182" s="1911"/>
      <c r="S182" s="1862"/>
      <c r="AX182" s="592"/>
      <c r="AY182" s="592"/>
    </row>
    <row r="183" spans="1:51" ht="18" customHeight="1" thickTop="1" thickBot="1">
      <c r="A183" s="1701"/>
      <c r="B183" s="2996" t="s">
        <v>2843</v>
      </c>
      <c r="C183" s="1929"/>
      <c r="D183" s="2180"/>
      <c r="E183" s="2180"/>
      <c r="F183" s="2180"/>
      <c r="G183" s="2180"/>
      <c r="H183" s="2180"/>
      <c r="I183" s="2180"/>
      <c r="J183" s="2180"/>
      <c r="K183" s="2180"/>
      <c r="L183" s="2180"/>
      <c r="M183" s="2180"/>
      <c r="N183" s="2180"/>
      <c r="O183" s="2180"/>
      <c r="P183" s="2180"/>
      <c r="Q183" s="1889"/>
      <c r="R183" s="1911"/>
      <c r="S183" s="1862"/>
      <c r="AX183" s="592"/>
      <c r="AY183" s="592"/>
    </row>
    <row r="184" spans="1:51" ht="18" customHeight="1" thickTop="1" thickBot="1">
      <c r="A184" s="1701"/>
      <c r="B184" s="2996" t="s">
        <v>2844</v>
      </c>
      <c r="C184" s="1929"/>
      <c r="D184" s="2180"/>
      <c r="E184" s="2180"/>
      <c r="F184" s="2180"/>
      <c r="G184" s="2180"/>
      <c r="H184" s="2180"/>
      <c r="I184" s="2180"/>
      <c r="J184" s="2180"/>
      <c r="K184" s="2180"/>
      <c r="L184" s="2180"/>
      <c r="M184" s="2180"/>
      <c r="N184" s="2180"/>
      <c r="O184" s="2180"/>
      <c r="P184" s="2180"/>
      <c r="Q184" s="1889"/>
      <c r="R184" s="1911"/>
      <c r="S184" s="1862"/>
      <c r="AX184" s="592"/>
      <c r="AY184" s="592"/>
    </row>
    <row r="185" spans="1:51" ht="18" customHeight="1" thickTop="1" thickBot="1">
      <c r="A185" s="1701"/>
      <c r="B185" s="2996" t="s">
        <v>2845</v>
      </c>
      <c r="C185" s="1929"/>
      <c r="D185" s="2180"/>
      <c r="E185" s="2180"/>
      <c r="F185" s="2180"/>
      <c r="G185" s="2180"/>
      <c r="H185" s="2180"/>
      <c r="I185" s="2180"/>
      <c r="J185" s="2180"/>
      <c r="K185" s="2180"/>
      <c r="L185" s="2180"/>
      <c r="M185" s="2180"/>
      <c r="N185" s="2180"/>
      <c r="O185" s="2180"/>
      <c r="P185" s="2180"/>
      <c r="Q185" s="1889"/>
      <c r="R185" s="1911"/>
      <c r="S185" s="1862"/>
      <c r="AX185" s="592"/>
      <c r="AY185" s="592"/>
    </row>
    <row r="186" spans="1:51" ht="18" customHeight="1" thickTop="1" thickBot="1">
      <c r="A186" s="1701"/>
      <c r="B186" s="2996" t="s">
        <v>2846</v>
      </c>
      <c r="C186" s="1929"/>
      <c r="D186" s="2180"/>
      <c r="E186" s="2180"/>
      <c r="F186" s="2180"/>
      <c r="G186" s="2180"/>
      <c r="H186" s="2180"/>
      <c r="I186" s="2180"/>
      <c r="J186" s="2180"/>
      <c r="K186" s="2180"/>
      <c r="L186" s="2180"/>
      <c r="M186" s="2180"/>
      <c r="N186" s="2180"/>
      <c r="O186" s="2180"/>
      <c r="P186" s="2180"/>
      <c r="Q186" s="1889"/>
      <c r="R186" s="1911"/>
      <c r="S186" s="1862"/>
      <c r="AX186" s="592"/>
      <c r="AY186" s="592"/>
    </row>
    <row r="187" spans="1:51" ht="18" customHeight="1" thickTop="1" thickBot="1">
      <c r="A187" s="1701"/>
      <c r="B187" s="2996" t="s">
        <v>2847</v>
      </c>
      <c r="C187" s="1929"/>
      <c r="D187" s="2180"/>
      <c r="E187" s="2180"/>
      <c r="F187" s="2180"/>
      <c r="G187" s="2180"/>
      <c r="H187" s="2180"/>
      <c r="I187" s="2180"/>
      <c r="J187" s="2180"/>
      <c r="K187" s="2180"/>
      <c r="L187" s="2180"/>
      <c r="M187" s="2180"/>
      <c r="N187" s="2180"/>
      <c r="O187" s="2180"/>
      <c r="P187" s="2180"/>
      <c r="Q187" s="1889"/>
      <c r="R187" s="1911"/>
      <c r="S187" s="1862"/>
      <c r="AX187" s="592"/>
      <c r="AY187" s="592"/>
    </row>
    <row r="188" spans="1:51" ht="18" customHeight="1" thickTop="1" thickBot="1">
      <c r="B188" s="2996" t="s">
        <v>2848</v>
      </c>
      <c r="C188" s="1929"/>
      <c r="D188" s="2180"/>
      <c r="E188" s="2180"/>
      <c r="F188" s="2180"/>
      <c r="G188" s="2180"/>
      <c r="H188" s="2180"/>
      <c r="I188" s="2180"/>
      <c r="J188" s="2180"/>
      <c r="K188" s="2180"/>
      <c r="L188" s="2180"/>
      <c r="M188" s="2180"/>
      <c r="N188" s="2180"/>
      <c r="O188" s="2180"/>
      <c r="P188" s="2180"/>
      <c r="Q188" s="1889"/>
      <c r="R188" s="1911"/>
      <c r="S188" s="1862"/>
      <c r="T188" s="2015" t="s">
        <v>2147</v>
      </c>
      <c r="U188" s="2180"/>
      <c r="V188" s="2180"/>
      <c r="W188" s="2180"/>
      <c r="X188" s="2180"/>
      <c r="Y188" s="2180"/>
      <c r="Z188" s="2180"/>
      <c r="AA188" s="2180"/>
      <c r="AB188" s="2180"/>
      <c r="AC188" s="2180"/>
      <c r="AD188" s="2180"/>
      <c r="AE188" s="2180"/>
      <c r="AF188" s="2180"/>
      <c r="AG188" s="2180"/>
      <c r="AH188" s="2180"/>
      <c r="AX188" s="592"/>
      <c r="AY188" s="592"/>
    </row>
    <row r="189" spans="1:51" s="58" customFormat="1" ht="18" customHeight="1" thickTop="1" thickBot="1">
      <c r="AX189" s="593"/>
      <c r="AY189" s="593"/>
    </row>
    <row r="190" spans="1:51" ht="18" customHeight="1" thickTop="1" thickBot="1">
      <c r="B190" s="3008" t="s">
        <v>2148</v>
      </c>
      <c r="C190" s="1877"/>
      <c r="D190" s="1877"/>
      <c r="E190" s="1877"/>
      <c r="F190" s="1877"/>
      <c r="AX190" s="592"/>
      <c r="AY190" s="592"/>
    </row>
    <row r="191" spans="1:51" ht="81" customHeight="1" thickTop="1" thickBot="1">
      <c r="B191" s="2990"/>
      <c r="C191" s="1861"/>
      <c r="D191" s="1861"/>
      <c r="E191" s="1861"/>
      <c r="F191" s="1861"/>
      <c r="G191" s="1861"/>
      <c r="H191" s="1861"/>
      <c r="I191" s="1861"/>
      <c r="J191" s="1861"/>
      <c r="K191" s="1861"/>
      <c r="L191" s="1861"/>
      <c r="M191" s="1861"/>
      <c r="N191" s="1861"/>
      <c r="O191" s="1861"/>
      <c r="P191" s="1861"/>
      <c r="Q191" s="1861"/>
      <c r="R191" s="1861"/>
      <c r="S191" s="1861"/>
      <c r="T191" s="1861"/>
      <c r="U191" s="1861"/>
      <c r="V191" s="1861"/>
      <c r="W191" s="1861"/>
      <c r="X191" s="1861"/>
      <c r="Y191" s="1861"/>
      <c r="Z191" s="1861"/>
      <c r="AA191" s="1861"/>
      <c r="AB191" s="1861"/>
      <c r="AC191" s="1861"/>
      <c r="AD191" s="1861"/>
      <c r="AE191" s="1861"/>
      <c r="AF191" s="1861"/>
      <c r="AG191" s="1861"/>
      <c r="AH191" s="1861"/>
      <c r="AI191" s="1861"/>
      <c r="AJ191" s="1861"/>
      <c r="AK191" s="1861"/>
      <c r="AL191" s="1861"/>
      <c r="AM191" s="1862"/>
      <c r="AX191" s="592"/>
      <c r="AY191" s="592"/>
    </row>
    <row r="192" spans="1:51" ht="18" customHeight="1" thickTop="1"/>
    <row r="193" spans="2:39" ht="18" customHeight="1">
      <c r="B193" s="2529" t="s">
        <v>461</v>
      </c>
      <c r="C193" s="1929"/>
      <c r="D193" s="2180"/>
      <c r="E193" s="2180"/>
      <c r="F193" s="2180"/>
      <c r="G193" s="2180"/>
      <c r="H193" s="2180"/>
      <c r="I193" s="2180"/>
      <c r="J193" s="2180"/>
      <c r="K193" s="2180"/>
      <c r="L193" s="2180"/>
      <c r="M193" s="2180"/>
      <c r="N193" s="2180"/>
      <c r="O193" s="2180"/>
      <c r="P193" s="2180"/>
      <c r="Q193" s="2180"/>
      <c r="R193" s="2180"/>
      <c r="S193" s="2180"/>
      <c r="T193" s="2180"/>
      <c r="U193" s="2180"/>
      <c r="V193" s="2180"/>
      <c r="W193" s="2180"/>
      <c r="X193" s="2180"/>
      <c r="Y193" s="2180"/>
      <c r="Z193" s="2180"/>
      <c r="AA193" s="2180"/>
      <c r="AB193" s="2180"/>
      <c r="AC193" s="2180"/>
      <c r="AD193" s="2180"/>
      <c r="AE193" s="2180"/>
      <c r="AF193" s="2180"/>
      <c r="AG193" s="2180"/>
      <c r="AH193" s="2180"/>
      <c r="AI193" s="2180"/>
      <c r="AJ193" s="2180"/>
      <c r="AK193" s="2180"/>
      <c r="AL193" s="2180"/>
      <c r="AM193" s="2180"/>
    </row>
  </sheetData>
  <sheetProtection algorithmName="SHA-512" hashValue="jzfh9ZVhz/hhaesIQgUl2rw39JPrQy5UDv8Q/Gsl+TP7q0vTb4l0KVQft20uWLWm5KDbNq8LON7YAICLGQ/7Vg==" saltValue="DELqphmx27SJ6fgmjrWVWw==" spinCount="100000" sheet="1" objects="1" scenarios="1"/>
  <mergeCells count="307">
    <mergeCell ref="R186:S186"/>
    <mergeCell ref="C131:AK131"/>
    <mergeCell ref="AL27:AM27"/>
    <mergeCell ref="B91:AM91"/>
    <mergeCell ref="AG31:AH31"/>
    <mergeCell ref="AL154:AM154"/>
    <mergeCell ref="E28:AK28"/>
    <mergeCell ref="B137:D137"/>
    <mergeCell ref="D15:AK15"/>
    <mergeCell ref="AL25:AM25"/>
    <mergeCell ref="B93:AM93"/>
    <mergeCell ref="D81:S81"/>
    <mergeCell ref="F110:AK110"/>
    <mergeCell ref="B170:Q170"/>
    <mergeCell ref="E83:M83"/>
    <mergeCell ref="AL109:AM109"/>
    <mergeCell ref="D19:AM19"/>
    <mergeCell ref="AL122:AM122"/>
    <mergeCell ref="D79:E79"/>
    <mergeCell ref="B172:Q172"/>
    <mergeCell ref="AL40:AM40"/>
    <mergeCell ref="F49:AK49"/>
    <mergeCell ref="AL15:AM15"/>
    <mergeCell ref="B181:V181"/>
    <mergeCell ref="G20:AK20"/>
    <mergeCell ref="E144:M144"/>
    <mergeCell ref="E108:F108"/>
    <mergeCell ref="E113:AK113"/>
    <mergeCell ref="AL106:AM106"/>
    <mergeCell ref="E115:AK115"/>
    <mergeCell ref="AF120:AK120"/>
    <mergeCell ref="R167:S167"/>
    <mergeCell ref="C158:AK158"/>
    <mergeCell ref="C105:AM105"/>
    <mergeCell ref="D147:AK147"/>
    <mergeCell ref="AL30:AM30"/>
    <mergeCell ref="AL98:AM98"/>
    <mergeCell ref="AL113:AM113"/>
    <mergeCell ref="D134:AK134"/>
    <mergeCell ref="D58:AK58"/>
    <mergeCell ref="E114:AK114"/>
    <mergeCell ref="B161:AM161"/>
    <mergeCell ref="D78:E78"/>
    <mergeCell ref="E24:AI24"/>
    <mergeCell ref="C142:AK142"/>
    <mergeCell ref="B144:D144"/>
    <mergeCell ref="D71:E71"/>
    <mergeCell ref="L31:M31"/>
    <mergeCell ref="R182:S182"/>
    <mergeCell ref="AL59:AM59"/>
    <mergeCell ref="N120:AE120"/>
    <mergeCell ref="AL125:AM125"/>
    <mergeCell ref="B173:Q173"/>
    <mergeCell ref="B92:G92"/>
    <mergeCell ref="B165:Q165"/>
    <mergeCell ref="E26:AK26"/>
    <mergeCell ref="AL56:AM56"/>
    <mergeCell ref="D100:AK100"/>
    <mergeCell ref="D87:E87"/>
    <mergeCell ref="AL131:AM131"/>
    <mergeCell ref="E121:AK121"/>
    <mergeCell ref="R176:S176"/>
    <mergeCell ref="D106:S106"/>
    <mergeCell ref="AL144:AM144"/>
    <mergeCell ref="C76:AK76"/>
    <mergeCell ref="C132:AK132"/>
    <mergeCell ref="AL137:AM137"/>
    <mergeCell ref="I31:J31"/>
    <mergeCell ref="AL54:AM54"/>
    <mergeCell ref="R168:S168"/>
    <mergeCell ref="AL47:AM47"/>
    <mergeCell ref="AL111:AM111"/>
    <mergeCell ref="T4:Y4"/>
    <mergeCell ref="E151:AK151"/>
    <mergeCell ref="R170:S170"/>
    <mergeCell ref="B178:Q178"/>
    <mergeCell ref="U31:V31"/>
    <mergeCell ref="E52:AK52"/>
    <mergeCell ref="E150:AK150"/>
    <mergeCell ref="AL143:AM143"/>
    <mergeCell ref="E109:AG109"/>
    <mergeCell ref="R172:S172"/>
    <mergeCell ref="AL36:AM36"/>
    <mergeCell ref="AL100:AM100"/>
    <mergeCell ref="D148:AK148"/>
    <mergeCell ref="C143:AK143"/>
    <mergeCell ref="D38:AK38"/>
    <mergeCell ref="AL146:AM146"/>
    <mergeCell ref="R173:S173"/>
    <mergeCell ref="F36:AK36"/>
    <mergeCell ref="D63:AK63"/>
    <mergeCell ref="AL52:AM52"/>
    <mergeCell ref="AL123:AM123"/>
    <mergeCell ref="AL39:AM39"/>
    <mergeCell ref="N144:AE144"/>
    <mergeCell ref="AL152:AM152"/>
    <mergeCell ref="R183:S183"/>
    <mergeCell ref="G43:AK43"/>
    <mergeCell ref="R175:S175"/>
    <mergeCell ref="C138:D138"/>
    <mergeCell ref="E57:AK57"/>
    <mergeCell ref="B191:AM191"/>
    <mergeCell ref="C145:Z145"/>
    <mergeCell ref="E47:AK47"/>
    <mergeCell ref="T81:U81"/>
    <mergeCell ref="B128:AM128"/>
    <mergeCell ref="B179:Q179"/>
    <mergeCell ref="AL156:AM156"/>
    <mergeCell ref="B166:Q166"/>
    <mergeCell ref="N156:AE156"/>
    <mergeCell ref="E111:AK111"/>
    <mergeCell ref="B174:Q174"/>
    <mergeCell ref="B168:Q168"/>
    <mergeCell ref="C154:AK154"/>
    <mergeCell ref="B169:Q169"/>
    <mergeCell ref="G44:AK44"/>
    <mergeCell ref="D98:AK98"/>
    <mergeCell ref="AL57:AM57"/>
    <mergeCell ref="E120:M120"/>
    <mergeCell ref="AL75:AM75"/>
    <mergeCell ref="B187:Q187"/>
    <mergeCell ref="C96:AK96"/>
    <mergeCell ref="R178:S178"/>
    <mergeCell ref="C141:D141"/>
    <mergeCell ref="AL65:AM65"/>
    <mergeCell ref="AL70:AM70"/>
    <mergeCell ref="B188:Q188"/>
    <mergeCell ref="AF144:AK144"/>
    <mergeCell ref="B2:AM2"/>
    <mergeCell ref="F50:AK50"/>
    <mergeCell ref="AA31:AB31"/>
    <mergeCell ref="E61:F61"/>
    <mergeCell ref="B4:S4"/>
    <mergeCell ref="E53:AK53"/>
    <mergeCell ref="AL83:AM83"/>
    <mergeCell ref="F27:AK27"/>
    <mergeCell ref="AJ25:AK25"/>
    <mergeCell ref="AL85:AM85"/>
    <mergeCell ref="B117:D117"/>
    <mergeCell ref="AL149:AM149"/>
    <mergeCell ref="D55:AK55"/>
    <mergeCell ref="E25:AI25"/>
    <mergeCell ref="K86:AK86"/>
    <mergeCell ref="F35:G35"/>
    <mergeCell ref="D11:E11"/>
    <mergeCell ref="D89:AK89"/>
    <mergeCell ref="F33:G33"/>
    <mergeCell ref="B102:AM102"/>
    <mergeCell ref="B83:D83"/>
    <mergeCell ref="O31:P31"/>
    <mergeCell ref="D88:AK88"/>
    <mergeCell ref="G21:AK21"/>
    <mergeCell ref="C139:D139"/>
    <mergeCell ref="E20:F20"/>
    <mergeCell ref="AL17:AM17"/>
    <mergeCell ref="E22:AK22"/>
    <mergeCell ref="D14:E14"/>
    <mergeCell ref="D80:E80"/>
    <mergeCell ref="R31:S31"/>
    <mergeCell ref="E40:AK40"/>
    <mergeCell ref="N137:AE137"/>
    <mergeCell ref="D16:AK16"/>
    <mergeCell ref="E62:F62"/>
    <mergeCell ref="E137:M137"/>
    <mergeCell ref="D122:AK122"/>
    <mergeCell ref="E29:AK29"/>
    <mergeCell ref="D18:AK18"/>
    <mergeCell ref="E69:AK69"/>
    <mergeCell ref="B156:D156"/>
    <mergeCell ref="AL126:AM126"/>
    <mergeCell ref="B72:G72"/>
    <mergeCell ref="F67:AK67"/>
    <mergeCell ref="B175:Q175"/>
    <mergeCell ref="W81:Z81"/>
    <mergeCell ref="AF156:AK156"/>
    <mergeCell ref="E12:F12"/>
    <mergeCell ref="AL81:AM81"/>
    <mergeCell ref="C140:AK140"/>
    <mergeCell ref="AL99:AM99"/>
    <mergeCell ref="B163:AM163"/>
    <mergeCell ref="AL145:AM145"/>
    <mergeCell ref="AL89:AM89"/>
    <mergeCell ref="D82:AK82"/>
    <mergeCell ref="AD31:AE31"/>
    <mergeCell ref="F42:AK42"/>
    <mergeCell ref="F46:AK46"/>
    <mergeCell ref="F48:AK48"/>
    <mergeCell ref="D135:AK135"/>
    <mergeCell ref="AA116:AB116"/>
    <mergeCell ref="C130:D130"/>
    <mergeCell ref="D84:AK84"/>
    <mergeCell ref="D86:J86"/>
    <mergeCell ref="AL136:AM136"/>
    <mergeCell ref="AL29:AM29"/>
    <mergeCell ref="E139:AK139"/>
    <mergeCell ref="C153:AK153"/>
    <mergeCell ref="AL95:AM95"/>
    <mergeCell ref="F112:AK112"/>
    <mergeCell ref="AL26:AM26"/>
    <mergeCell ref="B90:AM90"/>
    <mergeCell ref="AL120:AM120"/>
    <mergeCell ref="E119:AK119"/>
    <mergeCell ref="AL42:AM42"/>
    <mergeCell ref="D149:AK149"/>
    <mergeCell ref="C95:AK95"/>
    <mergeCell ref="D124:AK124"/>
    <mergeCell ref="C104:Q104"/>
    <mergeCell ref="C146:AJ146"/>
    <mergeCell ref="D126:AK126"/>
    <mergeCell ref="F65:AK65"/>
    <mergeCell ref="D152:AK152"/>
    <mergeCell ref="R187:S187"/>
    <mergeCell ref="R174:S174"/>
    <mergeCell ref="R184:S184"/>
    <mergeCell ref="F37:G37"/>
    <mergeCell ref="R171:S171"/>
    <mergeCell ref="B182:Q182"/>
    <mergeCell ref="E68:AK68"/>
    <mergeCell ref="C9:AJ9"/>
    <mergeCell ref="E21:F21"/>
    <mergeCell ref="R179:S179"/>
    <mergeCell ref="R166:S166"/>
    <mergeCell ref="C155:AK155"/>
    <mergeCell ref="N117:AE117"/>
    <mergeCell ref="AF137:AK137"/>
    <mergeCell ref="E23:F23"/>
    <mergeCell ref="B183:Q183"/>
    <mergeCell ref="B177:Q177"/>
    <mergeCell ref="C157:AK157"/>
    <mergeCell ref="B184:Q184"/>
    <mergeCell ref="F31:G31"/>
    <mergeCell ref="G23:AK23"/>
    <mergeCell ref="B160:G160"/>
    <mergeCell ref="R165:S165"/>
    <mergeCell ref="B167:Q167"/>
    <mergeCell ref="R169:S169"/>
    <mergeCell ref="E51:AK51"/>
    <mergeCell ref="B193:AM193"/>
    <mergeCell ref="E30:AK30"/>
    <mergeCell ref="D13:E13"/>
    <mergeCell ref="G32:AK32"/>
    <mergeCell ref="E59:AK59"/>
    <mergeCell ref="C75:AK75"/>
    <mergeCell ref="D99:AK99"/>
    <mergeCell ref="B180:Q180"/>
    <mergeCell ref="E54:AK54"/>
    <mergeCell ref="E41:AK41"/>
    <mergeCell ref="AL142:AM142"/>
    <mergeCell ref="B73:AM73"/>
    <mergeCell ref="AL117:AM117"/>
    <mergeCell ref="AF117:AK117"/>
    <mergeCell ref="E56:AK56"/>
    <mergeCell ref="B186:Q186"/>
    <mergeCell ref="B120:D120"/>
    <mergeCell ref="B101:G101"/>
    <mergeCell ref="D125:AK125"/>
    <mergeCell ref="F34:G34"/>
    <mergeCell ref="E116:Z116"/>
    <mergeCell ref="E138:AK138"/>
    <mergeCell ref="B190:F190"/>
    <mergeCell ref="D39:AK39"/>
    <mergeCell ref="R177:S177"/>
    <mergeCell ref="D133:AK133"/>
    <mergeCell ref="AL41:AM41"/>
    <mergeCell ref="AL16:AM16"/>
    <mergeCell ref="B7:E7"/>
    <mergeCell ref="B127:G127"/>
    <mergeCell ref="E118:F118"/>
    <mergeCell ref="C10:AK10"/>
    <mergeCell ref="AL18:AM18"/>
    <mergeCell ref="R188:S188"/>
    <mergeCell ref="E32:F32"/>
    <mergeCell ref="B185:Q185"/>
    <mergeCell ref="AL53:AM53"/>
    <mergeCell ref="F45:AK45"/>
    <mergeCell ref="AL68:AM68"/>
    <mergeCell ref="B176:Q176"/>
    <mergeCell ref="F7:AM7"/>
    <mergeCell ref="AL132:AM132"/>
    <mergeCell ref="E117:M117"/>
    <mergeCell ref="D107:AK107"/>
    <mergeCell ref="X31:Y31"/>
    <mergeCell ref="B171:Q171"/>
    <mergeCell ref="B6:AM6"/>
    <mergeCell ref="AL9:AM9"/>
    <mergeCell ref="D17:AK17"/>
    <mergeCell ref="AL69:AM69"/>
    <mergeCell ref="AL140:AM140"/>
    <mergeCell ref="AF83:AK83"/>
    <mergeCell ref="C97:AK97"/>
    <mergeCell ref="D123:AK123"/>
    <mergeCell ref="T188:AH188"/>
    <mergeCell ref="D85:AK85"/>
    <mergeCell ref="D60:AK60"/>
    <mergeCell ref="F66:V66"/>
    <mergeCell ref="W181:X181"/>
    <mergeCell ref="R185:S185"/>
    <mergeCell ref="AJ24:AK24"/>
    <mergeCell ref="AL24:AM24"/>
    <mergeCell ref="N83:AE83"/>
    <mergeCell ref="AA81:AI81"/>
    <mergeCell ref="AL51:AM51"/>
    <mergeCell ref="AL153:AM153"/>
    <mergeCell ref="D136:AK136"/>
    <mergeCell ref="D70:AK70"/>
    <mergeCell ref="E156:M156"/>
    <mergeCell ref="E64:AK64"/>
  </mergeCells>
  <conditionalFormatting sqref="E20:E21 E24 E30:E31 E62 H31 J31:K31 J33:J34 N31 Q31 T31 W31:X31 Z31:AA31 AC31:AD31 AG31">
    <cfRule type="cellIs" dxfId="1002" priority="367" operator="equal">
      <formula>"O"</formula>
    </cfRule>
  </conditionalFormatting>
  <conditionalFormatting sqref="D77">
    <cfRule type="cellIs" dxfId="1001" priority="273" operator="equal">
      <formula>"O"</formula>
    </cfRule>
  </conditionalFormatting>
  <conditionalFormatting sqref="D80">
    <cfRule type="cellIs" dxfId="1000" priority="268" operator="equal">
      <formula>"O"</formula>
    </cfRule>
  </conditionalFormatting>
  <conditionalFormatting sqref="D78">
    <cfRule type="cellIs" dxfId="999" priority="253" operator="equal">
      <formula>"O"</formula>
    </cfRule>
  </conditionalFormatting>
  <conditionalFormatting sqref="D79">
    <cfRule type="cellIs" dxfId="998" priority="252" operator="equal">
      <formula>"O"</formula>
    </cfRule>
  </conditionalFormatting>
  <conditionalFormatting sqref="E12">
    <cfRule type="cellIs" dxfId="997" priority="247" operator="equal">
      <formula>"O"</formula>
    </cfRule>
  </conditionalFormatting>
  <conditionalFormatting sqref="D11">
    <cfRule type="cellIs" dxfId="996" priority="246" operator="equal">
      <formula>"O"</formula>
    </cfRule>
  </conditionalFormatting>
  <conditionalFormatting sqref="D13">
    <cfRule type="cellIs" dxfId="995" priority="244" operator="equal">
      <formula>"O"</formula>
    </cfRule>
  </conditionalFormatting>
  <conditionalFormatting sqref="D14">
    <cfRule type="cellIs" dxfId="994" priority="242" operator="equal">
      <formula>"O"</formula>
    </cfRule>
  </conditionalFormatting>
  <conditionalFormatting sqref="F33">
    <cfRule type="cellIs" dxfId="993" priority="238" operator="equal">
      <formula>"O"</formula>
    </cfRule>
  </conditionalFormatting>
  <conditionalFormatting sqref="E32">
    <cfRule type="cellIs" dxfId="992" priority="239" operator="equal">
      <formula>"O"</formula>
    </cfRule>
  </conditionalFormatting>
  <conditionalFormatting sqref="F34">
    <cfRule type="cellIs" dxfId="991" priority="237" operator="equal">
      <formula>"O"</formula>
    </cfRule>
  </conditionalFormatting>
  <conditionalFormatting sqref="E24">
    <cfRule type="cellIs" dxfId="990" priority="234" operator="equal">
      <formula>"O"</formula>
    </cfRule>
  </conditionalFormatting>
  <conditionalFormatting sqref="E21">
    <cfRule type="cellIs" dxfId="989" priority="235" operator="equal">
      <formula>"O"</formula>
    </cfRule>
  </conditionalFormatting>
  <conditionalFormatting sqref="F31">
    <cfRule type="cellIs" dxfId="988" priority="233" operator="equal">
      <formula>"O"</formula>
    </cfRule>
  </conditionalFormatting>
  <conditionalFormatting sqref="I31">
    <cfRule type="cellIs" dxfId="987" priority="232" operator="equal">
      <formula>"O"</formula>
    </cfRule>
  </conditionalFormatting>
  <conditionalFormatting sqref="L31">
    <cfRule type="cellIs" dxfId="986" priority="231" operator="equal">
      <formula>"O"</formula>
    </cfRule>
  </conditionalFormatting>
  <conditionalFormatting sqref="O31">
    <cfRule type="cellIs" dxfId="985" priority="230" operator="equal">
      <formula>"O"</formula>
    </cfRule>
  </conditionalFormatting>
  <conditionalFormatting sqref="R31">
    <cfRule type="cellIs" dxfId="984" priority="229" operator="equal">
      <formula>"O"</formula>
    </cfRule>
  </conditionalFormatting>
  <conditionalFormatting sqref="U31">
    <cfRule type="cellIs" dxfId="983" priority="228" operator="equal">
      <formula>"O"</formula>
    </cfRule>
  </conditionalFormatting>
  <conditionalFormatting sqref="E61">
    <cfRule type="cellIs" dxfId="982" priority="227" operator="equal">
      <formula>"O"</formula>
    </cfRule>
  </conditionalFormatting>
  <conditionalFormatting sqref="E108">
    <cfRule type="cellIs" dxfId="981" priority="222" operator="equal">
      <formula>"O"</formula>
    </cfRule>
  </conditionalFormatting>
  <conditionalFormatting sqref="C130">
    <cfRule type="cellIs" dxfId="980" priority="220" operator="equal">
      <formula>"O"</formula>
    </cfRule>
  </conditionalFormatting>
  <conditionalFormatting sqref="AL107:AM107">
    <cfRule type="cellIs" dxfId="979" priority="214" operator="equal">
      <formula>"Yes"</formula>
    </cfRule>
  </conditionalFormatting>
  <conditionalFormatting sqref="C138">
    <cfRule type="cellIs" dxfId="978" priority="198" operator="equal">
      <formula>"O"</formula>
    </cfRule>
  </conditionalFormatting>
  <conditionalFormatting sqref="C141">
    <cfRule type="cellIs" dxfId="977" priority="199" operator="equal">
      <formula>"O"</formula>
    </cfRule>
  </conditionalFormatting>
  <conditionalFormatting sqref="R165:S179 W181:X181 AL59:AM59 AL109:AM109 AL111:AM111 AL113:AM113 AL122:AM123">
    <cfRule type="cellIs" dxfId="976" priority="196" operator="equal">
      <formula>"No"</formula>
    </cfRule>
    <cfRule type="cellIs" dxfId="975" priority="197" operator="equal">
      <formula>"Yes"</formula>
    </cfRule>
  </conditionalFormatting>
  <conditionalFormatting sqref="AL89:AM89">
    <cfRule type="cellIs" dxfId="974" priority="194" operator="equal">
      <formula>"No"</formula>
    </cfRule>
    <cfRule type="cellIs" dxfId="973" priority="195" operator="equal">
      <formula>"Yes"</formula>
    </cfRule>
  </conditionalFormatting>
  <conditionalFormatting sqref="AL40:AM40">
    <cfRule type="cellIs" dxfId="972" priority="192" operator="equal">
      <formula>"No"</formula>
    </cfRule>
    <cfRule type="cellIs" dxfId="971" priority="193" operator="equal">
      <formula>"Yes"</formula>
    </cfRule>
  </conditionalFormatting>
  <conditionalFormatting sqref="AL9:AM9">
    <cfRule type="cellIs" dxfId="970" priority="190" operator="equal">
      <formula>"No"</formula>
    </cfRule>
    <cfRule type="cellIs" dxfId="969" priority="191" operator="equal">
      <formula>"Yes"</formula>
    </cfRule>
  </conditionalFormatting>
  <conditionalFormatting sqref="AL126:AM126">
    <cfRule type="cellIs" dxfId="968" priority="174" operator="equal">
      <formula>"No"</formula>
    </cfRule>
    <cfRule type="cellIs" dxfId="967" priority="175" operator="equal">
      <formula>"Yes"</formula>
    </cfRule>
  </conditionalFormatting>
  <conditionalFormatting sqref="AL106:AM106">
    <cfRule type="cellIs" dxfId="966" priority="178" operator="equal">
      <formula>"No"</formula>
    </cfRule>
    <cfRule type="cellIs" dxfId="965" priority="179" operator="equal">
      <formula>"Yes"</formula>
    </cfRule>
  </conditionalFormatting>
  <conditionalFormatting sqref="AL98:AM100">
    <cfRule type="cellIs" dxfId="964" priority="180" operator="equal">
      <formula>"No"</formula>
    </cfRule>
    <cfRule type="cellIs" dxfId="963" priority="181" operator="equal">
      <formula>"Yes"</formula>
    </cfRule>
  </conditionalFormatting>
  <conditionalFormatting sqref="AL131:AM132">
    <cfRule type="cellIs" dxfId="962" priority="172" operator="equal">
      <formula>"No"</formula>
    </cfRule>
    <cfRule type="cellIs" dxfId="961" priority="173" operator="equal">
      <formula>"Yes"</formula>
    </cfRule>
  </conditionalFormatting>
  <conditionalFormatting sqref="AL142:AM143 AL145:AM146">
    <cfRule type="cellIs" dxfId="960" priority="168" operator="equal">
      <formula>"No"</formula>
    </cfRule>
    <cfRule type="cellIs" dxfId="959" priority="169" operator="equal">
      <formula>"Yes"</formula>
    </cfRule>
  </conditionalFormatting>
  <conditionalFormatting sqref="E26">
    <cfRule type="cellIs" dxfId="958" priority="149" operator="equal">
      <formula>"Yes"</formula>
    </cfRule>
  </conditionalFormatting>
  <conditionalFormatting sqref="E23">
    <cfRule type="cellIs" dxfId="957" priority="145" operator="equal">
      <formula>"O"</formula>
    </cfRule>
    <cfRule type="cellIs" dxfId="956" priority="146" operator="equal">
      <formula>"O"</formula>
    </cfRule>
  </conditionalFormatting>
  <conditionalFormatting sqref="AF31">
    <cfRule type="cellIs" dxfId="955" priority="143" operator="equal">
      <formula>"O"</formula>
    </cfRule>
  </conditionalFormatting>
  <conditionalFormatting sqref="F35">
    <cfRule type="cellIs" dxfId="954" priority="140" operator="equal">
      <formula>"O"</formula>
    </cfRule>
  </conditionalFormatting>
  <conditionalFormatting sqref="F37">
    <cfRule type="cellIs" dxfId="953" priority="138" operator="equal">
      <formula>"O"</formula>
    </cfRule>
  </conditionalFormatting>
  <conditionalFormatting sqref="AL41:AM41">
    <cfRule type="cellIs" dxfId="952" priority="136" operator="equal">
      <formula>"No"</formula>
    </cfRule>
    <cfRule type="cellIs" dxfId="951" priority="137" operator="equal">
      <formula>"Yes"</formula>
    </cfRule>
  </conditionalFormatting>
  <conditionalFormatting sqref="AL42:AM42">
    <cfRule type="cellIs" dxfId="950" priority="134" operator="equal">
      <formula>"No"</formula>
    </cfRule>
    <cfRule type="cellIs" dxfId="949" priority="135" operator="equal">
      <formula>"Yes"</formula>
    </cfRule>
  </conditionalFormatting>
  <conditionalFormatting sqref="AL47:AM47">
    <cfRule type="cellIs" dxfId="948" priority="132" operator="equal">
      <formula>"No"</formula>
    </cfRule>
    <cfRule type="cellIs" dxfId="947" priority="133" operator="equal">
      <formula>"Yes"</formula>
    </cfRule>
  </conditionalFormatting>
  <conditionalFormatting sqref="AL51:AM51">
    <cfRule type="cellIs" dxfId="946" priority="130" operator="equal">
      <formula>"No"</formula>
    </cfRule>
    <cfRule type="cellIs" dxfId="945" priority="131" operator="equal">
      <formula>"Yes"</formula>
    </cfRule>
  </conditionalFormatting>
  <conditionalFormatting sqref="AL52:AM52">
    <cfRule type="cellIs" dxfId="944" priority="128" operator="equal">
      <formula>"No"</formula>
    </cfRule>
    <cfRule type="cellIs" dxfId="943" priority="129" operator="equal">
      <formula>"Yes"</formula>
    </cfRule>
  </conditionalFormatting>
  <conditionalFormatting sqref="AL53:AM53">
    <cfRule type="cellIs" dxfId="942" priority="126" operator="equal">
      <formula>"No"</formula>
    </cfRule>
    <cfRule type="cellIs" dxfId="941" priority="127" operator="equal">
      <formula>"Yes"</formula>
    </cfRule>
  </conditionalFormatting>
  <conditionalFormatting sqref="AL54:AM54">
    <cfRule type="cellIs" dxfId="940" priority="124" operator="equal">
      <formula>"No"</formula>
    </cfRule>
    <cfRule type="cellIs" dxfId="939" priority="125" operator="equal">
      <formula>"Yes"</formula>
    </cfRule>
  </conditionalFormatting>
  <conditionalFormatting sqref="AL56:AM56">
    <cfRule type="cellIs" dxfId="938" priority="122" operator="equal">
      <formula>"No"</formula>
    </cfRule>
    <cfRule type="cellIs" dxfId="937" priority="123" operator="equal">
      <formula>"Yes"</formula>
    </cfRule>
  </conditionalFormatting>
  <conditionalFormatting sqref="AL65:AM65">
    <cfRule type="cellIs" dxfId="936" priority="120" operator="equal">
      <formula>"No"</formula>
    </cfRule>
    <cfRule type="cellIs" dxfId="935" priority="121" operator="equal">
      <formula>"Yes"</formula>
    </cfRule>
  </conditionalFormatting>
  <conditionalFormatting sqref="AL69:AM69">
    <cfRule type="cellIs" dxfId="934" priority="114" operator="equal">
      <formula>"No"</formula>
    </cfRule>
    <cfRule type="cellIs" dxfId="933" priority="115" operator="equal">
      <formula>"Yes"</formula>
    </cfRule>
  </conditionalFormatting>
  <conditionalFormatting sqref="AL149:AM149">
    <cfRule type="cellIs" dxfId="932" priority="110" operator="equal">
      <formula>"No"</formula>
    </cfRule>
    <cfRule type="cellIs" dxfId="931" priority="111" operator="equal">
      <formula>"Yes"</formula>
    </cfRule>
  </conditionalFormatting>
  <conditionalFormatting sqref="AL153:AM153">
    <cfRule type="cellIs" dxfId="930" priority="108" operator="equal">
      <formula>"No"</formula>
    </cfRule>
    <cfRule type="cellIs" dxfId="929" priority="109" operator="equal">
      <formula>"Yes"</formula>
    </cfRule>
  </conditionalFormatting>
  <conditionalFormatting sqref="D71">
    <cfRule type="cellIs" dxfId="928" priority="105" operator="equal">
      <formula>"O"</formula>
    </cfRule>
  </conditionalFormatting>
  <conditionalFormatting sqref="AL57:AM57">
    <cfRule type="cellIs" dxfId="927" priority="91" operator="equal">
      <formula>"No"</formula>
    </cfRule>
    <cfRule type="cellIs" dxfId="926" priority="92" operator="equal">
      <formula>"Yes"</formula>
    </cfRule>
  </conditionalFormatting>
  <conditionalFormatting sqref="AL75:AM75">
    <cfRule type="cellIs" dxfId="925" priority="86" operator="equal">
      <formula>"No"</formula>
    </cfRule>
    <cfRule type="cellIs" dxfId="924" priority="87" operator="equal">
      <formula>"Yes"</formula>
    </cfRule>
  </conditionalFormatting>
  <conditionalFormatting sqref="AL95:AM95">
    <cfRule type="cellIs" dxfId="923" priority="84" operator="equal">
      <formula>"No"</formula>
    </cfRule>
    <cfRule type="cellIs" dxfId="922" priority="85" operator="equal">
      <formula>"Yes"</formula>
    </cfRule>
  </conditionalFormatting>
  <conditionalFormatting sqref="AL15:AM15">
    <cfRule type="cellIs" dxfId="921" priority="82" operator="equal">
      <formula>"No"</formula>
    </cfRule>
    <cfRule type="cellIs" dxfId="920" priority="83" operator="equal">
      <formula>"Yes"</formula>
    </cfRule>
  </conditionalFormatting>
  <conditionalFormatting sqref="AL16:AM18">
    <cfRule type="cellIs" dxfId="919" priority="80" operator="equal">
      <formula>"No"</formula>
    </cfRule>
    <cfRule type="cellIs" dxfId="918" priority="81" operator="equal">
      <formula>"Yes"</formula>
    </cfRule>
  </conditionalFormatting>
  <conditionalFormatting sqref="C139">
    <cfRule type="cellIs" dxfId="917" priority="69" operator="equal">
      <formula>"O"</formula>
    </cfRule>
  </conditionalFormatting>
  <conditionalFormatting sqref="AL140:AM140">
    <cfRule type="cellIs" dxfId="916" priority="67" operator="equal">
      <formula>"No"</formula>
    </cfRule>
    <cfRule type="cellIs" dxfId="915" priority="68" operator="equal">
      <formula>"Yes"</formula>
    </cfRule>
  </conditionalFormatting>
  <conditionalFormatting sqref="AL152:AM152">
    <cfRule type="cellIs" dxfId="914" priority="65" operator="equal">
      <formula>"No"</formula>
    </cfRule>
    <cfRule type="cellIs" dxfId="913" priority="66" operator="equal">
      <formula>"Yes"</formula>
    </cfRule>
  </conditionalFormatting>
  <conditionalFormatting sqref="AL154:AM154">
    <cfRule type="cellIs" dxfId="912" priority="61" operator="equal">
      <formula>"No"</formula>
    </cfRule>
    <cfRule type="cellIs" dxfId="911" priority="62" operator="equal">
      <formula>"Yes"</formula>
    </cfRule>
  </conditionalFormatting>
  <conditionalFormatting sqref="AL36:AM36">
    <cfRule type="cellIs" dxfId="910" priority="55" operator="equal">
      <formula>"No"</formula>
    </cfRule>
    <cfRule type="cellIs" dxfId="909" priority="56" operator="equal">
      <formula>"Yes"</formula>
    </cfRule>
  </conditionalFormatting>
  <conditionalFormatting sqref="AL27:AM27">
    <cfRule type="cellIs" dxfId="908" priority="53" operator="equal">
      <formula>"No"</formula>
    </cfRule>
    <cfRule type="cellIs" dxfId="907" priority="54" operator="equal">
      <formula>"Yes"</formula>
    </cfRule>
  </conditionalFormatting>
  <conditionalFormatting sqref="AL26:AM26">
    <cfRule type="cellIs" dxfId="906" priority="51" operator="equal">
      <formula>"No"</formula>
    </cfRule>
    <cfRule type="cellIs" dxfId="905" priority="52" operator="equal">
      <formula>"Yes"</formula>
    </cfRule>
  </conditionalFormatting>
  <conditionalFormatting sqref="AL117:AM117">
    <cfRule type="cellIs" dxfId="904" priority="48" operator="equal">
      <formula>"Yes"</formula>
    </cfRule>
  </conditionalFormatting>
  <conditionalFormatting sqref="AL144:AM144">
    <cfRule type="cellIs" dxfId="903" priority="45" operator="equal">
      <formula>"No"</formula>
    </cfRule>
    <cfRule type="cellIs" dxfId="902" priority="46" operator="equal">
      <formula>"Yes"</formula>
    </cfRule>
  </conditionalFormatting>
  <conditionalFormatting sqref="R182:S188">
    <cfRule type="cellIs" dxfId="901" priority="43" operator="equal">
      <formula>"No"</formula>
    </cfRule>
    <cfRule type="cellIs" dxfId="900" priority="44" operator="equal">
      <formula>"Yes"</formula>
    </cfRule>
  </conditionalFormatting>
  <conditionalFormatting sqref="AL83:AM83">
    <cfRule type="cellIs" dxfId="899" priority="41" operator="equal">
      <formula>"No"</formula>
    </cfRule>
    <cfRule type="cellIs" dxfId="898" priority="42" operator="equal">
      <formula>"Yes"</formula>
    </cfRule>
  </conditionalFormatting>
  <conditionalFormatting sqref="AL156:AM156">
    <cfRule type="cellIs" dxfId="897" priority="37" operator="equal">
      <formula>"No"</formula>
    </cfRule>
    <cfRule type="cellIs" dxfId="896" priority="38" operator="equal">
      <formula>"Yes"</formula>
    </cfRule>
  </conditionalFormatting>
  <conditionalFormatting sqref="AX77:AX80">
    <cfRule type="cellIs" dxfId="895" priority="34" operator="equal">
      <formula>"Fail"</formula>
    </cfRule>
    <cfRule type="cellIs" dxfId="894" priority="35" operator="equal">
      <formula>"Pass"</formula>
    </cfRule>
  </conditionalFormatting>
  <conditionalFormatting sqref="AX83">
    <cfRule type="cellIs" dxfId="893" priority="29" operator="equal">
      <formula>"Fail"</formula>
    </cfRule>
    <cfRule type="cellIs" dxfId="892" priority="30" operator="equal">
      <formula>"Pass"</formula>
    </cfRule>
  </conditionalFormatting>
  <conditionalFormatting sqref="AL68:AM68">
    <cfRule type="cellIs" dxfId="891" priority="16" operator="equal">
      <formula>"No"</formula>
    </cfRule>
    <cfRule type="cellIs" dxfId="890" priority="17" operator="equal">
      <formula>"Yes"</formula>
    </cfRule>
  </conditionalFormatting>
  <conditionalFormatting sqref="AL70:AM70">
    <cfRule type="cellIs" dxfId="889" priority="14" operator="equal">
      <formula>"No"</formula>
    </cfRule>
    <cfRule type="cellIs" dxfId="888" priority="15" operator="equal">
      <formula>"Yes"</formula>
    </cfRule>
  </conditionalFormatting>
  <conditionalFormatting sqref="AL81:AM81">
    <cfRule type="cellIs" dxfId="887" priority="12" operator="equal">
      <formula>FALSE</formula>
    </cfRule>
    <cfRule type="cellIs" dxfId="886" priority="13" operator="equal">
      <formula>TRUE</formula>
    </cfRule>
  </conditionalFormatting>
  <conditionalFormatting sqref="E118">
    <cfRule type="cellIs" dxfId="885" priority="11" operator="equal">
      <formula>"O"</formula>
    </cfRule>
  </conditionalFormatting>
  <conditionalFormatting sqref="AL120:AM120">
    <cfRule type="cellIs" dxfId="884" priority="9" operator="equal">
      <formula>"No"</formula>
    </cfRule>
    <cfRule type="cellIs" dxfId="883" priority="10" operator="equal">
      <formula>"Yes"</formula>
    </cfRule>
  </conditionalFormatting>
  <conditionalFormatting sqref="AL137:AM137">
    <cfRule type="cellIs" dxfId="882" priority="5" operator="equal">
      <formula>"No"</formula>
    </cfRule>
    <cfRule type="cellIs" dxfId="881" priority="6" operator="equal">
      <formula>"Yes"</formula>
    </cfRule>
  </conditionalFormatting>
  <conditionalFormatting sqref="D87">
    <cfRule type="cellIs" dxfId="880" priority="3" operator="equal">
      <formula>"O"</formula>
    </cfRule>
  </conditionalFormatting>
  <dataValidations count="3">
    <dataValidation type="list" allowBlank="1" showInputMessage="1" showErrorMessage="1" sqref="R165:S179 R182:S188 W181:X181 AL9:AM9 AL40:AM42 AL47:AM47 AL51:AM54 AL56:AM57 AL59:AM59 AL65:AM65 AL68:AM70 AL75:AM75 AL83 AL85:AM85 AL89:AM89 AL95:AM95 AL98:AM100 AL106:AM107 AL109:AM109 AL111:AM111 AL113:AM113 AL117 AL120 AL122:AM123 AL125:AM126 AL131:AM132 AL136:AM136 AL137 AL140:AM140 AL142:AM143 AL144 AL145:AM146 AL149:AM149 AL153:AM154 AL156" xr:uid="{00000000-0002-0000-1800-000000000000}">
      <formula1>"Yes,No,N/A"</formula1>
    </dataValidation>
    <dataValidation type="list" allowBlank="1" showInputMessage="1" showErrorMessage="1" sqref="AL15:AM18 AL26:AM27 AL36:AM36 AL152:AM152" xr:uid="{00000000-0002-0000-1800-000001000000}">
      <formula1>"Yes,No"</formula1>
    </dataValidation>
    <dataValidation type="list" allowBlank="1" showInputMessage="1" showErrorMessage="1" sqref="AX80 AX83" xr:uid="{00000000-0002-0000-1800-000002000000}">
      <formula1>"Pass, Fail, N/A"</formula1>
    </dataValidation>
  </dataValidations>
  <hyperlinks>
    <hyperlink ref="AA116" r:id="rId1" xr:uid="{00000000-0004-0000-1800-000000000000}"/>
  </hyperlinks>
  <pageMargins left="0.7" right="0.7" top="0.75" bottom="0.75" header="0.3" footer="0.3"/>
  <pageSetup orientation="portrait"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
    <tabColor rgb="FF7030A0"/>
    <pageSetUpPr fitToPage="1"/>
  </sheetPr>
  <dimension ref="A1:AT368"/>
  <sheetViews>
    <sheetView showGridLines="0" showRowColHeaders="0" zoomScale="90" zoomScaleNormal="90" zoomScaleSheetLayoutView="112" workbookViewId="0"/>
  </sheetViews>
  <sheetFormatPr defaultColWidth="4.28515625" defaultRowHeight="18" customHeight="1"/>
  <cols>
    <col min="1" max="1" width="8.7109375" style="387" customWidth="1"/>
    <col min="2" max="8" width="4.28515625" style="387" customWidth="1"/>
    <col min="9" max="9" width="4.28515625" style="381" customWidth="1"/>
    <col min="10" max="39" width="4.28515625" style="387" customWidth="1"/>
    <col min="40" max="40" width="28.42578125" style="387" hidden="1" customWidth="1"/>
    <col min="41" max="43" width="13.7109375" style="387" hidden="1" customWidth="1"/>
    <col min="44" max="44" width="5.7109375" style="387" hidden="1" customWidth="1"/>
    <col min="45" max="45" width="135.5703125" style="387" hidden="1" customWidth="1"/>
    <col min="46" max="52" width="13.7109375" style="387" customWidth="1"/>
    <col min="53" max="53" width="4.28515625" style="387" customWidth="1"/>
    <col min="54" max="16384" width="4.28515625" style="387"/>
  </cols>
  <sheetData>
    <row r="1" spans="1:40" ht="18" customHeight="1">
      <c r="A1" s="552"/>
    </row>
    <row r="2" spans="1:40" s="530" customFormat="1" ht="18" customHeight="1">
      <c r="B2" s="3219" t="s">
        <v>2849</v>
      </c>
      <c r="C2" s="3220"/>
      <c r="D2" s="3220"/>
      <c r="E2" s="3220"/>
      <c r="F2" s="3220"/>
      <c r="G2" s="3220"/>
      <c r="H2" s="3220"/>
      <c r="I2" s="3220"/>
      <c r="J2" s="3220"/>
      <c r="K2" s="3220"/>
      <c r="L2" s="3220"/>
      <c r="M2" s="3220"/>
      <c r="N2" s="3220"/>
      <c r="O2" s="3220"/>
      <c r="P2" s="3220"/>
      <c r="Q2" s="3220"/>
      <c r="R2" s="3220"/>
      <c r="S2" s="3220"/>
      <c r="T2" s="3220"/>
      <c r="U2" s="3220"/>
      <c r="V2" s="3220"/>
      <c r="W2" s="3220"/>
      <c r="X2" s="3220"/>
      <c r="Y2" s="3220"/>
      <c r="Z2" s="3220"/>
      <c r="AA2" s="3220"/>
      <c r="AB2" s="3220"/>
      <c r="AC2" s="3220"/>
      <c r="AD2" s="3220"/>
      <c r="AE2" s="3220"/>
      <c r="AF2" s="3220"/>
      <c r="AG2" s="3220"/>
      <c r="AH2" s="3220"/>
      <c r="AI2" s="3220"/>
      <c r="AJ2" s="3220"/>
      <c r="AK2" s="3253">
        <v>45715</v>
      </c>
      <c r="AL2" s="3220"/>
      <c r="AM2" s="3220"/>
      <c r="AN2" s="381" t="s">
        <v>2520</v>
      </c>
    </row>
    <row r="3" spans="1:40" ht="36" customHeight="1">
      <c r="B3" s="3143" t="s">
        <v>2850</v>
      </c>
      <c r="C3" s="3021"/>
      <c r="D3" s="3021"/>
      <c r="E3" s="3021"/>
      <c r="F3" s="3021"/>
      <c r="G3" s="3021"/>
      <c r="H3" s="3021"/>
      <c r="I3" s="1935"/>
      <c r="J3" s="3021"/>
      <c r="K3" s="3021"/>
      <c r="L3" s="3021"/>
      <c r="M3" s="3021"/>
      <c r="N3" s="3021"/>
      <c r="O3" s="3021"/>
      <c r="P3" s="3021"/>
      <c r="Q3" s="3021"/>
      <c r="R3" s="3021"/>
      <c r="S3" s="3021"/>
      <c r="T3" s="3021"/>
      <c r="U3" s="3021"/>
      <c r="V3" s="3021"/>
      <c r="W3" s="3021"/>
      <c r="X3" s="3021"/>
      <c r="Y3" s="3021"/>
      <c r="Z3" s="3021"/>
      <c r="AA3" s="3021"/>
      <c r="AB3" s="3021"/>
      <c r="AC3" s="3021"/>
      <c r="AD3" s="3021"/>
      <c r="AE3" s="3021"/>
      <c r="AF3" s="3021"/>
      <c r="AG3" s="3021"/>
      <c r="AH3" s="3021"/>
      <c r="AI3" s="3021"/>
      <c r="AJ3" s="3021"/>
      <c r="AK3" s="3021"/>
      <c r="AL3" s="3021"/>
      <c r="AM3" s="3021"/>
      <c r="AN3" s="381" t="s">
        <v>2523</v>
      </c>
    </row>
    <row r="4" spans="1:40" s="384" customFormat="1" ht="18" hidden="1" customHeight="1">
      <c r="A4" s="538"/>
      <c r="B4" s="2181" t="s">
        <v>2851</v>
      </c>
      <c r="C4" s="3111"/>
      <c r="D4" s="3111"/>
      <c r="E4" s="3111"/>
      <c r="F4" s="3111"/>
      <c r="G4" s="3111"/>
      <c r="H4" s="3111"/>
      <c r="I4" s="3111"/>
      <c r="J4" s="3111"/>
      <c r="K4" s="3111"/>
      <c r="L4" s="3111"/>
      <c r="M4" s="3111"/>
      <c r="N4" s="3111"/>
      <c r="O4" s="3111"/>
      <c r="P4" s="3111"/>
      <c r="Q4" s="3111"/>
      <c r="R4" s="3111"/>
      <c r="S4" s="3111"/>
      <c r="T4" s="3111"/>
      <c r="U4" s="3111"/>
      <c r="V4" s="3111"/>
      <c r="W4" s="3111"/>
      <c r="X4" s="3111"/>
      <c r="Y4" s="3111"/>
      <c r="Z4" s="3111"/>
      <c r="AA4" s="3111"/>
      <c r="AB4" s="3111"/>
      <c r="AC4" s="3111"/>
      <c r="AD4" s="3111"/>
      <c r="AE4" s="3111"/>
      <c r="AF4" s="3111"/>
      <c r="AG4" s="3111"/>
      <c r="AH4" s="3111"/>
      <c r="AI4" s="3111"/>
      <c r="AJ4" s="3111"/>
      <c r="AK4" s="3111"/>
      <c r="AL4" s="3111"/>
      <c r="AM4" s="3111"/>
    </row>
    <row r="5" spans="1:40" s="384" customFormat="1" ht="18" hidden="1" customHeight="1">
      <c r="A5" s="538"/>
      <c r="B5" s="683" t="str">
        <f>CHAR(149)</f>
        <v>•</v>
      </c>
      <c r="C5" s="2181" t="s">
        <v>2852</v>
      </c>
      <c r="D5" s="3111"/>
      <c r="E5" s="3111"/>
      <c r="F5" s="3111"/>
      <c r="G5" s="3111"/>
      <c r="H5" s="3111"/>
      <c r="I5" s="3111"/>
      <c r="J5" s="3111"/>
      <c r="K5" s="3111"/>
      <c r="L5" s="3111"/>
      <c r="M5" s="3111"/>
      <c r="N5" s="3111"/>
      <c r="O5" s="3111"/>
      <c r="P5" s="3111"/>
      <c r="Q5" s="3111"/>
      <c r="R5" s="3111"/>
      <c r="S5" s="3111"/>
      <c r="T5" s="3111"/>
      <c r="U5" s="3111"/>
      <c r="V5" s="3111"/>
      <c r="W5" s="3111"/>
      <c r="X5" s="3111"/>
      <c r="Y5" s="3111"/>
      <c r="Z5" s="3111"/>
      <c r="AA5" s="3111"/>
      <c r="AB5" s="3111"/>
      <c r="AC5" s="3111"/>
      <c r="AD5" s="3111"/>
      <c r="AE5" s="3111"/>
      <c r="AF5" s="3111"/>
      <c r="AG5" s="3111"/>
      <c r="AH5" s="3111"/>
      <c r="AI5" s="3111"/>
      <c r="AJ5" s="3111"/>
      <c r="AK5" s="3111"/>
      <c r="AL5" s="3111"/>
      <c r="AM5" s="3111"/>
    </row>
    <row r="6" spans="1:40" s="384" customFormat="1" ht="36" hidden="1" customHeight="1">
      <c r="A6" s="538"/>
      <c r="B6" s="683" t="str">
        <f>CHAR(149)</f>
        <v>•</v>
      </c>
      <c r="C6" s="2181" t="s">
        <v>2853</v>
      </c>
      <c r="D6" s="3111"/>
      <c r="E6" s="3111"/>
      <c r="F6" s="3111"/>
      <c r="G6" s="3111"/>
      <c r="H6" s="3111"/>
      <c r="I6" s="3111"/>
      <c r="J6" s="3111"/>
      <c r="K6" s="3111"/>
      <c r="L6" s="3111"/>
      <c r="M6" s="3111"/>
      <c r="N6" s="3111"/>
      <c r="O6" s="3111"/>
      <c r="P6" s="3111"/>
      <c r="Q6" s="3111"/>
      <c r="R6" s="3111"/>
      <c r="S6" s="3111"/>
      <c r="T6" s="3111"/>
      <c r="U6" s="3111"/>
      <c r="V6" s="3111"/>
      <c r="W6" s="3111"/>
      <c r="X6" s="3111"/>
      <c r="Y6" s="3111"/>
      <c r="Z6" s="3111"/>
      <c r="AA6" s="3111"/>
      <c r="AB6" s="3111"/>
      <c r="AC6" s="3111"/>
      <c r="AD6" s="3111"/>
      <c r="AE6" s="3111"/>
      <c r="AF6" s="3111"/>
      <c r="AG6" s="3111"/>
      <c r="AH6" s="3111"/>
      <c r="AI6" s="3111"/>
      <c r="AJ6" s="3111"/>
      <c r="AK6" s="3111"/>
      <c r="AL6" s="3111"/>
      <c r="AM6" s="3111"/>
    </row>
    <row r="7" spans="1:40" s="384" customFormat="1" ht="36" hidden="1" customHeight="1">
      <c r="A7" s="538"/>
      <c r="B7" s="683" t="str">
        <f>CHAR(149)</f>
        <v>•</v>
      </c>
      <c r="C7" s="2181" t="s">
        <v>2854</v>
      </c>
      <c r="D7" s="3111"/>
      <c r="E7" s="3111"/>
      <c r="F7" s="3111"/>
      <c r="G7" s="3111"/>
      <c r="H7" s="3111"/>
      <c r="I7" s="3111"/>
      <c r="J7" s="3111"/>
      <c r="K7" s="3111"/>
      <c r="L7" s="3111"/>
      <c r="M7" s="3111"/>
      <c r="N7" s="3111"/>
      <c r="O7" s="3111"/>
      <c r="P7" s="3111"/>
      <c r="Q7" s="3111"/>
      <c r="R7" s="3111"/>
      <c r="S7" s="3111"/>
      <c r="T7" s="3111"/>
      <c r="U7" s="3111"/>
      <c r="V7" s="3111"/>
      <c r="W7" s="3111"/>
      <c r="X7" s="3111"/>
      <c r="Y7" s="3111"/>
      <c r="Z7" s="3111"/>
      <c r="AA7" s="3111"/>
      <c r="AB7" s="3111"/>
      <c r="AC7" s="3111"/>
      <c r="AD7" s="3111"/>
      <c r="AE7" s="3111"/>
      <c r="AF7" s="3111"/>
      <c r="AG7" s="3111"/>
      <c r="AH7" s="3111"/>
      <c r="AI7" s="3111"/>
      <c r="AJ7" s="3111"/>
      <c r="AK7" s="3111"/>
      <c r="AL7" s="3111"/>
      <c r="AM7" s="3111"/>
    </row>
    <row r="8" spans="1:40" s="384" customFormat="1" ht="18" hidden="1" customHeight="1">
      <c r="A8" s="538"/>
      <c r="B8" s="683" t="str">
        <f>CHAR(149)</f>
        <v>•</v>
      </c>
      <c r="C8" s="2181" t="s">
        <v>2855</v>
      </c>
      <c r="D8" s="3111"/>
      <c r="E8" s="3111"/>
      <c r="F8" s="3111"/>
      <c r="G8" s="3111"/>
      <c r="H8" s="3111"/>
      <c r="I8" s="3111"/>
      <c r="J8" s="3111"/>
      <c r="K8" s="3111"/>
      <c r="L8" s="3111"/>
      <c r="M8" s="3111"/>
      <c r="N8" s="3111"/>
      <c r="O8" s="3111"/>
      <c r="P8" s="3111"/>
      <c r="Q8" s="3111"/>
      <c r="R8" s="3111"/>
      <c r="S8" s="3111"/>
      <c r="T8" s="3111"/>
      <c r="U8" s="3111"/>
      <c r="V8" s="3111"/>
      <c r="W8" s="3111"/>
      <c r="X8" s="3111"/>
      <c r="Y8" s="3111"/>
      <c r="Z8" s="3111"/>
      <c r="AA8" s="3111"/>
      <c r="AB8" s="3111"/>
      <c r="AC8" s="3111"/>
      <c r="AD8" s="3111"/>
      <c r="AE8" s="3111"/>
      <c r="AF8" s="3111"/>
      <c r="AG8" s="3111"/>
      <c r="AH8" s="3111"/>
      <c r="AI8" s="3111"/>
      <c r="AJ8" s="3111"/>
      <c r="AK8" s="3111"/>
      <c r="AL8" s="3111"/>
      <c r="AM8" s="3111"/>
    </row>
    <row r="9" spans="1:40" s="384" customFormat="1" ht="54" hidden="1" customHeight="1">
      <c r="A9" s="538"/>
      <c r="B9" s="2181" t="s">
        <v>2856</v>
      </c>
      <c r="C9" s="3111"/>
      <c r="D9" s="3111"/>
      <c r="E9" s="3111"/>
      <c r="F9" s="3111"/>
      <c r="G9" s="3111"/>
      <c r="H9" s="3111"/>
      <c r="I9" s="3111"/>
      <c r="J9" s="3111"/>
      <c r="K9" s="3111"/>
      <c r="L9" s="3111"/>
      <c r="M9" s="3111"/>
      <c r="N9" s="3111"/>
      <c r="O9" s="3111"/>
      <c r="P9" s="3111"/>
      <c r="Q9" s="3111"/>
      <c r="R9" s="3111"/>
      <c r="S9" s="3111"/>
      <c r="T9" s="3111"/>
      <c r="U9" s="3111"/>
      <c r="V9" s="3111"/>
      <c r="W9" s="3111"/>
      <c r="X9" s="3111"/>
      <c r="Y9" s="3111"/>
      <c r="Z9" s="3111"/>
      <c r="AA9" s="3111"/>
      <c r="AB9" s="3111"/>
      <c r="AC9" s="3111"/>
      <c r="AD9" s="3111"/>
      <c r="AE9" s="3111"/>
      <c r="AF9" s="3111"/>
      <c r="AG9" s="3111"/>
      <c r="AH9" s="3111"/>
      <c r="AI9" s="3111"/>
      <c r="AJ9" s="3111"/>
      <c r="AK9" s="3111"/>
      <c r="AL9" s="1911"/>
      <c r="AM9" s="1862"/>
    </row>
    <row r="10" spans="1:40" s="384" customFormat="1" ht="18" customHeight="1"/>
    <row r="11" spans="1:40" ht="18" customHeight="1">
      <c r="B11" s="384"/>
      <c r="C11" s="3223" t="s">
        <v>2183</v>
      </c>
      <c r="D11" s="1777"/>
      <c r="E11" s="3028" t="s">
        <v>2184</v>
      </c>
      <c r="F11" s="1777"/>
      <c r="G11" s="1777"/>
      <c r="H11" s="1777"/>
      <c r="I11" s="1777"/>
      <c r="J11" s="1777"/>
      <c r="K11" s="1777"/>
      <c r="L11" s="1777"/>
      <c r="M11" s="1777"/>
      <c r="N11" s="1777"/>
      <c r="O11" s="1777"/>
      <c r="P11" s="1777"/>
      <c r="Q11" s="1777"/>
      <c r="R11" s="1777"/>
      <c r="S11" s="1777"/>
      <c r="T11" s="1777"/>
      <c r="U11" s="1778"/>
      <c r="V11" s="381"/>
      <c r="W11" s="381"/>
      <c r="X11" s="381"/>
      <c r="Y11" s="381"/>
      <c r="Z11" s="381"/>
      <c r="AB11" s="384"/>
      <c r="AC11" s="384"/>
      <c r="AD11" s="384"/>
      <c r="AE11" s="384"/>
      <c r="AF11" s="384"/>
      <c r="AG11" s="384"/>
      <c r="AH11" s="384"/>
      <c r="AI11" s="384"/>
      <c r="AJ11" s="384"/>
      <c r="AK11" s="384"/>
      <c r="AL11" s="384"/>
      <c r="AM11" s="384"/>
      <c r="AN11" s="381" t="s">
        <v>2528</v>
      </c>
    </row>
    <row r="12" spans="1:40" ht="18" customHeight="1">
      <c r="B12" s="384"/>
      <c r="C12" s="3218"/>
      <c r="D12" s="1861"/>
      <c r="E12" s="3028" t="s">
        <v>2369</v>
      </c>
      <c r="F12" s="1777"/>
      <c r="G12" s="1777"/>
      <c r="H12" s="1777"/>
      <c r="I12" s="1777"/>
      <c r="J12" s="1777"/>
      <c r="K12" s="1777"/>
      <c r="L12" s="1777"/>
      <c r="M12" s="1777"/>
      <c r="N12" s="1777"/>
      <c r="O12" s="1777"/>
      <c r="P12" s="1777"/>
      <c r="Q12" s="1777"/>
      <c r="R12" s="1777"/>
      <c r="S12" s="1777"/>
      <c r="T12" s="1777"/>
      <c r="U12" s="1778"/>
      <c r="V12" s="381"/>
      <c r="W12" s="381"/>
      <c r="X12" s="381"/>
      <c r="Y12" s="381"/>
      <c r="Z12" s="381"/>
      <c r="AB12" s="384"/>
      <c r="AC12" s="384"/>
      <c r="AD12" s="384"/>
      <c r="AE12" s="384"/>
      <c r="AF12" s="384"/>
      <c r="AG12" s="384"/>
      <c r="AH12" s="384"/>
      <c r="AI12" s="384"/>
      <c r="AJ12" s="384"/>
      <c r="AK12" s="384"/>
      <c r="AL12" s="384"/>
      <c r="AM12" s="384"/>
      <c r="AN12" s="381" t="s">
        <v>2535</v>
      </c>
    </row>
    <row r="13" spans="1:40" ht="18" customHeight="1">
      <c r="B13" s="384"/>
      <c r="C13" s="3223" t="s">
        <v>2185</v>
      </c>
      <c r="D13" s="1777"/>
      <c r="E13" s="3028" t="s">
        <v>2857</v>
      </c>
      <c r="F13" s="1777"/>
      <c r="G13" s="1777"/>
      <c r="H13" s="1777"/>
      <c r="I13" s="1777"/>
      <c r="J13" s="1777"/>
      <c r="K13" s="1777"/>
      <c r="L13" s="1777"/>
      <c r="M13" s="1777"/>
      <c r="N13" s="1777"/>
      <c r="O13" s="1777"/>
      <c r="P13" s="1777"/>
      <c r="Q13" s="1777"/>
      <c r="R13" s="1777"/>
      <c r="S13" s="1777"/>
      <c r="T13" s="1777"/>
      <c r="U13" s="1778"/>
      <c r="V13" s="381"/>
      <c r="W13" s="381"/>
      <c r="X13" s="381"/>
      <c r="Y13" s="381"/>
      <c r="Z13" s="381"/>
      <c r="AB13" s="384"/>
      <c r="AC13" s="384"/>
      <c r="AD13" s="384"/>
      <c r="AE13" s="384"/>
      <c r="AF13" s="384"/>
      <c r="AG13" s="384"/>
      <c r="AH13" s="384"/>
      <c r="AI13" s="384"/>
      <c r="AJ13" s="384"/>
      <c r="AK13" s="384"/>
      <c r="AL13" s="384"/>
      <c r="AM13" s="384"/>
      <c r="AN13" s="381" t="s">
        <v>2858</v>
      </c>
    </row>
    <row r="14" spans="1:40" ht="18" customHeight="1">
      <c r="B14" s="384"/>
      <c r="C14" s="3218"/>
      <c r="D14" s="1861"/>
      <c r="E14" s="3028" t="s">
        <v>2371</v>
      </c>
      <c r="F14" s="1777"/>
      <c r="G14" s="1777"/>
      <c r="H14" s="1777"/>
      <c r="I14" s="1777"/>
      <c r="J14" s="1777"/>
      <c r="K14" s="1777"/>
      <c r="L14" s="1777"/>
      <c r="M14" s="1777"/>
      <c r="N14" s="1777"/>
      <c r="O14" s="1777"/>
      <c r="P14" s="1777"/>
      <c r="Q14" s="1777"/>
      <c r="R14" s="1777"/>
      <c r="S14" s="1777"/>
      <c r="T14" s="1777"/>
      <c r="U14" s="1778"/>
      <c r="V14" s="381"/>
      <c r="W14" s="3017" t="s">
        <v>2859</v>
      </c>
      <c r="X14" s="1953"/>
      <c r="Y14" s="1953"/>
      <c r="Z14" s="1953"/>
      <c r="AA14" s="1953"/>
      <c r="AB14" s="1953"/>
      <c r="AC14" s="1953"/>
      <c r="AD14" s="1953"/>
      <c r="AE14" s="1953"/>
      <c r="AF14" s="1953"/>
      <c r="AG14" s="1953"/>
      <c r="AH14" s="1770"/>
      <c r="AI14" s="3233" t="s">
        <v>2860</v>
      </c>
      <c r="AJ14" s="1770"/>
      <c r="AK14" s="3017" t="s">
        <v>2861</v>
      </c>
      <c r="AL14" s="1953"/>
      <c r="AM14" s="1770"/>
      <c r="AN14" s="381" t="s">
        <v>2537</v>
      </c>
    </row>
    <row r="15" spans="1:40" ht="18" customHeight="1">
      <c r="B15" s="384"/>
      <c r="C15" s="3218"/>
      <c r="D15" s="1861"/>
      <c r="E15" s="3028" t="s">
        <v>2862</v>
      </c>
      <c r="F15" s="1777"/>
      <c r="G15" s="1777"/>
      <c r="H15" s="1777"/>
      <c r="I15" s="1777"/>
      <c r="J15" s="1777"/>
      <c r="K15" s="1777"/>
      <c r="L15" s="1777"/>
      <c r="M15" s="1777"/>
      <c r="N15" s="1777"/>
      <c r="O15" s="1777"/>
      <c r="P15" s="1777"/>
      <c r="Q15" s="1777"/>
      <c r="R15" s="1777"/>
      <c r="S15" s="1777"/>
      <c r="T15" s="1777"/>
      <c r="U15" s="1778"/>
      <c r="V15" s="381"/>
      <c r="W15" s="2479"/>
      <c r="X15" s="1877"/>
      <c r="Y15" s="1877"/>
      <c r="Z15" s="1877"/>
      <c r="AA15" s="1877"/>
      <c r="AB15" s="1877"/>
      <c r="AC15" s="1877"/>
      <c r="AD15" s="1877"/>
      <c r="AE15" s="1877"/>
      <c r="AF15" s="1877"/>
      <c r="AG15" s="1877"/>
      <c r="AH15" s="1772"/>
      <c r="AI15" s="2479"/>
      <c r="AJ15" s="1772"/>
      <c r="AK15" s="2479"/>
      <c r="AL15" s="1877"/>
      <c r="AM15" s="1772"/>
      <c r="AN15" s="381" t="s">
        <v>2538</v>
      </c>
    </row>
    <row r="16" spans="1:40" ht="18" customHeight="1">
      <c r="B16" s="384"/>
      <c r="C16" s="3223" t="s">
        <v>2194</v>
      </c>
      <c r="D16" s="1777"/>
      <c r="E16" s="3028" t="s">
        <v>2373</v>
      </c>
      <c r="F16" s="1777"/>
      <c r="G16" s="1777"/>
      <c r="H16" s="1777"/>
      <c r="I16" s="1777"/>
      <c r="J16" s="1777"/>
      <c r="K16" s="1777"/>
      <c r="L16" s="1777"/>
      <c r="M16" s="1777"/>
      <c r="N16" s="1777"/>
      <c r="O16" s="1777"/>
      <c r="P16" s="1777"/>
      <c r="Q16" s="1777"/>
      <c r="R16" s="1777"/>
      <c r="S16" s="1777"/>
      <c r="T16" s="1777"/>
      <c r="U16" s="1778"/>
      <c r="V16" s="381"/>
      <c r="W16" s="3029"/>
      <c r="X16" s="1864"/>
      <c r="Y16" s="1864"/>
      <c r="Z16" s="1864"/>
      <c r="AA16" s="1864"/>
      <c r="AB16" s="1864"/>
      <c r="AC16" s="1864"/>
      <c r="AD16" s="1864"/>
      <c r="AE16" s="1864"/>
      <c r="AF16" s="1864"/>
      <c r="AG16" s="1864"/>
      <c r="AH16" s="1865"/>
      <c r="AI16" s="3260"/>
      <c r="AJ16" s="1865"/>
      <c r="AK16" s="3260"/>
      <c r="AL16" s="1864"/>
      <c r="AM16" s="1865"/>
      <c r="AN16" s="381" t="s">
        <v>2542</v>
      </c>
    </row>
    <row r="17" spans="1:46" ht="18" customHeight="1">
      <c r="B17" s="384"/>
      <c r="C17" s="3218"/>
      <c r="D17" s="1861"/>
      <c r="E17" s="3263" t="s">
        <v>2512</v>
      </c>
      <c r="F17" s="1777"/>
      <c r="G17" s="1777"/>
      <c r="H17" s="1777"/>
      <c r="I17" s="1777"/>
      <c r="J17" s="1777"/>
      <c r="K17" s="1777"/>
      <c r="L17" s="1777"/>
      <c r="M17" s="1777"/>
      <c r="N17" s="1777"/>
      <c r="O17" s="1777"/>
      <c r="P17" s="1777"/>
      <c r="Q17" s="1777"/>
      <c r="R17" s="1777"/>
      <c r="S17" s="1777"/>
      <c r="T17" s="1777"/>
      <c r="U17" s="1778"/>
      <c r="V17" s="531"/>
      <c r="W17" s="2579"/>
      <c r="X17" s="2022"/>
      <c r="Y17" s="2022"/>
      <c r="Z17" s="2022"/>
      <c r="AA17" s="2022"/>
      <c r="AB17" s="2022"/>
      <c r="AC17" s="2022"/>
      <c r="AD17" s="2022"/>
      <c r="AE17" s="2022"/>
      <c r="AF17" s="2022"/>
      <c r="AG17" s="2022"/>
      <c r="AH17" s="2023"/>
      <c r="AI17" s="2579"/>
      <c r="AJ17" s="2023"/>
      <c r="AK17" s="2579"/>
      <c r="AL17" s="2022"/>
      <c r="AM17" s="2023"/>
      <c r="AN17" s="381" t="s">
        <v>2545</v>
      </c>
    </row>
    <row r="18" spans="1:46" ht="18" customHeight="1">
      <c r="B18" s="384"/>
      <c r="C18" s="3218"/>
      <c r="D18" s="1861"/>
      <c r="E18" s="3028" t="s">
        <v>2375</v>
      </c>
      <c r="F18" s="1777"/>
      <c r="G18" s="1777"/>
      <c r="H18" s="1777"/>
      <c r="I18" s="1777"/>
      <c r="J18" s="1777"/>
      <c r="K18" s="1777"/>
      <c r="L18" s="1777"/>
      <c r="M18" s="1777"/>
      <c r="N18" s="1777"/>
      <c r="O18" s="1777"/>
      <c r="P18" s="1777"/>
      <c r="Q18" s="1777"/>
      <c r="R18" s="1777"/>
      <c r="S18" s="1777"/>
      <c r="T18" s="1777"/>
      <c r="U18" s="1778"/>
      <c r="V18" s="381"/>
      <c r="W18" s="2574"/>
      <c r="X18" s="1869"/>
      <c r="Y18" s="1869"/>
      <c r="Z18" s="1869"/>
      <c r="AA18" s="1869"/>
      <c r="AB18" s="1869"/>
      <c r="AC18" s="1869"/>
      <c r="AD18" s="1869"/>
      <c r="AE18" s="1869"/>
      <c r="AF18" s="1869"/>
      <c r="AG18" s="1869"/>
      <c r="AH18" s="1870"/>
      <c r="AI18" s="2574"/>
      <c r="AJ18" s="1870"/>
      <c r="AK18" s="2574"/>
      <c r="AL18" s="1869"/>
      <c r="AM18" s="1870"/>
      <c r="AN18" s="381" t="s">
        <v>2548</v>
      </c>
    </row>
    <row r="19" spans="1:46" ht="18" customHeight="1">
      <c r="B19" s="384"/>
      <c r="C19" s="3218"/>
      <c r="D19" s="1861"/>
      <c r="E19" s="3028" t="s">
        <v>2863</v>
      </c>
      <c r="F19" s="1777"/>
      <c r="G19" s="1777"/>
      <c r="H19" s="1777"/>
      <c r="I19" s="1777"/>
      <c r="J19" s="1777"/>
      <c r="K19" s="1777"/>
      <c r="L19" s="1777"/>
      <c r="M19" s="1777"/>
      <c r="N19" s="1777"/>
      <c r="O19" s="1777"/>
      <c r="P19" s="1777"/>
      <c r="Q19" s="1777"/>
      <c r="R19" s="1777"/>
      <c r="S19" s="1777"/>
      <c r="T19" s="1777"/>
      <c r="U19" s="1778"/>
      <c r="V19" s="381"/>
      <c r="W19" s="3029"/>
      <c r="X19" s="1864"/>
      <c r="Y19" s="1864"/>
      <c r="Z19" s="1864"/>
      <c r="AA19" s="1864"/>
      <c r="AB19" s="1864"/>
      <c r="AC19" s="1864"/>
      <c r="AD19" s="1864"/>
      <c r="AE19" s="1864"/>
      <c r="AF19" s="1864"/>
      <c r="AG19" s="1864"/>
      <c r="AH19" s="1865"/>
      <c r="AI19" s="3227"/>
      <c r="AJ19" s="1865"/>
      <c r="AK19" s="3227"/>
      <c r="AL19" s="1864"/>
      <c r="AM19" s="1865"/>
      <c r="AN19" s="381" t="s">
        <v>2557</v>
      </c>
      <c r="AT19" s="576"/>
    </row>
    <row r="20" spans="1:46" ht="18" customHeight="1">
      <c r="B20" s="384"/>
      <c r="C20" s="3223" t="s">
        <v>2377</v>
      </c>
      <c r="D20" s="1777"/>
      <c r="E20" s="3028" t="s">
        <v>2864</v>
      </c>
      <c r="F20" s="1777"/>
      <c r="G20" s="1777"/>
      <c r="H20" s="1777"/>
      <c r="I20" s="1777"/>
      <c r="J20" s="1777"/>
      <c r="K20" s="1777"/>
      <c r="L20" s="1777"/>
      <c r="M20" s="1777"/>
      <c r="N20" s="1777"/>
      <c r="O20" s="1777"/>
      <c r="P20" s="1777"/>
      <c r="Q20" s="1777"/>
      <c r="R20" s="1777"/>
      <c r="S20" s="1777"/>
      <c r="T20" s="1777"/>
      <c r="U20" s="1778"/>
      <c r="V20" s="381"/>
      <c r="W20" s="2579"/>
      <c r="X20" s="2022"/>
      <c r="Y20" s="2022"/>
      <c r="Z20" s="2022"/>
      <c r="AA20" s="2022"/>
      <c r="AB20" s="2022"/>
      <c r="AC20" s="2022"/>
      <c r="AD20" s="2022"/>
      <c r="AE20" s="2022"/>
      <c r="AF20" s="2022"/>
      <c r="AG20" s="2022"/>
      <c r="AH20" s="2023"/>
      <c r="AI20" s="2579"/>
      <c r="AJ20" s="2023"/>
      <c r="AK20" s="2579"/>
      <c r="AL20" s="2022"/>
      <c r="AM20" s="2023"/>
    </row>
    <row r="21" spans="1:46" ht="18" customHeight="1">
      <c r="B21" s="384"/>
      <c r="C21" s="3218"/>
      <c r="D21" s="1861"/>
      <c r="E21" s="3028" t="s">
        <v>2379</v>
      </c>
      <c r="F21" s="1777"/>
      <c r="G21" s="1777"/>
      <c r="H21" s="1777"/>
      <c r="I21" s="1777"/>
      <c r="J21" s="1777"/>
      <c r="K21" s="1777"/>
      <c r="L21" s="1777"/>
      <c r="M21" s="1777"/>
      <c r="N21" s="1777"/>
      <c r="O21" s="1777"/>
      <c r="P21" s="1777"/>
      <c r="Q21" s="1777"/>
      <c r="R21" s="1777"/>
      <c r="S21" s="1777"/>
      <c r="T21" s="1777"/>
      <c r="U21" s="1778"/>
      <c r="V21" s="381"/>
      <c r="W21" s="2574"/>
      <c r="X21" s="1869"/>
      <c r="Y21" s="1869"/>
      <c r="Z21" s="1869"/>
      <c r="AA21" s="1869"/>
      <c r="AB21" s="1869"/>
      <c r="AC21" s="1869"/>
      <c r="AD21" s="1869"/>
      <c r="AE21" s="1869"/>
      <c r="AF21" s="1869"/>
      <c r="AG21" s="1869"/>
      <c r="AH21" s="1870"/>
      <c r="AI21" s="2574"/>
      <c r="AJ21" s="1870"/>
      <c r="AK21" s="2574"/>
      <c r="AL21" s="1869"/>
      <c r="AM21" s="1870"/>
      <c r="AR21" s="483"/>
      <c r="AS21" s="387" t="s">
        <v>2865</v>
      </c>
    </row>
    <row r="22" spans="1:46" ht="18" customHeight="1">
      <c r="B22" s="384"/>
      <c r="C22" s="3218"/>
      <c r="D22" s="1861"/>
      <c r="E22" s="3028" t="s">
        <v>2380</v>
      </c>
      <c r="F22" s="1777"/>
      <c r="G22" s="1777"/>
      <c r="H22" s="1777"/>
      <c r="I22" s="1777"/>
      <c r="J22" s="1777"/>
      <c r="K22" s="1777"/>
      <c r="L22" s="1777"/>
      <c r="M22" s="1777"/>
      <c r="N22" s="1777"/>
      <c r="O22" s="1777"/>
      <c r="P22" s="1777"/>
      <c r="Q22" s="1777"/>
      <c r="R22" s="1777"/>
      <c r="S22" s="1777"/>
      <c r="T22" s="1777"/>
      <c r="U22" s="1778"/>
      <c r="V22" s="381"/>
      <c r="W22" s="3029"/>
      <c r="X22" s="1864"/>
      <c r="Y22" s="1864"/>
      <c r="Z22" s="1864"/>
      <c r="AA22" s="1864"/>
      <c r="AB22" s="1864"/>
      <c r="AC22" s="1864"/>
      <c r="AD22" s="1864"/>
      <c r="AE22" s="1864"/>
      <c r="AF22" s="1864"/>
      <c r="AG22" s="1864"/>
      <c r="AH22" s="1865"/>
      <c r="AI22" s="3227"/>
      <c r="AJ22" s="1865"/>
      <c r="AK22" s="3227"/>
      <c r="AL22" s="1864"/>
      <c r="AM22" s="1865"/>
      <c r="AN22" s="532" t="s">
        <v>2866</v>
      </c>
      <c r="AO22" s="532"/>
      <c r="AP22" s="532"/>
      <c r="AQ22" s="532"/>
      <c r="AR22" s="533"/>
      <c r="AS22" s="387" t="s">
        <v>2867</v>
      </c>
      <c r="AT22" s="577"/>
    </row>
    <row r="23" spans="1:46" ht="18" customHeight="1">
      <c r="B23" s="384"/>
      <c r="C23" s="3223" t="s">
        <v>2381</v>
      </c>
      <c r="D23" s="1777"/>
      <c r="E23" s="3028" t="s">
        <v>2382</v>
      </c>
      <c r="F23" s="1777"/>
      <c r="G23" s="1777"/>
      <c r="H23" s="1777"/>
      <c r="I23" s="1777"/>
      <c r="J23" s="1777"/>
      <c r="K23" s="1777"/>
      <c r="L23" s="1777"/>
      <c r="M23" s="1777"/>
      <c r="N23" s="1777"/>
      <c r="O23" s="1777"/>
      <c r="P23" s="1777"/>
      <c r="Q23" s="1777"/>
      <c r="R23" s="1777"/>
      <c r="S23" s="1777"/>
      <c r="T23" s="1777"/>
      <c r="U23" s="1778"/>
      <c r="V23" s="381"/>
      <c r="W23" s="2579"/>
      <c r="X23" s="2022"/>
      <c r="Y23" s="2022"/>
      <c r="Z23" s="2022"/>
      <c r="AA23" s="2022"/>
      <c r="AB23" s="2022"/>
      <c r="AC23" s="2022"/>
      <c r="AD23" s="2022"/>
      <c r="AE23" s="2022"/>
      <c r="AF23" s="2022"/>
      <c r="AG23" s="2022"/>
      <c r="AH23" s="2023"/>
      <c r="AI23" s="2579"/>
      <c r="AJ23" s="2023"/>
      <c r="AK23" s="2579"/>
      <c r="AL23" s="2022"/>
      <c r="AM23" s="2023"/>
      <c r="AN23" s="532" t="s">
        <v>2868</v>
      </c>
      <c r="AO23" s="532"/>
      <c r="AP23" s="532"/>
      <c r="AQ23" s="532"/>
      <c r="AR23" s="533"/>
      <c r="AS23" s="387" t="s">
        <v>2869</v>
      </c>
      <c r="AT23" s="577"/>
    </row>
    <row r="24" spans="1:46" ht="18" customHeight="1">
      <c r="B24" s="384"/>
      <c r="C24" s="3218"/>
      <c r="D24" s="1861"/>
      <c r="E24" s="3028" t="s">
        <v>2383</v>
      </c>
      <c r="F24" s="1777"/>
      <c r="G24" s="1777"/>
      <c r="H24" s="1777"/>
      <c r="I24" s="1777"/>
      <c r="J24" s="1777"/>
      <c r="K24" s="1777"/>
      <c r="L24" s="1777"/>
      <c r="M24" s="1777"/>
      <c r="N24" s="1777"/>
      <c r="O24" s="1777"/>
      <c r="P24" s="1777"/>
      <c r="Q24" s="1777"/>
      <c r="R24" s="1777"/>
      <c r="S24" s="1777"/>
      <c r="T24" s="1777"/>
      <c r="U24" s="1778"/>
      <c r="V24" s="381"/>
      <c r="W24" s="2574"/>
      <c r="X24" s="1869"/>
      <c r="Y24" s="1869"/>
      <c r="Z24" s="1869"/>
      <c r="AA24" s="1869"/>
      <c r="AB24" s="1869"/>
      <c r="AC24" s="1869"/>
      <c r="AD24" s="1869"/>
      <c r="AE24" s="1869"/>
      <c r="AF24" s="1869"/>
      <c r="AG24" s="1869"/>
      <c r="AH24" s="1870"/>
      <c r="AI24" s="2574"/>
      <c r="AJ24" s="1870"/>
      <c r="AK24" s="2574"/>
      <c r="AL24" s="1869"/>
      <c r="AM24" s="1870"/>
      <c r="AN24" s="532" t="s">
        <v>2870</v>
      </c>
      <c r="AO24" s="532"/>
      <c r="AP24" s="532"/>
      <c r="AQ24" s="532"/>
      <c r="AR24" s="533"/>
      <c r="AS24" s="387" t="s">
        <v>2871</v>
      </c>
      <c r="AT24" s="577"/>
    </row>
    <row r="25" spans="1:46" ht="18" customHeight="1">
      <c r="B25" s="384"/>
      <c r="C25" s="3218"/>
      <c r="D25" s="1861"/>
      <c r="E25" s="3028" t="s">
        <v>2384</v>
      </c>
      <c r="F25" s="1777"/>
      <c r="G25" s="1777"/>
      <c r="H25" s="1777"/>
      <c r="I25" s="1777"/>
      <c r="J25" s="1777"/>
      <c r="K25" s="1777"/>
      <c r="L25" s="1777"/>
      <c r="M25" s="1777"/>
      <c r="N25" s="1777"/>
      <c r="O25" s="1777"/>
      <c r="P25" s="1777"/>
      <c r="Q25" s="1777"/>
      <c r="R25" s="1777"/>
      <c r="S25" s="1777"/>
      <c r="T25" s="1777"/>
      <c r="U25" s="1778"/>
      <c r="V25" s="381"/>
      <c r="W25" s="3029"/>
      <c r="X25" s="1864"/>
      <c r="Y25" s="1864"/>
      <c r="Z25" s="1864"/>
      <c r="AA25" s="1864"/>
      <c r="AB25" s="1864"/>
      <c r="AC25" s="1864"/>
      <c r="AD25" s="1864"/>
      <c r="AE25" s="1864"/>
      <c r="AF25" s="1864"/>
      <c r="AG25" s="1864"/>
      <c r="AH25" s="1865"/>
      <c r="AI25" s="3227"/>
      <c r="AJ25" s="1865"/>
      <c r="AK25" s="3227"/>
      <c r="AL25" s="1864"/>
      <c r="AM25" s="1865"/>
      <c r="AN25" s="532" t="s">
        <v>2872</v>
      </c>
      <c r="AR25" s="483"/>
      <c r="AS25" s="387" t="s">
        <v>2873</v>
      </c>
      <c r="AT25" s="577"/>
    </row>
    <row r="26" spans="1:46" ht="18" customHeight="1">
      <c r="B26" s="384"/>
      <c r="C26" s="3223" t="s">
        <v>2385</v>
      </c>
      <c r="D26" s="1777"/>
      <c r="E26" s="3028" t="s">
        <v>2386</v>
      </c>
      <c r="F26" s="1777"/>
      <c r="G26" s="1777"/>
      <c r="H26" s="1777"/>
      <c r="I26" s="1777"/>
      <c r="J26" s="1777"/>
      <c r="K26" s="1777"/>
      <c r="L26" s="1777"/>
      <c r="M26" s="1777"/>
      <c r="N26" s="1777"/>
      <c r="O26" s="1777"/>
      <c r="P26" s="1777"/>
      <c r="Q26" s="1777"/>
      <c r="R26" s="1777"/>
      <c r="S26" s="1777"/>
      <c r="T26" s="1777"/>
      <c r="U26" s="1778"/>
      <c r="V26" s="381"/>
      <c r="W26" s="2579"/>
      <c r="X26" s="2022"/>
      <c r="Y26" s="2022"/>
      <c r="Z26" s="2022"/>
      <c r="AA26" s="2022"/>
      <c r="AB26" s="2022"/>
      <c r="AC26" s="2022"/>
      <c r="AD26" s="2022"/>
      <c r="AE26" s="2022"/>
      <c r="AF26" s="2022"/>
      <c r="AG26" s="2022"/>
      <c r="AH26" s="2023"/>
      <c r="AI26" s="2579"/>
      <c r="AJ26" s="2023"/>
      <c r="AK26" s="2579"/>
      <c r="AL26" s="2022"/>
      <c r="AM26" s="2023"/>
      <c r="AN26" s="532" t="s">
        <v>2874</v>
      </c>
      <c r="AO26" s="533"/>
      <c r="AP26" s="532"/>
      <c r="AQ26" s="532"/>
      <c r="AR26" s="533"/>
      <c r="AS26" s="387" t="s">
        <v>2875</v>
      </c>
      <c r="AT26" s="577"/>
    </row>
    <row r="27" spans="1:46" ht="18" customHeight="1">
      <c r="B27" s="384"/>
      <c r="C27" s="3218"/>
      <c r="D27" s="1861"/>
      <c r="E27" s="3028" t="s">
        <v>2387</v>
      </c>
      <c r="F27" s="1777"/>
      <c r="G27" s="1777"/>
      <c r="H27" s="1777"/>
      <c r="I27" s="1777"/>
      <c r="J27" s="1777"/>
      <c r="K27" s="1777"/>
      <c r="L27" s="1777"/>
      <c r="M27" s="1777"/>
      <c r="N27" s="1777"/>
      <c r="O27" s="1777"/>
      <c r="P27" s="1777"/>
      <c r="Q27" s="1777"/>
      <c r="R27" s="1777"/>
      <c r="S27" s="1777"/>
      <c r="T27" s="1777"/>
      <c r="U27" s="1778"/>
      <c r="V27" s="381"/>
      <c r="W27" s="2574"/>
      <c r="X27" s="1869"/>
      <c r="Y27" s="1869"/>
      <c r="Z27" s="1869"/>
      <c r="AA27" s="1869"/>
      <c r="AB27" s="1869"/>
      <c r="AC27" s="1869"/>
      <c r="AD27" s="1869"/>
      <c r="AE27" s="1869"/>
      <c r="AF27" s="1869"/>
      <c r="AG27" s="1869"/>
      <c r="AH27" s="1870"/>
      <c r="AI27" s="2574"/>
      <c r="AJ27" s="1870"/>
      <c r="AK27" s="2574"/>
      <c r="AL27" s="1869"/>
      <c r="AM27" s="1870"/>
      <c r="AN27" s="532" t="s">
        <v>2876</v>
      </c>
      <c r="AO27" s="532"/>
      <c r="AP27" s="532"/>
      <c r="AQ27" s="532"/>
      <c r="AR27" s="533"/>
      <c r="AS27" s="483" t="s">
        <v>2877</v>
      </c>
      <c r="AT27" s="577"/>
    </row>
    <row r="28" spans="1:46" ht="18" customHeight="1">
      <c r="B28" s="384"/>
      <c r="C28" s="3218"/>
      <c r="D28" s="1861"/>
      <c r="E28" s="3028" t="s">
        <v>2388</v>
      </c>
      <c r="F28" s="1777"/>
      <c r="G28" s="1777"/>
      <c r="H28" s="1777"/>
      <c r="I28" s="1777"/>
      <c r="J28" s="1777"/>
      <c r="K28" s="1777"/>
      <c r="L28" s="1777"/>
      <c r="M28" s="1777"/>
      <c r="N28" s="1777"/>
      <c r="O28" s="1777"/>
      <c r="P28" s="1777"/>
      <c r="Q28" s="1777"/>
      <c r="R28" s="1777"/>
      <c r="S28" s="1777"/>
      <c r="T28" s="1777"/>
      <c r="U28" s="1778"/>
      <c r="V28" s="381"/>
      <c r="W28" s="3029"/>
      <c r="X28" s="1864"/>
      <c r="Y28" s="1864"/>
      <c r="Z28" s="1864"/>
      <c r="AA28" s="1864"/>
      <c r="AB28" s="1864"/>
      <c r="AC28" s="1864"/>
      <c r="AD28" s="1864"/>
      <c r="AE28" s="1864"/>
      <c r="AF28" s="1864"/>
      <c r="AG28" s="1864"/>
      <c r="AH28" s="1865"/>
      <c r="AI28" s="3020"/>
      <c r="AJ28" s="1865"/>
      <c r="AK28" s="3020"/>
      <c r="AL28" s="1864"/>
      <c r="AM28" s="1865"/>
      <c r="AN28" s="532" t="s">
        <v>2878</v>
      </c>
      <c r="AO28" s="532"/>
      <c r="AP28" s="532"/>
      <c r="AQ28" s="532"/>
      <c r="AR28" s="533"/>
      <c r="AS28" s="387" t="s">
        <v>2879</v>
      </c>
      <c r="AT28" s="577"/>
    </row>
    <row r="29" spans="1:46" ht="18" customHeight="1">
      <c r="B29" s="384"/>
      <c r="C29" s="3218"/>
      <c r="D29" s="1861"/>
      <c r="E29" s="3028" t="s">
        <v>2389</v>
      </c>
      <c r="F29" s="1777"/>
      <c r="G29" s="1777"/>
      <c r="H29" s="1777"/>
      <c r="I29" s="1777"/>
      <c r="J29" s="1777"/>
      <c r="K29" s="1777"/>
      <c r="L29" s="1777"/>
      <c r="M29" s="1777"/>
      <c r="N29" s="1777"/>
      <c r="O29" s="1777"/>
      <c r="P29" s="1777"/>
      <c r="Q29" s="1777"/>
      <c r="R29" s="1777"/>
      <c r="S29" s="1777"/>
      <c r="T29" s="1777"/>
      <c r="U29" s="1778"/>
      <c r="V29" s="381"/>
      <c r="W29" s="2579"/>
      <c r="X29" s="2022"/>
      <c r="Y29" s="2022"/>
      <c r="Z29" s="2022"/>
      <c r="AA29" s="2022"/>
      <c r="AB29" s="2022"/>
      <c r="AC29" s="2022"/>
      <c r="AD29" s="2022"/>
      <c r="AE29" s="2022"/>
      <c r="AF29" s="2022"/>
      <c r="AG29" s="2022"/>
      <c r="AH29" s="2023"/>
      <c r="AI29" s="2579"/>
      <c r="AJ29" s="2023"/>
      <c r="AK29" s="2579"/>
      <c r="AL29" s="2022"/>
      <c r="AM29" s="2023"/>
      <c r="AN29" s="532" t="s">
        <v>2880</v>
      </c>
      <c r="AO29" s="532"/>
      <c r="AP29" s="532"/>
      <c r="AQ29" s="532"/>
      <c r="AR29" s="533"/>
      <c r="AS29" s="387" t="s">
        <v>2881</v>
      </c>
      <c r="AT29" s="577"/>
    </row>
    <row r="30" spans="1:46" ht="18" customHeight="1">
      <c r="B30" s="1710"/>
      <c r="C30" s="3223" t="s">
        <v>2390</v>
      </c>
      <c r="D30" s="1777"/>
      <c r="E30" s="3028" t="s">
        <v>2882</v>
      </c>
      <c r="F30" s="1777"/>
      <c r="G30" s="1777"/>
      <c r="H30" s="1777"/>
      <c r="I30" s="1777"/>
      <c r="J30" s="1777"/>
      <c r="K30" s="1777"/>
      <c r="L30" s="1777"/>
      <c r="M30" s="1777"/>
      <c r="N30" s="1777"/>
      <c r="O30" s="1777"/>
      <c r="P30" s="1777"/>
      <c r="Q30" s="1777"/>
      <c r="R30" s="1777"/>
      <c r="S30" s="1777"/>
      <c r="T30" s="1777"/>
      <c r="U30" s="1778"/>
      <c r="V30" s="381"/>
      <c r="W30" s="2574"/>
      <c r="X30" s="1869"/>
      <c r="Y30" s="1869"/>
      <c r="Z30" s="1869"/>
      <c r="AA30" s="1869"/>
      <c r="AB30" s="1869"/>
      <c r="AC30" s="1869"/>
      <c r="AD30" s="1869"/>
      <c r="AE30" s="1869"/>
      <c r="AF30" s="1869"/>
      <c r="AG30" s="1869"/>
      <c r="AH30" s="1870"/>
      <c r="AI30" s="2574"/>
      <c r="AJ30" s="1870"/>
      <c r="AK30" s="2574"/>
      <c r="AL30" s="1869"/>
      <c r="AM30" s="1870"/>
      <c r="AN30" s="532" t="s">
        <v>2883</v>
      </c>
      <c r="AO30" s="532"/>
      <c r="AP30" s="532"/>
      <c r="AQ30" s="532"/>
      <c r="AR30" s="533"/>
      <c r="AS30" s="387" t="s">
        <v>2884</v>
      </c>
      <c r="AT30" s="577"/>
    </row>
    <row r="31" spans="1:46" ht="18" customHeight="1">
      <c r="A31" s="384"/>
      <c r="B31" s="384"/>
      <c r="C31" s="3218"/>
      <c r="D31" s="1861"/>
      <c r="E31" s="3028" t="s">
        <v>2392</v>
      </c>
      <c r="F31" s="1777"/>
      <c r="G31" s="1777"/>
      <c r="H31" s="1777"/>
      <c r="I31" s="1777"/>
      <c r="J31" s="1777"/>
      <c r="K31" s="1777"/>
      <c r="L31" s="1777"/>
      <c r="M31" s="1777"/>
      <c r="N31" s="1777"/>
      <c r="O31" s="1777"/>
      <c r="P31" s="1777"/>
      <c r="Q31" s="1777"/>
      <c r="R31" s="1777"/>
      <c r="S31" s="1777"/>
      <c r="T31" s="1777"/>
      <c r="U31" s="1778"/>
      <c r="V31" s="384"/>
      <c r="W31" s="384"/>
      <c r="X31" s="384"/>
      <c r="Y31" s="384"/>
      <c r="Z31" s="384"/>
      <c r="AA31" s="384"/>
      <c r="AB31" s="384"/>
      <c r="AC31" s="384"/>
      <c r="AD31" s="384"/>
      <c r="AE31" s="384"/>
      <c r="AF31" s="384"/>
      <c r="AG31" s="384"/>
      <c r="AH31" s="384"/>
      <c r="AI31" s="384"/>
      <c r="AJ31" s="384"/>
      <c r="AK31" s="384"/>
      <c r="AL31" s="384"/>
      <c r="AM31" s="384"/>
      <c r="AN31" s="532" t="s">
        <v>2885</v>
      </c>
      <c r="AR31" s="483"/>
      <c r="AS31" s="483" t="s">
        <v>2886</v>
      </c>
      <c r="AT31" s="577"/>
    </row>
    <row r="32" spans="1:46" ht="18" customHeight="1">
      <c r="B32" s="1710"/>
      <c r="C32" s="3218"/>
      <c r="D32" s="1861"/>
      <c r="E32" s="3028" t="s">
        <v>2393</v>
      </c>
      <c r="F32" s="1777"/>
      <c r="G32" s="1777"/>
      <c r="H32" s="1777"/>
      <c r="I32" s="1777"/>
      <c r="J32" s="1777"/>
      <c r="K32" s="1777"/>
      <c r="L32" s="1777"/>
      <c r="M32" s="1777"/>
      <c r="N32" s="1777"/>
      <c r="O32" s="1777"/>
      <c r="P32" s="1777"/>
      <c r="Q32" s="1777"/>
      <c r="R32" s="1777"/>
      <c r="S32" s="1777"/>
      <c r="T32" s="1777"/>
      <c r="U32" s="1778"/>
      <c r="V32" s="381"/>
      <c r="W32" s="381"/>
      <c r="X32" s="381"/>
      <c r="Y32" s="381"/>
      <c r="Z32" s="381"/>
      <c r="AB32" s="1710"/>
      <c r="AC32" s="384"/>
      <c r="AD32" s="384"/>
      <c r="AE32" s="384"/>
      <c r="AF32" s="384"/>
      <c r="AG32" s="384"/>
      <c r="AH32" s="384"/>
      <c r="AI32" s="384"/>
      <c r="AJ32" s="384"/>
      <c r="AK32" s="384"/>
      <c r="AL32" s="384"/>
      <c r="AM32" s="1710"/>
      <c r="AN32" s="532" t="s">
        <v>2887</v>
      </c>
      <c r="AO32" s="532"/>
      <c r="AP32" s="532"/>
      <c r="AQ32" s="532"/>
      <c r="AR32" s="532"/>
      <c r="AT32" s="577"/>
    </row>
    <row r="33" spans="2:46" ht="19.5" customHeight="1">
      <c r="B33" s="1710"/>
      <c r="I33" s="387"/>
      <c r="V33" s="381"/>
      <c r="W33" s="381"/>
      <c r="X33" s="381"/>
      <c r="Y33" s="381"/>
      <c r="Z33" s="381"/>
      <c r="AB33" s="1710"/>
      <c r="AC33" s="384"/>
      <c r="AD33" s="384"/>
      <c r="AE33" s="384"/>
      <c r="AF33" s="384"/>
      <c r="AG33" s="384"/>
      <c r="AH33" s="384"/>
      <c r="AI33" s="384"/>
      <c r="AJ33" s="384"/>
      <c r="AK33" s="384"/>
      <c r="AL33" s="384"/>
      <c r="AM33" s="1710"/>
      <c r="AN33" s="532" t="s">
        <v>2868</v>
      </c>
      <c r="AT33" s="577"/>
    </row>
    <row r="34" spans="2:46" ht="18" customHeight="1">
      <c r="B34" s="3130" t="s">
        <v>2429</v>
      </c>
      <c r="C34" s="3021"/>
      <c r="D34" s="3021"/>
      <c r="E34" s="3021"/>
      <c r="F34" s="3021"/>
      <c r="G34" s="3021"/>
      <c r="H34" s="3021"/>
      <c r="I34" s="1935"/>
      <c r="J34" s="3021"/>
      <c r="K34" s="3021"/>
      <c r="L34" s="3021"/>
      <c r="M34" s="3021"/>
      <c r="N34" s="3021"/>
      <c r="O34" s="3021"/>
      <c r="P34" s="3021"/>
      <c r="Q34" s="3021"/>
      <c r="R34" s="3021"/>
      <c r="S34" s="3021"/>
      <c r="T34" s="3021"/>
      <c r="U34" s="3021"/>
      <c r="V34" s="3021"/>
      <c r="W34" s="3021"/>
      <c r="X34" s="3021"/>
      <c r="Y34" s="3021"/>
      <c r="Z34" s="3021"/>
      <c r="AA34" s="3021"/>
      <c r="AB34" s="3021"/>
      <c r="AC34" s="3021"/>
      <c r="AD34" s="3021"/>
      <c r="AE34" s="3021"/>
      <c r="AF34" s="3021"/>
      <c r="AG34" s="3021"/>
      <c r="AH34" s="3021"/>
      <c r="AI34" s="3021"/>
      <c r="AJ34" s="3021"/>
      <c r="AK34" s="3021"/>
      <c r="AL34" s="3021"/>
      <c r="AM34" s="3021"/>
      <c r="AT34" s="577"/>
    </row>
    <row r="35" spans="2:46" ht="54" customHeight="1">
      <c r="B35" s="3043" t="s">
        <v>2888</v>
      </c>
      <c r="C35" s="3021"/>
      <c r="D35" s="3021"/>
      <c r="E35" s="3021"/>
      <c r="F35" s="3021"/>
      <c r="G35" s="3021"/>
      <c r="H35" s="3021"/>
      <c r="I35" s="1935"/>
      <c r="J35" s="3021"/>
      <c r="K35" s="3021"/>
      <c r="L35" s="3021"/>
      <c r="M35" s="3021"/>
      <c r="N35" s="3021"/>
      <c r="O35" s="3021"/>
      <c r="P35" s="3021"/>
      <c r="Q35" s="3021"/>
      <c r="R35" s="3021"/>
      <c r="S35" s="3021"/>
      <c r="T35" s="3021"/>
      <c r="U35" s="3021"/>
      <c r="V35" s="3021"/>
      <c r="W35" s="3021"/>
      <c r="X35" s="3021"/>
      <c r="Y35" s="3021"/>
      <c r="Z35" s="3021"/>
      <c r="AA35" s="3021"/>
      <c r="AB35" s="3021"/>
      <c r="AC35" s="3021"/>
      <c r="AD35" s="3021"/>
      <c r="AE35" s="3021"/>
      <c r="AF35" s="3021"/>
      <c r="AG35" s="3021"/>
      <c r="AH35" s="3021"/>
      <c r="AI35" s="3021"/>
      <c r="AJ35" s="3021"/>
      <c r="AK35" s="3021"/>
      <c r="AL35" s="3021"/>
      <c r="AM35" s="3021"/>
      <c r="AN35" s="532"/>
      <c r="AO35" s="532"/>
      <c r="AP35" s="532"/>
      <c r="AQ35" s="532"/>
      <c r="AR35" s="532"/>
      <c r="AS35" s="532"/>
      <c r="AT35" s="577"/>
    </row>
    <row r="36" spans="2:46" ht="18" customHeight="1">
      <c r="B36" s="3130" t="s">
        <v>2369</v>
      </c>
      <c r="C36" s="3021"/>
      <c r="D36" s="3021"/>
      <c r="E36" s="3021"/>
      <c r="F36" s="3021"/>
      <c r="G36" s="3021"/>
      <c r="H36" s="3021"/>
      <c r="I36" s="1935"/>
      <c r="J36" s="3021"/>
      <c r="K36" s="3021"/>
      <c r="L36" s="3021"/>
      <c r="M36" s="3021"/>
      <c r="N36" s="3021"/>
      <c r="O36" s="3021"/>
      <c r="P36" s="3021"/>
      <c r="Q36" s="3021"/>
      <c r="R36" s="3021"/>
      <c r="S36" s="1716"/>
      <c r="T36" s="1716"/>
      <c r="U36" s="1716"/>
      <c r="V36" s="1716"/>
      <c r="W36" s="1716"/>
      <c r="X36" s="1716"/>
      <c r="Y36" s="1716"/>
      <c r="Z36" s="1716"/>
      <c r="AA36" s="1716"/>
      <c r="AB36" s="1716"/>
      <c r="AC36" s="1716"/>
      <c r="AD36" s="1716"/>
      <c r="AE36" s="1716"/>
      <c r="AF36" s="1716"/>
      <c r="AG36" s="1716"/>
      <c r="AH36" s="1716"/>
      <c r="AI36" s="1716"/>
      <c r="AJ36" s="1716"/>
      <c r="AK36" s="1716"/>
      <c r="AL36" s="1716"/>
      <c r="AM36" s="1716"/>
      <c r="AN36" s="1710"/>
      <c r="AO36" s="532"/>
      <c r="AP36" s="532"/>
      <c r="AQ36" s="532"/>
      <c r="AR36" s="532"/>
      <c r="AS36" s="532"/>
      <c r="AT36" s="577"/>
    </row>
    <row r="37" spans="2:46" ht="18" customHeight="1">
      <c r="B37" s="3176" t="s">
        <v>2889</v>
      </c>
      <c r="C37" s="3021"/>
      <c r="D37" s="3021"/>
      <c r="E37" s="3021"/>
      <c r="F37" s="3021"/>
      <c r="G37" s="3021"/>
      <c r="H37" s="3021"/>
      <c r="I37" s="1935"/>
      <c r="J37" s="3021"/>
      <c r="K37" s="3021"/>
      <c r="L37" s="3021"/>
      <c r="M37" s="3021"/>
      <c r="N37" s="3021"/>
      <c r="X37" s="75"/>
      <c r="AD37" s="75"/>
      <c r="AN37" s="532"/>
      <c r="AO37" s="532"/>
      <c r="AP37" s="532"/>
      <c r="AQ37" s="532"/>
      <c r="AR37" s="532"/>
      <c r="AS37" s="532"/>
      <c r="AT37" s="532"/>
    </row>
    <row r="38" spans="2:46" ht="18" customHeight="1">
      <c r="B38" s="3184" t="s">
        <v>2890</v>
      </c>
      <c r="C38" s="3021"/>
      <c r="D38" s="3021"/>
      <c r="E38" s="3021"/>
      <c r="F38" s="3021"/>
      <c r="G38" s="3021"/>
      <c r="H38" s="3021"/>
      <c r="I38" s="1935"/>
      <c r="J38" s="3021"/>
      <c r="K38" s="3021"/>
      <c r="L38" s="3020"/>
      <c r="M38" s="1862"/>
      <c r="U38" s="534"/>
      <c r="V38" s="534"/>
      <c r="W38" s="534"/>
      <c r="X38" s="534"/>
      <c r="Y38" s="534"/>
      <c r="Z38" s="534"/>
      <c r="AA38" s="534"/>
      <c r="AB38" s="3"/>
      <c r="AO38" s="532"/>
      <c r="AP38" s="532"/>
      <c r="AQ38" s="532"/>
      <c r="AR38" s="532"/>
      <c r="AS38" s="532"/>
      <c r="AT38" s="532"/>
    </row>
    <row r="39" spans="2:46" s="398" customFormat="1" ht="54" customHeight="1">
      <c r="B39" s="3043" t="s">
        <v>2891</v>
      </c>
      <c r="C39" s="2181"/>
      <c r="D39" s="2181"/>
      <c r="E39" s="2181"/>
      <c r="F39" s="2181"/>
      <c r="G39" s="2181"/>
      <c r="H39" s="2181"/>
      <c r="I39" s="2181"/>
      <c r="J39" s="2181"/>
      <c r="K39" s="2181"/>
      <c r="L39" s="2181"/>
      <c r="M39" s="2181"/>
      <c r="N39" s="2181"/>
      <c r="O39" s="2181"/>
      <c r="P39" s="2181"/>
      <c r="Q39" s="2181"/>
      <c r="R39" s="2181"/>
      <c r="S39" s="2181"/>
      <c r="T39" s="2181"/>
      <c r="U39" s="2181"/>
      <c r="V39" s="2181"/>
      <c r="W39" s="2181"/>
      <c r="X39" s="2181"/>
      <c r="Y39" s="2181"/>
      <c r="Z39" s="2181"/>
      <c r="AA39" s="2181"/>
      <c r="AB39" s="2181"/>
      <c r="AC39" s="2181"/>
      <c r="AD39" s="2181"/>
      <c r="AE39" s="2181"/>
      <c r="AF39" s="2181"/>
      <c r="AG39" s="2181"/>
      <c r="AH39" s="2181"/>
      <c r="AI39" s="2181"/>
      <c r="AJ39" s="2181"/>
      <c r="AK39" s="2181"/>
      <c r="AL39" s="2181"/>
      <c r="AM39" s="2181"/>
      <c r="AN39" s="532"/>
      <c r="AO39" s="532"/>
      <c r="AP39" s="532"/>
      <c r="AQ39" s="532"/>
      <c r="AR39" s="532"/>
      <c r="AS39" s="532"/>
      <c r="AT39" s="532"/>
    </row>
    <row r="40" spans="2:46" s="398" customFormat="1" ht="225" customHeight="1">
      <c r="B40" s="3023"/>
      <c r="C40" s="1861"/>
      <c r="D40" s="1861"/>
      <c r="E40" s="1861"/>
      <c r="F40" s="1861"/>
      <c r="G40" s="1861"/>
      <c r="H40" s="1861"/>
      <c r="I40" s="1861"/>
      <c r="J40" s="1861"/>
      <c r="K40" s="1861"/>
      <c r="L40" s="1861"/>
      <c r="M40" s="1861"/>
      <c r="N40" s="1861"/>
      <c r="O40" s="1861"/>
      <c r="P40" s="1861"/>
      <c r="Q40" s="1861"/>
      <c r="R40" s="1861"/>
      <c r="S40" s="1861"/>
      <c r="T40" s="1861"/>
      <c r="U40" s="1861"/>
      <c r="V40" s="1861"/>
      <c r="W40" s="1861"/>
      <c r="X40" s="1861"/>
      <c r="Y40" s="1861"/>
      <c r="Z40" s="1861"/>
      <c r="AA40" s="1861"/>
      <c r="AB40" s="1861"/>
      <c r="AC40" s="1861"/>
      <c r="AD40" s="1861"/>
      <c r="AE40" s="1861"/>
      <c r="AF40" s="1861"/>
      <c r="AG40" s="1861"/>
      <c r="AH40" s="1861"/>
      <c r="AI40" s="1861"/>
      <c r="AJ40" s="1861"/>
      <c r="AK40" s="1861"/>
      <c r="AL40" s="1861"/>
      <c r="AM40" s="1862"/>
      <c r="AO40" s="532"/>
      <c r="AP40" s="532"/>
      <c r="AQ40" s="532"/>
      <c r="AR40" s="532"/>
      <c r="AS40" s="532"/>
      <c r="AT40" s="532"/>
    </row>
    <row r="41" spans="2:46" s="398" customFormat="1" ht="54" customHeight="1">
      <c r="B41" s="3043" t="s">
        <v>2892</v>
      </c>
      <c r="C41" s="2181"/>
      <c r="D41" s="2181"/>
      <c r="E41" s="2181"/>
      <c r="F41" s="2181"/>
      <c r="G41" s="2181"/>
      <c r="H41" s="2181"/>
      <c r="I41" s="2181"/>
      <c r="J41" s="2181"/>
      <c r="K41" s="2181"/>
      <c r="L41" s="2181"/>
      <c r="M41" s="2181"/>
      <c r="N41" s="2181"/>
      <c r="O41" s="2181"/>
      <c r="P41" s="2181"/>
      <c r="Q41" s="2181"/>
      <c r="R41" s="2181"/>
      <c r="S41" s="2181"/>
      <c r="T41" s="2181"/>
      <c r="U41" s="2181"/>
      <c r="V41" s="2181"/>
      <c r="W41" s="2181"/>
      <c r="X41" s="2181"/>
      <c r="Y41" s="2181"/>
      <c r="Z41" s="2181"/>
      <c r="AA41" s="2181"/>
      <c r="AB41" s="2181"/>
      <c r="AC41" s="2181"/>
      <c r="AD41" s="2181"/>
      <c r="AE41" s="2181"/>
      <c r="AF41" s="2181"/>
      <c r="AG41" s="2181"/>
      <c r="AH41" s="2181"/>
      <c r="AI41" s="2181"/>
      <c r="AJ41" s="2181"/>
      <c r="AK41" s="2181"/>
      <c r="AL41" s="2181"/>
      <c r="AM41" s="2181"/>
      <c r="AO41" s="1714"/>
    </row>
    <row r="42" spans="2:46" s="398" customFormat="1" ht="225" customHeight="1">
      <c r="B42" s="3023"/>
      <c r="C42" s="1861"/>
      <c r="D42" s="1861"/>
      <c r="E42" s="1861"/>
      <c r="F42" s="1861"/>
      <c r="G42" s="1861"/>
      <c r="H42" s="1861"/>
      <c r="I42" s="1861"/>
      <c r="J42" s="1861"/>
      <c r="K42" s="1861"/>
      <c r="L42" s="1861"/>
      <c r="M42" s="1861"/>
      <c r="N42" s="1861"/>
      <c r="O42" s="1861"/>
      <c r="P42" s="1861"/>
      <c r="Q42" s="1861"/>
      <c r="R42" s="1861"/>
      <c r="S42" s="1861"/>
      <c r="T42" s="1861"/>
      <c r="U42" s="1861"/>
      <c r="V42" s="1861"/>
      <c r="W42" s="1861"/>
      <c r="X42" s="1861"/>
      <c r="Y42" s="1861"/>
      <c r="Z42" s="1861"/>
      <c r="AA42" s="1861"/>
      <c r="AB42" s="1861"/>
      <c r="AC42" s="1861"/>
      <c r="AD42" s="1861"/>
      <c r="AE42" s="1861"/>
      <c r="AF42" s="1861"/>
      <c r="AG42" s="1861"/>
      <c r="AH42" s="1861"/>
      <c r="AI42" s="1861"/>
      <c r="AJ42" s="1861"/>
      <c r="AK42" s="1861"/>
      <c r="AL42" s="1861"/>
      <c r="AM42" s="1862"/>
    </row>
    <row r="43" spans="2:46" s="398" customFormat="1" ht="52.5" customHeight="1">
      <c r="B43" s="2181" t="s">
        <v>2893</v>
      </c>
      <c r="C43" s="2181"/>
      <c r="D43" s="2181"/>
      <c r="E43" s="2181"/>
      <c r="F43" s="2181"/>
      <c r="G43" s="2181"/>
      <c r="H43" s="2181"/>
      <c r="I43" s="2181"/>
      <c r="J43" s="2181"/>
      <c r="K43" s="2181"/>
      <c r="L43" s="2181"/>
      <c r="M43" s="2181"/>
      <c r="N43" s="2181"/>
      <c r="O43" s="2181"/>
      <c r="P43" s="2181"/>
      <c r="Q43" s="2181"/>
      <c r="R43" s="2181"/>
      <c r="S43" s="2181"/>
      <c r="T43" s="2181"/>
      <c r="U43" s="2181"/>
      <c r="V43" s="2181"/>
      <c r="W43" s="2181"/>
      <c r="X43" s="2181"/>
      <c r="Y43" s="2181"/>
      <c r="Z43" s="2181"/>
      <c r="AA43" s="2181"/>
      <c r="AB43" s="2181"/>
      <c r="AC43" s="2181"/>
      <c r="AD43" s="2181"/>
      <c r="AE43" s="2181"/>
      <c r="AF43" s="2181"/>
      <c r="AG43" s="2181"/>
      <c r="AH43" s="2181"/>
      <c r="AI43" s="2181"/>
      <c r="AJ43" s="2181"/>
      <c r="AK43" s="2181"/>
      <c r="AL43" s="2181"/>
      <c r="AM43" s="2181"/>
      <c r="AN43" s="387"/>
    </row>
    <row r="44" spans="2:46" s="398" customFormat="1" ht="18" customHeight="1">
      <c r="B44" s="3235" t="s">
        <v>2894</v>
      </c>
      <c r="C44" s="2181"/>
      <c r="D44" s="2181"/>
      <c r="E44" s="2181"/>
      <c r="F44" s="2181"/>
      <c r="G44" s="2181"/>
      <c r="H44" s="2181"/>
      <c r="I44" s="2181"/>
      <c r="J44" s="2181"/>
      <c r="K44" s="2181"/>
      <c r="L44" s="2181"/>
      <c r="M44" s="2181"/>
      <c r="N44" s="2181"/>
      <c r="O44" s="2181"/>
      <c r="P44" s="2181"/>
      <c r="Q44" s="2181"/>
      <c r="R44" s="2181"/>
      <c r="S44" s="2181"/>
      <c r="T44" s="2181"/>
      <c r="U44" s="2181"/>
      <c r="V44" s="2181"/>
      <c r="W44" s="2181"/>
      <c r="X44" s="2181"/>
      <c r="Y44" s="2181"/>
      <c r="Z44" s="2181"/>
      <c r="AA44" s="2181"/>
      <c r="AB44" s="2181"/>
      <c r="AC44" s="2181"/>
      <c r="AD44" s="2181"/>
      <c r="AE44" s="2181"/>
      <c r="AF44" s="2181"/>
      <c r="AG44" s="2181"/>
      <c r="AH44" s="2181"/>
      <c r="AI44" s="2181"/>
      <c r="AJ44" s="2181"/>
      <c r="AK44" s="2181"/>
      <c r="AL44" s="2181"/>
      <c r="AM44" s="2181"/>
    </row>
    <row r="45" spans="2:46" s="398" customFormat="1" ht="225" customHeight="1">
      <c r="B45" s="3023"/>
      <c r="C45" s="1861"/>
      <c r="D45" s="1861"/>
      <c r="E45" s="1861"/>
      <c r="F45" s="1861"/>
      <c r="G45" s="1861"/>
      <c r="H45" s="1861"/>
      <c r="I45" s="1861"/>
      <c r="J45" s="1861"/>
      <c r="K45" s="1861"/>
      <c r="L45" s="1861"/>
      <c r="M45" s="1861"/>
      <c r="N45" s="1861"/>
      <c r="O45" s="1861"/>
      <c r="P45" s="1861"/>
      <c r="Q45" s="1861"/>
      <c r="R45" s="1861"/>
      <c r="S45" s="1861"/>
      <c r="T45" s="1861"/>
      <c r="U45" s="1861"/>
      <c r="V45" s="1861"/>
      <c r="W45" s="1861"/>
      <c r="X45" s="1861"/>
      <c r="Y45" s="1861"/>
      <c r="Z45" s="1861"/>
      <c r="AA45" s="1861"/>
      <c r="AB45" s="1861"/>
      <c r="AC45" s="1861"/>
      <c r="AD45" s="1861"/>
      <c r="AE45" s="1861"/>
      <c r="AF45" s="1861"/>
      <c r="AG45" s="1861"/>
      <c r="AH45" s="1861"/>
      <c r="AI45" s="1861"/>
      <c r="AJ45" s="1861"/>
      <c r="AK45" s="1861"/>
      <c r="AL45" s="1861"/>
      <c r="AM45" s="1862"/>
    </row>
    <row r="46" spans="2:46" s="398" customFormat="1" ht="18" customHeight="1">
      <c r="B46" s="3105" t="s">
        <v>2895</v>
      </c>
      <c r="C46" s="2181"/>
      <c r="D46" s="2181"/>
      <c r="E46" s="2181"/>
      <c r="F46" s="2181"/>
      <c r="G46" s="2181"/>
      <c r="H46" s="2181"/>
      <c r="I46" s="2181"/>
      <c r="J46" s="2181"/>
      <c r="K46" s="2181"/>
      <c r="L46" s="2181"/>
      <c r="M46" s="2181"/>
      <c r="N46" s="2181"/>
      <c r="O46" s="2181"/>
      <c r="P46" s="2181"/>
      <c r="Q46" s="2181"/>
      <c r="R46" s="2181"/>
      <c r="S46" s="2181"/>
      <c r="T46" s="2181"/>
      <c r="U46" s="2181"/>
      <c r="V46" s="2181"/>
      <c r="W46" s="2181"/>
      <c r="X46" s="2181"/>
      <c r="Y46" s="2181"/>
      <c r="Z46" s="2181"/>
      <c r="AA46" s="2181"/>
      <c r="AB46" s="2181"/>
      <c r="AC46" s="2181"/>
      <c r="AD46" s="2181"/>
      <c r="AE46" s="2181"/>
      <c r="AF46" s="2181"/>
      <c r="AG46" s="2181"/>
      <c r="AH46" s="2181"/>
      <c r="AI46" s="2181"/>
      <c r="AJ46" s="2181"/>
      <c r="AK46" s="2181"/>
      <c r="AL46" s="2181"/>
      <c r="AM46" s="2181"/>
    </row>
    <row r="47" spans="2:46" s="398" customFormat="1" ht="125.1" customHeight="1">
      <c r="B47" s="3023"/>
      <c r="C47" s="1861"/>
      <c r="D47" s="1861"/>
      <c r="E47" s="1861"/>
      <c r="F47" s="1861"/>
      <c r="G47" s="1861"/>
      <c r="H47" s="1861"/>
      <c r="I47" s="1861"/>
      <c r="J47" s="1861"/>
      <c r="K47" s="1861"/>
      <c r="L47" s="1861"/>
      <c r="M47" s="1861"/>
      <c r="N47" s="1861"/>
      <c r="O47" s="1861"/>
      <c r="P47" s="1861"/>
      <c r="Q47" s="1861"/>
      <c r="R47" s="1861"/>
      <c r="S47" s="1861"/>
      <c r="T47" s="1861"/>
      <c r="U47" s="1861"/>
      <c r="V47" s="1861"/>
      <c r="W47" s="1861"/>
      <c r="X47" s="1861"/>
      <c r="Y47" s="1861"/>
      <c r="Z47" s="1861"/>
      <c r="AA47" s="1861"/>
      <c r="AB47" s="1861"/>
      <c r="AC47" s="1861"/>
      <c r="AD47" s="1861"/>
      <c r="AE47" s="1861"/>
      <c r="AF47" s="1861"/>
      <c r="AG47" s="1861"/>
      <c r="AH47" s="1861"/>
      <c r="AI47" s="1861"/>
      <c r="AJ47" s="1861"/>
      <c r="AK47" s="1861"/>
      <c r="AL47" s="1861"/>
      <c r="AM47" s="1862"/>
    </row>
    <row r="48" spans="2:46" ht="36" customHeight="1">
      <c r="B48" s="3105" t="s">
        <v>2896</v>
      </c>
      <c r="C48" s="3021"/>
      <c r="D48" s="3021"/>
      <c r="E48" s="3021"/>
      <c r="F48" s="3021"/>
      <c r="G48" s="3021"/>
      <c r="H48" s="3021"/>
      <c r="I48" s="1935"/>
      <c r="J48" s="3021"/>
      <c r="K48" s="3021"/>
      <c r="L48" s="3021"/>
      <c r="M48" s="3021"/>
      <c r="N48" s="3021"/>
      <c r="O48" s="3021"/>
      <c r="P48" s="3021"/>
      <c r="Q48" s="3021"/>
      <c r="R48" s="3021"/>
      <c r="S48" s="3021"/>
      <c r="T48" s="3021"/>
      <c r="U48" s="3021"/>
      <c r="V48" s="3021"/>
      <c r="W48" s="3021"/>
      <c r="X48" s="3021"/>
      <c r="Y48" s="3021"/>
      <c r="Z48" s="3021"/>
      <c r="AA48" s="3021"/>
      <c r="AB48" s="3021"/>
      <c r="AC48" s="3021"/>
      <c r="AD48" s="3021"/>
      <c r="AE48" s="3021"/>
      <c r="AF48" s="3021"/>
      <c r="AG48" s="3021"/>
      <c r="AH48" s="3021"/>
      <c r="AI48" s="3021"/>
      <c r="AJ48" s="3021"/>
      <c r="AK48" s="3021"/>
      <c r="AL48" s="3021"/>
      <c r="AM48" s="3021"/>
      <c r="AN48" s="398"/>
      <c r="AO48" s="3159"/>
      <c r="AP48" s="3021"/>
    </row>
    <row r="49" spans="2:40" s="398" customFormat="1" ht="125.1" customHeight="1">
      <c r="B49" s="3023"/>
      <c r="C49" s="1861"/>
      <c r="D49" s="1861"/>
      <c r="E49" s="1861"/>
      <c r="F49" s="1861"/>
      <c r="G49" s="1861"/>
      <c r="H49" s="1861"/>
      <c r="I49" s="1861"/>
      <c r="J49" s="1861"/>
      <c r="K49" s="1861"/>
      <c r="L49" s="1861"/>
      <c r="M49" s="1861"/>
      <c r="N49" s="1861"/>
      <c r="O49" s="1861"/>
      <c r="P49" s="1861"/>
      <c r="Q49" s="1861"/>
      <c r="R49" s="1861"/>
      <c r="S49" s="1861"/>
      <c r="T49" s="1861"/>
      <c r="U49" s="1861"/>
      <c r="V49" s="1861"/>
      <c r="W49" s="1861"/>
      <c r="X49" s="1861"/>
      <c r="Y49" s="1861"/>
      <c r="Z49" s="1861"/>
      <c r="AA49" s="1861"/>
      <c r="AB49" s="1861"/>
      <c r="AC49" s="1861"/>
      <c r="AD49" s="1861"/>
      <c r="AE49" s="1861"/>
      <c r="AF49" s="1861"/>
      <c r="AG49" s="1861"/>
      <c r="AH49" s="1861"/>
      <c r="AI49" s="1861"/>
      <c r="AJ49" s="1861"/>
      <c r="AK49" s="1861"/>
      <c r="AL49" s="1861"/>
      <c r="AM49" s="1862"/>
    </row>
    <row r="50" spans="2:40" s="381" customFormat="1" ht="18" customHeight="1"/>
    <row r="51" spans="2:40" s="398" customFormat="1" ht="18" customHeight="1">
      <c r="B51" s="3105" t="s">
        <v>2225</v>
      </c>
      <c r="C51" s="2181"/>
      <c r="D51" s="2181"/>
      <c r="E51" s="2181"/>
      <c r="F51" s="2181"/>
      <c r="G51" s="2181"/>
      <c r="H51" s="2181"/>
      <c r="I51" s="2181"/>
      <c r="J51" s="2181"/>
      <c r="K51" s="2181"/>
      <c r="L51" s="2181"/>
      <c r="M51" s="2181"/>
      <c r="N51" s="2181"/>
      <c r="O51" s="2181"/>
      <c r="P51" s="2181"/>
      <c r="Q51" s="2181"/>
      <c r="R51" s="2181"/>
      <c r="S51" s="2181"/>
      <c r="T51" s="2181"/>
      <c r="U51" s="2181"/>
      <c r="V51" s="2181"/>
      <c r="W51" s="2181"/>
      <c r="X51" s="2181"/>
      <c r="Y51" s="2181"/>
      <c r="Z51" s="2181"/>
      <c r="AA51" s="2181"/>
      <c r="AB51" s="2181"/>
      <c r="AC51" s="2181"/>
      <c r="AD51" s="2181"/>
      <c r="AE51" s="2181"/>
      <c r="AF51" s="2181"/>
      <c r="AG51" s="2181"/>
      <c r="AH51" s="2181"/>
      <c r="AI51" s="2181"/>
      <c r="AJ51" s="2181"/>
      <c r="AK51" s="2181"/>
      <c r="AL51" s="2181"/>
      <c r="AM51" s="2181"/>
    </row>
    <row r="52" spans="2:40" s="398" customFormat="1" ht="18" customHeight="1">
      <c r="B52" s="3105" t="s">
        <v>2897</v>
      </c>
      <c r="C52" s="2181"/>
      <c r="D52" s="2181"/>
      <c r="E52" s="2181"/>
      <c r="F52" s="2181"/>
      <c r="G52" s="2181"/>
      <c r="H52" s="2181"/>
      <c r="I52" s="2181"/>
      <c r="J52" s="2181"/>
      <c r="K52" s="2181"/>
      <c r="L52" s="2181"/>
      <c r="M52" s="2181"/>
      <c r="N52" s="2181"/>
      <c r="O52" s="2181"/>
      <c r="P52" s="2181"/>
      <c r="Q52" s="2181"/>
      <c r="R52" s="2181"/>
      <c r="S52" s="2181"/>
      <c r="T52" s="2181"/>
      <c r="U52" s="2181"/>
      <c r="V52" s="2181"/>
      <c r="W52" s="2181"/>
      <c r="X52" s="2181"/>
      <c r="Y52" s="2181"/>
      <c r="Z52" s="2181"/>
      <c r="AA52" s="2181"/>
      <c r="AB52" s="2181"/>
      <c r="AC52" s="2181"/>
      <c r="AD52" s="2181"/>
      <c r="AE52" s="2181"/>
      <c r="AF52" s="2181"/>
      <c r="AG52" s="2181"/>
      <c r="AH52" s="2181"/>
      <c r="AI52" s="2181"/>
      <c r="AJ52" s="2181"/>
      <c r="AK52" s="2181"/>
      <c r="AL52" s="2181"/>
      <c r="AM52" s="2181"/>
    </row>
    <row r="53" spans="2:40" s="398" customFormat="1" ht="125.1" customHeight="1">
      <c r="B53" s="3023"/>
      <c r="C53" s="1861"/>
      <c r="D53" s="1861"/>
      <c r="E53" s="1861"/>
      <c r="F53" s="1861"/>
      <c r="G53" s="1861"/>
      <c r="H53" s="1861"/>
      <c r="I53" s="1861"/>
      <c r="J53" s="1861"/>
      <c r="K53" s="1861"/>
      <c r="L53" s="1861"/>
      <c r="M53" s="1861"/>
      <c r="N53" s="1861"/>
      <c r="O53" s="1861"/>
      <c r="P53" s="1861"/>
      <c r="Q53" s="1861"/>
      <c r="R53" s="1861"/>
      <c r="S53" s="1861"/>
      <c r="T53" s="1861"/>
      <c r="U53" s="1861"/>
      <c r="V53" s="1861"/>
      <c r="W53" s="1861"/>
      <c r="X53" s="1861"/>
      <c r="Y53" s="1861"/>
      <c r="Z53" s="1861"/>
      <c r="AA53" s="1861"/>
      <c r="AB53" s="1861"/>
      <c r="AC53" s="1861"/>
      <c r="AD53" s="1861"/>
      <c r="AE53" s="1861"/>
      <c r="AF53" s="1861"/>
      <c r="AG53" s="1861"/>
      <c r="AH53" s="1861"/>
      <c r="AI53" s="1861"/>
      <c r="AJ53" s="1861"/>
      <c r="AK53" s="1861"/>
      <c r="AL53" s="1861"/>
      <c r="AM53" s="1862"/>
    </row>
    <row r="54" spans="2:40" s="398" customFormat="1" ht="18" customHeight="1">
      <c r="B54" s="3105" t="s">
        <v>2898</v>
      </c>
      <c r="C54" s="2181"/>
      <c r="D54" s="2181"/>
      <c r="E54" s="2181"/>
      <c r="F54" s="2181"/>
      <c r="G54" s="2181"/>
      <c r="H54" s="2181"/>
      <c r="I54" s="2181"/>
      <c r="J54" s="2181"/>
      <c r="K54" s="2181"/>
      <c r="L54" s="2181"/>
      <c r="M54" s="2181"/>
      <c r="N54" s="2181"/>
      <c r="O54" s="2181"/>
      <c r="P54" s="2181"/>
      <c r="Q54" s="2181"/>
      <c r="R54" s="2181"/>
      <c r="S54" s="2181"/>
      <c r="T54" s="2181"/>
      <c r="U54" s="2181"/>
      <c r="V54" s="2181"/>
      <c r="W54" s="2181"/>
      <c r="X54" s="2181"/>
      <c r="Y54" s="2181"/>
      <c r="Z54" s="2181"/>
      <c r="AA54" s="2181"/>
      <c r="AB54" s="2181"/>
      <c r="AC54" s="2181"/>
      <c r="AD54" s="2181"/>
      <c r="AE54" s="2181"/>
      <c r="AF54" s="2181"/>
      <c r="AG54" s="2181"/>
      <c r="AH54" s="2181"/>
      <c r="AI54" s="2181"/>
      <c r="AJ54" s="2181"/>
      <c r="AK54" s="2181"/>
      <c r="AL54" s="2181"/>
      <c r="AM54" s="2181"/>
    </row>
    <row r="55" spans="2:40" s="398" customFormat="1" ht="125.1" customHeight="1">
      <c r="B55" s="3023"/>
      <c r="C55" s="1861"/>
      <c r="D55" s="1861"/>
      <c r="E55" s="1861"/>
      <c r="F55" s="1861"/>
      <c r="G55" s="1861"/>
      <c r="H55" s="1861"/>
      <c r="I55" s="1861"/>
      <c r="J55" s="1861"/>
      <c r="K55" s="1861"/>
      <c r="L55" s="1861"/>
      <c r="M55" s="1861"/>
      <c r="N55" s="1861"/>
      <c r="O55" s="1861"/>
      <c r="P55" s="1861"/>
      <c r="Q55" s="1861"/>
      <c r="R55" s="1861"/>
      <c r="S55" s="1861"/>
      <c r="T55" s="1861"/>
      <c r="U55" s="1861"/>
      <c r="V55" s="1861"/>
      <c r="W55" s="1861"/>
      <c r="X55" s="1861"/>
      <c r="Y55" s="1861"/>
      <c r="Z55" s="1861"/>
      <c r="AA55" s="1861"/>
      <c r="AB55" s="1861"/>
      <c r="AC55" s="1861"/>
      <c r="AD55" s="1861"/>
      <c r="AE55" s="1861"/>
      <c r="AF55" s="1861"/>
      <c r="AG55" s="1861"/>
      <c r="AH55" s="1861"/>
      <c r="AI55" s="1861"/>
      <c r="AJ55" s="1861"/>
      <c r="AK55" s="1861"/>
      <c r="AL55" s="1861"/>
      <c r="AM55" s="1862"/>
    </row>
    <row r="56" spans="2:40" s="398" customFormat="1" ht="18" customHeight="1">
      <c r="B56" s="3105" t="s">
        <v>2899</v>
      </c>
      <c r="C56" s="2181"/>
      <c r="D56" s="2181"/>
      <c r="E56" s="2181"/>
      <c r="F56" s="2181"/>
      <c r="G56" s="2181"/>
      <c r="H56" s="2181"/>
      <c r="I56" s="2181"/>
      <c r="J56" s="2181"/>
      <c r="K56" s="2181"/>
      <c r="L56" s="2181"/>
      <c r="M56" s="2181"/>
      <c r="N56" s="2181"/>
      <c r="O56" s="2181"/>
      <c r="P56" s="2181"/>
      <c r="Q56" s="2181"/>
      <c r="R56" s="2181"/>
      <c r="S56" s="2181"/>
      <c r="T56" s="2181"/>
      <c r="U56" s="2181"/>
      <c r="V56" s="2181"/>
      <c r="W56" s="2181"/>
      <c r="X56" s="2181"/>
      <c r="Y56" s="2181"/>
      <c r="Z56" s="2181"/>
      <c r="AA56" s="2181"/>
      <c r="AB56" s="2181"/>
      <c r="AC56" s="2181"/>
      <c r="AD56" s="2181"/>
      <c r="AE56" s="2181"/>
      <c r="AF56" s="2181"/>
      <c r="AG56" s="2181"/>
      <c r="AH56" s="2181"/>
      <c r="AI56" s="2181"/>
      <c r="AJ56" s="2181"/>
      <c r="AK56" s="2181"/>
      <c r="AL56" s="2181"/>
      <c r="AM56" s="2181"/>
      <c r="AN56" s="387"/>
    </row>
    <row r="57" spans="2:40" s="398" customFormat="1" ht="125.1" customHeight="1">
      <c r="B57" s="3023"/>
      <c r="C57" s="1861"/>
      <c r="D57" s="1861"/>
      <c r="E57" s="1861"/>
      <c r="F57" s="1861"/>
      <c r="G57" s="1861"/>
      <c r="H57" s="1861"/>
      <c r="I57" s="1861"/>
      <c r="J57" s="1861"/>
      <c r="K57" s="1861"/>
      <c r="L57" s="1861"/>
      <c r="M57" s="1861"/>
      <c r="N57" s="1861"/>
      <c r="O57" s="1861"/>
      <c r="P57" s="1861"/>
      <c r="Q57" s="1861"/>
      <c r="R57" s="1861"/>
      <c r="S57" s="1861"/>
      <c r="T57" s="1861"/>
      <c r="U57" s="1861"/>
      <c r="V57" s="1861"/>
      <c r="W57" s="1861"/>
      <c r="X57" s="1861"/>
      <c r="Y57" s="1861"/>
      <c r="Z57" s="1861"/>
      <c r="AA57" s="1861"/>
      <c r="AB57" s="1861"/>
      <c r="AC57" s="1861"/>
      <c r="AD57" s="1861"/>
      <c r="AE57" s="1861"/>
      <c r="AF57" s="1861"/>
      <c r="AG57" s="1861"/>
      <c r="AH57" s="1861"/>
      <c r="AI57" s="1861"/>
      <c r="AJ57" s="1861"/>
      <c r="AK57" s="1861"/>
      <c r="AL57" s="1861"/>
      <c r="AM57" s="1862"/>
      <c r="AN57" s="387"/>
    </row>
    <row r="58" spans="2:40" s="381" customFormat="1" ht="18" customHeight="1"/>
    <row r="59" spans="2:40" ht="18" customHeight="1">
      <c r="B59" s="3043" t="s">
        <v>2900</v>
      </c>
      <c r="C59" s="3021"/>
      <c r="D59" s="3021"/>
      <c r="E59" s="3021"/>
      <c r="F59" s="3021"/>
      <c r="G59" s="3021"/>
      <c r="H59" s="3021"/>
      <c r="I59" s="1935"/>
      <c r="J59" s="3021"/>
      <c r="K59" s="3021"/>
      <c r="L59" s="3021"/>
      <c r="M59" s="3021"/>
      <c r="N59" s="3021"/>
      <c r="O59" s="3021"/>
      <c r="P59" s="3021"/>
      <c r="Q59" s="3021"/>
      <c r="R59" s="3021"/>
      <c r="S59" s="3021"/>
      <c r="T59" s="3021"/>
      <c r="U59" s="3021"/>
      <c r="V59" s="3021"/>
      <c r="W59" s="3021"/>
      <c r="X59" s="3021"/>
      <c r="Y59" s="3021"/>
      <c r="Z59" s="3021"/>
      <c r="AA59" s="3021"/>
      <c r="AB59" s="3021"/>
      <c r="AC59" s="3021"/>
      <c r="AD59" s="3021"/>
      <c r="AE59" s="3021"/>
      <c r="AF59" s="3021"/>
      <c r="AG59" s="3021"/>
      <c r="AH59" s="3021"/>
      <c r="AI59" s="3021"/>
      <c r="AJ59" s="3021"/>
      <c r="AK59" s="3021"/>
      <c r="AL59" s="3021"/>
      <c r="AM59" s="3021"/>
    </row>
    <row r="60" spans="2:40" ht="18" customHeight="1">
      <c r="B60" s="2181" t="s">
        <v>2901</v>
      </c>
      <c r="C60" s="3021"/>
      <c r="D60" s="3021"/>
      <c r="E60" s="3021"/>
      <c r="F60" s="3021"/>
      <c r="G60" s="3021"/>
      <c r="H60" s="3021"/>
      <c r="I60" s="1935"/>
      <c r="J60" s="3021"/>
      <c r="K60" s="3021"/>
      <c r="L60" s="3021"/>
      <c r="M60" s="3021"/>
      <c r="N60" s="3021"/>
      <c r="O60" s="3021"/>
      <c r="P60" s="3021"/>
      <c r="Q60" s="3021"/>
      <c r="R60" s="3021"/>
      <c r="S60" s="3021"/>
      <c r="T60" s="3021"/>
      <c r="U60" s="3021"/>
      <c r="V60" s="3021"/>
      <c r="W60" s="3021"/>
      <c r="X60" s="3021"/>
      <c r="Y60" s="3021"/>
      <c r="Z60" s="3021"/>
      <c r="AA60" s="3021"/>
      <c r="AB60" s="3021"/>
    </row>
    <row r="61" spans="2:40" ht="18" customHeight="1">
      <c r="B61" s="2181" t="s">
        <v>2902</v>
      </c>
      <c r="C61" s="3021"/>
      <c r="D61" s="3021"/>
      <c r="E61" s="3021"/>
      <c r="F61" s="3021"/>
      <c r="G61" s="3021"/>
      <c r="H61" s="3021"/>
      <c r="I61" s="1935"/>
      <c r="J61" s="3021"/>
      <c r="K61" s="3021"/>
      <c r="L61" s="3021"/>
      <c r="M61" s="3021"/>
      <c r="N61" s="3021"/>
      <c r="O61" s="3021"/>
      <c r="P61" s="3021"/>
      <c r="Q61" s="3021"/>
      <c r="R61" s="3021"/>
      <c r="S61" s="3021"/>
      <c r="T61" s="3021"/>
      <c r="U61" s="3021"/>
      <c r="V61" s="3021"/>
      <c r="W61" s="3021"/>
      <c r="X61" s="3021"/>
      <c r="Y61" s="535"/>
      <c r="Z61" s="3020"/>
      <c r="AA61" s="1862"/>
      <c r="AB61" s="398"/>
    </row>
    <row r="62" spans="2:40" ht="36" customHeight="1">
      <c r="B62" s="2181" t="s">
        <v>2903</v>
      </c>
      <c r="C62" s="3021"/>
      <c r="D62" s="3021"/>
      <c r="E62" s="3021"/>
      <c r="F62" s="3021"/>
      <c r="G62" s="3021"/>
      <c r="H62" s="3021"/>
      <c r="I62" s="1935"/>
      <c r="J62" s="3021"/>
      <c r="K62" s="3021"/>
      <c r="L62" s="3021"/>
      <c r="M62" s="3021"/>
      <c r="N62" s="3021"/>
      <c r="O62" s="3021"/>
      <c r="P62" s="3021"/>
      <c r="Q62" s="3021"/>
      <c r="R62" s="3021"/>
      <c r="S62" s="3021"/>
      <c r="T62" s="3021"/>
      <c r="U62" s="3021"/>
      <c r="V62" s="3021"/>
      <c r="W62" s="3021"/>
      <c r="X62" s="3021"/>
      <c r="Y62" s="535"/>
      <c r="Z62" s="3020"/>
      <c r="AA62" s="1862"/>
      <c r="AB62" s="398"/>
      <c r="AN62" s="398"/>
    </row>
    <row r="63" spans="2:40" ht="18" customHeight="1">
      <c r="B63" s="2181" t="s">
        <v>2904</v>
      </c>
      <c r="C63" s="3021"/>
      <c r="D63" s="3021"/>
      <c r="E63" s="3021"/>
      <c r="F63" s="3021"/>
      <c r="G63" s="3021"/>
      <c r="H63" s="3021"/>
      <c r="I63" s="1935"/>
      <c r="J63" s="3021"/>
      <c r="K63" s="3021"/>
      <c r="L63" s="3021"/>
      <c r="M63" s="3021"/>
      <c r="N63" s="3021"/>
      <c r="O63" s="3021"/>
      <c r="P63" s="3021"/>
      <c r="Q63" s="3021"/>
      <c r="R63" s="3021"/>
      <c r="S63" s="3021"/>
      <c r="T63" s="3021"/>
      <c r="U63" s="3021"/>
      <c r="V63" s="3021"/>
      <c r="W63" s="3021"/>
      <c r="X63" s="3021"/>
      <c r="Y63" s="535"/>
      <c r="Z63" s="3020"/>
      <c r="AA63" s="1862"/>
      <c r="AB63" s="398"/>
      <c r="AN63" s="398"/>
    </row>
    <row r="64" spans="2:40" ht="18" customHeight="1">
      <c r="B64" s="2181" t="s">
        <v>2461</v>
      </c>
      <c r="C64" s="3021"/>
      <c r="D64" s="3021"/>
      <c r="E64" s="3021"/>
      <c r="F64" s="3021"/>
      <c r="G64" s="3021"/>
      <c r="H64" s="3021"/>
      <c r="I64" s="1935"/>
      <c r="J64" s="3021"/>
      <c r="K64" s="3021"/>
      <c r="L64" s="3021"/>
      <c r="M64" s="3021"/>
      <c r="N64" s="3021"/>
      <c r="O64" s="3021"/>
      <c r="P64" s="3021"/>
      <c r="Q64" s="3021"/>
      <c r="R64" s="3021"/>
      <c r="S64" s="3021"/>
      <c r="T64" s="3021"/>
      <c r="U64" s="3021"/>
      <c r="V64" s="3021"/>
      <c r="W64" s="3021"/>
      <c r="X64" s="3021"/>
      <c r="Y64" s="535"/>
      <c r="Z64" s="3020"/>
      <c r="AA64" s="1862"/>
      <c r="AB64" s="398"/>
    </row>
    <row r="65" spans="2:41" ht="18" customHeight="1">
      <c r="B65" s="2181" t="s">
        <v>2462</v>
      </c>
      <c r="C65" s="3021"/>
      <c r="D65" s="3021"/>
      <c r="E65" s="3021"/>
      <c r="F65" s="3021"/>
      <c r="G65" s="3021"/>
      <c r="H65" s="3021"/>
      <c r="I65" s="1935"/>
      <c r="J65" s="3021"/>
      <c r="K65" s="3021"/>
      <c r="L65" s="3021"/>
      <c r="M65" s="3021"/>
      <c r="N65" s="3021"/>
      <c r="O65" s="3021"/>
      <c r="P65" s="3021"/>
      <c r="Q65" s="3021"/>
      <c r="R65" s="3021"/>
      <c r="S65" s="3021"/>
      <c r="T65" s="3021"/>
      <c r="U65" s="3021"/>
      <c r="V65" s="3021"/>
      <c r="W65" s="3021"/>
      <c r="X65" s="3021"/>
      <c r="Y65" s="535"/>
      <c r="Z65" s="3020"/>
      <c r="AA65" s="1862"/>
      <c r="AB65" s="398"/>
    </row>
    <row r="66" spans="2:41" ht="36" customHeight="1">
      <c r="B66" s="2181" t="s">
        <v>2905</v>
      </c>
      <c r="C66" s="3021"/>
      <c r="D66" s="3021"/>
      <c r="E66" s="3021"/>
      <c r="F66" s="3021"/>
      <c r="G66" s="3021"/>
      <c r="H66" s="3021"/>
      <c r="I66" s="1935"/>
      <c r="J66" s="3021"/>
      <c r="K66" s="3021"/>
      <c r="L66" s="3021"/>
      <c r="M66" s="3021"/>
      <c r="N66" s="3021"/>
      <c r="O66" s="3021"/>
      <c r="P66" s="3021"/>
      <c r="Q66" s="3021"/>
      <c r="R66" s="3021"/>
      <c r="S66" s="3021"/>
      <c r="T66" s="3021"/>
      <c r="U66" s="3021"/>
      <c r="V66" s="3021"/>
      <c r="W66" s="3021"/>
      <c r="X66" s="3021"/>
      <c r="Y66" s="3021"/>
      <c r="Z66" s="3021"/>
      <c r="AA66" s="3021"/>
      <c r="AB66" s="3021"/>
      <c r="AC66" s="3021"/>
      <c r="AD66" s="3021"/>
      <c r="AE66" s="3021"/>
      <c r="AF66" s="3021"/>
      <c r="AG66" s="3021"/>
      <c r="AH66" s="3021"/>
      <c r="AI66" s="3021"/>
      <c r="AJ66" s="3021"/>
      <c r="AK66" s="3021"/>
      <c r="AL66" s="3021"/>
      <c r="AM66" s="3021"/>
      <c r="AN66" s="398"/>
    </row>
    <row r="67" spans="2:41" s="398" customFormat="1" ht="63" customHeight="1">
      <c r="B67" s="3023"/>
      <c r="C67" s="1861"/>
      <c r="D67" s="1861"/>
      <c r="E67" s="1861"/>
      <c r="F67" s="1861"/>
      <c r="G67" s="1861"/>
      <c r="H67" s="1861"/>
      <c r="I67" s="1861"/>
      <c r="J67" s="1861"/>
      <c r="K67" s="1861"/>
      <c r="L67" s="1861"/>
      <c r="M67" s="1861"/>
      <c r="N67" s="1861"/>
      <c r="O67" s="1861"/>
      <c r="P67" s="1861"/>
      <c r="Q67" s="1861"/>
      <c r="R67" s="1861"/>
      <c r="S67" s="1861"/>
      <c r="T67" s="1861"/>
      <c r="U67" s="1861"/>
      <c r="V67" s="1861"/>
      <c r="W67" s="1861"/>
      <c r="X67" s="1861"/>
      <c r="Y67" s="1861"/>
      <c r="Z67" s="1861"/>
      <c r="AA67" s="1861"/>
      <c r="AB67" s="1861"/>
      <c r="AC67" s="1861"/>
      <c r="AD67" s="1861"/>
      <c r="AE67" s="1861"/>
      <c r="AF67" s="1861"/>
      <c r="AG67" s="1861"/>
      <c r="AH67" s="1861"/>
      <c r="AI67" s="1861"/>
      <c r="AJ67" s="1861"/>
      <c r="AK67" s="1861"/>
      <c r="AL67" s="1861"/>
      <c r="AM67" s="1862"/>
    </row>
    <row r="68" spans="2:41" s="381" customFormat="1" ht="18" customHeight="1">
      <c r="AO68" s="1" t="s">
        <v>55</v>
      </c>
    </row>
    <row r="69" spans="2:41" s="398" customFormat="1" ht="18" customHeight="1">
      <c r="B69" s="3130" t="s">
        <v>2469</v>
      </c>
      <c r="C69" s="2181"/>
      <c r="D69" s="2181"/>
      <c r="E69" s="2181"/>
      <c r="F69" s="2181"/>
      <c r="G69" s="2181"/>
      <c r="H69" s="2181"/>
      <c r="I69" s="2181"/>
      <c r="J69" s="2181"/>
      <c r="K69" s="2181"/>
      <c r="L69" s="2181"/>
      <c r="M69" s="2181"/>
      <c r="N69" s="2181"/>
      <c r="O69" s="2181"/>
      <c r="P69" s="2181"/>
      <c r="Q69" s="2181"/>
      <c r="R69" s="2181"/>
      <c r="S69" s="2181"/>
      <c r="T69" s="2181"/>
      <c r="U69" s="2181"/>
      <c r="V69" s="2181"/>
      <c r="W69" s="2181"/>
      <c r="X69" s="2181"/>
      <c r="Y69" s="2181"/>
      <c r="Z69" s="2181"/>
      <c r="AA69" s="2181"/>
      <c r="AB69" s="2181"/>
      <c r="AN69" s="387"/>
      <c r="AO69" s="60" t="s">
        <v>2906</v>
      </c>
    </row>
    <row r="70" spans="2:41" ht="18" customHeight="1">
      <c r="B70" s="3130" t="s">
        <v>2470</v>
      </c>
      <c r="C70" s="3021"/>
      <c r="D70" s="3021"/>
      <c r="E70" s="3021"/>
      <c r="F70" s="3021"/>
      <c r="G70" s="3021"/>
      <c r="H70" s="3021"/>
      <c r="I70" s="1935"/>
      <c r="J70" s="3021"/>
      <c r="K70" s="3021"/>
      <c r="L70" s="3021"/>
      <c r="M70" s="3021"/>
      <c r="N70" s="3021"/>
      <c r="O70" s="3021"/>
      <c r="P70" s="3021"/>
      <c r="Q70" s="3021"/>
      <c r="R70" s="3021"/>
      <c r="S70" s="3021"/>
      <c r="T70" s="3021"/>
      <c r="U70" s="3021"/>
      <c r="V70" s="3021"/>
      <c r="W70" s="3021"/>
      <c r="X70" s="3021"/>
      <c r="Y70" s="3021"/>
      <c r="Z70" s="3021"/>
      <c r="AA70" s="3021"/>
      <c r="AB70" s="3021"/>
      <c r="AO70" s="60" t="s">
        <v>2907</v>
      </c>
    </row>
    <row r="71" spans="2:41" ht="54" customHeight="1">
      <c r="B71" s="2181" t="s">
        <v>2908</v>
      </c>
      <c r="C71" s="3021"/>
      <c r="D71" s="3021"/>
      <c r="E71" s="3021"/>
      <c r="F71" s="3021"/>
      <c r="G71" s="3021"/>
      <c r="H71" s="3021"/>
      <c r="I71" s="1935"/>
      <c r="J71" s="3021"/>
      <c r="K71" s="3021"/>
      <c r="L71" s="3021"/>
      <c r="M71" s="3021"/>
      <c r="N71" s="3021"/>
      <c r="O71" s="3021"/>
      <c r="P71" s="3021"/>
      <c r="Q71" s="3021"/>
      <c r="R71" s="3021"/>
      <c r="S71" s="3021"/>
      <c r="T71" s="3021"/>
      <c r="U71" s="3021"/>
      <c r="V71" s="3021"/>
      <c r="W71" s="3021"/>
      <c r="X71" s="3021"/>
      <c r="Y71" s="3021"/>
      <c r="Z71" s="3021"/>
      <c r="AA71" s="3021"/>
      <c r="AB71" s="3021"/>
      <c r="AC71" s="3021"/>
      <c r="AD71" s="3021"/>
      <c r="AE71" s="3021"/>
      <c r="AF71" s="3021"/>
      <c r="AG71" s="3021"/>
      <c r="AH71" s="3021"/>
      <c r="AI71" s="3021"/>
      <c r="AJ71" s="3021"/>
      <c r="AK71" s="3021"/>
      <c r="AL71" s="3021"/>
      <c r="AM71" s="3021"/>
      <c r="AO71" s="60" t="s">
        <v>2909</v>
      </c>
    </row>
    <row r="72" spans="2:41" ht="18" customHeight="1">
      <c r="B72" s="2181" t="s">
        <v>2473</v>
      </c>
      <c r="C72" s="3021"/>
      <c r="D72" s="3021"/>
      <c r="E72" s="3021"/>
      <c r="F72" s="3021"/>
      <c r="G72" s="3029"/>
      <c r="H72" s="1861"/>
      <c r="I72" s="1861"/>
      <c r="J72" s="1861"/>
      <c r="K72" s="1861"/>
      <c r="L72" s="1861"/>
      <c r="M72" s="1861"/>
      <c r="N72" s="1861"/>
      <c r="O72" s="1861"/>
      <c r="P72" s="1861"/>
      <c r="Q72" s="1861"/>
      <c r="R72" s="1861"/>
      <c r="S72" s="1861"/>
      <c r="T72" s="1861"/>
      <c r="U72" s="1861"/>
      <c r="V72" s="1861"/>
      <c r="W72" s="1861"/>
      <c r="X72" s="1861"/>
      <c r="Y72" s="1861"/>
      <c r="Z72" s="1861"/>
      <c r="AA72" s="1861"/>
      <c r="AB72" s="1862"/>
      <c r="AO72" s="60" t="s">
        <v>55</v>
      </c>
    </row>
    <row r="73" spans="2:41" ht="18" customHeight="1">
      <c r="B73" s="2181" t="s">
        <v>2474</v>
      </c>
      <c r="C73" s="3021"/>
      <c r="D73" s="3021"/>
      <c r="E73" s="3021"/>
      <c r="F73" s="3021"/>
      <c r="G73" s="3021"/>
      <c r="H73" s="3020"/>
      <c r="I73" s="1861"/>
      <c r="J73" s="1861"/>
      <c r="K73" s="1861"/>
      <c r="L73" s="1861"/>
      <c r="M73" s="1861"/>
      <c r="N73" s="1861"/>
      <c r="O73" s="1861"/>
      <c r="P73" s="1861"/>
      <c r="Q73" s="1861"/>
      <c r="R73" s="1861"/>
      <c r="S73" s="1861"/>
      <c r="T73" s="1861"/>
      <c r="U73" s="1861"/>
      <c r="V73" s="1861"/>
      <c r="W73" s="1861"/>
      <c r="X73" s="1861"/>
      <c r="Y73" s="1861"/>
      <c r="Z73" s="1861"/>
      <c r="AA73" s="1861"/>
      <c r="AB73" s="1862"/>
      <c r="AO73" s="61" t="s">
        <v>2910</v>
      </c>
    </row>
    <row r="74" spans="2:41" ht="18" customHeight="1">
      <c r="B74" s="2181" t="s">
        <v>2911</v>
      </c>
      <c r="C74" s="3021"/>
      <c r="D74" s="3021"/>
      <c r="E74" s="3021"/>
      <c r="F74" s="3021"/>
      <c r="G74" s="3021"/>
      <c r="H74" s="3021"/>
      <c r="I74" s="1935"/>
      <c r="J74" s="3021"/>
      <c r="K74" s="3021"/>
      <c r="L74" s="3021"/>
      <c r="M74" s="3021"/>
      <c r="N74" s="3021"/>
      <c r="O74" s="3021"/>
      <c r="P74" s="3021"/>
      <c r="Q74" s="3021"/>
      <c r="R74" s="3020"/>
      <c r="S74" s="1862"/>
      <c r="T74" s="2181" t="s">
        <v>2476</v>
      </c>
      <c r="U74" s="3021"/>
      <c r="V74" s="3020"/>
      <c r="W74" s="1862"/>
      <c r="X74" s="2181" t="s">
        <v>2477</v>
      </c>
      <c r="Y74" s="3021"/>
      <c r="Z74" s="381"/>
      <c r="AA74" s="398"/>
      <c r="AB74" s="398"/>
      <c r="AO74" s="239" t="s">
        <v>2912</v>
      </c>
    </row>
    <row r="75" spans="2:41" ht="36" customHeight="1">
      <c r="B75" s="2181" t="s">
        <v>2913</v>
      </c>
      <c r="C75" s="3021"/>
      <c r="D75" s="3021"/>
      <c r="E75" s="3021"/>
      <c r="F75" s="3021"/>
      <c r="G75" s="3021"/>
      <c r="H75" s="3021"/>
      <c r="I75" s="1935"/>
      <c r="J75" s="3021"/>
      <c r="K75" s="3021"/>
      <c r="L75" s="3021"/>
      <c r="M75" s="3021"/>
      <c r="N75" s="3021"/>
      <c r="O75" s="3021"/>
      <c r="P75" s="3021"/>
      <c r="Q75" s="3021"/>
      <c r="R75" s="3021"/>
      <c r="S75" s="3021"/>
      <c r="T75" s="3021"/>
      <c r="U75" s="3021"/>
      <c r="V75" s="3021"/>
      <c r="W75" s="3021"/>
      <c r="X75" s="3021"/>
      <c r="Y75" s="3021"/>
      <c r="AA75" s="3020"/>
      <c r="AB75" s="1862"/>
      <c r="AO75" s="239"/>
    </row>
    <row r="76" spans="2:41" s="384" customFormat="1" ht="36" customHeight="1">
      <c r="B76" s="1802" t="s">
        <v>2914</v>
      </c>
      <c r="C76" s="3111"/>
      <c r="D76" s="3111"/>
      <c r="E76" s="3111"/>
      <c r="F76" s="3111"/>
      <c r="G76" s="3111"/>
      <c r="H76" s="3111"/>
      <c r="I76" s="3111"/>
      <c r="J76" s="3111"/>
      <c r="K76" s="3111"/>
      <c r="L76" s="3111"/>
      <c r="M76" s="3111"/>
      <c r="N76" s="3111"/>
      <c r="O76" s="3111"/>
      <c r="P76" s="3111"/>
      <c r="Q76" s="3111"/>
      <c r="R76" s="3111"/>
      <c r="S76" s="3111"/>
      <c r="T76" s="3111"/>
      <c r="U76" s="3111"/>
      <c r="V76" s="3111"/>
      <c r="W76" s="3111"/>
      <c r="X76" s="3111"/>
      <c r="Y76" s="3111"/>
      <c r="Z76" s="3111"/>
      <c r="AA76" s="3111"/>
      <c r="AB76" s="3111"/>
      <c r="AC76" s="3111"/>
      <c r="AD76" s="3111"/>
      <c r="AE76" s="3111"/>
      <c r="AF76" s="3111"/>
      <c r="AG76" s="3111"/>
      <c r="AH76" s="3111"/>
      <c r="AI76" s="3111"/>
      <c r="AJ76" s="3111"/>
      <c r="AK76" s="3111"/>
      <c r="AL76" s="3111"/>
      <c r="AM76" s="3111"/>
      <c r="AO76" s="61" t="s">
        <v>2915</v>
      </c>
    </row>
    <row r="77" spans="2:41" s="384" customFormat="1" ht="18" customHeight="1">
      <c r="B77" s="2181" t="s">
        <v>2916</v>
      </c>
      <c r="C77" s="3111"/>
      <c r="D77" s="3111"/>
      <c r="E77" s="3111"/>
      <c r="F77" s="3111"/>
      <c r="G77" s="3111"/>
      <c r="H77" s="3111"/>
      <c r="I77" s="3111"/>
      <c r="J77" s="3111"/>
      <c r="K77" s="3111"/>
      <c r="L77" s="3111"/>
      <c r="M77" s="3111"/>
      <c r="N77" s="3020"/>
      <c r="O77" s="1861"/>
      <c r="P77" s="1862"/>
      <c r="Q77" s="381"/>
      <c r="R77" s="381"/>
      <c r="S77" s="381"/>
      <c r="T77" s="381"/>
      <c r="U77" s="381"/>
      <c r="V77" s="381"/>
      <c r="W77" s="381"/>
      <c r="X77" s="381"/>
      <c r="Y77" s="381"/>
      <c r="Z77" s="381"/>
      <c r="AA77" s="381"/>
      <c r="AB77" s="381"/>
      <c r="AC77" s="381"/>
      <c r="AD77" s="381"/>
      <c r="AE77" s="381"/>
      <c r="AF77" s="381"/>
      <c r="AG77" s="381"/>
      <c r="AH77" s="381"/>
      <c r="AI77" s="238"/>
      <c r="AJ77" s="238"/>
      <c r="AK77" s="238"/>
      <c r="AL77" s="238"/>
      <c r="AM77" s="238"/>
      <c r="AO77" s="61" t="s">
        <v>2917</v>
      </c>
    </row>
    <row r="78" spans="2:41" s="384" customFormat="1" ht="36" customHeight="1">
      <c r="B78" s="3105" t="s">
        <v>2918</v>
      </c>
      <c r="C78" s="3111"/>
      <c r="D78" s="3111"/>
      <c r="E78" s="3111"/>
      <c r="F78" s="3111"/>
      <c r="G78" s="3111"/>
      <c r="H78" s="3111"/>
      <c r="I78" s="3111"/>
      <c r="J78" s="3111"/>
      <c r="K78" s="3111"/>
      <c r="L78" s="3111"/>
      <c r="M78" s="3111"/>
      <c r="N78" s="3111"/>
      <c r="O78" s="3111"/>
      <c r="P78" s="3111"/>
      <c r="Q78" s="3111"/>
      <c r="R78" s="3111"/>
      <c r="S78" s="3111"/>
      <c r="T78" s="3111"/>
      <c r="U78" s="3111"/>
      <c r="V78" s="3111"/>
      <c r="W78" s="3111"/>
      <c r="X78" s="3111"/>
      <c r="Y78" s="3111"/>
      <c r="Z78" s="3111"/>
      <c r="AA78" s="3111"/>
      <c r="AB78" s="3111"/>
      <c r="AC78" s="3111"/>
      <c r="AD78" s="3111"/>
      <c r="AE78" s="3111"/>
      <c r="AF78" s="3111"/>
      <c r="AG78" s="3111"/>
      <c r="AH78" s="3111"/>
      <c r="AI78" s="3111"/>
      <c r="AJ78" s="3111"/>
      <c r="AK78" s="3111"/>
      <c r="AL78" s="3111"/>
      <c r="AM78" s="3111"/>
      <c r="AO78" s="60" t="s">
        <v>55</v>
      </c>
    </row>
    <row r="79" spans="2:41" s="384" customFormat="1" ht="18" customHeight="1">
      <c r="B79" s="2181" t="s">
        <v>2919</v>
      </c>
      <c r="C79" s="3111"/>
      <c r="D79" s="3111"/>
      <c r="E79" s="3111"/>
      <c r="F79" s="3111"/>
      <c r="G79" s="3111"/>
      <c r="H79" s="3111"/>
      <c r="I79" s="3111"/>
      <c r="J79" s="3111"/>
      <c r="K79" s="3111"/>
      <c r="L79" s="3111"/>
      <c r="M79" s="3111"/>
      <c r="N79" s="3111"/>
      <c r="O79" s="3111"/>
      <c r="P79" s="3111"/>
      <c r="Q79" s="3111"/>
      <c r="R79" s="3111"/>
      <c r="S79" s="3111"/>
      <c r="T79" s="3020"/>
      <c r="U79" s="1861"/>
      <c r="V79" s="1862"/>
      <c r="W79" s="377"/>
      <c r="X79" s="377"/>
      <c r="Y79" s="1714"/>
      <c r="Z79" s="1714"/>
      <c r="AA79" s="1714"/>
      <c r="AB79" s="1714"/>
      <c r="AC79" s="1714"/>
      <c r="AD79" s="1714"/>
      <c r="AE79" s="1714"/>
      <c r="AF79" s="1714"/>
      <c r="AG79" s="1714"/>
      <c r="AH79" s="1714"/>
      <c r="AI79" s="1714"/>
      <c r="AJ79" s="1714"/>
      <c r="AK79" s="1714"/>
      <c r="AL79" s="1714"/>
      <c r="AM79" s="1714"/>
      <c r="AO79" s="240" t="s">
        <v>2920</v>
      </c>
    </row>
    <row r="80" spans="2:41" s="384" customFormat="1" ht="36" customHeight="1">
      <c r="B80" s="3262" t="s">
        <v>558</v>
      </c>
      <c r="C80" s="1777"/>
      <c r="D80" s="1778"/>
      <c r="E80" s="3141" t="str">
        <f>'Document Checklist-Full List'!$E$139</f>
        <v>59. LSP List of projects or contracts</v>
      </c>
      <c r="F80" s="1777"/>
      <c r="G80" s="1777"/>
      <c r="H80" s="1777"/>
      <c r="I80" s="1777"/>
      <c r="J80" s="1777"/>
      <c r="K80" s="1777"/>
      <c r="L80" s="1777"/>
      <c r="M80" s="1778"/>
      <c r="N80" s="3141" t="str">
        <f>'Document Checklist-Full List'!$N$139</f>
        <v>Provide list of current and completed Projects or contracts when submitting application.</v>
      </c>
      <c r="O80" s="1777"/>
      <c r="P80" s="1777"/>
      <c r="Q80" s="1777"/>
      <c r="R80" s="1777"/>
      <c r="S80" s="1777"/>
      <c r="T80" s="1777"/>
      <c r="U80" s="1777"/>
      <c r="V80" s="1777"/>
      <c r="W80" s="1777"/>
      <c r="X80" s="1777"/>
      <c r="Y80" s="1777"/>
      <c r="Z80" s="1777"/>
      <c r="AA80" s="1777"/>
      <c r="AB80" s="1777"/>
      <c r="AC80" s="1777"/>
      <c r="AD80" s="1777"/>
      <c r="AE80" s="1778"/>
      <c r="AF80" s="1886" t="s">
        <v>559</v>
      </c>
      <c r="AG80" s="1777"/>
      <c r="AH80" s="1777"/>
      <c r="AI80" s="1777"/>
      <c r="AJ80" s="1777"/>
      <c r="AK80" s="1778"/>
      <c r="AL80" s="3126"/>
      <c r="AM80" s="1862"/>
      <c r="AO80" s="61" t="s">
        <v>2921</v>
      </c>
    </row>
    <row r="81" spans="1:41" ht="36" customHeight="1">
      <c r="B81" s="2181" t="s">
        <v>2481</v>
      </c>
      <c r="C81" s="3021"/>
      <c r="D81" s="3021"/>
      <c r="E81" s="3021"/>
      <c r="F81" s="3021"/>
      <c r="G81" s="3021"/>
      <c r="H81" s="3021"/>
      <c r="I81" s="1935"/>
      <c r="J81" s="3021"/>
      <c r="K81" s="3021"/>
      <c r="L81" s="3021"/>
      <c r="M81" s="3021"/>
      <c r="N81" s="3021"/>
      <c r="O81" s="3021"/>
      <c r="P81" s="3021"/>
      <c r="Q81" s="3021"/>
      <c r="R81" s="3021"/>
      <c r="S81" s="3021"/>
      <c r="T81" s="3021"/>
      <c r="U81" s="3021"/>
      <c r="V81" s="3021"/>
      <c r="W81" s="3021"/>
      <c r="X81" s="3021"/>
      <c r="Y81" s="3021"/>
      <c r="Z81" s="3021"/>
      <c r="AA81" s="3021"/>
      <c r="AB81" s="3021"/>
      <c r="AC81" s="3021"/>
      <c r="AD81" s="3021"/>
      <c r="AE81" s="3021"/>
      <c r="AF81" s="3021"/>
      <c r="AG81" s="3021"/>
      <c r="AH81" s="3021"/>
      <c r="AI81" s="3021"/>
      <c r="AJ81" s="3021"/>
      <c r="AK81" s="3021"/>
      <c r="AL81" s="3021"/>
      <c r="AM81" s="3021"/>
      <c r="AN81" s="398"/>
      <c r="AO81" s="61" t="s">
        <v>2922</v>
      </c>
    </row>
    <row r="82" spans="1:41" ht="18" customHeight="1">
      <c r="A82" s="381"/>
      <c r="B82" s="3223" t="s">
        <v>2482</v>
      </c>
      <c r="C82" s="1777"/>
      <c r="D82" s="1777"/>
      <c r="E82" s="1777"/>
      <c r="F82" s="1777"/>
      <c r="G82" s="1777"/>
      <c r="H82" s="1777"/>
      <c r="I82" s="1777"/>
      <c r="J82" s="1777"/>
      <c r="K82" s="1777"/>
      <c r="L82" s="1777"/>
      <c r="M82" s="1777"/>
      <c r="N82" s="1777"/>
      <c r="O82" s="1777"/>
      <c r="P82" s="1777"/>
      <c r="Q82" s="1777"/>
      <c r="R82" s="1777"/>
      <c r="S82" s="3017" t="s">
        <v>2923</v>
      </c>
      <c r="T82" s="1777"/>
      <c r="U82" s="1777"/>
      <c r="V82" s="1777"/>
      <c r="W82" s="1777"/>
      <c r="X82" s="1777"/>
      <c r="Y82" s="1777"/>
      <c r="Z82" s="1777"/>
      <c r="AA82" s="1777"/>
      <c r="AB82" s="1777"/>
      <c r="AC82" s="1777"/>
      <c r="AD82" s="1777"/>
      <c r="AE82" s="1777"/>
      <c r="AF82" s="1777"/>
      <c r="AG82" s="1777"/>
      <c r="AH82" s="1777"/>
      <c r="AI82" s="1777"/>
      <c r="AJ82" s="1777"/>
      <c r="AK82" s="1777"/>
      <c r="AL82" s="1777"/>
      <c r="AM82" s="1778"/>
      <c r="AN82" s="398"/>
      <c r="AO82" s="377"/>
    </row>
    <row r="83" spans="1:41" ht="36" customHeight="1">
      <c r="A83" s="381"/>
      <c r="B83" s="3236"/>
      <c r="C83" s="1861"/>
      <c r="D83" s="1861"/>
      <c r="E83" s="1861"/>
      <c r="F83" s="1861"/>
      <c r="G83" s="1861"/>
      <c r="H83" s="1861"/>
      <c r="I83" s="1861"/>
      <c r="J83" s="1861"/>
      <c r="K83" s="1861"/>
      <c r="L83" s="1861"/>
      <c r="M83" s="1861"/>
      <c r="N83" s="1861"/>
      <c r="O83" s="1861"/>
      <c r="P83" s="1861"/>
      <c r="Q83" s="1861"/>
      <c r="R83" s="1861"/>
      <c r="S83" s="3029"/>
      <c r="T83" s="1861"/>
      <c r="U83" s="1861"/>
      <c r="V83" s="1861"/>
      <c r="W83" s="1861"/>
      <c r="X83" s="1861"/>
      <c r="Y83" s="1861"/>
      <c r="Z83" s="1861"/>
      <c r="AA83" s="1861"/>
      <c r="AB83" s="1861"/>
      <c r="AC83" s="1861"/>
      <c r="AD83" s="1861"/>
      <c r="AE83" s="1861"/>
      <c r="AF83" s="1861"/>
      <c r="AG83" s="1861"/>
      <c r="AH83" s="1861"/>
      <c r="AI83" s="1861"/>
      <c r="AJ83" s="1861"/>
      <c r="AK83" s="1861"/>
      <c r="AL83" s="1861"/>
      <c r="AM83" s="1862"/>
      <c r="AN83" s="398"/>
      <c r="AO83" s="377"/>
    </row>
    <row r="84" spans="1:41" ht="18" customHeight="1">
      <c r="A84" s="381"/>
      <c r="B84" s="3222" t="s">
        <v>2484</v>
      </c>
      <c r="C84" s="1777"/>
      <c r="D84" s="1777"/>
      <c r="E84" s="1777"/>
      <c r="F84" s="1777"/>
      <c r="G84" s="1777"/>
      <c r="H84" s="1777"/>
      <c r="I84" s="1777"/>
      <c r="J84" s="1777"/>
      <c r="K84" s="1777"/>
      <c r="L84" s="1777"/>
      <c r="M84" s="1777"/>
      <c r="N84" s="1777"/>
      <c r="O84" s="1777"/>
      <c r="P84" s="1777"/>
      <c r="Q84" s="1777"/>
      <c r="R84" s="1777"/>
      <c r="S84" s="1777"/>
      <c r="T84" s="1777"/>
      <c r="U84" s="1777"/>
      <c r="V84" s="1777"/>
      <c r="W84" s="1777"/>
      <c r="X84" s="1777"/>
      <c r="Y84" s="1777"/>
      <c r="Z84" s="1777"/>
      <c r="AA84" s="1777"/>
      <c r="AB84" s="1777"/>
      <c r="AC84" s="1777"/>
      <c r="AD84" s="1777"/>
      <c r="AE84" s="1777"/>
      <c r="AF84" s="1777"/>
      <c r="AG84" s="1777"/>
      <c r="AH84" s="1777"/>
      <c r="AI84" s="1777"/>
      <c r="AJ84" s="1777"/>
      <c r="AK84" s="1777"/>
      <c r="AL84" s="1777"/>
      <c r="AM84" s="1778"/>
      <c r="AN84" s="398"/>
      <c r="AO84" s="377"/>
    </row>
    <row r="85" spans="1:41" ht="81" customHeight="1">
      <c r="A85" s="381"/>
      <c r="B85" s="3023"/>
      <c r="C85" s="1861"/>
      <c r="D85" s="1861"/>
      <c r="E85" s="1861"/>
      <c r="F85" s="1861"/>
      <c r="G85" s="1861"/>
      <c r="H85" s="1861"/>
      <c r="I85" s="1861"/>
      <c r="J85" s="1861"/>
      <c r="K85" s="1861"/>
      <c r="L85" s="1861"/>
      <c r="M85" s="1861"/>
      <c r="N85" s="1861"/>
      <c r="O85" s="1861"/>
      <c r="P85" s="1861"/>
      <c r="Q85" s="1861"/>
      <c r="R85" s="1861"/>
      <c r="S85" s="1861"/>
      <c r="T85" s="1861"/>
      <c r="U85" s="1861"/>
      <c r="V85" s="1861"/>
      <c r="W85" s="1861"/>
      <c r="X85" s="1861"/>
      <c r="Y85" s="1861"/>
      <c r="Z85" s="1861"/>
      <c r="AA85" s="1861"/>
      <c r="AB85" s="1861"/>
      <c r="AC85" s="1861"/>
      <c r="AD85" s="1861"/>
      <c r="AE85" s="1861"/>
      <c r="AF85" s="1861"/>
      <c r="AG85" s="1861"/>
      <c r="AH85" s="1861"/>
      <c r="AI85" s="1861"/>
      <c r="AJ85" s="1861"/>
      <c r="AK85" s="1861"/>
      <c r="AL85" s="1861"/>
      <c r="AM85" s="1862"/>
      <c r="AN85" s="398"/>
      <c r="AO85" s="377"/>
    </row>
    <row r="86" spans="1:41" ht="18" customHeight="1">
      <c r="A86" s="381"/>
      <c r="B86" s="3223" t="s">
        <v>2482</v>
      </c>
      <c r="C86" s="1777"/>
      <c r="D86" s="1777"/>
      <c r="E86" s="1777"/>
      <c r="F86" s="1777"/>
      <c r="G86" s="1777"/>
      <c r="H86" s="1777"/>
      <c r="I86" s="1777"/>
      <c r="J86" s="1777"/>
      <c r="K86" s="1777"/>
      <c r="L86" s="1777"/>
      <c r="M86" s="1777"/>
      <c r="N86" s="1777"/>
      <c r="O86" s="1777"/>
      <c r="P86" s="1777"/>
      <c r="Q86" s="1777"/>
      <c r="R86" s="1777"/>
      <c r="S86" s="3017" t="s">
        <v>2923</v>
      </c>
      <c r="T86" s="1777"/>
      <c r="U86" s="1777"/>
      <c r="V86" s="1777"/>
      <c r="W86" s="1777"/>
      <c r="X86" s="1777"/>
      <c r="Y86" s="1777"/>
      <c r="Z86" s="1777"/>
      <c r="AA86" s="1777"/>
      <c r="AB86" s="1777"/>
      <c r="AC86" s="1777"/>
      <c r="AD86" s="1777"/>
      <c r="AE86" s="1777"/>
      <c r="AF86" s="1777"/>
      <c r="AG86" s="1777"/>
      <c r="AH86" s="1777"/>
      <c r="AI86" s="1777"/>
      <c r="AJ86" s="1777"/>
      <c r="AK86" s="1777"/>
      <c r="AL86" s="1777"/>
      <c r="AM86" s="1778"/>
      <c r="AN86" s="398"/>
      <c r="AO86" s="377"/>
    </row>
    <row r="87" spans="1:41" ht="36" customHeight="1">
      <c r="A87" s="381"/>
      <c r="B87" s="3236"/>
      <c r="C87" s="1861"/>
      <c r="D87" s="1861"/>
      <c r="E87" s="1861"/>
      <c r="F87" s="1861"/>
      <c r="G87" s="1861"/>
      <c r="H87" s="1861"/>
      <c r="I87" s="1861"/>
      <c r="J87" s="1861"/>
      <c r="K87" s="1861"/>
      <c r="L87" s="1861"/>
      <c r="M87" s="1861"/>
      <c r="N87" s="1861"/>
      <c r="O87" s="1861"/>
      <c r="P87" s="1861"/>
      <c r="Q87" s="1861"/>
      <c r="R87" s="1861"/>
      <c r="S87" s="3029"/>
      <c r="T87" s="1861"/>
      <c r="U87" s="1861"/>
      <c r="V87" s="1861"/>
      <c r="W87" s="1861"/>
      <c r="X87" s="1861"/>
      <c r="Y87" s="1861"/>
      <c r="Z87" s="1861"/>
      <c r="AA87" s="1861"/>
      <c r="AB87" s="1861"/>
      <c r="AC87" s="1861"/>
      <c r="AD87" s="1861"/>
      <c r="AE87" s="1861"/>
      <c r="AF87" s="1861"/>
      <c r="AG87" s="1861"/>
      <c r="AH87" s="1861"/>
      <c r="AI87" s="1861"/>
      <c r="AJ87" s="1861"/>
      <c r="AK87" s="1861"/>
      <c r="AL87" s="1861"/>
      <c r="AM87" s="1862"/>
      <c r="AN87" s="398"/>
      <c r="AO87" s="377"/>
    </row>
    <row r="88" spans="1:41" ht="18" customHeight="1">
      <c r="A88" s="381"/>
      <c r="B88" s="3222" t="s">
        <v>2484</v>
      </c>
      <c r="C88" s="1777"/>
      <c r="D88" s="1777"/>
      <c r="E88" s="1777"/>
      <c r="F88" s="1777"/>
      <c r="G88" s="1777"/>
      <c r="H88" s="1777"/>
      <c r="I88" s="1777"/>
      <c r="J88" s="1777"/>
      <c r="K88" s="1777"/>
      <c r="L88" s="1777"/>
      <c r="M88" s="1777"/>
      <c r="N88" s="1777"/>
      <c r="O88" s="1777"/>
      <c r="P88" s="1777"/>
      <c r="Q88" s="1777"/>
      <c r="R88" s="1777"/>
      <c r="S88" s="1777"/>
      <c r="T88" s="1777"/>
      <c r="U88" s="1777"/>
      <c r="V88" s="1777"/>
      <c r="W88" s="1777"/>
      <c r="X88" s="1777"/>
      <c r="Y88" s="1777"/>
      <c r="Z88" s="1777"/>
      <c r="AA88" s="1777"/>
      <c r="AB88" s="1777"/>
      <c r="AC88" s="1777"/>
      <c r="AD88" s="1777"/>
      <c r="AE88" s="1777"/>
      <c r="AF88" s="1777"/>
      <c r="AG88" s="1777"/>
      <c r="AH88" s="1777"/>
      <c r="AI88" s="1777"/>
      <c r="AJ88" s="1777"/>
      <c r="AK88" s="1777"/>
      <c r="AL88" s="1777"/>
      <c r="AM88" s="1778"/>
      <c r="AN88" s="398"/>
    </row>
    <row r="89" spans="1:41" ht="81" customHeight="1">
      <c r="A89" s="381"/>
      <c r="B89" s="3186"/>
      <c r="C89" s="1861"/>
      <c r="D89" s="1861"/>
      <c r="E89" s="1861"/>
      <c r="F89" s="1861"/>
      <c r="G89" s="1861"/>
      <c r="H89" s="1861"/>
      <c r="I89" s="1861"/>
      <c r="J89" s="1861"/>
      <c r="K89" s="1861"/>
      <c r="L89" s="1861"/>
      <c r="M89" s="1861"/>
      <c r="N89" s="1861"/>
      <c r="O89" s="1861"/>
      <c r="P89" s="1861"/>
      <c r="Q89" s="1861"/>
      <c r="R89" s="1861"/>
      <c r="S89" s="1861"/>
      <c r="T89" s="1861"/>
      <c r="U89" s="1861"/>
      <c r="V89" s="1861"/>
      <c r="W89" s="1861"/>
      <c r="X89" s="1861"/>
      <c r="Y89" s="1861"/>
      <c r="Z89" s="1861"/>
      <c r="AA89" s="1861"/>
      <c r="AB89" s="1861"/>
      <c r="AC89" s="1861"/>
      <c r="AD89" s="1861"/>
      <c r="AE89" s="1861"/>
      <c r="AF89" s="1861"/>
      <c r="AG89" s="1861"/>
      <c r="AH89" s="1861"/>
      <c r="AI89" s="1861"/>
      <c r="AJ89" s="1861"/>
      <c r="AK89" s="1861"/>
      <c r="AL89" s="1861"/>
      <c r="AM89" s="1862"/>
      <c r="AN89" s="398"/>
    </row>
    <row r="90" spans="1:41" ht="18" customHeight="1">
      <c r="A90" s="381"/>
      <c r="B90" s="3223" t="s">
        <v>2482</v>
      </c>
      <c r="C90" s="1777"/>
      <c r="D90" s="1777"/>
      <c r="E90" s="1777"/>
      <c r="F90" s="1777"/>
      <c r="G90" s="1777"/>
      <c r="H90" s="1777"/>
      <c r="I90" s="1777"/>
      <c r="J90" s="1777"/>
      <c r="K90" s="1777"/>
      <c r="L90" s="1777"/>
      <c r="M90" s="1777"/>
      <c r="N90" s="1777"/>
      <c r="O90" s="1777"/>
      <c r="P90" s="1777"/>
      <c r="Q90" s="1777"/>
      <c r="R90" s="1777"/>
      <c r="S90" s="3017" t="s">
        <v>2923</v>
      </c>
      <c r="T90" s="1777"/>
      <c r="U90" s="1777"/>
      <c r="V90" s="1777"/>
      <c r="W90" s="1777"/>
      <c r="X90" s="1777"/>
      <c r="Y90" s="1777"/>
      <c r="Z90" s="1777"/>
      <c r="AA90" s="1777"/>
      <c r="AB90" s="1777"/>
      <c r="AC90" s="1777"/>
      <c r="AD90" s="1777"/>
      <c r="AE90" s="1777"/>
      <c r="AF90" s="1777"/>
      <c r="AG90" s="1777"/>
      <c r="AH90" s="1777"/>
      <c r="AI90" s="1777"/>
      <c r="AJ90" s="1777"/>
      <c r="AK90" s="1777"/>
      <c r="AL90" s="1777"/>
      <c r="AM90" s="1778"/>
      <c r="AN90" s="398"/>
    </row>
    <row r="91" spans="1:41" ht="36" customHeight="1">
      <c r="A91" s="381"/>
      <c r="B91" s="3251"/>
      <c r="C91" s="1861"/>
      <c r="D91" s="1861"/>
      <c r="E91" s="1861"/>
      <c r="F91" s="1861"/>
      <c r="G91" s="1861"/>
      <c r="H91" s="1861"/>
      <c r="I91" s="1861"/>
      <c r="J91" s="1861"/>
      <c r="K91" s="1861"/>
      <c r="L91" s="1861"/>
      <c r="M91" s="1861"/>
      <c r="N91" s="1861"/>
      <c r="O91" s="1861"/>
      <c r="P91" s="1861"/>
      <c r="Q91" s="1861"/>
      <c r="R91" s="1861"/>
      <c r="S91" s="3264"/>
      <c r="T91" s="1861"/>
      <c r="U91" s="1861"/>
      <c r="V91" s="1861"/>
      <c r="W91" s="1861"/>
      <c r="X91" s="1861"/>
      <c r="Y91" s="1861"/>
      <c r="Z91" s="1861"/>
      <c r="AA91" s="1861"/>
      <c r="AB91" s="1861"/>
      <c r="AC91" s="1861"/>
      <c r="AD91" s="1861"/>
      <c r="AE91" s="1861"/>
      <c r="AF91" s="1861"/>
      <c r="AG91" s="1861"/>
      <c r="AH91" s="1861"/>
      <c r="AI91" s="1861"/>
      <c r="AJ91" s="1861"/>
      <c r="AK91" s="1861"/>
      <c r="AL91" s="1861"/>
      <c r="AM91" s="1862"/>
      <c r="AN91" s="398"/>
    </row>
    <row r="92" spans="1:41" ht="18" customHeight="1">
      <c r="A92" s="381"/>
      <c r="B92" s="3222" t="s">
        <v>2484</v>
      </c>
      <c r="C92" s="1777"/>
      <c r="D92" s="1777"/>
      <c r="E92" s="1777"/>
      <c r="F92" s="1777"/>
      <c r="G92" s="1777"/>
      <c r="H92" s="1777"/>
      <c r="I92" s="1777"/>
      <c r="J92" s="1777"/>
      <c r="K92" s="1777"/>
      <c r="L92" s="1777"/>
      <c r="M92" s="1777"/>
      <c r="N92" s="1777"/>
      <c r="O92" s="1777"/>
      <c r="P92" s="1777"/>
      <c r="Q92" s="1777"/>
      <c r="R92" s="1777"/>
      <c r="S92" s="1777"/>
      <c r="T92" s="1777"/>
      <c r="U92" s="1777"/>
      <c r="V92" s="1777"/>
      <c r="W92" s="1777"/>
      <c r="X92" s="1777"/>
      <c r="Y92" s="1777"/>
      <c r="Z92" s="1777"/>
      <c r="AA92" s="1777"/>
      <c r="AB92" s="1777"/>
      <c r="AC92" s="1777"/>
      <c r="AD92" s="1777"/>
      <c r="AE92" s="1777"/>
      <c r="AF92" s="1777"/>
      <c r="AG92" s="1777"/>
      <c r="AH92" s="1777"/>
      <c r="AI92" s="1777"/>
      <c r="AJ92" s="1777"/>
      <c r="AK92" s="1777"/>
      <c r="AL92" s="1777"/>
      <c r="AM92" s="1778"/>
      <c r="AN92" s="398"/>
    </row>
    <row r="93" spans="1:41" ht="81" customHeight="1">
      <c r="A93" s="381"/>
      <c r="B93" s="3023"/>
      <c r="C93" s="1861"/>
      <c r="D93" s="1861"/>
      <c r="E93" s="1861"/>
      <c r="F93" s="1861"/>
      <c r="G93" s="1861"/>
      <c r="H93" s="1861"/>
      <c r="I93" s="1861"/>
      <c r="J93" s="1861"/>
      <c r="K93" s="1861"/>
      <c r="L93" s="1861"/>
      <c r="M93" s="1861"/>
      <c r="N93" s="1861"/>
      <c r="O93" s="1861"/>
      <c r="P93" s="1861"/>
      <c r="Q93" s="1861"/>
      <c r="R93" s="1861"/>
      <c r="S93" s="1861"/>
      <c r="T93" s="1861"/>
      <c r="U93" s="1861"/>
      <c r="V93" s="1861"/>
      <c r="W93" s="1861"/>
      <c r="X93" s="1861"/>
      <c r="Y93" s="1861"/>
      <c r="Z93" s="1861"/>
      <c r="AA93" s="1861"/>
      <c r="AB93" s="1861"/>
      <c r="AC93" s="1861"/>
      <c r="AD93" s="1861"/>
      <c r="AE93" s="1861"/>
      <c r="AF93" s="1861"/>
      <c r="AG93" s="1861"/>
      <c r="AH93" s="1861"/>
      <c r="AI93" s="1861"/>
      <c r="AJ93" s="1861"/>
      <c r="AK93" s="1861"/>
      <c r="AL93" s="1861"/>
      <c r="AM93" s="1862"/>
      <c r="AN93" s="398"/>
    </row>
    <row r="94" spans="1:41" s="384" customFormat="1" ht="18.75" customHeight="1"/>
    <row r="95" spans="1:41" s="398" customFormat="1" ht="18" customHeight="1">
      <c r="B95" s="3130" t="s">
        <v>2862</v>
      </c>
      <c r="C95" s="2181"/>
      <c r="D95" s="2181"/>
      <c r="E95" s="2181"/>
      <c r="F95" s="2181"/>
      <c r="G95" s="2181"/>
      <c r="H95" s="2181"/>
      <c r="I95" s="2181"/>
      <c r="J95" s="2181"/>
      <c r="K95" s="2181"/>
      <c r="L95" s="2181"/>
      <c r="M95" s="2181"/>
      <c r="N95" s="2181"/>
      <c r="O95" s="2181"/>
      <c r="P95" s="2181"/>
      <c r="Q95" s="2181"/>
      <c r="R95" s="2181"/>
      <c r="S95" s="2181"/>
      <c r="T95" s="2181"/>
      <c r="U95" s="2181"/>
      <c r="V95" s="2181"/>
      <c r="W95" s="2181"/>
      <c r="X95" s="2181"/>
      <c r="Y95" s="2181"/>
      <c r="Z95" s="2181"/>
      <c r="AA95" s="2181"/>
      <c r="AB95" s="2181"/>
      <c r="AC95" s="2181"/>
      <c r="AD95" s="2181"/>
      <c r="AE95" s="2181"/>
      <c r="AF95" s="2181"/>
      <c r="AG95" s="2181"/>
      <c r="AH95" s="2181"/>
      <c r="AI95" s="2181"/>
      <c r="AJ95" s="2181"/>
      <c r="AK95" s="2181"/>
      <c r="AL95" s="2181"/>
      <c r="AM95" s="2181"/>
    </row>
    <row r="96" spans="1:41" s="398" customFormat="1" ht="36" customHeight="1">
      <c r="B96" s="3043" t="s">
        <v>2485</v>
      </c>
      <c r="C96" s="2181"/>
      <c r="D96" s="2181"/>
      <c r="E96" s="2181"/>
      <c r="F96" s="2181"/>
      <c r="G96" s="2181"/>
      <c r="H96" s="2181"/>
      <c r="I96" s="2181"/>
      <c r="J96" s="2181"/>
      <c r="K96" s="2181"/>
      <c r="L96" s="2181"/>
      <c r="M96" s="2181"/>
      <c r="N96" s="2181"/>
      <c r="O96" s="2181"/>
      <c r="P96" s="2181"/>
      <c r="Q96" s="2181"/>
      <c r="R96" s="2181"/>
      <c r="S96" s="2181"/>
      <c r="T96" s="2181"/>
      <c r="U96" s="2181"/>
      <c r="V96" s="2181"/>
      <c r="W96" s="2181"/>
      <c r="X96" s="2181"/>
      <c r="Y96" s="2181"/>
      <c r="Z96" s="2181"/>
      <c r="AA96" s="2181"/>
      <c r="AB96" s="2181"/>
      <c r="AC96" s="2181"/>
      <c r="AD96" s="2181"/>
      <c r="AE96" s="2181"/>
      <c r="AF96" s="2181"/>
      <c r="AG96" s="2181"/>
      <c r="AH96" s="2181"/>
      <c r="AI96" s="2181"/>
      <c r="AJ96" s="2181"/>
      <c r="AK96" s="2181"/>
      <c r="AL96" s="2181"/>
      <c r="AM96" s="2181"/>
    </row>
    <row r="97" spans="2:39" s="398" customFormat="1" ht="18" customHeight="1">
      <c r="B97" s="2181" t="s">
        <v>2924</v>
      </c>
      <c r="C97" s="2181"/>
      <c r="D97" s="2181"/>
      <c r="E97" s="2181"/>
      <c r="F97" s="2181"/>
      <c r="G97" s="2181"/>
      <c r="H97" s="2181"/>
      <c r="I97" s="2181"/>
      <c r="J97" s="2181"/>
      <c r="K97" s="2181"/>
      <c r="L97" s="2181"/>
      <c r="M97" s="2181"/>
      <c r="N97" s="2181"/>
      <c r="O97" s="2181"/>
      <c r="P97" s="2181"/>
      <c r="Q97" s="2181"/>
      <c r="R97" s="2181"/>
      <c r="S97" s="2181"/>
      <c r="T97" s="2181"/>
      <c r="U97" s="2181"/>
      <c r="V97" s="2181"/>
      <c r="W97" s="2181"/>
      <c r="X97" s="2181"/>
      <c r="Y97" s="2181"/>
      <c r="Z97" s="2181"/>
      <c r="AA97" s="2181"/>
      <c r="AB97" s="2181"/>
      <c r="AC97" s="2181"/>
      <c r="AD97" s="2181"/>
      <c r="AE97" s="2181"/>
      <c r="AF97" s="2181"/>
      <c r="AG97" s="2181"/>
      <c r="AH97" s="2181"/>
      <c r="AI97" s="2181"/>
      <c r="AJ97" s="2181"/>
      <c r="AK97" s="2181"/>
      <c r="AL97" s="2181"/>
      <c r="AM97" s="2181"/>
    </row>
    <row r="98" spans="2:39" s="398" customFormat="1" ht="125.1" customHeight="1">
      <c r="B98" s="3023"/>
      <c r="C98" s="1861"/>
      <c r="D98" s="1861"/>
      <c r="E98" s="1861"/>
      <c r="F98" s="1861"/>
      <c r="G98" s="1861"/>
      <c r="H98" s="1861"/>
      <c r="I98" s="1861"/>
      <c r="J98" s="1861"/>
      <c r="K98" s="1861"/>
      <c r="L98" s="1861"/>
      <c r="M98" s="1861"/>
      <c r="N98" s="1861"/>
      <c r="O98" s="1861"/>
      <c r="P98" s="1861"/>
      <c r="Q98" s="1861"/>
      <c r="R98" s="1861"/>
      <c r="S98" s="1861"/>
      <c r="T98" s="1861"/>
      <c r="U98" s="1861"/>
      <c r="V98" s="1861"/>
      <c r="W98" s="1861"/>
      <c r="X98" s="1861"/>
      <c r="Y98" s="1861"/>
      <c r="Z98" s="1861"/>
      <c r="AA98" s="1861"/>
      <c r="AB98" s="1861"/>
      <c r="AC98" s="1861"/>
      <c r="AD98" s="1861"/>
      <c r="AE98" s="1861"/>
      <c r="AF98" s="1861"/>
      <c r="AG98" s="1861"/>
      <c r="AH98" s="1861"/>
      <c r="AI98" s="1861"/>
      <c r="AJ98" s="1861"/>
      <c r="AK98" s="1861"/>
      <c r="AL98" s="1861"/>
      <c r="AM98" s="1862"/>
    </row>
    <row r="99" spans="2:39" s="398" customFormat="1" ht="18" customHeight="1">
      <c r="B99" s="2181" t="s">
        <v>2487</v>
      </c>
      <c r="C99" s="2181"/>
      <c r="D99" s="2181"/>
      <c r="E99" s="2181"/>
      <c r="F99" s="2181"/>
      <c r="G99" s="2181"/>
      <c r="H99" s="2181"/>
      <c r="I99" s="2181"/>
      <c r="J99" s="2181"/>
      <c r="K99" s="2181"/>
      <c r="L99" s="2181"/>
      <c r="M99" s="2181"/>
      <c r="N99" s="2181"/>
      <c r="O99" s="2181"/>
      <c r="P99" s="2181"/>
      <c r="Q99" s="2181"/>
      <c r="R99" s="2181"/>
      <c r="S99" s="2181"/>
      <c r="T99" s="2181"/>
      <c r="U99" s="2181"/>
      <c r="V99" s="2181"/>
      <c r="W99" s="2181"/>
      <c r="X99" s="2181"/>
      <c r="Y99" s="2181"/>
      <c r="Z99" s="2181"/>
      <c r="AA99" s="2181"/>
      <c r="AB99" s="2181"/>
      <c r="AC99" s="2181"/>
      <c r="AD99" s="2181"/>
      <c r="AE99" s="2181"/>
      <c r="AF99" s="2181"/>
      <c r="AG99" s="2181"/>
      <c r="AH99" s="2181"/>
      <c r="AI99" s="2181"/>
      <c r="AJ99" s="2181"/>
      <c r="AK99" s="2181"/>
      <c r="AL99" s="2181"/>
      <c r="AM99" s="2181"/>
    </row>
    <row r="100" spans="2:39" s="398" customFormat="1" ht="125.1" customHeight="1">
      <c r="B100" s="3023"/>
      <c r="C100" s="1861"/>
      <c r="D100" s="1861"/>
      <c r="E100" s="1861"/>
      <c r="F100" s="1861"/>
      <c r="G100" s="1861"/>
      <c r="H100" s="1861"/>
      <c r="I100" s="1861"/>
      <c r="J100" s="1861"/>
      <c r="K100" s="1861"/>
      <c r="L100" s="1861"/>
      <c r="M100" s="1861"/>
      <c r="N100" s="1861"/>
      <c r="O100" s="1861"/>
      <c r="P100" s="1861"/>
      <c r="Q100" s="1861"/>
      <c r="R100" s="1861"/>
      <c r="S100" s="1861"/>
      <c r="T100" s="1861"/>
      <c r="U100" s="1861"/>
      <c r="V100" s="1861"/>
      <c r="W100" s="1861"/>
      <c r="X100" s="1861"/>
      <c r="Y100" s="1861"/>
      <c r="Z100" s="1861"/>
      <c r="AA100" s="1861"/>
      <c r="AB100" s="1861"/>
      <c r="AC100" s="1861"/>
      <c r="AD100" s="1861"/>
      <c r="AE100" s="1861"/>
      <c r="AF100" s="1861"/>
      <c r="AG100" s="1861"/>
      <c r="AH100" s="1861"/>
      <c r="AI100" s="1861"/>
      <c r="AJ100" s="1861"/>
      <c r="AK100" s="1861"/>
      <c r="AL100" s="1861"/>
      <c r="AM100" s="1862"/>
    </row>
    <row r="101" spans="2:39" s="398" customFormat="1" ht="18" customHeight="1">
      <c r="B101" s="2181" t="s">
        <v>2925</v>
      </c>
      <c r="C101" s="2181"/>
      <c r="D101" s="2181"/>
      <c r="E101" s="2181"/>
      <c r="F101" s="2181"/>
      <c r="G101" s="2181"/>
      <c r="H101" s="2181"/>
      <c r="I101" s="2181"/>
      <c r="J101" s="2181"/>
      <c r="K101" s="2181"/>
      <c r="L101" s="2181"/>
      <c r="M101" s="2181"/>
      <c r="N101" s="2181"/>
      <c r="O101" s="2181"/>
      <c r="P101" s="2181"/>
      <c r="Q101" s="2181"/>
      <c r="R101" s="2181"/>
      <c r="S101" s="2181"/>
      <c r="T101" s="2181"/>
      <c r="U101" s="2181"/>
      <c r="V101" s="2181"/>
      <c r="W101" s="2181"/>
      <c r="X101" s="2181"/>
      <c r="Y101" s="2181"/>
      <c r="Z101" s="2181"/>
      <c r="AA101" s="2181"/>
      <c r="AB101" s="2181"/>
      <c r="AC101" s="2181"/>
      <c r="AD101" s="2181"/>
      <c r="AE101" s="2181"/>
      <c r="AF101" s="2181"/>
      <c r="AG101" s="2181"/>
      <c r="AH101" s="2181"/>
      <c r="AI101" s="2181"/>
      <c r="AJ101" s="2181"/>
      <c r="AK101" s="2181"/>
      <c r="AL101" s="2181"/>
      <c r="AM101" s="2181"/>
    </row>
    <row r="102" spans="2:39" s="398" customFormat="1" ht="125.1" customHeight="1">
      <c r="B102" s="3023"/>
      <c r="C102" s="1861"/>
      <c r="D102" s="1861"/>
      <c r="E102" s="1861"/>
      <c r="F102" s="1861"/>
      <c r="G102" s="1861"/>
      <c r="H102" s="1861"/>
      <c r="I102" s="1861"/>
      <c r="J102" s="1861"/>
      <c r="K102" s="1861"/>
      <c r="L102" s="1861"/>
      <c r="M102" s="1861"/>
      <c r="N102" s="1861"/>
      <c r="O102" s="1861"/>
      <c r="P102" s="1861"/>
      <c r="Q102" s="1861"/>
      <c r="R102" s="1861"/>
      <c r="S102" s="1861"/>
      <c r="T102" s="1861"/>
      <c r="U102" s="1861"/>
      <c r="V102" s="1861"/>
      <c r="W102" s="1861"/>
      <c r="X102" s="1861"/>
      <c r="Y102" s="1861"/>
      <c r="Z102" s="1861"/>
      <c r="AA102" s="1861"/>
      <c r="AB102" s="1861"/>
      <c r="AC102" s="1861"/>
      <c r="AD102" s="1861"/>
      <c r="AE102" s="1861"/>
      <c r="AF102" s="1861"/>
      <c r="AG102" s="1861"/>
      <c r="AH102" s="1861"/>
      <c r="AI102" s="1861"/>
      <c r="AJ102" s="1861"/>
      <c r="AK102" s="1861"/>
      <c r="AL102" s="1861"/>
      <c r="AM102" s="1862"/>
    </row>
    <row r="103" spans="2:39" s="398" customFormat="1" ht="18" customHeight="1">
      <c r="B103" s="2181" t="s">
        <v>2487</v>
      </c>
      <c r="C103" s="2181"/>
      <c r="D103" s="2181"/>
      <c r="E103" s="2181"/>
      <c r="F103" s="2181"/>
      <c r="G103" s="2181"/>
      <c r="H103" s="2181"/>
      <c r="I103" s="2181"/>
      <c r="J103" s="2181"/>
      <c r="K103" s="2181"/>
      <c r="L103" s="2181"/>
      <c r="M103" s="2181"/>
      <c r="N103" s="2181"/>
      <c r="O103" s="2181"/>
      <c r="P103" s="2181"/>
      <c r="Q103" s="2181"/>
      <c r="R103" s="2181"/>
      <c r="S103" s="2181"/>
      <c r="T103" s="2181"/>
      <c r="U103" s="2181"/>
      <c r="V103" s="2181"/>
      <c r="W103" s="2181"/>
      <c r="X103" s="2181"/>
      <c r="Y103" s="2181"/>
      <c r="Z103" s="2181"/>
      <c r="AA103" s="2181"/>
      <c r="AB103" s="2181"/>
      <c r="AC103" s="2181"/>
      <c r="AD103" s="2181"/>
      <c r="AE103" s="2181"/>
      <c r="AF103" s="2181"/>
      <c r="AG103" s="2181"/>
      <c r="AH103" s="2181"/>
      <c r="AI103" s="2181"/>
      <c r="AJ103" s="2181"/>
      <c r="AK103" s="2181"/>
      <c r="AL103" s="2181"/>
      <c r="AM103" s="2181"/>
    </row>
    <row r="104" spans="2:39" s="398" customFormat="1" ht="125.1" customHeight="1">
      <c r="B104" s="3023"/>
      <c r="C104" s="1861"/>
      <c r="D104" s="1861"/>
      <c r="E104" s="1861"/>
      <c r="F104" s="1861"/>
      <c r="G104" s="1861"/>
      <c r="H104" s="1861"/>
      <c r="I104" s="1861"/>
      <c r="J104" s="1861"/>
      <c r="K104" s="1861"/>
      <c r="L104" s="1861"/>
      <c r="M104" s="1861"/>
      <c r="N104" s="1861"/>
      <c r="O104" s="1861"/>
      <c r="P104" s="1861"/>
      <c r="Q104" s="1861"/>
      <c r="R104" s="1861"/>
      <c r="S104" s="1861"/>
      <c r="T104" s="1861"/>
      <c r="U104" s="1861"/>
      <c r="V104" s="1861"/>
      <c r="W104" s="1861"/>
      <c r="X104" s="1861"/>
      <c r="Y104" s="1861"/>
      <c r="Z104" s="1861"/>
      <c r="AA104" s="1861"/>
      <c r="AB104" s="1861"/>
      <c r="AC104" s="1861"/>
      <c r="AD104" s="1861"/>
      <c r="AE104" s="1861"/>
      <c r="AF104" s="1861"/>
      <c r="AG104" s="1861"/>
      <c r="AH104" s="1861"/>
      <c r="AI104" s="1861"/>
      <c r="AJ104" s="1861"/>
      <c r="AK104" s="1861"/>
      <c r="AL104" s="1861"/>
      <c r="AM104" s="1862"/>
    </row>
    <row r="105" spans="2:39" s="398" customFormat="1" ht="18" customHeight="1">
      <c r="B105" s="2181" t="s">
        <v>2489</v>
      </c>
      <c r="C105" s="2181"/>
      <c r="D105" s="2181"/>
      <c r="E105" s="2181"/>
      <c r="F105" s="2181"/>
      <c r="G105" s="2181"/>
      <c r="H105" s="2181"/>
      <c r="I105" s="2181"/>
      <c r="J105" s="2181"/>
      <c r="K105" s="2181"/>
      <c r="L105" s="2181"/>
      <c r="M105" s="2181"/>
      <c r="N105" s="2181"/>
      <c r="O105" s="2181"/>
      <c r="P105" s="2181"/>
      <c r="Q105" s="2181"/>
      <c r="R105" s="2181"/>
      <c r="S105" s="2181"/>
      <c r="T105" s="2181"/>
      <c r="U105" s="2181"/>
      <c r="V105" s="2181"/>
      <c r="W105" s="2181"/>
      <c r="X105" s="2181"/>
      <c r="Y105" s="2181"/>
      <c r="Z105" s="2181"/>
      <c r="AA105" s="2181"/>
      <c r="AB105" s="2181"/>
      <c r="AC105" s="2181"/>
      <c r="AD105" s="2181"/>
      <c r="AE105" s="2181"/>
      <c r="AF105" s="2181"/>
      <c r="AG105" s="2181"/>
      <c r="AH105" s="2181"/>
      <c r="AI105" s="2181"/>
      <c r="AJ105" s="2181"/>
      <c r="AK105" s="2181"/>
      <c r="AL105" s="2181"/>
      <c r="AM105" s="2181"/>
    </row>
    <row r="106" spans="2:39" s="398" customFormat="1" ht="125.1" customHeight="1">
      <c r="B106" s="3023"/>
      <c r="C106" s="1861"/>
      <c r="D106" s="1861"/>
      <c r="E106" s="1861"/>
      <c r="F106" s="1861"/>
      <c r="G106" s="1861"/>
      <c r="H106" s="1861"/>
      <c r="I106" s="1861"/>
      <c r="J106" s="1861"/>
      <c r="K106" s="1861"/>
      <c r="L106" s="1861"/>
      <c r="M106" s="1861"/>
      <c r="N106" s="1861"/>
      <c r="O106" s="1861"/>
      <c r="P106" s="1861"/>
      <c r="Q106" s="1861"/>
      <c r="R106" s="1861"/>
      <c r="S106" s="1861"/>
      <c r="T106" s="1861"/>
      <c r="U106" s="1861"/>
      <c r="V106" s="1861"/>
      <c r="W106" s="1861"/>
      <c r="X106" s="1861"/>
      <c r="Y106" s="1861"/>
      <c r="Z106" s="1861"/>
      <c r="AA106" s="1861"/>
      <c r="AB106" s="1861"/>
      <c r="AC106" s="1861"/>
      <c r="AD106" s="1861"/>
      <c r="AE106" s="1861"/>
      <c r="AF106" s="1861"/>
      <c r="AG106" s="1861"/>
      <c r="AH106" s="1861"/>
      <c r="AI106" s="1861"/>
      <c r="AJ106" s="1861"/>
      <c r="AK106" s="1861"/>
      <c r="AL106" s="1861"/>
      <c r="AM106" s="1862"/>
    </row>
    <row r="107" spans="2:39" s="398" customFormat="1" ht="18" customHeight="1">
      <c r="B107" s="2181" t="s">
        <v>2487</v>
      </c>
      <c r="C107" s="2181"/>
      <c r="D107" s="2181"/>
      <c r="E107" s="2181"/>
      <c r="F107" s="2181"/>
      <c r="G107" s="2181"/>
      <c r="H107" s="2181"/>
      <c r="I107" s="2181"/>
      <c r="J107" s="2181"/>
      <c r="K107" s="2181"/>
      <c r="L107" s="2181"/>
      <c r="M107" s="2181"/>
      <c r="N107" s="2181"/>
      <c r="O107" s="2181"/>
      <c r="P107" s="2181"/>
      <c r="Q107" s="2181"/>
      <c r="R107" s="2181"/>
      <c r="S107" s="2181"/>
      <c r="T107" s="2181"/>
      <c r="U107" s="2181"/>
      <c r="V107" s="2181"/>
      <c r="W107" s="2181"/>
      <c r="X107" s="2181"/>
      <c r="Y107" s="2181"/>
      <c r="Z107" s="2181"/>
      <c r="AA107" s="2181"/>
      <c r="AB107" s="2181"/>
      <c r="AC107" s="2181"/>
      <c r="AD107" s="2181"/>
      <c r="AE107" s="2181"/>
      <c r="AF107" s="2181"/>
      <c r="AG107" s="2181"/>
      <c r="AH107" s="2181"/>
      <c r="AI107" s="2181"/>
      <c r="AJ107" s="2181"/>
      <c r="AK107" s="2181"/>
      <c r="AL107" s="2181"/>
      <c r="AM107" s="2181"/>
    </row>
    <row r="108" spans="2:39" s="398" customFormat="1" ht="125.1" customHeight="1">
      <c r="B108" s="3023"/>
      <c r="C108" s="1861"/>
      <c r="D108" s="1861"/>
      <c r="E108" s="1861"/>
      <c r="F108" s="1861"/>
      <c r="G108" s="1861"/>
      <c r="H108" s="1861"/>
      <c r="I108" s="1861"/>
      <c r="J108" s="1861"/>
      <c r="K108" s="1861"/>
      <c r="L108" s="1861"/>
      <c r="M108" s="1861"/>
      <c r="N108" s="1861"/>
      <c r="O108" s="1861"/>
      <c r="P108" s="1861"/>
      <c r="Q108" s="1861"/>
      <c r="R108" s="1861"/>
      <c r="S108" s="1861"/>
      <c r="T108" s="1861"/>
      <c r="U108" s="1861"/>
      <c r="V108" s="1861"/>
      <c r="W108" s="1861"/>
      <c r="X108" s="1861"/>
      <c r="Y108" s="1861"/>
      <c r="Z108" s="1861"/>
      <c r="AA108" s="1861"/>
      <c r="AB108" s="1861"/>
      <c r="AC108" s="1861"/>
      <c r="AD108" s="1861"/>
      <c r="AE108" s="1861"/>
      <c r="AF108" s="1861"/>
      <c r="AG108" s="1861"/>
      <c r="AH108" s="1861"/>
      <c r="AI108" s="1861"/>
      <c r="AJ108" s="1861"/>
      <c r="AK108" s="1861"/>
      <c r="AL108" s="1861"/>
      <c r="AM108" s="1862"/>
    </row>
    <row r="109" spans="2:39" s="398" customFormat="1" ht="18" customHeight="1">
      <c r="B109" s="2181" t="s">
        <v>2926</v>
      </c>
      <c r="C109" s="2181"/>
      <c r="D109" s="2181"/>
      <c r="E109" s="2181"/>
      <c r="F109" s="2181"/>
      <c r="G109" s="2181"/>
      <c r="H109" s="2181"/>
      <c r="I109" s="2181"/>
      <c r="J109" s="2181"/>
      <c r="K109" s="2181"/>
      <c r="L109" s="2181"/>
      <c r="M109" s="2181"/>
      <c r="N109" s="2181"/>
      <c r="O109" s="2181"/>
      <c r="P109" s="2181"/>
      <c r="Q109" s="2181"/>
      <c r="R109" s="2181"/>
      <c r="S109" s="2181"/>
      <c r="T109" s="2181"/>
      <c r="U109" s="2181"/>
      <c r="V109" s="2181"/>
      <c r="W109" s="2181"/>
      <c r="X109" s="2181"/>
      <c r="Y109" s="2181"/>
      <c r="Z109" s="2181"/>
      <c r="AA109" s="2181"/>
      <c r="AB109" s="2181"/>
      <c r="AC109" s="2181"/>
      <c r="AD109" s="2181"/>
      <c r="AE109" s="2181"/>
      <c r="AF109" s="2181"/>
      <c r="AG109" s="2181"/>
      <c r="AH109" s="2181"/>
      <c r="AI109" s="2181"/>
      <c r="AJ109" s="2181"/>
      <c r="AK109" s="2181"/>
      <c r="AL109" s="2181"/>
      <c r="AM109" s="2181"/>
    </row>
    <row r="110" spans="2:39" s="398" customFormat="1" ht="125.1" customHeight="1">
      <c r="B110" s="3023"/>
      <c r="C110" s="1861"/>
      <c r="D110" s="1861"/>
      <c r="E110" s="1861"/>
      <c r="F110" s="1861"/>
      <c r="G110" s="1861"/>
      <c r="H110" s="1861"/>
      <c r="I110" s="1861"/>
      <c r="J110" s="1861"/>
      <c r="K110" s="1861"/>
      <c r="L110" s="1861"/>
      <c r="M110" s="1861"/>
      <c r="N110" s="1861"/>
      <c r="O110" s="1861"/>
      <c r="P110" s="1861"/>
      <c r="Q110" s="1861"/>
      <c r="R110" s="1861"/>
      <c r="S110" s="1861"/>
      <c r="T110" s="1861"/>
      <c r="U110" s="1861"/>
      <c r="V110" s="1861"/>
      <c r="W110" s="1861"/>
      <c r="X110" s="1861"/>
      <c r="Y110" s="1861"/>
      <c r="Z110" s="1861"/>
      <c r="AA110" s="1861"/>
      <c r="AB110" s="1861"/>
      <c r="AC110" s="1861"/>
      <c r="AD110" s="1861"/>
      <c r="AE110" s="1861"/>
      <c r="AF110" s="1861"/>
      <c r="AG110" s="1861"/>
      <c r="AH110" s="1861"/>
      <c r="AI110" s="1861"/>
      <c r="AJ110" s="1861"/>
      <c r="AK110" s="1861"/>
      <c r="AL110" s="1861"/>
      <c r="AM110" s="1862"/>
    </row>
    <row r="111" spans="2:39" s="398" customFormat="1" ht="18" customHeight="1">
      <c r="B111" s="2181" t="s">
        <v>2487</v>
      </c>
      <c r="C111" s="2181"/>
      <c r="D111" s="2181"/>
      <c r="E111" s="2181"/>
      <c r="F111" s="2181"/>
      <c r="G111" s="2181"/>
      <c r="H111" s="2181"/>
      <c r="I111" s="2181"/>
      <c r="J111" s="2181"/>
      <c r="K111" s="2181"/>
      <c r="L111" s="2181"/>
      <c r="M111" s="2181"/>
      <c r="N111" s="2181"/>
      <c r="O111" s="2181"/>
      <c r="P111" s="2181"/>
      <c r="Q111" s="2181"/>
      <c r="R111" s="2181"/>
      <c r="S111" s="2181"/>
      <c r="T111" s="2181"/>
      <c r="U111" s="2181"/>
      <c r="V111" s="2181"/>
      <c r="W111" s="2181"/>
      <c r="X111" s="2181"/>
      <c r="Y111" s="2181"/>
      <c r="Z111" s="2181"/>
      <c r="AA111" s="2181"/>
      <c r="AB111" s="2181"/>
      <c r="AC111" s="2181"/>
      <c r="AD111" s="2181"/>
      <c r="AE111" s="2181"/>
      <c r="AF111" s="2181"/>
      <c r="AG111" s="2181"/>
      <c r="AH111" s="2181"/>
      <c r="AI111" s="2181"/>
      <c r="AJ111" s="2181"/>
      <c r="AK111" s="2181"/>
      <c r="AL111" s="2181"/>
      <c r="AM111" s="2181"/>
    </row>
    <row r="112" spans="2:39" s="398" customFormat="1" ht="125.1" customHeight="1">
      <c r="B112" s="3023"/>
      <c r="C112" s="1861"/>
      <c r="D112" s="1861"/>
      <c r="E112" s="1861"/>
      <c r="F112" s="1861"/>
      <c r="G112" s="1861"/>
      <c r="H112" s="1861"/>
      <c r="I112" s="1861"/>
      <c r="J112" s="1861"/>
      <c r="K112" s="1861"/>
      <c r="L112" s="1861"/>
      <c r="M112" s="1861"/>
      <c r="N112" s="1861"/>
      <c r="O112" s="1861"/>
      <c r="P112" s="1861"/>
      <c r="Q112" s="1861"/>
      <c r="R112" s="1861"/>
      <c r="S112" s="1861"/>
      <c r="T112" s="1861"/>
      <c r="U112" s="1861"/>
      <c r="V112" s="1861"/>
      <c r="W112" s="1861"/>
      <c r="X112" s="1861"/>
      <c r="Y112" s="1861"/>
      <c r="Z112" s="1861"/>
      <c r="AA112" s="1861"/>
      <c r="AB112" s="1861"/>
      <c r="AC112" s="1861"/>
      <c r="AD112" s="1861"/>
      <c r="AE112" s="1861"/>
      <c r="AF112" s="1861"/>
      <c r="AG112" s="1861"/>
      <c r="AH112" s="1861"/>
      <c r="AI112" s="1861"/>
      <c r="AJ112" s="1861"/>
      <c r="AK112" s="1861"/>
      <c r="AL112" s="1861"/>
      <c r="AM112" s="1862"/>
    </row>
    <row r="113" spans="2:42" s="398" customFormat="1" ht="36" customHeight="1">
      <c r="B113" s="2181" t="s">
        <v>2491</v>
      </c>
      <c r="C113" s="2181"/>
      <c r="D113" s="2181"/>
      <c r="E113" s="2181"/>
      <c r="F113" s="2181"/>
      <c r="G113" s="2181"/>
      <c r="H113" s="2181"/>
      <c r="I113" s="2181"/>
      <c r="J113" s="2181"/>
      <c r="K113" s="2181"/>
      <c r="L113" s="2181"/>
      <c r="M113" s="2181"/>
      <c r="N113" s="2181"/>
      <c r="O113" s="2181"/>
      <c r="P113" s="2181"/>
      <c r="Q113" s="2181"/>
      <c r="R113" s="2181"/>
      <c r="S113" s="2181"/>
      <c r="T113" s="2181"/>
      <c r="U113" s="2181"/>
      <c r="V113" s="2181"/>
      <c r="W113" s="2181"/>
      <c r="X113" s="2181"/>
      <c r="Y113" s="2181"/>
      <c r="Z113" s="2181"/>
      <c r="AA113" s="2181"/>
      <c r="AB113" s="2181"/>
      <c r="AC113" s="2181"/>
      <c r="AD113" s="2181"/>
      <c r="AE113" s="2181"/>
      <c r="AF113" s="2181"/>
      <c r="AG113" s="2181"/>
      <c r="AH113" s="2181"/>
      <c r="AI113" s="2181"/>
      <c r="AJ113" s="2181"/>
      <c r="AK113" s="2181"/>
      <c r="AL113" s="2181"/>
      <c r="AM113" s="2181"/>
    </row>
    <row r="114" spans="2:42" s="398" customFormat="1" ht="125.1" customHeight="1">
      <c r="B114" s="3023"/>
      <c r="C114" s="1861"/>
      <c r="D114" s="1861"/>
      <c r="E114" s="1861"/>
      <c r="F114" s="1861"/>
      <c r="G114" s="1861"/>
      <c r="H114" s="1861"/>
      <c r="I114" s="1861"/>
      <c r="J114" s="1861"/>
      <c r="K114" s="1861"/>
      <c r="L114" s="1861"/>
      <c r="M114" s="1861"/>
      <c r="N114" s="1861"/>
      <c r="O114" s="1861"/>
      <c r="P114" s="1861"/>
      <c r="Q114" s="1861"/>
      <c r="R114" s="1861"/>
      <c r="S114" s="1861"/>
      <c r="T114" s="1861"/>
      <c r="U114" s="1861"/>
      <c r="V114" s="1861"/>
      <c r="W114" s="1861"/>
      <c r="X114" s="1861"/>
      <c r="Y114" s="1861"/>
      <c r="Z114" s="1861"/>
      <c r="AA114" s="1861"/>
      <c r="AB114" s="1861"/>
      <c r="AC114" s="1861"/>
      <c r="AD114" s="1861"/>
      <c r="AE114" s="1861"/>
      <c r="AF114" s="1861"/>
      <c r="AG114" s="1861"/>
      <c r="AH114" s="1861"/>
      <c r="AI114" s="1861"/>
      <c r="AJ114" s="1861"/>
      <c r="AK114" s="1861"/>
      <c r="AL114" s="1861"/>
      <c r="AM114" s="1862"/>
    </row>
    <row r="115" spans="2:42" s="398" customFormat="1" ht="18" customHeight="1">
      <c r="B115" s="2181" t="s">
        <v>2487</v>
      </c>
      <c r="C115" s="2181"/>
      <c r="D115" s="2181"/>
      <c r="E115" s="2181"/>
      <c r="F115" s="2181"/>
      <c r="G115" s="2181"/>
      <c r="H115" s="2181"/>
      <c r="I115" s="2181"/>
      <c r="J115" s="2181"/>
      <c r="K115" s="2181"/>
      <c r="L115" s="2181"/>
      <c r="M115" s="2181"/>
      <c r="N115" s="2181"/>
      <c r="O115" s="2181"/>
      <c r="P115" s="2181"/>
      <c r="Q115" s="2181"/>
      <c r="R115" s="2181"/>
      <c r="S115" s="2181"/>
      <c r="T115" s="2181"/>
      <c r="U115" s="2181"/>
      <c r="V115" s="2181"/>
      <c r="W115" s="2181"/>
      <c r="X115" s="2181"/>
      <c r="Y115" s="2181"/>
      <c r="Z115" s="2181"/>
      <c r="AA115" s="2181"/>
      <c r="AB115" s="2181"/>
      <c r="AC115" s="2181"/>
      <c r="AD115" s="2181"/>
      <c r="AE115" s="2181"/>
      <c r="AF115" s="2181"/>
      <c r="AG115" s="2181"/>
      <c r="AH115" s="2181"/>
      <c r="AI115" s="2181"/>
      <c r="AJ115" s="2181"/>
      <c r="AK115" s="2181"/>
      <c r="AL115" s="2181"/>
      <c r="AM115" s="2181"/>
    </row>
    <row r="116" spans="2:42" s="398" customFormat="1" ht="125.1" customHeight="1">
      <c r="B116" s="3023"/>
      <c r="C116" s="1861"/>
      <c r="D116" s="1861"/>
      <c r="E116" s="1861"/>
      <c r="F116" s="1861"/>
      <c r="G116" s="1861"/>
      <c r="H116" s="1861"/>
      <c r="I116" s="1861"/>
      <c r="J116" s="1861"/>
      <c r="K116" s="1861"/>
      <c r="L116" s="1861"/>
      <c r="M116" s="1861"/>
      <c r="N116" s="1861"/>
      <c r="O116" s="1861"/>
      <c r="P116" s="1861"/>
      <c r="Q116" s="1861"/>
      <c r="R116" s="1861"/>
      <c r="S116" s="1861"/>
      <c r="T116" s="1861"/>
      <c r="U116" s="1861"/>
      <c r="V116" s="1861"/>
      <c r="W116" s="1861"/>
      <c r="X116" s="1861"/>
      <c r="Y116" s="1861"/>
      <c r="Z116" s="1861"/>
      <c r="AA116" s="1861"/>
      <c r="AB116" s="1861"/>
      <c r="AC116" s="1861"/>
      <c r="AD116" s="1861"/>
      <c r="AE116" s="1861"/>
      <c r="AF116" s="1861"/>
      <c r="AG116" s="1861"/>
      <c r="AH116" s="1861"/>
      <c r="AI116" s="1861"/>
      <c r="AJ116" s="1861"/>
      <c r="AK116" s="1861"/>
      <c r="AL116" s="1861"/>
      <c r="AM116" s="1862"/>
    </row>
    <row r="117" spans="2:42" s="398" customFormat="1" ht="18" customHeight="1">
      <c r="B117" s="2181" t="s">
        <v>2927</v>
      </c>
      <c r="C117" s="2181"/>
      <c r="D117" s="2181"/>
      <c r="E117" s="2181"/>
      <c r="F117" s="2181"/>
      <c r="G117" s="2181"/>
      <c r="H117" s="2181"/>
      <c r="I117" s="2181"/>
      <c r="J117" s="2181"/>
      <c r="K117" s="2181"/>
      <c r="L117" s="2181"/>
      <c r="M117" s="2181"/>
      <c r="N117" s="2181"/>
      <c r="O117" s="2181"/>
      <c r="P117" s="2181"/>
      <c r="Q117" s="2181"/>
      <c r="R117" s="2181"/>
      <c r="S117" s="2181"/>
      <c r="T117" s="2181"/>
      <c r="U117" s="2181"/>
      <c r="V117" s="2181"/>
      <c r="W117" s="2181"/>
      <c r="X117" s="2181"/>
      <c r="Y117" s="2181"/>
      <c r="Z117" s="2181"/>
      <c r="AA117" s="2181"/>
      <c r="AB117" s="2181"/>
      <c r="AC117" s="2181"/>
      <c r="AD117" s="2181"/>
      <c r="AE117" s="2181"/>
      <c r="AF117" s="2181"/>
      <c r="AG117" s="2181"/>
      <c r="AH117" s="2181"/>
      <c r="AI117" s="2181"/>
      <c r="AJ117" s="2181"/>
      <c r="AK117" s="2181"/>
      <c r="AL117" s="2181"/>
      <c r="AM117" s="2181"/>
    </row>
    <row r="118" spans="2:42" s="398" customFormat="1" ht="125.1" customHeight="1">
      <c r="B118" s="3023"/>
      <c r="C118" s="1861"/>
      <c r="D118" s="1861"/>
      <c r="E118" s="1861"/>
      <c r="F118" s="1861"/>
      <c r="G118" s="1861"/>
      <c r="H118" s="1861"/>
      <c r="I118" s="1861"/>
      <c r="J118" s="1861"/>
      <c r="K118" s="1861"/>
      <c r="L118" s="1861"/>
      <c r="M118" s="1861"/>
      <c r="N118" s="1861"/>
      <c r="O118" s="1861"/>
      <c r="P118" s="1861"/>
      <c r="Q118" s="1861"/>
      <c r="R118" s="1861"/>
      <c r="S118" s="1861"/>
      <c r="T118" s="1861"/>
      <c r="U118" s="1861"/>
      <c r="V118" s="1861"/>
      <c r="W118" s="1861"/>
      <c r="X118" s="1861"/>
      <c r="Y118" s="1861"/>
      <c r="Z118" s="1861"/>
      <c r="AA118" s="1861"/>
      <c r="AB118" s="1861"/>
      <c r="AC118" s="1861"/>
      <c r="AD118" s="1861"/>
      <c r="AE118" s="1861"/>
      <c r="AF118" s="1861"/>
      <c r="AG118" s="1861"/>
      <c r="AH118" s="1861"/>
      <c r="AI118" s="1861"/>
      <c r="AJ118" s="1861"/>
      <c r="AK118" s="1861"/>
      <c r="AL118" s="1861"/>
      <c r="AM118" s="1862"/>
    </row>
    <row r="119" spans="2:42" s="398" customFormat="1" ht="18" customHeight="1">
      <c r="B119" s="2181" t="s">
        <v>2487</v>
      </c>
      <c r="C119" s="2181"/>
      <c r="D119" s="2181"/>
      <c r="E119" s="2181"/>
      <c r="F119" s="2181"/>
      <c r="G119" s="2181"/>
      <c r="H119" s="2181"/>
      <c r="I119" s="2181"/>
      <c r="J119" s="2181"/>
      <c r="K119" s="2181"/>
      <c r="L119" s="2181"/>
      <c r="M119" s="2181"/>
      <c r="N119" s="2181"/>
      <c r="O119" s="2181"/>
      <c r="P119" s="2181"/>
      <c r="Q119" s="2181"/>
      <c r="R119" s="2181"/>
      <c r="S119" s="2181"/>
      <c r="T119" s="2181"/>
      <c r="U119" s="2181"/>
      <c r="V119" s="2181"/>
      <c r="W119" s="2181"/>
      <c r="X119" s="2181"/>
      <c r="Y119" s="2181"/>
      <c r="Z119" s="2181"/>
      <c r="AA119" s="2181"/>
      <c r="AB119" s="2181"/>
      <c r="AC119" s="2181"/>
      <c r="AD119" s="2181"/>
      <c r="AE119" s="2181"/>
      <c r="AF119" s="2181"/>
      <c r="AG119" s="2181"/>
      <c r="AH119" s="2181"/>
      <c r="AI119" s="2181"/>
      <c r="AJ119" s="2181"/>
      <c r="AK119" s="2181"/>
      <c r="AL119" s="2181"/>
      <c r="AM119" s="2181"/>
    </row>
    <row r="120" spans="2:42" s="398" customFormat="1" ht="125.1" customHeight="1">
      <c r="B120" s="3023"/>
      <c r="C120" s="1861"/>
      <c r="D120" s="1861"/>
      <c r="E120" s="1861"/>
      <c r="F120" s="1861"/>
      <c r="G120" s="1861"/>
      <c r="H120" s="1861"/>
      <c r="I120" s="1861"/>
      <c r="J120" s="1861"/>
      <c r="K120" s="1861"/>
      <c r="L120" s="1861"/>
      <c r="M120" s="1861"/>
      <c r="N120" s="1861"/>
      <c r="O120" s="1861"/>
      <c r="P120" s="1861"/>
      <c r="Q120" s="1861"/>
      <c r="R120" s="1861"/>
      <c r="S120" s="1861"/>
      <c r="T120" s="1861"/>
      <c r="U120" s="1861"/>
      <c r="V120" s="1861"/>
      <c r="W120" s="1861"/>
      <c r="X120" s="1861"/>
      <c r="Y120" s="1861"/>
      <c r="Z120" s="1861"/>
      <c r="AA120" s="1861"/>
      <c r="AB120" s="1861"/>
      <c r="AC120" s="1861"/>
      <c r="AD120" s="1861"/>
      <c r="AE120" s="1861"/>
      <c r="AF120" s="1861"/>
      <c r="AG120" s="1861"/>
      <c r="AH120" s="1861"/>
      <c r="AI120" s="1861"/>
      <c r="AJ120" s="1861"/>
      <c r="AK120" s="1861"/>
      <c r="AL120" s="1861"/>
      <c r="AM120" s="1862"/>
    </row>
    <row r="121" spans="2:42" s="381" customFormat="1" ht="19.5" customHeight="1"/>
    <row r="122" spans="2:42" s="398" customFormat="1" ht="35.25" customHeight="1">
      <c r="B122" s="2181" t="s">
        <v>2928</v>
      </c>
      <c r="C122" s="2181"/>
      <c r="D122" s="2181"/>
      <c r="E122" s="2181"/>
      <c r="F122" s="2181"/>
      <c r="G122" s="2181"/>
      <c r="H122" s="2181"/>
      <c r="I122" s="2181"/>
      <c r="J122" s="2181"/>
      <c r="K122" s="2181"/>
      <c r="L122" s="2181"/>
      <c r="M122" s="2181"/>
      <c r="N122" s="2181"/>
      <c r="O122" s="2181"/>
      <c r="P122" s="2181"/>
      <c r="Q122" s="2181"/>
      <c r="R122" s="2181"/>
      <c r="S122" s="2181"/>
      <c r="T122" s="2181"/>
      <c r="U122" s="2181"/>
      <c r="V122" s="2181"/>
      <c r="W122" s="2181"/>
      <c r="X122" s="2181"/>
      <c r="Y122" s="2181"/>
      <c r="Z122" s="2181"/>
      <c r="AA122" s="2181"/>
      <c r="AB122" s="2181"/>
      <c r="AC122" s="2181"/>
      <c r="AD122" s="2181"/>
      <c r="AE122" s="2181"/>
      <c r="AF122" s="2181"/>
      <c r="AG122" s="2181"/>
      <c r="AH122" s="2181"/>
      <c r="AI122" s="2181"/>
      <c r="AJ122" s="2181"/>
      <c r="AK122" s="2181"/>
      <c r="AL122" s="2181"/>
      <c r="AM122" s="2181"/>
    </row>
    <row r="123" spans="2:42" s="398" customFormat="1" ht="18" customHeight="1">
      <c r="B123" s="2181" t="s">
        <v>2929</v>
      </c>
      <c r="C123" s="2181"/>
      <c r="D123" s="2181"/>
      <c r="E123" s="2181"/>
      <c r="F123" s="2181"/>
      <c r="G123" s="2181"/>
      <c r="H123" s="2181"/>
      <c r="I123" s="2181"/>
      <c r="J123" s="2181"/>
      <c r="K123" s="2181"/>
      <c r="L123" s="2181"/>
      <c r="M123" s="2181"/>
      <c r="N123" s="2181"/>
      <c r="O123" s="2181"/>
      <c r="P123" s="2181"/>
      <c r="Q123" s="2181"/>
      <c r="R123" s="2181"/>
      <c r="S123" s="2181"/>
      <c r="T123" s="2181"/>
      <c r="U123" s="2181"/>
      <c r="V123" s="2181"/>
      <c r="W123" s="2181"/>
      <c r="X123" s="2181"/>
      <c r="Y123" s="2181"/>
      <c r="Z123" s="2181"/>
      <c r="AA123" s="2181"/>
      <c r="AB123" s="2181"/>
      <c r="AC123" s="2181"/>
      <c r="AD123" s="2181"/>
      <c r="AE123" s="2181"/>
      <c r="AF123" s="2181"/>
      <c r="AG123" s="2181"/>
      <c r="AH123" s="2181"/>
      <c r="AI123" s="2181"/>
      <c r="AJ123" s="2181"/>
      <c r="AK123" s="2181"/>
      <c r="AL123" s="2181"/>
      <c r="AM123" s="2181"/>
    </row>
    <row r="124" spans="2:42" s="398" customFormat="1" ht="125.1" customHeight="1">
      <c r="B124" s="3023"/>
      <c r="C124" s="1861"/>
      <c r="D124" s="1861"/>
      <c r="E124" s="1861"/>
      <c r="F124" s="1861"/>
      <c r="G124" s="1861"/>
      <c r="H124" s="1861"/>
      <c r="I124" s="1861"/>
      <c r="J124" s="1861"/>
      <c r="K124" s="1861"/>
      <c r="L124" s="1861"/>
      <c r="M124" s="1861"/>
      <c r="N124" s="1861"/>
      <c r="O124" s="1861"/>
      <c r="P124" s="1861"/>
      <c r="Q124" s="1861"/>
      <c r="R124" s="1861"/>
      <c r="S124" s="1861"/>
      <c r="T124" s="1861"/>
      <c r="U124" s="1861"/>
      <c r="V124" s="1861"/>
      <c r="W124" s="1861"/>
      <c r="X124" s="1861"/>
      <c r="Y124" s="1861"/>
      <c r="Z124" s="1861"/>
      <c r="AA124" s="1861"/>
      <c r="AB124" s="1861"/>
      <c r="AC124" s="1861"/>
      <c r="AD124" s="1861"/>
      <c r="AE124" s="1861"/>
      <c r="AF124" s="1861"/>
      <c r="AG124" s="1861"/>
      <c r="AH124" s="1861"/>
      <c r="AI124" s="1861"/>
      <c r="AJ124" s="1861"/>
      <c r="AK124" s="1861"/>
      <c r="AL124" s="1861"/>
      <c r="AM124" s="1862"/>
      <c r="AP124" s="387"/>
    </row>
    <row r="125" spans="2:42" s="398" customFormat="1" ht="18" customHeight="1">
      <c r="B125" s="2181" t="s">
        <v>2495</v>
      </c>
      <c r="C125" s="2181"/>
      <c r="D125" s="2181"/>
      <c r="E125" s="2181"/>
      <c r="F125" s="2181"/>
      <c r="G125" s="2181"/>
      <c r="H125" s="2181"/>
      <c r="I125" s="2181"/>
      <c r="J125" s="2181"/>
      <c r="K125" s="2181"/>
      <c r="L125" s="2181"/>
      <c r="M125" s="2181"/>
      <c r="N125" s="2181"/>
      <c r="O125" s="2181"/>
      <c r="P125" s="2181"/>
      <c r="Q125" s="2181"/>
      <c r="R125" s="2181"/>
      <c r="S125" s="2181"/>
      <c r="T125" s="2181"/>
      <c r="U125" s="2181"/>
      <c r="V125" s="2181"/>
      <c r="W125" s="2181"/>
      <c r="X125" s="2181"/>
      <c r="Y125" s="2181"/>
      <c r="Z125" s="2181"/>
      <c r="AA125" s="2181"/>
      <c r="AB125" s="2181"/>
      <c r="AC125" s="2181"/>
      <c r="AD125" s="2181"/>
      <c r="AE125" s="2181"/>
      <c r="AF125" s="2181"/>
      <c r="AG125" s="2181"/>
      <c r="AH125" s="2181"/>
      <c r="AI125" s="2181"/>
      <c r="AJ125" s="2181"/>
      <c r="AK125" s="2181"/>
      <c r="AL125" s="2181"/>
      <c r="AM125" s="2181"/>
      <c r="AP125" s="387"/>
    </row>
    <row r="126" spans="2:42" s="398" customFormat="1" ht="125.1" customHeight="1">
      <c r="B126" s="3023"/>
      <c r="C126" s="1861"/>
      <c r="D126" s="1861"/>
      <c r="E126" s="1861"/>
      <c r="F126" s="1861"/>
      <c r="G126" s="1861"/>
      <c r="H126" s="1861"/>
      <c r="I126" s="1861"/>
      <c r="J126" s="1861"/>
      <c r="K126" s="1861"/>
      <c r="L126" s="1861"/>
      <c r="M126" s="1861"/>
      <c r="N126" s="1861"/>
      <c r="O126" s="1861"/>
      <c r="P126" s="1861"/>
      <c r="Q126" s="1861"/>
      <c r="R126" s="1861"/>
      <c r="S126" s="1861"/>
      <c r="T126" s="1861"/>
      <c r="U126" s="1861"/>
      <c r="V126" s="1861"/>
      <c r="W126" s="1861"/>
      <c r="X126" s="1861"/>
      <c r="Y126" s="1861"/>
      <c r="Z126" s="1861"/>
      <c r="AA126" s="1861"/>
      <c r="AB126" s="1861"/>
      <c r="AC126" s="1861"/>
      <c r="AD126" s="1861"/>
      <c r="AE126" s="1861"/>
      <c r="AF126" s="1861"/>
      <c r="AG126" s="1861"/>
      <c r="AH126" s="1861"/>
      <c r="AI126" s="1861"/>
      <c r="AJ126" s="1861"/>
      <c r="AK126" s="1861"/>
      <c r="AL126" s="1861"/>
      <c r="AM126" s="1862"/>
      <c r="AP126" s="387"/>
    </row>
    <row r="127" spans="2:42" s="398" customFormat="1" ht="18" customHeight="1">
      <c r="B127" s="2181" t="s">
        <v>2496</v>
      </c>
      <c r="C127" s="2181"/>
      <c r="D127" s="2181"/>
      <c r="E127" s="2181"/>
      <c r="F127" s="2181"/>
      <c r="G127" s="2181"/>
      <c r="H127" s="2181"/>
      <c r="I127" s="2181"/>
      <c r="J127" s="2181"/>
      <c r="K127" s="2181"/>
      <c r="L127" s="2181"/>
      <c r="M127" s="2181"/>
      <c r="N127" s="2181"/>
      <c r="O127" s="2181"/>
      <c r="P127" s="2181"/>
      <c r="Q127" s="2181"/>
      <c r="R127" s="2181"/>
      <c r="S127" s="2181"/>
      <c r="T127" s="2181"/>
      <c r="U127" s="2181"/>
      <c r="V127" s="2181"/>
      <c r="W127" s="2181"/>
      <c r="X127" s="2181"/>
      <c r="Y127" s="2181"/>
      <c r="Z127" s="2181"/>
      <c r="AA127" s="2181"/>
      <c r="AB127" s="2181"/>
      <c r="AC127" s="2181"/>
      <c r="AD127" s="2181"/>
      <c r="AE127" s="2181"/>
      <c r="AF127" s="2181"/>
      <c r="AG127" s="2181"/>
      <c r="AH127" s="2181"/>
      <c r="AI127" s="2181"/>
      <c r="AJ127" s="2181"/>
      <c r="AK127" s="2181"/>
      <c r="AL127" s="2181"/>
      <c r="AM127" s="2181"/>
    </row>
    <row r="128" spans="2:42" s="398" customFormat="1" ht="125.1" customHeight="1">
      <c r="B128" s="3023"/>
      <c r="C128" s="1861"/>
      <c r="D128" s="1861"/>
      <c r="E128" s="1861"/>
      <c r="F128" s="1861"/>
      <c r="G128" s="1861"/>
      <c r="H128" s="1861"/>
      <c r="I128" s="1861"/>
      <c r="J128" s="1861"/>
      <c r="K128" s="1861"/>
      <c r="L128" s="1861"/>
      <c r="M128" s="1861"/>
      <c r="N128" s="1861"/>
      <c r="O128" s="1861"/>
      <c r="P128" s="1861"/>
      <c r="Q128" s="1861"/>
      <c r="R128" s="1861"/>
      <c r="S128" s="1861"/>
      <c r="T128" s="1861"/>
      <c r="U128" s="1861"/>
      <c r="V128" s="1861"/>
      <c r="W128" s="1861"/>
      <c r="X128" s="1861"/>
      <c r="Y128" s="1861"/>
      <c r="Z128" s="1861"/>
      <c r="AA128" s="1861"/>
      <c r="AB128" s="1861"/>
      <c r="AC128" s="1861"/>
      <c r="AD128" s="1861"/>
      <c r="AE128" s="1861"/>
      <c r="AF128" s="1861"/>
      <c r="AG128" s="1861"/>
      <c r="AH128" s="1861"/>
      <c r="AI128" s="1861"/>
      <c r="AJ128" s="1861"/>
      <c r="AK128" s="1861"/>
      <c r="AL128" s="1861"/>
      <c r="AM128" s="1862"/>
    </row>
    <row r="129" spans="2:42" s="398" customFormat="1" ht="18" customHeight="1">
      <c r="B129" s="2181" t="s">
        <v>2495</v>
      </c>
      <c r="C129" s="2181"/>
      <c r="D129" s="2181"/>
      <c r="E129" s="2181"/>
      <c r="F129" s="2181"/>
      <c r="G129" s="2181"/>
      <c r="H129" s="2181"/>
      <c r="I129" s="2181"/>
      <c r="J129" s="2181"/>
      <c r="K129" s="2181"/>
      <c r="L129" s="2181"/>
      <c r="M129" s="2181"/>
      <c r="N129" s="2181"/>
      <c r="O129" s="2181"/>
      <c r="P129" s="2181"/>
      <c r="Q129" s="2181"/>
      <c r="R129" s="2181"/>
      <c r="S129" s="2181"/>
      <c r="T129" s="2181"/>
      <c r="U129" s="2181"/>
      <c r="V129" s="2181"/>
      <c r="W129" s="2181"/>
      <c r="X129" s="2181"/>
      <c r="Y129" s="2181"/>
      <c r="Z129" s="2181"/>
      <c r="AA129" s="2181"/>
      <c r="AB129" s="2181"/>
      <c r="AC129" s="2181"/>
      <c r="AD129" s="2181"/>
      <c r="AE129" s="2181"/>
      <c r="AF129" s="2181"/>
      <c r="AG129" s="2181"/>
      <c r="AH129" s="2181"/>
      <c r="AI129" s="2181"/>
      <c r="AJ129" s="2181"/>
      <c r="AK129" s="2181"/>
      <c r="AL129" s="2181"/>
      <c r="AM129" s="2181"/>
      <c r="AP129" s="387"/>
    </row>
    <row r="130" spans="2:42" s="398" customFormat="1" ht="125.1" customHeight="1">
      <c r="B130" s="3023"/>
      <c r="C130" s="1861"/>
      <c r="D130" s="1861"/>
      <c r="E130" s="1861"/>
      <c r="F130" s="1861"/>
      <c r="G130" s="1861"/>
      <c r="H130" s="1861"/>
      <c r="I130" s="1861"/>
      <c r="J130" s="1861"/>
      <c r="K130" s="1861"/>
      <c r="L130" s="1861"/>
      <c r="M130" s="1861"/>
      <c r="N130" s="1861"/>
      <c r="O130" s="1861"/>
      <c r="P130" s="1861"/>
      <c r="Q130" s="1861"/>
      <c r="R130" s="1861"/>
      <c r="S130" s="1861"/>
      <c r="T130" s="1861"/>
      <c r="U130" s="1861"/>
      <c r="V130" s="1861"/>
      <c r="W130" s="1861"/>
      <c r="X130" s="1861"/>
      <c r="Y130" s="1861"/>
      <c r="Z130" s="1861"/>
      <c r="AA130" s="1861"/>
      <c r="AB130" s="1861"/>
      <c r="AC130" s="1861"/>
      <c r="AD130" s="1861"/>
      <c r="AE130" s="1861"/>
      <c r="AF130" s="1861"/>
      <c r="AG130" s="1861"/>
      <c r="AH130" s="1861"/>
      <c r="AI130" s="1861"/>
      <c r="AJ130" s="1861"/>
      <c r="AK130" s="1861"/>
      <c r="AL130" s="1861"/>
      <c r="AM130" s="1862"/>
      <c r="AP130" s="387"/>
    </row>
    <row r="131" spans="2:42" s="398" customFormat="1" ht="18" customHeight="1">
      <c r="B131" s="2181" t="s">
        <v>2497</v>
      </c>
      <c r="C131" s="2181"/>
      <c r="D131" s="2181"/>
      <c r="E131" s="2181"/>
      <c r="F131" s="2181"/>
      <c r="G131" s="2181"/>
      <c r="H131" s="2181"/>
      <c r="I131" s="2181"/>
      <c r="J131" s="2181"/>
      <c r="K131" s="2181"/>
      <c r="L131" s="2181"/>
      <c r="M131" s="2181"/>
      <c r="N131" s="2181"/>
      <c r="O131" s="2181"/>
      <c r="P131" s="2181"/>
      <c r="Q131" s="2181"/>
      <c r="R131" s="2181"/>
      <c r="S131" s="2181"/>
      <c r="T131" s="2181"/>
      <c r="U131" s="2181"/>
      <c r="V131" s="2181"/>
      <c r="W131" s="2181"/>
      <c r="X131" s="2181"/>
      <c r="Y131" s="2181"/>
      <c r="Z131" s="2181"/>
      <c r="AA131" s="2181"/>
      <c r="AB131" s="2181"/>
      <c r="AC131" s="2181"/>
      <c r="AD131" s="2181"/>
      <c r="AE131" s="2181"/>
      <c r="AF131" s="2181"/>
      <c r="AG131" s="2181"/>
      <c r="AH131" s="2181"/>
      <c r="AI131" s="2181"/>
      <c r="AJ131" s="2181"/>
      <c r="AK131" s="2181"/>
      <c r="AL131" s="2181"/>
      <c r="AM131" s="2181"/>
    </row>
    <row r="132" spans="2:42" s="398" customFormat="1" ht="125.1" customHeight="1">
      <c r="B132" s="3023"/>
      <c r="C132" s="1861"/>
      <c r="D132" s="1861"/>
      <c r="E132" s="1861"/>
      <c r="F132" s="1861"/>
      <c r="G132" s="1861"/>
      <c r="H132" s="1861"/>
      <c r="I132" s="1861"/>
      <c r="J132" s="1861"/>
      <c r="K132" s="1861"/>
      <c r="L132" s="1861"/>
      <c r="M132" s="1861"/>
      <c r="N132" s="1861"/>
      <c r="O132" s="1861"/>
      <c r="P132" s="1861"/>
      <c r="Q132" s="1861"/>
      <c r="R132" s="1861"/>
      <c r="S132" s="1861"/>
      <c r="T132" s="1861"/>
      <c r="U132" s="1861"/>
      <c r="V132" s="1861"/>
      <c r="W132" s="1861"/>
      <c r="X132" s="1861"/>
      <c r="Y132" s="1861"/>
      <c r="Z132" s="1861"/>
      <c r="AA132" s="1861"/>
      <c r="AB132" s="1861"/>
      <c r="AC132" s="1861"/>
      <c r="AD132" s="1861"/>
      <c r="AE132" s="1861"/>
      <c r="AF132" s="1861"/>
      <c r="AG132" s="1861"/>
      <c r="AH132" s="1861"/>
      <c r="AI132" s="1861"/>
      <c r="AJ132" s="1861"/>
      <c r="AK132" s="1861"/>
      <c r="AL132" s="1861"/>
      <c r="AM132" s="1862"/>
    </row>
    <row r="133" spans="2:42" s="398" customFormat="1" ht="18" customHeight="1">
      <c r="B133" s="2181" t="s">
        <v>2495</v>
      </c>
      <c r="C133" s="2181"/>
      <c r="D133" s="2181"/>
      <c r="E133" s="2181"/>
      <c r="F133" s="2181"/>
      <c r="G133" s="2181"/>
      <c r="H133" s="2181"/>
      <c r="I133" s="2181"/>
      <c r="J133" s="2181"/>
      <c r="K133" s="2181"/>
      <c r="L133" s="2181"/>
      <c r="M133" s="2181"/>
      <c r="N133" s="2181"/>
      <c r="O133" s="2181"/>
      <c r="P133" s="2181"/>
      <c r="Q133" s="2181"/>
      <c r="R133" s="2181"/>
      <c r="S133" s="2181"/>
      <c r="T133" s="2181"/>
      <c r="U133" s="2181"/>
      <c r="V133" s="2181"/>
      <c r="W133" s="2181"/>
      <c r="X133" s="2181"/>
      <c r="Y133" s="2181"/>
      <c r="Z133" s="2181"/>
      <c r="AA133" s="2181"/>
      <c r="AB133" s="2181"/>
      <c r="AC133" s="2181"/>
      <c r="AD133" s="2181"/>
      <c r="AE133" s="2181"/>
      <c r="AF133" s="2181"/>
      <c r="AG133" s="2181"/>
      <c r="AH133" s="2181"/>
      <c r="AI133" s="2181"/>
      <c r="AJ133" s="2181"/>
      <c r="AK133" s="2181"/>
      <c r="AL133" s="2181"/>
      <c r="AM133" s="2181"/>
      <c r="AP133" s="387"/>
    </row>
    <row r="134" spans="2:42" s="398" customFormat="1" ht="125.1" customHeight="1">
      <c r="B134" s="3023"/>
      <c r="C134" s="1861"/>
      <c r="D134" s="1861"/>
      <c r="E134" s="1861"/>
      <c r="F134" s="1861"/>
      <c r="G134" s="1861"/>
      <c r="H134" s="1861"/>
      <c r="I134" s="1861"/>
      <c r="J134" s="1861"/>
      <c r="K134" s="1861"/>
      <c r="L134" s="1861"/>
      <c r="M134" s="1861"/>
      <c r="N134" s="1861"/>
      <c r="O134" s="1861"/>
      <c r="P134" s="1861"/>
      <c r="Q134" s="1861"/>
      <c r="R134" s="1861"/>
      <c r="S134" s="1861"/>
      <c r="T134" s="1861"/>
      <c r="U134" s="1861"/>
      <c r="V134" s="1861"/>
      <c r="W134" s="1861"/>
      <c r="X134" s="1861"/>
      <c r="Y134" s="1861"/>
      <c r="Z134" s="1861"/>
      <c r="AA134" s="1861"/>
      <c r="AB134" s="1861"/>
      <c r="AC134" s="1861"/>
      <c r="AD134" s="1861"/>
      <c r="AE134" s="1861"/>
      <c r="AF134" s="1861"/>
      <c r="AG134" s="1861"/>
      <c r="AH134" s="1861"/>
      <c r="AI134" s="1861"/>
      <c r="AJ134" s="1861"/>
      <c r="AK134" s="1861"/>
      <c r="AL134" s="1861"/>
      <c r="AM134" s="1862"/>
      <c r="AP134" s="387"/>
    </row>
    <row r="135" spans="2:42" s="398" customFormat="1" ht="18" customHeight="1">
      <c r="B135" s="2181" t="s">
        <v>2498</v>
      </c>
      <c r="C135" s="2181"/>
      <c r="D135" s="2181"/>
      <c r="E135" s="2181"/>
      <c r="F135" s="2181"/>
      <c r="G135" s="2181"/>
      <c r="H135" s="2181"/>
      <c r="I135" s="2181"/>
      <c r="J135" s="2181"/>
      <c r="K135" s="2181"/>
      <c r="L135" s="2181"/>
      <c r="M135" s="2181"/>
      <c r="N135" s="2181"/>
      <c r="O135" s="2181"/>
      <c r="P135" s="2181"/>
      <c r="Q135" s="2181"/>
      <c r="R135" s="2181"/>
      <c r="S135" s="2181"/>
      <c r="T135" s="2181"/>
      <c r="U135" s="2181"/>
      <c r="V135" s="2181"/>
      <c r="W135" s="2181"/>
      <c r="X135" s="2181"/>
      <c r="Y135" s="2181"/>
      <c r="Z135" s="2181"/>
      <c r="AA135" s="2181"/>
      <c r="AB135" s="2181"/>
      <c r="AC135" s="2181"/>
      <c r="AD135" s="2181"/>
      <c r="AE135" s="2181"/>
      <c r="AF135" s="2181"/>
      <c r="AG135" s="2181"/>
      <c r="AH135" s="2181"/>
      <c r="AI135" s="2181"/>
      <c r="AJ135" s="2181"/>
      <c r="AK135" s="2181"/>
      <c r="AL135" s="2181"/>
      <c r="AM135" s="2181"/>
    </row>
    <row r="136" spans="2:42" s="398" customFormat="1" ht="125.1" customHeight="1">
      <c r="B136" s="3023"/>
      <c r="C136" s="1861"/>
      <c r="D136" s="1861"/>
      <c r="E136" s="1861"/>
      <c r="F136" s="1861"/>
      <c r="G136" s="1861"/>
      <c r="H136" s="1861"/>
      <c r="I136" s="1861"/>
      <c r="J136" s="1861"/>
      <c r="K136" s="1861"/>
      <c r="L136" s="1861"/>
      <c r="M136" s="1861"/>
      <c r="N136" s="1861"/>
      <c r="O136" s="1861"/>
      <c r="P136" s="1861"/>
      <c r="Q136" s="1861"/>
      <c r="R136" s="1861"/>
      <c r="S136" s="1861"/>
      <c r="T136" s="1861"/>
      <c r="U136" s="1861"/>
      <c r="V136" s="1861"/>
      <c r="W136" s="1861"/>
      <c r="X136" s="1861"/>
      <c r="Y136" s="1861"/>
      <c r="Z136" s="1861"/>
      <c r="AA136" s="1861"/>
      <c r="AB136" s="1861"/>
      <c r="AC136" s="1861"/>
      <c r="AD136" s="1861"/>
      <c r="AE136" s="1861"/>
      <c r="AF136" s="1861"/>
      <c r="AG136" s="1861"/>
      <c r="AH136" s="1861"/>
      <c r="AI136" s="1861"/>
      <c r="AJ136" s="1861"/>
      <c r="AK136" s="1861"/>
      <c r="AL136" s="1861"/>
      <c r="AM136" s="1862"/>
    </row>
    <row r="137" spans="2:42" s="398" customFormat="1" ht="18" customHeight="1">
      <c r="B137" s="2181" t="s">
        <v>2495</v>
      </c>
      <c r="C137" s="2181"/>
      <c r="D137" s="2181"/>
      <c r="E137" s="2181"/>
      <c r="F137" s="2181"/>
      <c r="G137" s="2181"/>
      <c r="H137" s="2181"/>
      <c r="I137" s="2181"/>
      <c r="J137" s="2181"/>
      <c r="K137" s="2181"/>
      <c r="L137" s="2181"/>
      <c r="M137" s="2181"/>
      <c r="N137" s="2181"/>
      <c r="O137" s="2181"/>
      <c r="P137" s="2181"/>
      <c r="Q137" s="2181"/>
      <c r="R137" s="2181"/>
      <c r="S137" s="2181"/>
      <c r="T137" s="2181"/>
      <c r="U137" s="2181"/>
      <c r="V137" s="2181"/>
      <c r="W137" s="2181"/>
      <c r="X137" s="2181"/>
      <c r="Y137" s="2181"/>
      <c r="Z137" s="2181"/>
      <c r="AA137" s="2181"/>
      <c r="AB137" s="2181"/>
      <c r="AC137" s="2181"/>
      <c r="AD137" s="2181"/>
      <c r="AE137" s="2181"/>
      <c r="AF137" s="2181"/>
      <c r="AG137" s="2181"/>
      <c r="AH137" s="2181"/>
      <c r="AI137" s="2181"/>
      <c r="AJ137" s="2181"/>
      <c r="AK137" s="2181"/>
      <c r="AL137" s="2181"/>
      <c r="AM137" s="2181"/>
      <c r="AP137" s="387"/>
    </row>
    <row r="138" spans="2:42" s="398" customFormat="1" ht="125.1" customHeight="1">
      <c r="B138" s="3023"/>
      <c r="C138" s="1861"/>
      <c r="D138" s="1861"/>
      <c r="E138" s="1861"/>
      <c r="F138" s="1861"/>
      <c r="G138" s="1861"/>
      <c r="H138" s="1861"/>
      <c r="I138" s="1861"/>
      <c r="J138" s="1861"/>
      <c r="K138" s="1861"/>
      <c r="L138" s="1861"/>
      <c r="M138" s="1861"/>
      <c r="N138" s="1861"/>
      <c r="O138" s="1861"/>
      <c r="P138" s="1861"/>
      <c r="Q138" s="1861"/>
      <c r="R138" s="1861"/>
      <c r="S138" s="1861"/>
      <c r="T138" s="1861"/>
      <c r="U138" s="1861"/>
      <c r="V138" s="1861"/>
      <c r="W138" s="1861"/>
      <c r="X138" s="1861"/>
      <c r="Y138" s="1861"/>
      <c r="Z138" s="1861"/>
      <c r="AA138" s="1861"/>
      <c r="AB138" s="1861"/>
      <c r="AC138" s="1861"/>
      <c r="AD138" s="1861"/>
      <c r="AE138" s="1861"/>
      <c r="AF138" s="1861"/>
      <c r="AG138" s="1861"/>
      <c r="AH138" s="1861"/>
      <c r="AI138" s="1861"/>
      <c r="AJ138" s="1861"/>
      <c r="AK138" s="1861"/>
      <c r="AL138" s="1861"/>
      <c r="AM138" s="1862"/>
      <c r="AP138" s="387"/>
    </row>
    <row r="139" spans="2:42" s="398" customFormat="1" ht="36" customHeight="1">
      <c r="B139" s="2181" t="s">
        <v>2499</v>
      </c>
      <c r="C139" s="2181"/>
      <c r="D139" s="2181"/>
      <c r="E139" s="2181"/>
      <c r="F139" s="2181"/>
      <c r="G139" s="2181"/>
      <c r="H139" s="2181"/>
      <c r="I139" s="2181"/>
      <c r="J139" s="2181"/>
      <c r="K139" s="2181"/>
      <c r="L139" s="2181"/>
      <c r="M139" s="2181"/>
      <c r="N139" s="2181"/>
      <c r="O139" s="2181"/>
      <c r="P139" s="2181"/>
      <c r="Q139" s="2181"/>
      <c r="R139" s="2181"/>
      <c r="S139" s="2181"/>
      <c r="T139" s="2181"/>
      <c r="U139" s="2181"/>
      <c r="V139" s="2181"/>
      <c r="W139" s="2181"/>
      <c r="X139" s="2181"/>
      <c r="Y139" s="2181"/>
      <c r="Z139" s="2181"/>
      <c r="AA139" s="2181"/>
      <c r="AB139" s="2181"/>
      <c r="AC139" s="2181"/>
      <c r="AD139" s="2181"/>
      <c r="AE139" s="2181"/>
      <c r="AF139" s="2181"/>
      <c r="AG139" s="2181"/>
      <c r="AH139" s="2181"/>
      <c r="AI139" s="2181"/>
      <c r="AJ139" s="2181"/>
      <c r="AK139" s="2181"/>
      <c r="AL139" s="2181"/>
      <c r="AM139" s="2181"/>
    </row>
    <row r="140" spans="2:42" s="398" customFormat="1" ht="125.1" customHeight="1">
      <c r="B140" s="3023"/>
      <c r="C140" s="1861"/>
      <c r="D140" s="1861"/>
      <c r="E140" s="1861"/>
      <c r="F140" s="1861"/>
      <c r="G140" s="1861"/>
      <c r="H140" s="1861"/>
      <c r="I140" s="1861"/>
      <c r="J140" s="1861"/>
      <c r="K140" s="1861"/>
      <c r="L140" s="1861"/>
      <c r="M140" s="1861"/>
      <c r="N140" s="1861"/>
      <c r="O140" s="1861"/>
      <c r="P140" s="1861"/>
      <c r="Q140" s="1861"/>
      <c r="R140" s="1861"/>
      <c r="S140" s="1861"/>
      <c r="T140" s="1861"/>
      <c r="U140" s="1861"/>
      <c r="V140" s="1861"/>
      <c r="W140" s="1861"/>
      <c r="X140" s="1861"/>
      <c r="Y140" s="1861"/>
      <c r="Z140" s="1861"/>
      <c r="AA140" s="1861"/>
      <c r="AB140" s="1861"/>
      <c r="AC140" s="1861"/>
      <c r="AD140" s="1861"/>
      <c r="AE140" s="1861"/>
      <c r="AF140" s="1861"/>
      <c r="AG140" s="1861"/>
      <c r="AH140" s="1861"/>
      <c r="AI140" s="1861"/>
      <c r="AJ140" s="1861"/>
      <c r="AK140" s="1861"/>
      <c r="AL140" s="1861"/>
      <c r="AM140" s="1862"/>
    </row>
    <row r="141" spans="2:42" s="398" customFormat="1" ht="18" customHeight="1">
      <c r="B141" s="2181" t="s">
        <v>2495</v>
      </c>
      <c r="C141" s="2181"/>
      <c r="D141" s="2181"/>
      <c r="E141" s="2181"/>
      <c r="F141" s="2181"/>
      <c r="G141" s="2181"/>
      <c r="H141" s="2181"/>
      <c r="I141" s="2181"/>
      <c r="J141" s="2181"/>
      <c r="K141" s="2181"/>
      <c r="L141" s="2181"/>
      <c r="M141" s="2181"/>
      <c r="N141" s="2181"/>
      <c r="O141" s="2181"/>
      <c r="P141" s="2181"/>
      <c r="Q141" s="2181"/>
      <c r="R141" s="2181"/>
      <c r="S141" s="2181"/>
      <c r="T141" s="2181"/>
      <c r="U141" s="2181"/>
      <c r="V141" s="2181"/>
      <c r="W141" s="2181"/>
      <c r="X141" s="2181"/>
      <c r="Y141" s="2181"/>
      <c r="Z141" s="2181"/>
      <c r="AA141" s="2181"/>
      <c r="AB141" s="2181"/>
      <c r="AC141" s="2181"/>
      <c r="AD141" s="2181"/>
      <c r="AE141" s="2181"/>
      <c r="AF141" s="2181"/>
      <c r="AG141" s="2181"/>
      <c r="AH141" s="2181"/>
      <c r="AI141" s="2181"/>
      <c r="AJ141" s="2181"/>
      <c r="AK141" s="2181"/>
      <c r="AL141" s="2181"/>
      <c r="AM141" s="2181"/>
      <c r="AP141" s="387"/>
    </row>
    <row r="142" spans="2:42" s="398" customFormat="1" ht="125.1" customHeight="1">
      <c r="B142" s="3023"/>
      <c r="C142" s="1861"/>
      <c r="D142" s="1861"/>
      <c r="E142" s="1861"/>
      <c r="F142" s="1861"/>
      <c r="G142" s="1861"/>
      <c r="H142" s="1861"/>
      <c r="I142" s="1861"/>
      <c r="J142" s="1861"/>
      <c r="K142" s="1861"/>
      <c r="L142" s="1861"/>
      <c r="M142" s="1861"/>
      <c r="N142" s="1861"/>
      <c r="O142" s="1861"/>
      <c r="P142" s="1861"/>
      <c r="Q142" s="1861"/>
      <c r="R142" s="1861"/>
      <c r="S142" s="1861"/>
      <c r="T142" s="1861"/>
      <c r="U142" s="1861"/>
      <c r="V142" s="1861"/>
      <c r="W142" s="1861"/>
      <c r="X142" s="1861"/>
      <c r="Y142" s="1861"/>
      <c r="Z142" s="1861"/>
      <c r="AA142" s="1861"/>
      <c r="AB142" s="1861"/>
      <c r="AC142" s="1861"/>
      <c r="AD142" s="1861"/>
      <c r="AE142" s="1861"/>
      <c r="AF142" s="1861"/>
      <c r="AG142" s="1861"/>
      <c r="AH142" s="1861"/>
      <c r="AI142" s="1861"/>
      <c r="AJ142" s="1861"/>
      <c r="AK142" s="1861"/>
      <c r="AL142" s="1861"/>
      <c r="AM142" s="1862"/>
      <c r="AP142" s="387"/>
    </row>
    <row r="143" spans="2:42" s="398" customFormat="1" ht="18" customHeight="1">
      <c r="B143" s="2181" t="s">
        <v>2930</v>
      </c>
      <c r="C143" s="2181"/>
      <c r="D143" s="2181"/>
      <c r="E143" s="2181"/>
      <c r="F143" s="2181"/>
      <c r="G143" s="2181"/>
      <c r="H143" s="2181"/>
      <c r="I143" s="2181"/>
      <c r="J143" s="2181"/>
      <c r="K143" s="2181"/>
      <c r="L143" s="2181"/>
      <c r="M143" s="2181"/>
      <c r="N143" s="2181"/>
      <c r="O143" s="2181"/>
      <c r="P143" s="2181"/>
      <c r="Q143" s="2181"/>
      <c r="R143" s="2181"/>
      <c r="S143" s="2181"/>
      <c r="T143" s="2181"/>
      <c r="U143" s="2181"/>
      <c r="V143" s="2181"/>
      <c r="W143" s="2181"/>
      <c r="X143" s="2181"/>
      <c r="Y143" s="2181"/>
      <c r="Z143" s="2181"/>
      <c r="AA143" s="2181"/>
      <c r="AB143" s="2181"/>
      <c r="AC143" s="2181"/>
      <c r="AD143" s="2181"/>
      <c r="AE143" s="2181"/>
      <c r="AF143" s="2181"/>
      <c r="AG143" s="2181"/>
      <c r="AH143" s="2181"/>
      <c r="AI143" s="2181"/>
      <c r="AJ143" s="2181"/>
      <c r="AK143" s="2181"/>
      <c r="AL143" s="2181"/>
      <c r="AM143" s="2181"/>
    </row>
    <row r="144" spans="2:42" s="398" customFormat="1" ht="125.1" customHeight="1">
      <c r="B144" s="3023"/>
      <c r="C144" s="1861"/>
      <c r="D144" s="1861"/>
      <c r="E144" s="1861"/>
      <c r="F144" s="1861"/>
      <c r="G144" s="1861"/>
      <c r="H144" s="1861"/>
      <c r="I144" s="1861"/>
      <c r="J144" s="1861"/>
      <c r="K144" s="1861"/>
      <c r="L144" s="1861"/>
      <c r="M144" s="1861"/>
      <c r="N144" s="1861"/>
      <c r="O144" s="1861"/>
      <c r="P144" s="1861"/>
      <c r="Q144" s="1861"/>
      <c r="R144" s="1861"/>
      <c r="S144" s="1861"/>
      <c r="T144" s="1861"/>
      <c r="U144" s="1861"/>
      <c r="V144" s="1861"/>
      <c r="W144" s="1861"/>
      <c r="X144" s="1861"/>
      <c r="Y144" s="1861"/>
      <c r="Z144" s="1861"/>
      <c r="AA144" s="1861"/>
      <c r="AB144" s="1861"/>
      <c r="AC144" s="1861"/>
      <c r="AD144" s="1861"/>
      <c r="AE144" s="1861"/>
      <c r="AF144" s="1861"/>
      <c r="AG144" s="1861"/>
      <c r="AH144" s="1861"/>
      <c r="AI144" s="1861"/>
      <c r="AJ144" s="1861"/>
      <c r="AK144" s="1861"/>
      <c r="AL144" s="1861"/>
      <c r="AM144" s="1862"/>
    </row>
    <row r="145" spans="2:42" s="398" customFormat="1" ht="18" customHeight="1">
      <c r="B145" s="2181" t="s">
        <v>2495</v>
      </c>
      <c r="C145" s="2181"/>
      <c r="D145" s="2181"/>
      <c r="E145" s="2181"/>
      <c r="F145" s="2181"/>
      <c r="G145" s="2181"/>
      <c r="H145" s="2181"/>
      <c r="I145" s="2181"/>
      <c r="J145" s="2181"/>
      <c r="K145" s="2181"/>
      <c r="L145" s="2181"/>
      <c r="M145" s="2181"/>
      <c r="N145" s="2181"/>
      <c r="O145" s="2181"/>
      <c r="P145" s="2181"/>
      <c r="Q145" s="2181"/>
      <c r="R145" s="2181"/>
      <c r="S145" s="2181"/>
      <c r="T145" s="2181"/>
      <c r="U145" s="2181"/>
      <c r="V145" s="2181"/>
      <c r="W145" s="2181"/>
      <c r="X145" s="2181"/>
      <c r="Y145" s="2181"/>
      <c r="Z145" s="2181"/>
      <c r="AA145" s="2181"/>
      <c r="AB145" s="2181"/>
      <c r="AC145" s="2181"/>
      <c r="AD145" s="2181"/>
      <c r="AE145" s="2181"/>
      <c r="AF145" s="2181"/>
      <c r="AG145" s="2181"/>
      <c r="AH145" s="2181"/>
      <c r="AI145" s="2181"/>
      <c r="AJ145" s="2181"/>
      <c r="AK145" s="2181"/>
      <c r="AL145" s="2181"/>
      <c r="AM145" s="2181"/>
      <c r="AP145" s="387"/>
    </row>
    <row r="146" spans="2:42" s="398" customFormat="1" ht="125.1" customHeight="1">
      <c r="B146" s="3023"/>
      <c r="C146" s="1861"/>
      <c r="D146" s="1861"/>
      <c r="E146" s="1861"/>
      <c r="F146" s="1861"/>
      <c r="G146" s="1861"/>
      <c r="H146" s="1861"/>
      <c r="I146" s="1861"/>
      <c r="J146" s="1861"/>
      <c r="K146" s="1861"/>
      <c r="L146" s="1861"/>
      <c r="M146" s="1861"/>
      <c r="N146" s="1861"/>
      <c r="O146" s="1861"/>
      <c r="P146" s="1861"/>
      <c r="Q146" s="1861"/>
      <c r="R146" s="1861"/>
      <c r="S146" s="1861"/>
      <c r="T146" s="1861"/>
      <c r="U146" s="1861"/>
      <c r="V146" s="1861"/>
      <c r="W146" s="1861"/>
      <c r="X146" s="1861"/>
      <c r="Y146" s="1861"/>
      <c r="Z146" s="1861"/>
      <c r="AA146" s="1861"/>
      <c r="AB146" s="1861"/>
      <c r="AC146" s="1861"/>
      <c r="AD146" s="1861"/>
      <c r="AE146" s="1861"/>
      <c r="AF146" s="1861"/>
      <c r="AG146" s="1861"/>
      <c r="AH146" s="1861"/>
      <c r="AI146" s="1861"/>
      <c r="AJ146" s="1861"/>
      <c r="AK146" s="1861"/>
      <c r="AL146" s="1861"/>
      <c r="AM146" s="1862"/>
      <c r="AP146" s="387"/>
    </row>
    <row r="147" spans="2:42" s="398" customFormat="1" ht="36" customHeight="1">
      <c r="B147" s="2181" t="s">
        <v>2499</v>
      </c>
      <c r="C147" s="2181"/>
      <c r="D147" s="2181"/>
      <c r="E147" s="2181"/>
      <c r="F147" s="2181"/>
      <c r="G147" s="2181"/>
      <c r="H147" s="2181"/>
      <c r="I147" s="2181"/>
      <c r="J147" s="2181"/>
      <c r="K147" s="2181"/>
      <c r="L147" s="2181"/>
      <c r="M147" s="2181"/>
      <c r="N147" s="2181"/>
      <c r="O147" s="2181"/>
      <c r="P147" s="2181"/>
      <c r="Q147" s="2181"/>
      <c r="R147" s="2181"/>
      <c r="S147" s="2181"/>
      <c r="T147" s="2181"/>
      <c r="U147" s="2181"/>
      <c r="V147" s="2181"/>
      <c r="W147" s="2181"/>
      <c r="X147" s="2181"/>
      <c r="Y147" s="2181"/>
      <c r="Z147" s="2181"/>
      <c r="AA147" s="2181"/>
      <c r="AB147" s="2181"/>
      <c r="AC147" s="2181"/>
      <c r="AD147" s="2181"/>
      <c r="AE147" s="2181"/>
      <c r="AF147" s="2181"/>
      <c r="AG147" s="2181"/>
      <c r="AH147" s="2181"/>
      <c r="AI147" s="2181"/>
      <c r="AJ147" s="2181"/>
      <c r="AK147" s="2181"/>
      <c r="AL147" s="2181"/>
      <c r="AM147" s="2181"/>
    </row>
    <row r="148" spans="2:42" s="398" customFormat="1" ht="125.1" customHeight="1">
      <c r="B148" s="3023"/>
      <c r="C148" s="1861"/>
      <c r="D148" s="1861"/>
      <c r="E148" s="1861"/>
      <c r="F148" s="1861"/>
      <c r="G148" s="1861"/>
      <c r="H148" s="1861"/>
      <c r="I148" s="1861"/>
      <c r="J148" s="1861"/>
      <c r="K148" s="1861"/>
      <c r="L148" s="1861"/>
      <c r="M148" s="1861"/>
      <c r="N148" s="1861"/>
      <c r="O148" s="1861"/>
      <c r="P148" s="1861"/>
      <c r="Q148" s="1861"/>
      <c r="R148" s="1861"/>
      <c r="S148" s="1861"/>
      <c r="T148" s="1861"/>
      <c r="U148" s="1861"/>
      <c r="V148" s="1861"/>
      <c r="W148" s="1861"/>
      <c r="X148" s="1861"/>
      <c r="Y148" s="1861"/>
      <c r="Z148" s="1861"/>
      <c r="AA148" s="1861"/>
      <c r="AB148" s="1861"/>
      <c r="AC148" s="1861"/>
      <c r="AD148" s="1861"/>
      <c r="AE148" s="1861"/>
      <c r="AF148" s="1861"/>
      <c r="AG148" s="1861"/>
      <c r="AH148" s="1861"/>
      <c r="AI148" s="1861"/>
      <c r="AJ148" s="1861"/>
      <c r="AK148" s="1861"/>
      <c r="AL148" s="1861"/>
      <c r="AM148" s="1862"/>
    </row>
    <row r="149" spans="2:42" s="398" customFormat="1" ht="18" customHeight="1">
      <c r="B149" s="2181" t="s">
        <v>2495</v>
      </c>
      <c r="C149" s="2181"/>
      <c r="D149" s="2181"/>
      <c r="E149" s="2181"/>
      <c r="F149" s="2181"/>
      <c r="G149" s="2181"/>
      <c r="H149" s="2181"/>
      <c r="I149" s="2181"/>
      <c r="J149" s="2181"/>
      <c r="K149" s="2181"/>
      <c r="L149" s="2181"/>
      <c r="M149" s="2181"/>
      <c r="N149" s="2181"/>
      <c r="O149" s="2181"/>
      <c r="P149" s="2181"/>
      <c r="Q149" s="2181"/>
      <c r="R149" s="2181"/>
      <c r="S149" s="2181"/>
      <c r="T149" s="2181"/>
      <c r="U149" s="2181"/>
      <c r="V149" s="2181"/>
      <c r="W149" s="2181"/>
      <c r="X149" s="2181"/>
      <c r="Y149" s="2181"/>
      <c r="Z149" s="2181"/>
      <c r="AA149" s="2181"/>
      <c r="AB149" s="2181"/>
      <c r="AC149" s="2181"/>
      <c r="AD149" s="2181"/>
      <c r="AE149" s="2181"/>
      <c r="AF149" s="2181"/>
      <c r="AG149" s="2181"/>
      <c r="AH149" s="2181"/>
      <c r="AI149" s="2181"/>
      <c r="AJ149" s="2181"/>
      <c r="AK149" s="2181"/>
      <c r="AL149" s="2181"/>
      <c r="AM149" s="2181"/>
      <c r="AP149" s="387"/>
    </row>
    <row r="150" spans="2:42" s="398" customFormat="1" ht="125.1" customHeight="1">
      <c r="B150" s="3023"/>
      <c r="C150" s="1861"/>
      <c r="D150" s="1861"/>
      <c r="E150" s="1861"/>
      <c r="F150" s="1861"/>
      <c r="G150" s="1861"/>
      <c r="H150" s="1861"/>
      <c r="I150" s="1861"/>
      <c r="J150" s="1861"/>
      <c r="K150" s="1861"/>
      <c r="L150" s="1861"/>
      <c r="M150" s="1861"/>
      <c r="N150" s="1861"/>
      <c r="O150" s="1861"/>
      <c r="P150" s="1861"/>
      <c r="Q150" s="1861"/>
      <c r="R150" s="1861"/>
      <c r="S150" s="1861"/>
      <c r="T150" s="1861"/>
      <c r="U150" s="1861"/>
      <c r="V150" s="1861"/>
      <c r="W150" s="1861"/>
      <c r="X150" s="1861"/>
      <c r="Y150" s="1861"/>
      <c r="Z150" s="1861"/>
      <c r="AA150" s="1861"/>
      <c r="AB150" s="1861"/>
      <c r="AC150" s="1861"/>
      <c r="AD150" s="1861"/>
      <c r="AE150" s="1861"/>
      <c r="AF150" s="1861"/>
      <c r="AG150" s="1861"/>
      <c r="AH150" s="1861"/>
      <c r="AI150" s="1861"/>
      <c r="AJ150" s="1861"/>
      <c r="AK150" s="1861"/>
      <c r="AL150" s="1861"/>
      <c r="AM150" s="1862"/>
      <c r="AP150" s="387"/>
    </row>
    <row r="151" spans="2:42" s="398" customFormat="1" ht="18" customHeight="1">
      <c r="B151" s="2181" t="s">
        <v>2930</v>
      </c>
      <c r="C151" s="2181"/>
      <c r="D151" s="2181"/>
      <c r="E151" s="2181"/>
      <c r="F151" s="2181"/>
      <c r="G151" s="2181"/>
      <c r="H151" s="2181"/>
      <c r="I151" s="2181"/>
      <c r="J151" s="2181"/>
      <c r="K151" s="2181"/>
      <c r="L151" s="2181"/>
      <c r="M151" s="2181"/>
      <c r="N151" s="2181"/>
      <c r="O151" s="2181"/>
      <c r="P151" s="2181"/>
      <c r="Q151" s="2181"/>
      <c r="R151" s="2181"/>
      <c r="S151" s="2181"/>
      <c r="T151" s="2181"/>
      <c r="U151" s="2181"/>
      <c r="V151" s="2181"/>
      <c r="W151" s="2181"/>
      <c r="X151" s="2181"/>
      <c r="Y151" s="2181"/>
      <c r="Z151" s="2181"/>
      <c r="AA151" s="2181"/>
      <c r="AB151" s="2181"/>
      <c r="AC151" s="2181"/>
      <c r="AD151" s="2181"/>
      <c r="AE151" s="2181"/>
      <c r="AF151" s="2181"/>
      <c r="AG151" s="2181"/>
      <c r="AH151" s="2181"/>
      <c r="AI151" s="2181"/>
      <c r="AJ151" s="2181"/>
      <c r="AK151" s="2181"/>
      <c r="AL151" s="2181"/>
      <c r="AM151" s="2181"/>
    </row>
    <row r="152" spans="2:42" s="398" customFormat="1" ht="125.1" customHeight="1">
      <c r="B152" s="3023"/>
      <c r="C152" s="1861"/>
      <c r="D152" s="1861"/>
      <c r="E152" s="1861"/>
      <c r="F152" s="1861"/>
      <c r="G152" s="1861"/>
      <c r="H152" s="1861"/>
      <c r="I152" s="1861"/>
      <c r="J152" s="1861"/>
      <c r="K152" s="1861"/>
      <c r="L152" s="1861"/>
      <c r="M152" s="1861"/>
      <c r="N152" s="1861"/>
      <c r="O152" s="1861"/>
      <c r="P152" s="1861"/>
      <c r="Q152" s="1861"/>
      <c r="R152" s="1861"/>
      <c r="S152" s="1861"/>
      <c r="T152" s="1861"/>
      <c r="U152" s="1861"/>
      <c r="V152" s="1861"/>
      <c r="W152" s="1861"/>
      <c r="X152" s="1861"/>
      <c r="Y152" s="1861"/>
      <c r="Z152" s="1861"/>
      <c r="AA152" s="1861"/>
      <c r="AB152" s="1861"/>
      <c r="AC152" s="1861"/>
      <c r="AD152" s="1861"/>
      <c r="AE152" s="1861"/>
      <c r="AF152" s="1861"/>
      <c r="AG152" s="1861"/>
      <c r="AH152" s="1861"/>
      <c r="AI152" s="1861"/>
      <c r="AJ152" s="1861"/>
      <c r="AK152" s="1861"/>
      <c r="AL152" s="1861"/>
      <c r="AM152" s="1862"/>
    </row>
    <row r="153" spans="2:42" s="398" customFormat="1" ht="18" customHeight="1">
      <c r="B153" s="2181" t="s">
        <v>2495</v>
      </c>
      <c r="C153" s="2181"/>
      <c r="D153" s="2181"/>
      <c r="E153" s="2181"/>
      <c r="F153" s="2181"/>
      <c r="G153" s="2181"/>
      <c r="H153" s="2181"/>
      <c r="I153" s="2181"/>
      <c r="J153" s="2181"/>
      <c r="K153" s="2181"/>
      <c r="L153" s="2181"/>
      <c r="M153" s="2181"/>
      <c r="N153" s="2181"/>
      <c r="O153" s="2181"/>
      <c r="P153" s="2181"/>
      <c r="Q153" s="2181"/>
      <c r="R153" s="2181"/>
      <c r="S153" s="2181"/>
      <c r="T153" s="2181"/>
      <c r="U153" s="2181"/>
      <c r="V153" s="2181"/>
      <c r="W153" s="2181"/>
      <c r="X153" s="2181"/>
      <c r="Y153" s="2181"/>
      <c r="Z153" s="2181"/>
      <c r="AA153" s="2181"/>
      <c r="AB153" s="2181"/>
      <c r="AC153" s="2181"/>
      <c r="AD153" s="2181"/>
      <c r="AE153" s="2181"/>
      <c r="AF153" s="2181"/>
      <c r="AG153" s="2181"/>
      <c r="AH153" s="2181"/>
      <c r="AI153" s="2181"/>
      <c r="AJ153" s="2181"/>
      <c r="AK153" s="2181"/>
      <c r="AL153" s="2181"/>
      <c r="AM153" s="2181"/>
      <c r="AP153" s="387"/>
    </row>
    <row r="154" spans="2:42" s="398" customFormat="1" ht="125.1" customHeight="1">
      <c r="B154" s="3023"/>
      <c r="C154" s="1861"/>
      <c r="D154" s="1861"/>
      <c r="E154" s="1861"/>
      <c r="F154" s="1861"/>
      <c r="G154" s="1861"/>
      <c r="H154" s="1861"/>
      <c r="I154" s="1861"/>
      <c r="J154" s="1861"/>
      <c r="K154" s="1861"/>
      <c r="L154" s="1861"/>
      <c r="M154" s="1861"/>
      <c r="N154" s="1861"/>
      <c r="O154" s="1861"/>
      <c r="P154" s="1861"/>
      <c r="Q154" s="1861"/>
      <c r="R154" s="1861"/>
      <c r="S154" s="1861"/>
      <c r="T154" s="1861"/>
      <c r="U154" s="1861"/>
      <c r="V154" s="1861"/>
      <c r="W154" s="1861"/>
      <c r="X154" s="1861"/>
      <c r="Y154" s="1861"/>
      <c r="Z154" s="1861"/>
      <c r="AA154" s="1861"/>
      <c r="AB154" s="1861"/>
      <c r="AC154" s="1861"/>
      <c r="AD154" s="1861"/>
      <c r="AE154" s="1861"/>
      <c r="AF154" s="1861"/>
      <c r="AG154" s="1861"/>
      <c r="AH154" s="1861"/>
      <c r="AI154" s="1861"/>
      <c r="AJ154" s="1861"/>
      <c r="AK154" s="1861"/>
      <c r="AL154" s="1861"/>
      <c r="AM154" s="1862"/>
      <c r="AP154" s="387"/>
    </row>
    <row r="155" spans="2:42" s="398" customFormat="1" ht="18" customHeight="1">
      <c r="B155" s="2181" t="s">
        <v>2501</v>
      </c>
      <c r="C155" s="2181"/>
      <c r="D155" s="2181"/>
      <c r="E155" s="2181"/>
      <c r="F155" s="2181"/>
      <c r="G155" s="2181"/>
      <c r="H155" s="2181"/>
      <c r="I155" s="2181"/>
      <c r="J155" s="2181"/>
      <c r="K155" s="2181"/>
      <c r="L155" s="2181"/>
      <c r="M155" s="2181"/>
      <c r="N155" s="2181"/>
      <c r="O155" s="2181"/>
      <c r="P155" s="2181"/>
      <c r="Q155" s="2181"/>
      <c r="R155" s="2181"/>
      <c r="S155" s="2181"/>
      <c r="T155" s="2181"/>
      <c r="U155" s="2181"/>
      <c r="V155" s="2181"/>
      <c r="W155" s="2181"/>
      <c r="X155" s="2181"/>
      <c r="Y155" s="2181"/>
      <c r="Z155" s="2181"/>
      <c r="AA155" s="2181"/>
      <c r="AB155" s="2181"/>
      <c r="AC155" s="2181"/>
      <c r="AD155" s="2181"/>
      <c r="AE155" s="2181"/>
      <c r="AF155" s="2181"/>
      <c r="AG155" s="2181"/>
      <c r="AH155" s="2181"/>
      <c r="AI155" s="2181"/>
      <c r="AJ155" s="2181"/>
      <c r="AK155" s="2181"/>
      <c r="AL155" s="2181"/>
      <c r="AM155" s="2181"/>
    </row>
    <row r="156" spans="2:42" s="398" customFormat="1" ht="125.1" customHeight="1">
      <c r="B156" s="3023"/>
      <c r="C156" s="1861"/>
      <c r="D156" s="1861"/>
      <c r="E156" s="1861"/>
      <c r="F156" s="1861"/>
      <c r="G156" s="1861"/>
      <c r="H156" s="1861"/>
      <c r="I156" s="1861"/>
      <c r="J156" s="1861"/>
      <c r="K156" s="1861"/>
      <c r="L156" s="1861"/>
      <c r="M156" s="1861"/>
      <c r="N156" s="1861"/>
      <c r="O156" s="1861"/>
      <c r="P156" s="1861"/>
      <c r="Q156" s="1861"/>
      <c r="R156" s="1861"/>
      <c r="S156" s="1861"/>
      <c r="T156" s="1861"/>
      <c r="U156" s="1861"/>
      <c r="V156" s="1861"/>
      <c r="W156" s="1861"/>
      <c r="X156" s="1861"/>
      <c r="Y156" s="1861"/>
      <c r="Z156" s="1861"/>
      <c r="AA156" s="1861"/>
      <c r="AB156" s="1861"/>
      <c r="AC156" s="1861"/>
      <c r="AD156" s="1861"/>
      <c r="AE156" s="1861"/>
      <c r="AF156" s="1861"/>
      <c r="AG156" s="1861"/>
      <c r="AH156" s="1861"/>
      <c r="AI156" s="1861"/>
      <c r="AJ156" s="1861"/>
      <c r="AK156" s="1861"/>
      <c r="AL156" s="1861"/>
      <c r="AM156" s="1862"/>
    </row>
    <row r="157" spans="2:42" s="398" customFormat="1" ht="18" customHeight="1">
      <c r="B157" s="2181" t="s">
        <v>2495</v>
      </c>
      <c r="C157" s="2181"/>
      <c r="D157" s="2181"/>
      <c r="E157" s="2181"/>
      <c r="F157" s="2181"/>
      <c r="G157" s="2181"/>
      <c r="H157" s="2181"/>
      <c r="I157" s="2181"/>
      <c r="J157" s="2181"/>
      <c r="K157" s="2181"/>
      <c r="L157" s="2181"/>
      <c r="M157" s="2181"/>
      <c r="N157" s="2181"/>
      <c r="O157" s="2181"/>
      <c r="P157" s="2181"/>
      <c r="Q157" s="2181"/>
      <c r="R157" s="2181"/>
      <c r="S157" s="2181"/>
      <c r="T157" s="2181"/>
      <c r="U157" s="2181"/>
      <c r="V157" s="2181"/>
      <c r="W157" s="2181"/>
      <c r="X157" s="2181"/>
      <c r="Y157" s="2181"/>
      <c r="Z157" s="2181"/>
      <c r="AA157" s="2181"/>
      <c r="AB157" s="2181"/>
      <c r="AC157" s="2181"/>
      <c r="AD157" s="2181"/>
      <c r="AE157" s="2181"/>
      <c r="AF157" s="2181"/>
      <c r="AG157" s="2181"/>
      <c r="AH157" s="2181"/>
      <c r="AI157" s="2181"/>
      <c r="AJ157" s="2181"/>
      <c r="AK157" s="2181"/>
      <c r="AL157" s="2181"/>
      <c r="AM157" s="2181"/>
      <c r="AP157" s="387"/>
    </row>
    <row r="158" spans="2:42" s="398" customFormat="1" ht="125.1" customHeight="1">
      <c r="B158" s="3023"/>
      <c r="C158" s="1861"/>
      <c r="D158" s="1861"/>
      <c r="E158" s="1861"/>
      <c r="F158" s="1861"/>
      <c r="G158" s="1861"/>
      <c r="H158" s="1861"/>
      <c r="I158" s="1861"/>
      <c r="J158" s="1861"/>
      <c r="K158" s="1861"/>
      <c r="L158" s="1861"/>
      <c r="M158" s="1861"/>
      <c r="N158" s="1861"/>
      <c r="O158" s="1861"/>
      <c r="P158" s="1861"/>
      <c r="Q158" s="1861"/>
      <c r="R158" s="1861"/>
      <c r="S158" s="1861"/>
      <c r="T158" s="1861"/>
      <c r="U158" s="1861"/>
      <c r="V158" s="1861"/>
      <c r="W158" s="1861"/>
      <c r="X158" s="1861"/>
      <c r="Y158" s="1861"/>
      <c r="Z158" s="1861"/>
      <c r="AA158" s="1861"/>
      <c r="AB158" s="1861"/>
      <c r="AC158" s="1861"/>
      <c r="AD158" s="1861"/>
      <c r="AE158" s="1861"/>
      <c r="AF158" s="1861"/>
      <c r="AG158" s="1861"/>
      <c r="AH158" s="1861"/>
      <c r="AI158" s="1861"/>
      <c r="AJ158" s="1861"/>
      <c r="AK158" s="1861"/>
      <c r="AL158" s="1861"/>
      <c r="AM158" s="1862"/>
      <c r="AP158" s="387"/>
    </row>
    <row r="159" spans="2:42" s="398" customFormat="1" ht="18" customHeight="1">
      <c r="B159" s="2181" t="s">
        <v>2931</v>
      </c>
      <c r="C159" s="2181"/>
      <c r="D159" s="2181"/>
      <c r="E159" s="2181"/>
      <c r="F159" s="2181"/>
      <c r="G159" s="2181"/>
      <c r="H159" s="2181"/>
      <c r="I159" s="2181"/>
      <c r="J159" s="2181"/>
      <c r="K159" s="2181"/>
      <c r="L159" s="2181"/>
      <c r="M159" s="2181"/>
      <c r="N159" s="2181"/>
      <c r="O159" s="2181"/>
      <c r="P159" s="2181"/>
      <c r="Q159" s="2181"/>
      <c r="R159" s="2181"/>
      <c r="S159" s="2181"/>
      <c r="T159" s="2181"/>
      <c r="U159" s="2181"/>
      <c r="V159" s="2181"/>
      <c r="W159" s="2181"/>
      <c r="X159" s="2181"/>
      <c r="Y159" s="2181"/>
      <c r="Z159" s="2181"/>
      <c r="AA159" s="2181"/>
      <c r="AB159" s="2181"/>
      <c r="AC159" s="2181"/>
      <c r="AD159" s="2181"/>
      <c r="AE159" s="2181"/>
      <c r="AF159" s="2181"/>
      <c r="AG159" s="2181"/>
      <c r="AH159" s="2181"/>
      <c r="AI159" s="2181"/>
      <c r="AJ159" s="2181"/>
      <c r="AK159" s="2181"/>
      <c r="AL159" s="2181"/>
      <c r="AM159" s="2181"/>
    </row>
    <row r="160" spans="2:42" s="398" customFormat="1" ht="125.1" customHeight="1">
      <c r="B160" s="3023"/>
      <c r="C160" s="1861"/>
      <c r="D160" s="1861"/>
      <c r="E160" s="1861"/>
      <c r="F160" s="1861"/>
      <c r="G160" s="1861"/>
      <c r="H160" s="1861"/>
      <c r="I160" s="1861"/>
      <c r="J160" s="1861"/>
      <c r="K160" s="1861"/>
      <c r="L160" s="1861"/>
      <c r="M160" s="1861"/>
      <c r="N160" s="1861"/>
      <c r="O160" s="1861"/>
      <c r="P160" s="1861"/>
      <c r="Q160" s="1861"/>
      <c r="R160" s="1861"/>
      <c r="S160" s="1861"/>
      <c r="T160" s="1861"/>
      <c r="U160" s="1861"/>
      <c r="V160" s="1861"/>
      <c r="W160" s="1861"/>
      <c r="X160" s="1861"/>
      <c r="Y160" s="1861"/>
      <c r="Z160" s="1861"/>
      <c r="AA160" s="1861"/>
      <c r="AB160" s="1861"/>
      <c r="AC160" s="1861"/>
      <c r="AD160" s="1861"/>
      <c r="AE160" s="1861"/>
      <c r="AF160" s="1861"/>
      <c r="AG160" s="1861"/>
      <c r="AH160" s="1861"/>
      <c r="AI160" s="1861"/>
      <c r="AJ160" s="1861"/>
      <c r="AK160" s="1861"/>
      <c r="AL160" s="1861"/>
      <c r="AM160" s="1862"/>
    </row>
    <row r="161" spans="2:42" s="398" customFormat="1" ht="18" customHeight="1">
      <c r="B161" s="2181" t="s">
        <v>2495</v>
      </c>
      <c r="C161" s="2181"/>
      <c r="D161" s="2181"/>
      <c r="E161" s="2181"/>
      <c r="F161" s="2181"/>
      <c r="G161" s="2181"/>
      <c r="H161" s="2181"/>
      <c r="I161" s="2181"/>
      <c r="J161" s="2181"/>
      <c r="K161" s="2181"/>
      <c r="L161" s="2181"/>
      <c r="M161" s="2181"/>
      <c r="N161" s="2181"/>
      <c r="O161" s="2181"/>
      <c r="P161" s="2181"/>
      <c r="Q161" s="2181"/>
      <c r="R161" s="2181"/>
      <c r="S161" s="2181"/>
      <c r="T161" s="2181"/>
      <c r="U161" s="2181"/>
      <c r="V161" s="2181"/>
      <c r="W161" s="2181"/>
      <c r="X161" s="2181"/>
      <c r="Y161" s="2181"/>
      <c r="Z161" s="2181"/>
      <c r="AA161" s="2181"/>
      <c r="AB161" s="2181"/>
      <c r="AC161" s="2181"/>
      <c r="AD161" s="2181"/>
      <c r="AE161" s="2181"/>
      <c r="AF161" s="2181"/>
      <c r="AG161" s="2181"/>
      <c r="AH161" s="2181"/>
      <c r="AI161" s="2181"/>
      <c r="AJ161" s="2181"/>
      <c r="AK161" s="2181"/>
      <c r="AL161" s="2181"/>
      <c r="AM161" s="2181"/>
      <c r="AP161" s="387"/>
    </row>
    <row r="162" spans="2:42" s="398" customFormat="1" ht="125.1" customHeight="1">
      <c r="B162" s="3023"/>
      <c r="C162" s="1861"/>
      <c r="D162" s="1861"/>
      <c r="E162" s="1861"/>
      <c r="F162" s="1861"/>
      <c r="G162" s="1861"/>
      <c r="H162" s="1861"/>
      <c r="I162" s="1861"/>
      <c r="J162" s="1861"/>
      <c r="K162" s="1861"/>
      <c r="L162" s="1861"/>
      <c r="M162" s="1861"/>
      <c r="N162" s="1861"/>
      <c r="O162" s="1861"/>
      <c r="P162" s="1861"/>
      <c r="Q162" s="1861"/>
      <c r="R162" s="1861"/>
      <c r="S162" s="1861"/>
      <c r="T162" s="1861"/>
      <c r="U162" s="1861"/>
      <c r="V162" s="1861"/>
      <c r="W162" s="1861"/>
      <c r="X162" s="1861"/>
      <c r="Y162" s="1861"/>
      <c r="Z162" s="1861"/>
      <c r="AA162" s="1861"/>
      <c r="AB162" s="1861"/>
      <c r="AC162" s="1861"/>
      <c r="AD162" s="1861"/>
      <c r="AE162" s="1861"/>
      <c r="AF162" s="1861"/>
      <c r="AG162" s="1861"/>
      <c r="AH162" s="1861"/>
      <c r="AI162" s="1861"/>
      <c r="AJ162" s="1861"/>
      <c r="AK162" s="1861"/>
      <c r="AL162" s="1861"/>
      <c r="AM162" s="1862"/>
      <c r="AP162" s="387"/>
    </row>
    <row r="163" spans="2:42" s="398" customFormat="1" ht="18" customHeight="1">
      <c r="B163" s="2181" t="s">
        <v>2932</v>
      </c>
      <c r="C163" s="2181"/>
      <c r="D163" s="2181"/>
      <c r="E163" s="2181"/>
      <c r="F163" s="2181"/>
      <c r="G163" s="2181"/>
      <c r="H163" s="2181"/>
      <c r="I163" s="2181"/>
      <c r="J163" s="2181"/>
      <c r="K163" s="2181"/>
      <c r="L163" s="2181"/>
      <c r="M163" s="2181"/>
      <c r="N163" s="2181"/>
      <c r="O163" s="2181"/>
      <c r="P163" s="2181"/>
      <c r="Q163" s="2181"/>
      <c r="R163" s="2181"/>
      <c r="S163" s="2181"/>
      <c r="T163" s="2181"/>
      <c r="U163" s="2181"/>
      <c r="V163" s="2181"/>
      <c r="W163" s="2181"/>
      <c r="X163" s="2181"/>
      <c r="Y163" s="2181"/>
      <c r="Z163" s="2181"/>
      <c r="AA163" s="2181"/>
      <c r="AB163" s="2181"/>
      <c r="AC163" s="2181"/>
      <c r="AD163" s="2181"/>
      <c r="AE163" s="2181"/>
      <c r="AF163" s="2181"/>
      <c r="AG163" s="2181"/>
      <c r="AH163" s="2181"/>
      <c r="AI163" s="2181"/>
      <c r="AJ163" s="2181"/>
      <c r="AK163" s="2181"/>
      <c r="AL163" s="2181"/>
      <c r="AM163" s="2181"/>
    </row>
    <row r="164" spans="2:42" s="398" customFormat="1" ht="125.1" customHeight="1">
      <c r="B164" s="3023"/>
      <c r="C164" s="1861"/>
      <c r="D164" s="1861"/>
      <c r="E164" s="1861"/>
      <c r="F164" s="1861"/>
      <c r="G164" s="1861"/>
      <c r="H164" s="1861"/>
      <c r="I164" s="1861"/>
      <c r="J164" s="1861"/>
      <c r="K164" s="1861"/>
      <c r="L164" s="1861"/>
      <c r="M164" s="1861"/>
      <c r="N164" s="1861"/>
      <c r="O164" s="1861"/>
      <c r="P164" s="1861"/>
      <c r="Q164" s="1861"/>
      <c r="R164" s="1861"/>
      <c r="S164" s="1861"/>
      <c r="T164" s="1861"/>
      <c r="U164" s="1861"/>
      <c r="V164" s="1861"/>
      <c r="W164" s="1861"/>
      <c r="X164" s="1861"/>
      <c r="Y164" s="1861"/>
      <c r="Z164" s="1861"/>
      <c r="AA164" s="1861"/>
      <c r="AB164" s="1861"/>
      <c r="AC164" s="1861"/>
      <c r="AD164" s="1861"/>
      <c r="AE164" s="1861"/>
      <c r="AF164" s="1861"/>
      <c r="AG164" s="1861"/>
      <c r="AH164" s="1861"/>
      <c r="AI164" s="1861"/>
      <c r="AJ164" s="1861"/>
      <c r="AK164" s="1861"/>
      <c r="AL164" s="1861"/>
      <c r="AM164" s="1862"/>
      <c r="AN164" s="387"/>
    </row>
    <row r="165" spans="2:42" s="398" customFormat="1" ht="18" customHeight="1">
      <c r="B165" s="2181" t="s">
        <v>2495</v>
      </c>
      <c r="C165" s="2181"/>
      <c r="D165" s="2181"/>
      <c r="E165" s="2181"/>
      <c r="F165" s="2181"/>
      <c r="G165" s="2181"/>
      <c r="H165" s="2181"/>
      <c r="I165" s="2181"/>
      <c r="J165" s="2181"/>
      <c r="K165" s="2181"/>
      <c r="L165" s="2181"/>
      <c r="M165" s="2181"/>
      <c r="N165" s="2181"/>
      <c r="O165" s="2181"/>
      <c r="P165" s="2181"/>
      <c r="Q165" s="2181"/>
      <c r="R165" s="2181"/>
      <c r="S165" s="2181"/>
      <c r="T165" s="2181"/>
      <c r="U165" s="2181"/>
      <c r="V165" s="2181"/>
      <c r="W165" s="2181"/>
      <c r="X165" s="2181"/>
      <c r="Y165" s="2181"/>
      <c r="Z165" s="2181"/>
      <c r="AA165" s="2181"/>
      <c r="AB165" s="2181"/>
      <c r="AC165" s="2181"/>
      <c r="AD165" s="2181"/>
      <c r="AE165" s="2181"/>
      <c r="AF165" s="2181"/>
      <c r="AG165" s="2181"/>
      <c r="AH165" s="2181"/>
      <c r="AI165" s="2181"/>
      <c r="AJ165" s="2181"/>
      <c r="AK165" s="2181"/>
      <c r="AL165" s="2181"/>
      <c r="AM165" s="2181"/>
      <c r="AP165" s="387"/>
    </row>
    <row r="166" spans="2:42" s="398" customFormat="1" ht="125.1" customHeight="1">
      <c r="B166" s="3023"/>
      <c r="C166" s="1861"/>
      <c r="D166" s="1861"/>
      <c r="E166" s="1861"/>
      <c r="F166" s="1861"/>
      <c r="G166" s="1861"/>
      <c r="H166" s="1861"/>
      <c r="I166" s="1861"/>
      <c r="J166" s="1861"/>
      <c r="K166" s="1861"/>
      <c r="L166" s="1861"/>
      <c r="M166" s="1861"/>
      <c r="N166" s="1861"/>
      <c r="O166" s="1861"/>
      <c r="P166" s="1861"/>
      <c r="Q166" s="1861"/>
      <c r="R166" s="1861"/>
      <c r="S166" s="1861"/>
      <c r="T166" s="1861"/>
      <c r="U166" s="1861"/>
      <c r="V166" s="1861"/>
      <c r="W166" s="1861"/>
      <c r="X166" s="1861"/>
      <c r="Y166" s="1861"/>
      <c r="Z166" s="1861"/>
      <c r="AA166" s="1861"/>
      <c r="AB166" s="1861"/>
      <c r="AC166" s="1861"/>
      <c r="AD166" s="1861"/>
      <c r="AE166" s="1861"/>
      <c r="AF166" s="1861"/>
      <c r="AG166" s="1861"/>
      <c r="AH166" s="1861"/>
      <c r="AI166" s="1861"/>
      <c r="AJ166" s="1861"/>
      <c r="AK166" s="1861"/>
      <c r="AL166" s="1861"/>
      <c r="AM166" s="1862"/>
      <c r="AP166" s="387"/>
    </row>
    <row r="167" spans="2:42" s="398" customFormat="1" ht="18" customHeight="1">
      <c r="B167" s="2181" t="s">
        <v>2933</v>
      </c>
      <c r="C167" s="2181"/>
      <c r="D167" s="2181"/>
      <c r="E167" s="2181"/>
      <c r="F167" s="2181"/>
      <c r="G167" s="2181"/>
      <c r="H167" s="2181"/>
      <c r="I167" s="2181"/>
      <c r="J167" s="2181"/>
      <c r="K167" s="2181"/>
      <c r="L167" s="2181"/>
      <c r="M167" s="2181"/>
      <c r="N167" s="2181"/>
      <c r="O167" s="2181"/>
      <c r="P167" s="2181"/>
      <c r="Q167" s="2181"/>
      <c r="R167" s="2181"/>
      <c r="S167" s="2181"/>
      <c r="T167" s="2181"/>
      <c r="U167" s="2181"/>
      <c r="V167" s="2181"/>
      <c r="W167" s="2181"/>
      <c r="X167" s="2181"/>
      <c r="Y167" s="2181"/>
      <c r="Z167" s="2181"/>
      <c r="AA167" s="2181"/>
      <c r="AB167" s="2181"/>
      <c r="AC167" s="2181"/>
      <c r="AD167" s="2181"/>
      <c r="AE167" s="2181"/>
      <c r="AF167" s="2181"/>
      <c r="AG167" s="2181"/>
      <c r="AH167" s="2181"/>
      <c r="AI167" s="2181"/>
      <c r="AJ167" s="2181"/>
      <c r="AK167" s="2181"/>
      <c r="AL167" s="2181"/>
      <c r="AM167" s="2181"/>
    </row>
    <row r="168" spans="2:42" s="398" customFormat="1" ht="125.1" customHeight="1">
      <c r="B168" s="3023"/>
      <c r="C168" s="1861"/>
      <c r="D168" s="1861"/>
      <c r="E168" s="1861"/>
      <c r="F168" s="1861"/>
      <c r="G168" s="1861"/>
      <c r="H168" s="1861"/>
      <c r="I168" s="1861"/>
      <c r="J168" s="1861"/>
      <c r="K168" s="1861"/>
      <c r="L168" s="1861"/>
      <c r="M168" s="1861"/>
      <c r="N168" s="1861"/>
      <c r="O168" s="1861"/>
      <c r="P168" s="1861"/>
      <c r="Q168" s="1861"/>
      <c r="R168" s="1861"/>
      <c r="S168" s="1861"/>
      <c r="T168" s="1861"/>
      <c r="U168" s="1861"/>
      <c r="V168" s="1861"/>
      <c r="W168" s="1861"/>
      <c r="X168" s="1861"/>
      <c r="Y168" s="1861"/>
      <c r="Z168" s="1861"/>
      <c r="AA168" s="1861"/>
      <c r="AB168" s="1861"/>
      <c r="AC168" s="1861"/>
      <c r="AD168" s="1861"/>
      <c r="AE168" s="1861"/>
      <c r="AF168" s="1861"/>
      <c r="AG168" s="1861"/>
      <c r="AH168" s="1861"/>
      <c r="AI168" s="1861"/>
      <c r="AJ168" s="1861"/>
      <c r="AK168" s="1861"/>
      <c r="AL168" s="1861"/>
      <c r="AM168" s="1862"/>
      <c r="AN168" s="387"/>
    </row>
    <row r="169" spans="2:42" s="398" customFormat="1" ht="18" customHeight="1">
      <c r="B169" s="2181" t="s">
        <v>2495</v>
      </c>
      <c r="C169" s="2181"/>
      <c r="D169" s="2181"/>
      <c r="E169" s="2181"/>
      <c r="F169" s="2181"/>
      <c r="G169" s="2181"/>
      <c r="H169" s="2181"/>
      <c r="I169" s="2181"/>
      <c r="J169" s="2181"/>
      <c r="K169" s="2181"/>
      <c r="L169" s="2181"/>
      <c r="M169" s="2181"/>
      <c r="N169" s="2181"/>
      <c r="O169" s="2181"/>
      <c r="P169" s="2181"/>
      <c r="Q169" s="2181"/>
      <c r="R169" s="2181"/>
      <c r="S169" s="2181"/>
      <c r="T169" s="2181"/>
      <c r="U169" s="2181"/>
      <c r="V169" s="2181"/>
      <c r="W169" s="2181"/>
      <c r="X169" s="2181"/>
      <c r="Y169" s="2181"/>
      <c r="Z169" s="2181"/>
      <c r="AA169" s="2181"/>
      <c r="AB169" s="2181"/>
      <c r="AC169" s="2181"/>
      <c r="AD169" s="2181"/>
      <c r="AE169" s="2181"/>
      <c r="AF169" s="2181"/>
      <c r="AG169" s="2181"/>
      <c r="AH169" s="2181"/>
      <c r="AI169" s="2181"/>
      <c r="AJ169" s="2181"/>
      <c r="AK169" s="2181"/>
      <c r="AL169" s="2181"/>
      <c r="AM169" s="2181"/>
      <c r="AP169" s="387"/>
    </row>
    <row r="170" spans="2:42" s="398" customFormat="1" ht="125.1" customHeight="1">
      <c r="B170" s="3023"/>
      <c r="C170" s="1861"/>
      <c r="D170" s="1861"/>
      <c r="E170" s="1861"/>
      <c r="F170" s="1861"/>
      <c r="G170" s="1861"/>
      <c r="H170" s="1861"/>
      <c r="I170" s="1861"/>
      <c r="J170" s="1861"/>
      <c r="K170" s="1861"/>
      <c r="L170" s="1861"/>
      <c r="M170" s="1861"/>
      <c r="N170" s="1861"/>
      <c r="O170" s="1861"/>
      <c r="P170" s="1861"/>
      <c r="Q170" s="1861"/>
      <c r="R170" s="1861"/>
      <c r="S170" s="1861"/>
      <c r="T170" s="1861"/>
      <c r="U170" s="1861"/>
      <c r="V170" s="1861"/>
      <c r="W170" s="1861"/>
      <c r="X170" s="1861"/>
      <c r="Y170" s="1861"/>
      <c r="Z170" s="1861"/>
      <c r="AA170" s="1861"/>
      <c r="AB170" s="1861"/>
      <c r="AC170" s="1861"/>
      <c r="AD170" s="1861"/>
      <c r="AE170" s="1861"/>
      <c r="AF170" s="1861"/>
      <c r="AG170" s="1861"/>
      <c r="AH170" s="1861"/>
      <c r="AI170" s="1861"/>
      <c r="AJ170" s="1861"/>
      <c r="AK170" s="1861"/>
      <c r="AL170" s="1861"/>
      <c r="AM170" s="1862"/>
      <c r="AP170" s="387"/>
    </row>
    <row r="171" spans="2:42" s="381" customFormat="1" ht="20.25" customHeight="1"/>
    <row r="172" spans="2:42" s="398" customFormat="1" ht="18" customHeight="1">
      <c r="B172" s="3130" t="s">
        <v>2511</v>
      </c>
      <c r="C172" s="2181"/>
      <c r="D172" s="2181"/>
      <c r="E172" s="2181"/>
      <c r="F172" s="2181"/>
      <c r="G172" s="2181"/>
      <c r="H172" s="2181"/>
      <c r="I172" s="2181"/>
      <c r="J172" s="2181"/>
      <c r="K172" s="2181"/>
      <c r="L172" s="2181"/>
      <c r="M172" s="2181"/>
      <c r="N172" s="2181"/>
      <c r="O172" s="2181"/>
      <c r="P172" s="2181"/>
      <c r="Q172" s="2181"/>
      <c r="R172" s="2181"/>
      <c r="S172" s="2181"/>
      <c r="T172" s="2181"/>
      <c r="U172" s="2181"/>
      <c r="V172" s="2181"/>
      <c r="W172" s="2181"/>
      <c r="X172" s="2181"/>
      <c r="Y172" s="2181"/>
      <c r="Z172" s="2181"/>
      <c r="AA172" s="2181"/>
      <c r="AB172" s="2181"/>
      <c r="AC172" s="2181"/>
      <c r="AD172" s="2181"/>
      <c r="AE172" s="2181"/>
      <c r="AF172" s="2181"/>
      <c r="AG172" s="2181"/>
      <c r="AH172" s="2181"/>
      <c r="AI172" s="2181"/>
      <c r="AJ172" s="2181"/>
      <c r="AK172" s="2181"/>
      <c r="AL172" s="2181"/>
      <c r="AM172" s="2181"/>
      <c r="AN172" s="387"/>
    </row>
    <row r="173" spans="2:42" s="398" customFormat="1" ht="18" customHeight="1">
      <c r="B173" s="3130" t="s">
        <v>2512</v>
      </c>
      <c r="C173" s="2181"/>
      <c r="D173" s="2181"/>
      <c r="E173" s="2181"/>
      <c r="F173" s="2181"/>
      <c r="G173" s="2181"/>
      <c r="H173" s="2181"/>
      <c r="I173" s="2181"/>
      <c r="J173" s="2181"/>
      <c r="K173" s="2181"/>
      <c r="L173" s="2181"/>
      <c r="M173" s="2181"/>
      <c r="N173" s="2181"/>
      <c r="O173" s="2181"/>
      <c r="P173" s="2181"/>
      <c r="Q173" s="2181"/>
      <c r="R173" s="2181"/>
      <c r="S173" s="2181"/>
      <c r="T173" s="2181"/>
      <c r="U173" s="2181"/>
      <c r="V173" s="2181"/>
      <c r="W173" s="2181"/>
      <c r="X173" s="2181"/>
      <c r="Y173" s="2181"/>
      <c r="Z173" s="2181"/>
      <c r="AA173" s="2181"/>
      <c r="AB173" s="2181"/>
      <c r="AC173" s="2181"/>
      <c r="AD173" s="2181"/>
      <c r="AE173" s="2181"/>
      <c r="AF173" s="2181"/>
      <c r="AG173" s="2181"/>
      <c r="AH173" s="2181"/>
      <c r="AI173" s="2181"/>
      <c r="AJ173" s="2181"/>
      <c r="AK173" s="2181"/>
      <c r="AL173" s="2181"/>
      <c r="AM173" s="2181"/>
      <c r="AN173" s="387"/>
    </row>
    <row r="174" spans="2:42" s="398" customFormat="1" ht="63" customHeight="1">
      <c r="B174" s="3043" t="s">
        <v>2934</v>
      </c>
      <c r="C174" s="2181"/>
      <c r="D174" s="2181"/>
      <c r="E174" s="2181"/>
      <c r="F174" s="2181"/>
      <c r="G174" s="2181"/>
      <c r="H174" s="2181"/>
      <c r="I174" s="2181"/>
      <c r="J174" s="2181"/>
      <c r="K174" s="2181"/>
      <c r="L174" s="2181"/>
      <c r="M174" s="2181"/>
      <c r="N174" s="2181"/>
      <c r="O174" s="2181"/>
      <c r="P174" s="2181"/>
      <c r="Q174" s="2181"/>
      <c r="R174" s="2181"/>
      <c r="S174" s="2181"/>
      <c r="T174" s="2181"/>
      <c r="U174" s="2181"/>
      <c r="V174" s="2181"/>
      <c r="W174" s="2181"/>
      <c r="X174" s="2181"/>
      <c r="Y174" s="2181"/>
      <c r="Z174" s="2181"/>
      <c r="AA174" s="2181"/>
      <c r="AB174" s="2181"/>
      <c r="AC174" s="2181"/>
      <c r="AD174" s="2181"/>
      <c r="AE174" s="2181"/>
      <c r="AF174" s="2181"/>
      <c r="AG174" s="2181"/>
      <c r="AH174" s="2181"/>
      <c r="AI174" s="2181"/>
      <c r="AJ174" s="2181"/>
      <c r="AK174" s="2181"/>
      <c r="AL174" s="2181"/>
      <c r="AM174" s="2181"/>
    </row>
    <row r="175" spans="2:42" ht="36" customHeight="1">
      <c r="B175" s="3047" t="s">
        <v>2255</v>
      </c>
      <c r="C175" s="1777"/>
      <c r="D175" s="1777"/>
      <c r="E175" s="1777"/>
      <c r="F175" s="1778"/>
      <c r="G175" s="3047" t="s">
        <v>2256</v>
      </c>
      <c r="H175" s="1777"/>
      <c r="I175" s="1777"/>
      <c r="J175" s="1777"/>
      <c r="K175" s="1777"/>
      <c r="L175" s="1777"/>
      <c r="M175" s="1777"/>
      <c r="N175" s="1777"/>
      <c r="O175" s="1777"/>
      <c r="P175" s="1777"/>
      <c r="Q175" s="1777"/>
      <c r="R175" s="1777"/>
      <c r="S175" s="1777"/>
      <c r="T175" s="1777"/>
      <c r="U175" s="1777"/>
      <c r="V175" s="1778"/>
      <c r="W175" s="3047" t="s">
        <v>2257</v>
      </c>
      <c r="X175" s="1777"/>
      <c r="Y175" s="1777"/>
      <c r="Z175" s="1778"/>
      <c r="AA175" s="3047" t="s">
        <v>2258</v>
      </c>
      <c r="AB175" s="1777"/>
      <c r="AC175" s="1777"/>
      <c r="AD175" s="1778"/>
      <c r="AE175" s="3047" t="s">
        <v>2259</v>
      </c>
      <c r="AF175" s="1777"/>
      <c r="AG175" s="1777"/>
      <c r="AH175" s="1778"/>
      <c r="AI175" s="3047" t="s">
        <v>2260</v>
      </c>
      <c r="AJ175" s="1777"/>
      <c r="AK175" s="1777"/>
      <c r="AL175" s="1777"/>
      <c r="AM175" s="1778"/>
      <c r="AN175" s="398"/>
    </row>
    <row r="176" spans="2:42" s="398" customFormat="1" ht="110.25" customHeight="1">
      <c r="B176" s="3017" t="s">
        <v>2514</v>
      </c>
      <c r="C176" s="1777"/>
      <c r="D176" s="1777"/>
      <c r="E176" s="1777"/>
      <c r="F176" s="1778"/>
      <c r="G176" s="3068" t="s">
        <v>2935</v>
      </c>
      <c r="H176" s="1777"/>
      <c r="I176" s="1777"/>
      <c r="J176" s="1777"/>
      <c r="K176" s="1777"/>
      <c r="L176" s="1777"/>
      <c r="M176" s="1777"/>
      <c r="N176" s="1777"/>
      <c r="O176" s="1777"/>
      <c r="P176" s="1777"/>
      <c r="Q176" s="1777"/>
      <c r="R176" s="1777"/>
      <c r="S176" s="1777"/>
      <c r="T176" s="1777"/>
      <c r="U176" s="1777"/>
      <c r="V176" s="1778"/>
      <c r="W176" s="3017" t="s">
        <v>2936</v>
      </c>
      <c r="X176" s="1777"/>
      <c r="Y176" s="1777"/>
      <c r="Z176" s="1778"/>
      <c r="AA176" s="3017" t="s">
        <v>2937</v>
      </c>
      <c r="AB176" s="1777"/>
      <c r="AC176" s="1777"/>
      <c r="AD176" s="1778"/>
      <c r="AE176" s="3017" t="s">
        <v>2938</v>
      </c>
      <c r="AF176" s="1777"/>
      <c r="AG176" s="1777"/>
      <c r="AH176" s="1778"/>
      <c r="AI176" s="3017" t="s">
        <v>2266</v>
      </c>
      <c r="AJ176" s="1777"/>
      <c r="AK176" s="1777"/>
      <c r="AL176" s="1777"/>
      <c r="AM176" s="1778"/>
    </row>
    <row r="177" spans="2:40" ht="145.35" customHeight="1">
      <c r="B177" s="3091" t="s">
        <v>2939</v>
      </c>
      <c r="C177" s="1777"/>
      <c r="D177" s="1777"/>
      <c r="E177" s="1777"/>
      <c r="F177" s="1778"/>
      <c r="G177" s="3023"/>
      <c r="H177" s="1861"/>
      <c r="I177" s="1861"/>
      <c r="J177" s="1861"/>
      <c r="K177" s="1861"/>
      <c r="L177" s="1861"/>
      <c r="M177" s="1861"/>
      <c r="N177" s="1861"/>
      <c r="O177" s="1861"/>
      <c r="P177" s="1861"/>
      <c r="Q177" s="1861"/>
      <c r="R177" s="1861"/>
      <c r="S177" s="1861"/>
      <c r="T177" s="1861"/>
      <c r="U177" s="1861"/>
      <c r="V177" s="1862"/>
      <c r="W177" s="3023"/>
      <c r="X177" s="1861"/>
      <c r="Y177" s="1861"/>
      <c r="Z177" s="1862"/>
      <c r="AA177" s="3023"/>
      <c r="AB177" s="1861"/>
      <c r="AC177" s="1861"/>
      <c r="AD177" s="1862"/>
      <c r="AE177" s="3023"/>
      <c r="AF177" s="1861"/>
      <c r="AG177" s="1861"/>
      <c r="AH177" s="1862"/>
      <c r="AI177" s="3023"/>
      <c r="AJ177" s="1861"/>
      <c r="AK177" s="1861"/>
      <c r="AL177" s="1861"/>
      <c r="AM177" s="1862"/>
      <c r="AN177" s="398"/>
    </row>
    <row r="178" spans="2:40" s="398" customFormat="1" ht="145.35" customHeight="1">
      <c r="B178" s="3034" t="s">
        <v>2940</v>
      </c>
      <c r="C178" s="1777"/>
      <c r="D178" s="1777"/>
      <c r="E178" s="1777"/>
      <c r="F178" s="1778"/>
      <c r="G178" s="3023"/>
      <c r="H178" s="1861"/>
      <c r="I178" s="1861"/>
      <c r="J178" s="1861"/>
      <c r="K178" s="1861"/>
      <c r="L178" s="1861"/>
      <c r="M178" s="1861"/>
      <c r="N178" s="1861"/>
      <c r="O178" s="1861"/>
      <c r="P178" s="1861"/>
      <c r="Q178" s="1861"/>
      <c r="R178" s="1861"/>
      <c r="S178" s="1861"/>
      <c r="T178" s="1861"/>
      <c r="U178" s="1861"/>
      <c r="V178" s="1862"/>
      <c r="W178" s="3023"/>
      <c r="X178" s="1861"/>
      <c r="Y178" s="1861"/>
      <c r="Z178" s="1862"/>
      <c r="AA178" s="3023"/>
      <c r="AB178" s="1861"/>
      <c r="AC178" s="1861"/>
      <c r="AD178" s="1862"/>
      <c r="AE178" s="3023"/>
      <c r="AF178" s="1861"/>
      <c r="AG178" s="1861"/>
      <c r="AH178" s="1862"/>
      <c r="AI178" s="3023"/>
      <c r="AJ178" s="1861"/>
      <c r="AK178" s="1861"/>
      <c r="AL178" s="1861"/>
      <c r="AM178" s="1862"/>
    </row>
    <row r="179" spans="2:40" s="398" customFormat="1" ht="145.35" customHeight="1">
      <c r="B179" s="3034" t="s">
        <v>2941</v>
      </c>
      <c r="C179" s="1777"/>
      <c r="D179" s="1777"/>
      <c r="E179" s="1777"/>
      <c r="F179" s="1778"/>
      <c r="G179" s="3023"/>
      <c r="H179" s="1861"/>
      <c r="I179" s="1861"/>
      <c r="J179" s="1861"/>
      <c r="K179" s="1861"/>
      <c r="L179" s="1861"/>
      <c r="M179" s="1861"/>
      <c r="N179" s="1861"/>
      <c r="O179" s="1861"/>
      <c r="P179" s="1861"/>
      <c r="Q179" s="1861"/>
      <c r="R179" s="1861"/>
      <c r="S179" s="1861"/>
      <c r="T179" s="1861"/>
      <c r="U179" s="1861"/>
      <c r="V179" s="1862"/>
      <c r="W179" s="3023"/>
      <c r="X179" s="1861"/>
      <c r="Y179" s="1861"/>
      <c r="Z179" s="1862"/>
      <c r="AA179" s="3023"/>
      <c r="AB179" s="1861"/>
      <c r="AC179" s="1861"/>
      <c r="AD179" s="1862"/>
      <c r="AE179" s="3023"/>
      <c r="AF179" s="1861"/>
      <c r="AG179" s="1861"/>
      <c r="AH179" s="1862"/>
      <c r="AI179" s="3023"/>
      <c r="AJ179" s="1861"/>
      <c r="AK179" s="1861"/>
      <c r="AL179" s="1861"/>
      <c r="AM179" s="1862"/>
    </row>
    <row r="180" spans="2:40" s="398" customFormat="1" ht="145.35" customHeight="1">
      <c r="B180" s="3034" t="s">
        <v>2942</v>
      </c>
      <c r="C180" s="1777"/>
      <c r="D180" s="1777"/>
      <c r="E180" s="1777"/>
      <c r="F180" s="1778"/>
      <c r="G180" s="3023"/>
      <c r="H180" s="1861"/>
      <c r="I180" s="1861"/>
      <c r="J180" s="1861"/>
      <c r="K180" s="1861"/>
      <c r="L180" s="1861"/>
      <c r="M180" s="1861"/>
      <c r="N180" s="1861"/>
      <c r="O180" s="1861"/>
      <c r="P180" s="1861"/>
      <c r="Q180" s="1861"/>
      <c r="R180" s="1861"/>
      <c r="S180" s="1861"/>
      <c r="T180" s="1861"/>
      <c r="U180" s="1861"/>
      <c r="V180" s="1862"/>
      <c r="W180" s="3023"/>
      <c r="X180" s="1861"/>
      <c r="Y180" s="1861"/>
      <c r="Z180" s="1862"/>
      <c r="AA180" s="3023"/>
      <c r="AB180" s="1861"/>
      <c r="AC180" s="1861"/>
      <c r="AD180" s="1862"/>
      <c r="AE180" s="3023"/>
      <c r="AF180" s="1861"/>
      <c r="AG180" s="1861"/>
      <c r="AH180" s="1862"/>
      <c r="AI180" s="3023"/>
      <c r="AJ180" s="1861"/>
      <c r="AK180" s="1861"/>
      <c r="AL180" s="1861"/>
      <c r="AM180" s="1862"/>
    </row>
    <row r="181" spans="2:40" s="398" customFormat="1" ht="145.35" customHeight="1">
      <c r="B181" s="3034" t="s">
        <v>2943</v>
      </c>
      <c r="C181" s="1777"/>
      <c r="D181" s="1777"/>
      <c r="E181" s="1777"/>
      <c r="F181" s="1778"/>
      <c r="G181" s="3023"/>
      <c r="H181" s="1861"/>
      <c r="I181" s="1861"/>
      <c r="J181" s="1861"/>
      <c r="K181" s="1861"/>
      <c r="L181" s="1861"/>
      <c r="M181" s="1861"/>
      <c r="N181" s="1861"/>
      <c r="O181" s="1861"/>
      <c r="P181" s="1861"/>
      <c r="Q181" s="1861"/>
      <c r="R181" s="1861"/>
      <c r="S181" s="1861"/>
      <c r="T181" s="1861"/>
      <c r="U181" s="1861"/>
      <c r="V181" s="1862"/>
      <c r="W181" s="3023"/>
      <c r="X181" s="1861"/>
      <c r="Y181" s="1861"/>
      <c r="Z181" s="1862"/>
      <c r="AA181" s="3023"/>
      <c r="AB181" s="1861"/>
      <c r="AC181" s="1861"/>
      <c r="AD181" s="1862"/>
      <c r="AE181" s="3023"/>
      <c r="AF181" s="1861"/>
      <c r="AG181" s="1861"/>
      <c r="AH181" s="1862"/>
      <c r="AI181" s="3023"/>
      <c r="AJ181" s="1861"/>
      <c r="AK181" s="1861"/>
      <c r="AL181" s="1861"/>
      <c r="AM181" s="1862"/>
      <c r="AN181" s="387"/>
    </row>
    <row r="182" spans="2:40" s="536" customFormat="1" ht="36.75" customHeight="1">
      <c r="B182" s="3226" t="s">
        <v>558</v>
      </c>
      <c r="C182" s="1777"/>
      <c r="D182" s="1778"/>
      <c r="E182" s="2136" t="str">
        <f>'Document Checklist-Full List'!$E$140</f>
        <v>60. LSP NonSpon Contract Basic</v>
      </c>
      <c r="F182" s="1777"/>
      <c r="G182" s="1777"/>
      <c r="H182" s="1777"/>
      <c r="I182" s="1777"/>
      <c r="J182" s="1777"/>
      <c r="K182" s="1777"/>
      <c r="L182" s="1777"/>
      <c r="M182" s="1778"/>
      <c r="N182" s="2136" t="str">
        <f>'Document Checklist-Full List'!$N$140</f>
        <v>Lead Service Provider Contract, Agreement or Letter of Intent (non-Sponsor/Applicant provider).</v>
      </c>
      <c r="O182" s="1777"/>
      <c r="P182" s="1777"/>
      <c r="Q182" s="1777"/>
      <c r="R182" s="1777"/>
      <c r="S182" s="1777"/>
      <c r="T182" s="1777"/>
      <c r="U182" s="1777"/>
      <c r="V182" s="1777"/>
      <c r="W182" s="1777"/>
      <c r="X182" s="1777"/>
      <c r="Y182" s="1777"/>
      <c r="Z182" s="1777"/>
      <c r="AA182" s="1777"/>
      <c r="AB182" s="1777"/>
      <c r="AC182" s="1777"/>
      <c r="AD182" s="1777"/>
      <c r="AE182" s="1778"/>
      <c r="AF182" s="3231" t="s">
        <v>559</v>
      </c>
      <c r="AG182" s="1777"/>
      <c r="AH182" s="1777"/>
      <c r="AI182" s="1777"/>
      <c r="AJ182" s="1777"/>
      <c r="AK182" s="1778"/>
      <c r="AL182" s="1958"/>
      <c r="AM182" s="1862"/>
    </row>
    <row r="183" spans="2:40" s="536" customFormat="1" ht="21" customHeight="1"/>
    <row r="184" spans="2:40" s="398" customFormat="1" ht="54" customHeight="1">
      <c r="B184" s="3043" t="s">
        <v>2944</v>
      </c>
      <c r="C184" s="2181"/>
      <c r="D184" s="2181"/>
      <c r="E184" s="2181"/>
      <c r="F184" s="2181"/>
      <c r="G184" s="2181"/>
      <c r="H184" s="2181"/>
      <c r="I184" s="2181"/>
      <c r="J184" s="2181"/>
      <c r="K184" s="2181"/>
      <c r="L184" s="2181"/>
      <c r="M184" s="2181"/>
      <c r="N184" s="2181"/>
      <c r="O184" s="2181"/>
      <c r="P184" s="2181"/>
      <c r="Q184" s="2181"/>
      <c r="R184" s="2181"/>
      <c r="S184" s="2181"/>
      <c r="T184" s="2181"/>
      <c r="U184" s="2181"/>
      <c r="V184" s="2181"/>
      <c r="W184" s="2181"/>
      <c r="X184" s="2181"/>
      <c r="Y184" s="2181"/>
      <c r="Z184" s="2181"/>
      <c r="AA184" s="2181"/>
      <c r="AB184" s="2181"/>
      <c r="AC184" s="2181"/>
      <c r="AD184" s="2181"/>
      <c r="AE184" s="2181"/>
      <c r="AF184" s="2181"/>
      <c r="AG184" s="2181"/>
      <c r="AH184" s="2181"/>
      <c r="AI184" s="2181"/>
      <c r="AJ184" s="2181"/>
      <c r="AK184" s="2181"/>
      <c r="AL184" s="2181"/>
      <c r="AM184" s="2181"/>
    </row>
    <row r="185" spans="2:40" ht="36" customHeight="1">
      <c r="B185" s="3047" t="s">
        <v>2255</v>
      </c>
      <c r="C185" s="1777"/>
      <c r="D185" s="1777"/>
      <c r="E185" s="1777"/>
      <c r="F185" s="1778"/>
      <c r="G185" s="3047" t="s">
        <v>2256</v>
      </c>
      <c r="H185" s="1777"/>
      <c r="I185" s="1777"/>
      <c r="J185" s="1777"/>
      <c r="K185" s="1777"/>
      <c r="L185" s="1777"/>
      <c r="M185" s="1777"/>
      <c r="N185" s="1777"/>
      <c r="O185" s="1777"/>
      <c r="P185" s="1777"/>
      <c r="Q185" s="1777"/>
      <c r="R185" s="1777"/>
      <c r="S185" s="1777"/>
      <c r="T185" s="1777"/>
      <c r="U185" s="1777"/>
      <c r="V185" s="1778"/>
      <c r="W185" s="3047" t="s">
        <v>2257</v>
      </c>
      <c r="X185" s="1777"/>
      <c r="Y185" s="1777"/>
      <c r="Z185" s="1778"/>
      <c r="AA185" s="3047" t="s">
        <v>2258</v>
      </c>
      <c r="AB185" s="1777"/>
      <c r="AC185" s="1777"/>
      <c r="AD185" s="1778"/>
      <c r="AE185" s="3047" t="s">
        <v>2259</v>
      </c>
      <c r="AF185" s="1777"/>
      <c r="AG185" s="1777"/>
      <c r="AH185" s="1778"/>
      <c r="AI185" s="3047" t="s">
        <v>2260</v>
      </c>
      <c r="AJ185" s="1777"/>
      <c r="AK185" s="1777"/>
      <c r="AL185" s="1777"/>
      <c r="AM185" s="1778"/>
      <c r="AN185" s="398"/>
    </row>
    <row r="186" spans="2:40" s="398" customFormat="1" ht="107.25" customHeight="1">
      <c r="B186" s="3017" t="s">
        <v>2514</v>
      </c>
      <c r="C186" s="1777"/>
      <c r="D186" s="1777"/>
      <c r="E186" s="1777"/>
      <c r="F186" s="1778"/>
      <c r="G186" s="3068" t="s">
        <v>2945</v>
      </c>
      <c r="H186" s="1777"/>
      <c r="I186" s="1777"/>
      <c r="J186" s="1777"/>
      <c r="K186" s="1777"/>
      <c r="L186" s="1777"/>
      <c r="M186" s="1777"/>
      <c r="N186" s="1777"/>
      <c r="O186" s="1777"/>
      <c r="P186" s="1777"/>
      <c r="Q186" s="1777"/>
      <c r="R186" s="1777"/>
      <c r="S186" s="1777"/>
      <c r="T186" s="1777"/>
      <c r="U186" s="1777"/>
      <c r="V186" s="1778"/>
      <c r="W186" s="3017" t="s">
        <v>2516</v>
      </c>
      <c r="X186" s="1777"/>
      <c r="Y186" s="1777"/>
      <c r="Z186" s="1778"/>
      <c r="AA186" s="3017" t="s">
        <v>2937</v>
      </c>
      <c r="AB186" s="1777"/>
      <c r="AC186" s="1777"/>
      <c r="AD186" s="1778"/>
      <c r="AE186" s="3017" t="s">
        <v>2938</v>
      </c>
      <c r="AF186" s="1777"/>
      <c r="AG186" s="1777"/>
      <c r="AH186" s="1778"/>
      <c r="AI186" s="3017" t="s">
        <v>2266</v>
      </c>
      <c r="AJ186" s="1777"/>
      <c r="AK186" s="1777"/>
      <c r="AL186" s="1777"/>
      <c r="AM186" s="1778"/>
    </row>
    <row r="187" spans="2:40" s="398" customFormat="1" ht="145.35" customHeight="1">
      <c r="B187" s="3034" t="s">
        <v>2946</v>
      </c>
      <c r="C187" s="1777"/>
      <c r="D187" s="1777"/>
      <c r="E187" s="1777"/>
      <c r="F187" s="1778"/>
      <c r="G187" s="3023"/>
      <c r="H187" s="1861"/>
      <c r="I187" s="1861"/>
      <c r="J187" s="1861"/>
      <c r="K187" s="1861"/>
      <c r="L187" s="1861"/>
      <c r="M187" s="1861"/>
      <c r="N187" s="1861"/>
      <c r="O187" s="1861"/>
      <c r="P187" s="1861"/>
      <c r="Q187" s="1861"/>
      <c r="R187" s="1861"/>
      <c r="S187" s="1861"/>
      <c r="T187" s="1861"/>
      <c r="U187" s="1861"/>
      <c r="V187" s="1862"/>
      <c r="W187" s="3023"/>
      <c r="X187" s="1861"/>
      <c r="Y187" s="1861"/>
      <c r="Z187" s="1862"/>
      <c r="AA187" s="3023"/>
      <c r="AB187" s="1861"/>
      <c r="AC187" s="1861"/>
      <c r="AD187" s="1862"/>
      <c r="AE187" s="3023"/>
      <c r="AF187" s="1861"/>
      <c r="AG187" s="1861"/>
      <c r="AH187" s="1862"/>
      <c r="AI187" s="3023"/>
      <c r="AJ187" s="1861"/>
      <c r="AK187" s="1861"/>
      <c r="AL187" s="1861"/>
      <c r="AM187" s="1862"/>
    </row>
    <row r="188" spans="2:40" s="398" customFormat="1" ht="145.35" customHeight="1">
      <c r="B188" s="3034" t="s">
        <v>2947</v>
      </c>
      <c r="C188" s="1777"/>
      <c r="D188" s="1777"/>
      <c r="E188" s="1777"/>
      <c r="F188" s="1778"/>
      <c r="G188" s="3023"/>
      <c r="H188" s="1861"/>
      <c r="I188" s="1861"/>
      <c r="J188" s="1861"/>
      <c r="K188" s="1861"/>
      <c r="L188" s="1861"/>
      <c r="M188" s="1861"/>
      <c r="N188" s="1861"/>
      <c r="O188" s="1861"/>
      <c r="P188" s="1861"/>
      <c r="Q188" s="1861"/>
      <c r="R188" s="1861"/>
      <c r="S188" s="1861"/>
      <c r="T188" s="1861"/>
      <c r="U188" s="1861"/>
      <c r="V188" s="1862"/>
      <c r="W188" s="3023"/>
      <c r="X188" s="1861"/>
      <c r="Y188" s="1861"/>
      <c r="Z188" s="1862"/>
      <c r="AA188" s="3023"/>
      <c r="AB188" s="1861"/>
      <c r="AC188" s="1861"/>
      <c r="AD188" s="1862"/>
      <c r="AE188" s="3023"/>
      <c r="AF188" s="1861"/>
      <c r="AG188" s="1861"/>
      <c r="AH188" s="1862"/>
      <c r="AI188" s="3023"/>
      <c r="AJ188" s="1861"/>
      <c r="AK188" s="1861"/>
      <c r="AL188" s="1861"/>
      <c r="AM188" s="1862"/>
    </row>
    <row r="189" spans="2:40" s="398" customFormat="1" ht="145.35" customHeight="1">
      <c r="B189" s="3034" t="s">
        <v>2948</v>
      </c>
      <c r="C189" s="1777"/>
      <c r="D189" s="1777"/>
      <c r="E189" s="1777"/>
      <c r="F189" s="1778"/>
      <c r="G189" s="3023"/>
      <c r="H189" s="1861"/>
      <c r="I189" s="1861"/>
      <c r="J189" s="1861"/>
      <c r="K189" s="1861"/>
      <c r="L189" s="1861"/>
      <c r="M189" s="1861"/>
      <c r="N189" s="1861"/>
      <c r="O189" s="1861"/>
      <c r="P189" s="1861"/>
      <c r="Q189" s="1861"/>
      <c r="R189" s="1861"/>
      <c r="S189" s="1861"/>
      <c r="T189" s="1861"/>
      <c r="U189" s="1861"/>
      <c r="V189" s="1862"/>
      <c r="W189" s="3023"/>
      <c r="X189" s="1861"/>
      <c r="Y189" s="1861"/>
      <c r="Z189" s="1862"/>
      <c r="AA189" s="3023"/>
      <c r="AB189" s="1861"/>
      <c r="AC189" s="1861"/>
      <c r="AD189" s="1862"/>
      <c r="AE189" s="3023"/>
      <c r="AF189" s="1861"/>
      <c r="AG189" s="1861"/>
      <c r="AH189" s="1862"/>
      <c r="AI189" s="3023"/>
      <c r="AJ189" s="1861"/>
      <c r="AK189" s="1861"/>
      <c r="AL189" s="1861"/>
      <c r="AM189" s="1862"/>
    </row>
    <row r="190" spans="2:40" s="398" customFormat="1" ht="145.35" customHeight="1">
      <c r="B190" s="3169" t="s">
        <v>2949</v>
      </c>
      <c r="C190" s="1777"/>
      <c r="D190" s="1777"/>
      <c r="E190" s="1777"/>
      <c r="F190" s="1778"/>
      <c r="G190" s="3023"/>
      <c r="H190" s="1861"/>
      <c r="I190" s="1861"/>
      <c r="J190" s="1861"/>
      <c r="K190" s="1861"/>
      <c r="L190" s="1861"/>
      <c r="M190" s="1861"/>
      <c r="N190" s="1861"/>
      <c r="O190" s="1861"/>
      <c r="P190" s="1861"/>
      <c r="Q190" s="1861"/>
      <c r="R190" s="1861"/>
      <c r="S190" s="1861"/>
      <c r="T190" s="1861"/>
      <c r="U190" s="1861"/>
      <c r="V190" s="1862"/>
      <c r="W190" s="3023"/>
      <c r="X190" s="1861"/>
      <c r="Y190" s="1861"/>
      <c r="Z190" s="1862"/>
      <c r="AA190" s="3023"/>
      <c r="AB190" s="1861"/>
      <c r="AC190" s="1861"/>
      <c r="AD190" s="1862"/>
      <c r="AE190" s="3023"/>
      <c r="AF190" s="1861"/>
      <c r="AG190" s="1861"/>
      <c r="AH190" s="1862"/>
      <c r="AI190" s="3023"/>
      <c r="AJ190" s="1861"/>
      <c r="AK190" s="1861"/>
      <c r="AL190" s="1861"/>
      <c r="AM190" s="1862"/>
    </row>
    <row r="191" spans="2:40" s="398" customFormat="1" ht="145.35" customHeight="1">
      <c r="B191" s="3169" t="s">
        <v>2950</v>
      </c>
      <c r="C191" s="1777"/>
      <c r="D191" s="1777"/>
      <c r="E191" s="1777"/>
      <c r="F191" s="1778"/>
      <c r="G191" s="3023"/>
      <c r="H191" s="1861"/>
      <c r="I191" s="1861"/>
      <c r="J191" s="1861"/>
      <c r="K191" s="1861"/>
      <c r="L191" s="1861"/>
      <c r="M191" s="1861"/>
      <c r="N191" s="1861"/>
      <c r="O191" s="1861"/>
      <c r="P191" s="1861"/>
      <c r="Q191" s="1861"/>
      <c r="R191" s="1861"/>
      <c r="S191" s="1861"/>
      <c r="T191" s="1861"/>
      <c r="U191" s="1861"/>
      <c r="V191" s="1862"/>
      <c r="W191" s="3023"/>
      <c r="X191" s="1861"/>
      <c r="Y191" s="1861"/>
      <c r="Z191" s="1862"/>
      <c r="AA191" s="3023"/>
      <c r="AB191" s="1861"/>
      <c r="AC191" s="1861"/>
      <c r="AD191" s="1862"/>
      <c r="AE191" s="3023"/>
      <c r="AF191" s="1861"/>
      <c r="AG191" s="1861"/>
      <c r="AH191" s="1862"/>
      <c r="AI191" s="3023"/>
      <c r="AJ191" s="1861"/>
      <c r="AK191" s="1861"/>
      <c r="AL191" s="1861"/>
      <c r="AM191" s="1862"/>
    </row>
    <row r="192" spans="2:40" s="398" customFormat="1" ht="145.35" customHeight="1">
      <c r="B192" s="3169" t="s">
        <v>2951</v>
      </c>
      <c r="C192" s="1777"/>
      <c r="D192" s="1777"/>
      <c r="E192" s="1777"/>
      <c r="F192" s="1778"/>
      <c r="G192" s="3023"/>
      <c r="H192" s="1861"/>
      <c r="I192" s="1861"/>
      <c r="J192" s="1861"/>
      <c r="K192" s="1861"/>
      <c r="L192" s="1861"/>
      <c r="M192" s="1861"/>
      <c r="N192" s="1861"/>
      <c r="O192" s="1861"/>
      <c r="P192" s="1861"/>
      <c r="Q192" s="1861"/>
      <c r="R192" s="1861"/>
      <c r="S192" s="1861"/>
      <c r="T192" s="1861"/>
      <c r="U192" s="1861"/>
      <c r="V192" s="1862"/>
      <c r="W192" s="3023"/>
      <c r="X192" s="1861"/>
      <c r="Y192" s="1861"/>
      <c r="Z192" s="1862"/>
      <c r="AA192" s="3023"/>
      <c r="AB192" s="1861"/>
      <c r="AC192" s="1861"/>
      <c r="AD192" s="1862"/>
      <c r="AE192" s="3023"/>
      <c r="AF192" s="1861"/>
      <c r="AG192" s="1861"/>
      <c r="AH192" s="1862"/>
      <c r="AI192" s="3023"/>
      <c r="AJ192" s="1861"/>
      <c r="AK192" s="1861"/>
      <c r="AL192" s="1861"/>
      <c r="AM192" s="1862"/>
    </row>
    <row r="193" spans="2:40" s="398" customFormat="1" ht="145.35" customHeight="1">
      <c r="B193" s="3034" t="s">
        <v>2952</v>
      </c>
      <c r="C193" s="1777"/>
      <c r="D193" s="1777"/>
      <c r="E193" s="1777"/>
      <c r="F193" s="1778"/>
      <c r="G193" s="3023"/>
      <c r="H193" s="1861"/>
      <c r="I193" s="1861"/>
      <c r="J193" s="1861"/>
      <c r="K193" s="1861"/>
      <c r="L193" s="1861"/>
      <c r="M193" s="1861"/>
      <c r="N193" s="1861"/>
      <c r="O193" s="1861"/>
      <c r="P193" s="1861"/>
      <c r="Q193" s="1861"/>
      <c r="R193" s="1861"/>
      <c r="S193" s="1861"/>
      <c r="T193" s="1861"/>
      <c r="U193" s="1861"/>
      <c r="V193" s="1862"/>
      <c r="W193" s="3023"/>
      <c r="X193" s="1861"/>
      <c r="Y193" s="1861"/>
      <c r="Z193" s="1862"/>
      <c r="AA193" s="3023"/>
      <c r="AB193" s="1861"/>
      <c r="AC193" s="1861"/>
      <c r="AD193" s="1862"/>
      <c r="AE193" s="3023"/>
      <c r="AF193" s="1861"/>
      <c r="AG193" s="1861"/>
      <c r="AH193" s="1862"/>
      <c r="AI193" s="3023"/>
      <c r="AJ193" s="1861"/>
      <c r="AK193" s="1861"/>
      <c r="AL193" s="1861"/>
      <c r="AM193" s="1862"/>
    </row>
    <row r="194" spans="2:40" s="398" customFormat="1" ht="145.35" customHeight="1">
      <c r="B194" s="3034" t="s">
        <v>2953</v>
      </c>
      <c r="C194" s="1777"/>
      <c r="D194" s="1777"/>
      <c r="E194" s="1777"/>
      <c r="F194" s="1778"/>
      <c r="G194" s="3023"/>
      <c r="H194" s="1861"/>
      <c r="I194" s="1861"/>
      <c r="J194" s="1861"/>
      <c r="K194" s="1861"/>
      <c r="L194" s="1861"/>
      <c r="M194" s="1861"/>
      <c r="N194" s="1861"/>
      <c r="O194" s="1861"/>
      <c r="P194" s="1861"/>
      <c r="Q194" s="1861"/>
      <c r="R194" s="1861"/>
      <c r="S194" s="1861"/>
      <c r="T194" s="1861"/>
      <c r="U194" s="1861"/>
      <c r="V194" s="1862"/>
      <c r="W194" s="3023"/>
      <c r="X194" s="1861"/>
      <c r="Y194" s="1861"/>
      <c r="Z194" s="1862"/>
      <c r="AA194" s="3023"/>
      <c r="AB194" s="1861"/>
      <c r="AC194" s="1861"/>
      <c r="AD194" s="1862"/>
      <c r="AE194" s="3023"/>
      <c r="AF194" s="1861"/>
      <c r="AG194" s="1861"/>
      <c r="AH194" s="1862"/>
      <c r="AI194" s="3023"/>
      <c r="AJ194" s="1861"/>
      <c r="AK194" s="1861"/>
      <c r="AL194" s="1861"/>
      <c r="AM194" s="1862"/>
    </row>
    <row r="195" spans="2:40" s="398" customFormat="1" ht="145.35" customHeight="1">
      <c r="B195" s="3034" t="s">
        <v>2954</v>
      </c>
      <c r="C195" s="1777"/>
      <c r="D195" s="1777"/>
      <c r="E195" s="1777"/>
      <c r="F195" s="1778"/>
      <c r="G195" s="3023"/>
      <c r="H195" s="1861"/>
      <c r="I195" s="1861"/>
      <c r="J195" s="1861"/>
      <c r="K195" s="1861"/>
      <c r="L195" s="1861"/>
      <c r="M195" s="1861"/>
      <c r="N195" s="1861"/>
      <c r="O195" s="1861"/>
      <c r="P195" s="1861"/>
      <c r="Q195" s="1861"/>
      <c r="R195" s="1861"/>
      <c r="S195" s="1861"/>
      <c r="T195" s="1861"/>
      <c r="U195" s="1861"/>
      <c r="V195" s="1862"/>
      <c r="W195" s="3023"/>
      <c r="X195" s="1861"/>
      <c r="Y195" s="1861"/>
      <c r="Z195" s="1862"/>
      <c r="AA195" s="3023"/>
      <c r="AB195" s="1861"/>
      <c r="AC195" s="1861"/>
      <c r="AD195" s="1862"/>
      <c r="AE195" s="3023"/>
      <c r="AF195" s="1861"/>
      <c r="AG195" s="1861"/>
      <c r="AH195" s="1862"/>
      <c r="AI195" s="3023"/>
      <c r="AJ195" s="1861"/>
      <c r="AK195" s="1861"/>
      <c r="AL195" s="1861"/>
      <c r="AM195" s="1862"/>
      <c r="AN195" s="387"/>
    </row>
    <row r="196" spans="2:40" s="398" customFormat="1" ht="145.35" customHeight="1">
      <c r="B196" s="3034" t="s">
        <v>2955</v>
      </c>
      <c r="C196" s="1777"/>
      <c r="D196" s="1777"/>
      <c r="E196" s="1777"/>
      <c r="F196" s="1778"/>
      <c r="G196" s="3023"/>
      <c r="H196" s="1861"/>
      <c r="I196" s="1861"/>
      <c r="J196" s="1861"/>
      <c r="K196" s="1861"/>
      <c r="L196" s="1861"/>
      <c r="M196" s="1861"/>
      <c r="N196" s="1861"/>
      <c r="O196" s="1861"/>
      <c r="P196" s="1861"/>
      <c r="Q196" s="1861"/>
      <c r="R196" s="1861"/>
      <c r="S196" s="1861"/>
      <c r="T196" s="1861"/>
      <c r="U196" s="1861"/>
      <c r="V196" s="1862"/>
      <c r="W196" s="3023"/>
      <c r="X196" s="1861"/>
      <c r="Y196" s="1861"/>
      <c r="Z196" s="1862"/>
      <c r="AA196" s="3023"/>
      <c r="AB196" s="1861"/>
      <c r="AC196" s="1861"/>
      <c r="AD196" s="1862"/>
      <c r="AE196" s="3023"/>
      <c r="AF196" s="1861"/>
      <c r="AG196" s="1861"/>
      <c r="AH196" s="1862"/>
      <c r="AI196" s="3023"/>
      <c r="AJ196" s="1861"/>
      <c r="AK196" s="1861"/>
      <c r="AL196" s="1861"/>
      <c r="AM196" s="1862"/>
    </row>
    <row r="197" spans="2:40" s="398" customFormat="1" ht="145.35" customHeight="1">
      <c r="B197" s="3244" t="s">
        <v>2956</v>
      </c>
      <c r="C197" s="1861"/>
      <c r="D197" s="1861"/>
      <c r="E197" s="1861"/>
      <c r="F197" s="1862"/>
      <c r="G197" s="3023"/>
      <c r="H197" s="1861"/>
      <c r="I197" s="1861"/>
      <c r="J197" s="1861"/>
      <c r="K197" s="1861"/>
      <c r="L197" s="1861"/>
      <c r="M197" s="1861"/>
      <c r="N197" s="1861"/>
      <c r="O197" s="1861"/>
      <c r="P197" s="1861"/>
      <c r="Q197" s="1861"/>
      <c r="R197" s="1861"/>
      <c r="S197" s="1861"/>
      <c r="T197" s="1861"/>
      <c r="U197" s="1861"/>
      <c r="V197" s="1862"/>
      <c r="W197" s="3023"/>
      <c r="X197" s="1861"/>
      <c r="Y197" s="1861"/>
      <c r="Z197" s="1862"/>
      <c r="AA197" s="3023"/>
      <c r="AB197" s="1861"/>
      <c r="AC197" s="1861"/>
      <c r="AD197" s="1862"/>
      <c r="AE197" s="3023"/>
      <c r="AF197" s="1861"/>
      <c r="AG197" s="1861"/>
      <c r="AH197" s="1862"/>
      <c r="AI197" s="3023"/>
      <c r="AJ197" s="1861"/>
      <c r="AK197" s="1861"/>
      <c r="AL197" s="1861"/>
      <c r="AM197" s="1862"/>
      <c r="AN197" s="387"/>
    </row>
    <row r="198" spans="2:40" s="398" customFormat="1" ht="145.35" customHeight="1">
      <c r="B198" s="3244" t="s">
        <v>2957</v>
      </c>
      <c r="C198" s="1861"/>
      <c r="D198" s="1861"/>
      <c r="E198" s="1861"/>
      <c r="F198" s="1862"/>
      <c r="G198" s="3023"/>
      <c r="H198" s="1861"/>
      <c r="I198" s="1861"/>
      <c r="J198" s="1861"/>
      <c r="K198" s="1861"/>
      <c r="L198" s="1861"/>
      <c r="M198" s="1861"/>
      <c r="N198" s="1861"/>
      <c r="O198" s="1861"/>
      <c r="P198" s="1861"/>
      <c r="Q198" s="1861"/>
      <c r="R198" s="1861"/>
      <c r="S198" s="1861"/>
      <c r="T198" s="1861"/>
      <c r="U198" s="1861"/>
      <c r="V198" s="1862"/>
      <c r="W198" s="3023"/>
      <c r="X198" s="1861"/>
      <c r="Y198" s="1861"/>
      <c r="Z198" s="1862"/>
      <c r="AA198" s="3023"/>
      <c r="AB198" s="1861"/>
      <c r="AC198" s="1861"/>
      <c r="AD198" s="1862"/>
      <c r="AE198" s="3023"/>
      <c r="AF198" s="1861"/>
      <c r="AG198" s="1861"/>
      <c r="AH198" s="1862"/>
      <c r="AI198" s="3023"/>
      <c r="AJ198" s="1861"/>
      <c r="AK198" s="1861"/>
      <c r="AL198" s="1861"/>
      <c r="AM198" s="1862"/>
    </row>
    <row r="199" spans="2:40" s="536" customFormat="1" ht="36" customHeight="1">
      <c r="B199" s="3226" t="s">
        <v>558</v>
      </c>
      <c r="C199" s="1777"/>
      <c r="D199" s="1778"/>
      <c r="E199" s="2136" t="str">
        <f>'Document Checklist-Full List'!$E$141</f>
        <v>61. NonSpon SS Contract Enhanced</v>
      </c>
      <c r="F199" s="1777"/>
      <c r="G199" s="1777"/>
      <c r="H199" s="1777"/>
      <c r="I199" s="1777"/>
      <c r="J199" s="1777"/>
      <c r="K199" s="1777"/>
      <c r="L199" s="1777"/>
      <c r="M199" s="1778"/>
      <c r="N199" s="2136" t="str">
        <f>'Document Checklist-Full List'!$N$141</f>
        <v>Contract, Agreement or Letter of Intent to Provide Services (other non-Sponsor/Applicant providers).</v>
      </c>
      <c r="O199" s="1777"/>
      <c r="P199" s="1777"/>
      <c r="Q199" s="1777"/>
      <c r="R199" s="1777"/>
      <c r="S199" s="1777"/>
      <c r="T199" s="1777"/>
      <c r="U199" s="1777"/>
      <c r="V199" s="1777"/>
      <c r="W199" s="1777"/>
      <c r="X199" s="1777"/>
      <c r="Y199" s="1777"/>
      <c r="Z199" s="1777"/>
      <c r="AA199" s="1777"/>
      <c r="AB199" s="1777"/>
      <c r="AC199" s="1777"/>
      <c r="AD199" s="1777"/>
      <c r="AE199" s="1778"/>
      <c r="AF199" s="3231" t="s">
        <v>559</v>
      </c>
      <c r="AG199" s="1777"/>
      <c r="AH199" s="1777"/>
      <c r="AI199" s="1777"/>
      <c r="AJ199" s="1777"/>
      <c r="AK199" s="1778"/>
      <c r="AL199" s="1958"/>
      <c r="AM199" s="1862"/>
    </row>
    <row r="200" spans="2:40" s="536" customFormat="1" ht="18" customHeight="1"/>
    <row r="201" spans="2:40" s="398" customFormat="1" ht="18" customHeight="1">
      <c r="B201" s="3130" t="s">
        <v>2375</v>
      </c>
      <c r="C201" s="2181"/>
      <c r="D201" s="2181"/>
      <c r="E201" s="2181"/>
      <c r="F201" s="2181"/>
      <c r="G201" s="2181"/>
      <c r="H201" s="2181"/>
      <c r="I201" s="2181"/>
      <c r="J201" s="2181"/>
      <c r="K201" s="2181"/>
      <c r="L201" s="2181"/>
      <c r="M201" s="2181"/>
      <c r="N201" s="2181"/>
      <c r="O201" s="2181"/>
      <c r="P201" s="2181"/>
      <c r="Q201" s="2181"/>
      <c r="R201" s="2181"/>
      <c r="S201" s="2181"/>
      <c r="T201" s="2181"/>
      <c r="U201" s="2181"/>
      <c r="V201" s="2181"/>
      <c r="W201" s="2181"/>
      <c r="X201" s="2181"/>
      <c r="Y201" s="2181"/>
      <c r="Z201" s="2181"/>
      <c r="AA201" s="2181"/>
      <c r="AB201" s="2181"/>
      <c r="AC201" s="2181"/>
      <c r="AD201" s="2181"/>
      <c r="AE201" s="2181"/>
      <c r="AF201" s="2181"/>
      <c r="AG201" s="2181"/>
      <c r="AH201" s="2181"/>
      <c r="AI201" s="2181"/>
      <c r="AJ201" s="2181"/>
      <c r="AK201" s="2181"/>
      <c r="AL201" s="2181"/>
      <c r="AM201" s="2181"/>
    </row>
    <row r="202" spans="2:40" ht="82.5" customHeight="1">
      <c r="B202" s="3043" t="s">
        <v>2958</v>
      </c>
      <c r="C202" s="3021"/>
      <c r="D202" s="3021"/>
      <c r="E202" s="3021"/>
      <c r="F202" s="3021"/>
      <c r="G202" s="3021"/>
      <c r="H202" s="3021"/>
      <c r="I202" s="1935"/>
      <c r="J202" s="3021"/>
      <c r="K202" s="3021"/>
      <c r="L202" s="3021"/>
      <c r="M202" s="3021"/>
      <c r="N202" s="3021"/>
      <c r="O202" s="3021"/>
      <c r="P202" s="3021"/>
      <c r="Q202" s="3021"/>
      <c r="R202" s="3021"/>
      <c r="S202" s="3021"/>
      <c r="T202" s="3021"/>
      <c r="U202" s="3021"/>
      <c r="V202" s="3021"/>
      <c r="W202" s="3021"/>
      <c r="X202" s="3021"/>
      <c r="Y202" s="3021"/>
      <c r="Z202" s="3021"/>
      <c r="AA202" s="3021"/>
      <c r="AB202" s="3021"/>
      <c r="AC202" s="3021"/>
      <c r="AD202" s="3021"/>
      <c r="AE202" s="3021"/>
      <c r="AF202" s="3021"/>
      <c r="AG202" s="3021"/>
      <c r="AH202" s="3021"/>
      <c r="AI202" s="3021"/>
      <c r="AJ202" s="3021"/>
      <c r="AK202" s="3021"/>
      <c r="AL202" s="3021"/>
      <c r="AM202" s="3021"/>
      <c r="AN202" s="398"/>
    </row>
    <row r="203" spans="2:40" s="398" customFormat="1" ht="150" customHeight="1">
      <c r="B203" s="3023"/>
      <c r="C203" s="1861"/>
      <c r="D203" s="1861"/>
      <c r="E203" s="1861"/>
      <c r="F203" s="1861"/>
      <c r="G203" s="1861"/>
      <c r="H203" s="1861"/>
      <c r="I203" s="1861"/>
      <c r="J203" s="1861"/>
      <c r="K203" s="1861"/>
      <c r="L203" s="1861"/>
      <c r="M203" s="1861"/>
      <c r="N203" s="1861"/>
      <c r="O203" s="1861"/>
      <c r="P203" s="1861"/>
      <c r="Q203" s="1861"/>
      <c r="R203" s="1861"/>
      <c r="S203" s="1861"/>
      <c r="T203" s="1861"/>
      <c r="U203" s="1861"/>
      <c r="V203" s="1861"/>
      <c r="W203" s="1861"/>
      <c r="X203" s="1861"/>
      <c r="Y203" s="1861"/>
      <c r="Z203" s="1861"/>
      <c r="AA203" s="1861"/>
      <c r="AB203" s="1861"/>
      <c r="AC203" s="1861"/>
      <c r="AD203" s="1861"/>
      <c r="AE203" s="1861"/>
      <c r="AF203" s="1861"/>
      <c r="AG203" s="1861"/>
      <c r="AH203" s="1861"/>
      <c r="AI203" s="1861"/>
      <c r="AJ203" s="1861"/>
      <c r="AK203" s="1861"/>
      <c r="AL203" s="1861"/>
      <c r="AM203" s="1862"/>
    </row>
    <row r="204" spans="2:40" ht="18" customHeight="1">
      <c r="B204" s="3139" t="s">
        <v>2959</v>
      </c>
      <c r="C204" s="3021"/>
      <c r="D204" s="3021"/>
      <c r="E204" s="3021"/>
      <c r="F204" s="3021"/>
      <c r="G204" s="3021"/>
      <c r="H204" s="3021"/>
      <c r="I204" s="1935"/>
      <c r="J204" s="3021"/>
      <c r="K204" s="3021"/>
      <c r="L204" s="3021"/>
      <c r="M204" s="3021"/>
      <c r="N204" s="3021"/>
      <c r="O204" s="3021"/>
      <c r="P204" s="3021"/>
      <c r="Q204" s="3021"/>
      <c r="R204" s="3021"/>
      <c r="S204" s="3021"/>
      <c r="T204" s="3021"/>
      <c r="U204" s="3021"/>
      <c r="V204" s="3021"/>
      <c r="W204" s="3021"/>
      <c r="X204" s="3021"/>
      <c r="Y204" s="3021"/>
      <c r="Z204" s="3021"/>
      <c r="AA204" s="3021"/>
      <c r="AB204" s="3021"/>
      <c r="AC204" s="3021"/>
      <c r="AD204" s="3021"/>
      <c r="AE204" s="3021"/>
      <c r="AF204" s="3021"/>
      <c r="AG204" s="3021"/>
      <c r="AH204" s="3021"/>
      <c r="AI204" s="3021"/>
      <c r="AJ204" s="3021"/>
      <c r="AK204" s="3021"/>
      <c r="AL204" s="3021"/>
      <c r="AM204" s="3021"/>
    </row>
    <row r="205" spans="2:40" s="398" customFormat="1" ht="150" customHeight="1">
      <c r="B205" s="3023"/>
      <c r="C205" s="1861"/>
      <c r="D205" s="1861"/>
      <c r="E205" s="1861"/>
      <c r="F205" s="1861"/>
      <c r="G205" s="1861"/>
      <c r="H205" s="1861"/>
      <c r="I205" s="1861"/>
      <c r="J205" s="1861"/>
      <c r="K205" s="1861"/>
      <c r="L205" s="1861"/>
      <c r="M205" s="1861"/>
      <c r="N205" s="1861"/>
      <c r="O205" s="1861"/>
      <c r="P205" s="1861"/>
      <c r="Q205" s="1861"/>
      <c r="R205" s="1861"/>
      <c r="S205" s="1861"/>
      <c r="T205" s="1861"/>
      <c r="U205" s="1861"/>
      <c r="V205" s="1861"/>
      <c r="W205" s="1861"/>
      <c r="X205" s="1861"/>
      <c r="Y205" s="1861"/>
      <c r="Z205" s="1861"/>
      <c r="AA205" s="1861"/>
      <c r="AB205" s="1861"/>
      <c r="AC205" s="1861"/>
      <c r="AD205" s="1861"/>
      <c r="AE205" s="1861"/>
      <c r="AF205" s="1861"/>
      <c r="AG205" s="1861"/>
      <c r="AH205" s="1861"/>
      <c r="AI205" s="1861"/>
      <c r="AJ205" s="1861"/>
      <c r="AK205" s="1861"/>
      <c r="AL205" s="1861"/>
      <c r="AM205" s="1862"/>
      <c r="AN205" s="387"/>
    </row>
    <row r="206" spans="2:40" s="381" customFormat="1" ht="18" customHeight="1"/>
    <row r="207" spans="2:40" ht="18" customHeight="1">
      <c r="B207" s="3130" t="s">
        <v>2960</v>
      </c>
      <c r="C207" s="3021"/>
      <c r="D207" s="3021"/>
      <c r="E207" s="3021"/>
      <c r="F207" s="3021"/>
      <c r="G207" s="3021"/>
      <c r="H207" s="3021"/>
      <c r="I207" s="1935"/>
      <c r="J207" s="3021"/>
      <c r="K207" s="3021"/>
      <c r="L207" s="3021"/>
      <c r="M207" s="3021"/>
      <c r="N207" s="3021"/>
      <c r="O207" s="3021"/>
      <c r="P207" s="3021"/>
      <c r="Q207" s="3021"/>
      <c r="R207" s="3021"/>
      <c r="S207" s="3021"/>
      <c r="T207" s="3021"/>
      <c r="U207" s="3021"/>
      <c r="V207" s="3021"/>
      <c r="W207" s="3021"/>
      <c r="X207" s="3021"/>
      <c r="Y207" s="3021"/>
      <c r="Z207" s="3021"/>
      <c r="AA207" s="3021"/>
      <c r="AB207" s="3021"/>
      <c r="AC207" s="3021"/>
      <c r="AD207" s="3021"/>
      <c r="AE207" s="3021"/>
      <c r="AF207" s="3021"/>
      <c r="AG207" s="3021"/>
      <c r="AH207" s="3021"/>
      <c r="AI207" s="3021"/>
      <c r="AJ207" s="3021"/>
      <c r="AK207" s="3021"/>
      <c r="AL207" s="3021"/>
      <c r="AM207" s="3021"/>
    </row>
    <row r="208" spans="2:40" s="537" customFormat="1" ht="63" customHeight="1">
      <c r="B208" s="3238" t="s">
        <v>2961</v>
      </c>
      <c r="C208" s="3239"/>
      <c r="D208" s="3239"/>
      <c r="E208" s="3239"/>
      <c r="F208" s="3239"/>
      <c r="G208" s="3239"/>
      <c r="H208" s="3239"/>
      <c r="I208" s="3239"/>
      <c r="J208" s="3239"/>
      <c r="K208" s="3239"/>
      <c r="L208" s="3239"/>
      <c r="M208" s="3239"/>
      <c r="N208" s="3239"/>
      <c r="O208" s="3239"/>
      <c r="P208" s="3239"/>
      <c r="Q208" s="3239"/>
      <c r="R208" s="3239"/>
      <c r="S208" s="3239"/>
      <c r="T208" s="3239"/>
      <c r="U208" s="3239"/>
      <c r="V208" s="3239"/>
      <c r="W208" s="3239"/>
      <c r="X208" s="3239"/>
      <c r="Y208" s="3239"/>
      <c r="Z208" s="3239"/>
      <c r="AA208" s="3239"/>
      <c r="AB208" s="3239"/>
      <c r="AC208" s="3239"/>
      <c r="AD208" s="3239"/>
      <c r="AE208" s="3239"/>
      <c r="AF208" s="3239"/>
      <c r="AG208" s="3239"/>
      <c r="AH208" s="3239"/>
      <c r="AI208" s="3239"/>
      <c r="AJ208" s="3239"/>
      <c r="AK208" s="3239"/>
      <c r="AL208" s="3239"/>
      <c r="AM208" s="3239"/>
    </row>
    <row r="209" spans="2:40" s="537" customFormat="1" ht="63" customHeight="1">
      <c r="B209" s="3238" t="s">
        <v>2962</v>
      </c>
      <c r="C209" s="3239"/>
      <c r="D209" s="3239"/>
      <c r="E209" s="3239"/>
      <c r="F209" s="3239"/>
      <c r="G209" s="3239"/>
      <c r="H209" s="3239"/>
      <c r="I209" s="3239"/>
      <c r="J209" s="3239"/>
      <c r="K209" s="3239"/>
      <c r="L209" s="3239"/>
      <c r="M209" s="3239"/>
      <c r="N209" s="3239"/>
      <c r="O209" s="3239"/>
      <c r="P209" s="3239"/>
      <c r="Q209" s="3239"/>
      <c r="R209" s="3239"/>
      <c r="S209" s="3239"/>
      <c r="T209" s="3239"/>
      <c r="U209" s="3239"/>
      <c r="V209" s="3239"/>
      <c r="W209" s="3239"/>
      <c r="X209" s="3239"/>
      <c r="Y209" s="3239"/>
      <c r="Z209" s="3239"/>
      <c r="AA209" s="3239"/>
      <c r="AB209" s="3239"/>
      <c r="AC209" s="3239"/>
      <c r="AD209" s="3239"/>
      <c r="AE209" s="3239"/>
      <c r="AF209" s="3239"/>
      <c r="AG209" s="3239"/>
      <c r="AH209" s="3239"/>
      <c r="AI209" s="3239"/>
      <c r="AJ209" s="3239"/>
      <c r="AK209" s="3239"/>
      <c r="AL209" s="3239"/>
      <c r="AM209" s="3239"/>
    </row>
    <row r="210" spans="2:40" s="537" customFormat="1" ht="18" customHeight="1"/>
    <row r="211" spans="2:40" ht="18" customHeight="1">
      <c r="B211" s="3130" t="s">
        <v>2602</v>
      </c>
      <c r="C211" s="3021"/>
      <c r="D211" s="3021"/>
      <c r="E211" s="3021"/>
      <c r="F211" s="3021"/>
      <c r="G211" s="3021"/>
      <c r="H211" s="3021"/>
      <c r="I211" s="1935"/>
      <c r="J211" s="3021"/>
      <c r="K211" s="3021"/>
      <c r="L211" s="3021"/>
      <c r="M211" s="3021"/>
      <c r="N211" s="3021"/>
      <c r="O211" s="3021"/>
      <c r="P211" s="3021"/>
      <c r="Q211" s="3021"/>
      <c r="R211" s="3021"/>
      <c r="S211" s="3021"/>
      <c r="T211" s="3021"/>
      <c r="U211" s="3021"/>
      <c r="V211" s="3021"/>
      <c r="W211" s="3021"/>
      <c r="X211" s="3021"/>
      <c r="Y211" s="3021"/>
      <c r="Z211" s="3021"/>
      <c r="AA211" s="3021"/>
      <c r="AB211" s="3021"/>
      <c r="AC211" s="3021"/>
      <c r="AD211" s="3021"/>
      <c r="AE211" s="3021"/>
      <c r="AF211" s="3021"/>
      <c r="AG211" s="3021"/>
      <c r="AH211" s="3021"/>
      <c r="AI211" s="3021"/>
      <c r="AJ211" s="3021"/>
      <c r="AK211" s="3021"/>
      <c r="AL211" s="3021"/>
      <c r="AM211" s="3021"/>
    </row>
    <row r="212" spans="2:40" ht="18" customHeight="1">
      <c r="B212" s="3130" t="s">
        <v>2379</v>
      </c>
      <c r="C212" s="3021"/>
      <c r="D212" s="3021"/>
      <c r="E212" s="3021"/>
      <c r="F212" s="3021"/>
      <c r="G212" s="3021"/>
      <c r="H212" s="3021"/>
      <c r="I212" s="1935"/>
      <c r="J212" s="3021"/>
      <c r="K212" s="3021"/>
      <c r="L212" s="3021"/>
      <c r="M212" s="3021"/>
      <c r="N212" s="3021"/>
      <c r="O212" s="3021"/>
      <c r="P212" s="3021"/>
      <c r="Q212" s="3021"/>
      <c r="R212" s="3021"/>
      <c r="S212" s="3021"/>
      <c r="T212" s="3021"/>
      <c r="U212" s="3021"/>
      <c r="V212" s="3021"/>
      <c r="W212" s="3021"/>
      <c r="X212" s="3021"/>
      <c r="Y212" s="3021"/>
      <c r="Z212" s="3021"/>
      <c r="AA212" s="3021"/>
      <c r="AB212" s="3021"/>
      <c r="AC212" s="3021"/>
      <c r="AD212" s="3021"/>
      <c r="AE212" s="3021"/>
      <c r="AF212" s="3021"/>
      <c r="AG212" s="3021"/>
      <c r="AH212" s="3021"/>
      <c r="AI212" s="3021"/>
      <c r="AJ212" s="3021"/>
      <c r="AK212" s="3021"/>
      <c r="AL212" s="3021"/>
      <c r="AM212" s="3021"/>
    </row>
    <row r="213" spans="2:40" ht="36" customHeight="1">
      <c r="B213" s="3043" t="s">
        <v>2604</v>
      </c>
      <c r="C213" s="3021"/>
      <c r="D213" s="3021"/>
      <c r="E213" s="3021"/>
      <c r="F213" s="3021"/>
      <c r="G213" s="3021"/>
      <c r="H213" s="3021"/>
      <c r="I213" s="1935"/>
      <c r="J213" s="3021"/>
      <c r="K213" s="3021"/>
      <c r="L213" s="3021"/>
      <c r="M213" s="3021"/>
      <c r="N213" s="3021"/>
      <c r="O213" s="3021"/>
      <c r="P213" s="3021"/>
      <c r="Q213" s="3021"/>
      <c r="R213" s="3021"/>
      <c r="S213" s="3021"/>
      <c r="T213" s="3021"/>
      <c r="U213" s="3021"/>
      <c r="V213" s="3021"/>
      <c r="W213" s="3021"/>
      <c r="X213" s="3021"/>
      <c r="Y213" s="3021"/>
      <c r="Z213" s="3021"/>
      <c r="AA213" s="3021"/>
      <c r="AB213" s="3021"/>
      <c r="AC213" s="3021"/>
      <c r="AD213" s="3021"/>
      <c r="AE213" s="3021"/>
      <c r="AF213" s="3021"/>
      <c r="AG213" s="3021"/>
      <c r="AH213" s="3021"/>
      <c r="AI213" s="3021"/>
      <c r="AJ213" s="3021"/>
      <c r="AK213" s="3021"/>
      <c r="AL213" s="3021"/>
      <c r="AM213" s="3021"/>
    </row>
    <row r="214" spans="2:40" s="398" customFormat="1" ht="125.1" customHeight="1">
      <c r="B214" s="3023"/>
      <c r="C214" s="1861"/>
      <c r="D214" s="1861"/>
      <c r="E214" s="1861"/>
      <c r="F214" s="1861"/>
      <c r="G214" s="1861"/>
      <c r="H214" s="1861"/>
      <c r="I214" s="1861"/>
      <c r="J214" s="1861"/>
      <c r="K214" s="1861"/>
      <c r="L214" s="1861"/>
      <c r="M214" s="1861"/>
      <c r="N214" s="1861"/>
      <c r="O214" s="1861"/>
      <c r="P214" s="1861"/>
      <c r="Q214" s="1861"/>
      <c r="R214" s="1861"/>
      <c r="S214" s="1861"/>
      <c r="T214" s="1861"/>
      <c r="U214" s="1861"/>
      <c r="V214" s="1861"/>
      <c r="W214" s="1861"/>
      <c r="X214" s="1861"/>
      <c r="Y214" s="1861"/>
      <c r="Z214" s="1861"/>
      <c r="AA214" s="1861"/>
      <c r="AB214" s="1861"/>
      <c r="AC214" s="1861"/>
      <c r="AD214" s="1861"/>
      <c r="AE214" s="1861"/>
      <c r="AF214" s="1861"/>
      <c r="AG214" s="1861"/>
      <c r="AH214" s="1861"/>
      <c r="AI214" s="1861"/>
      <c r="AJ214" s="1861"/>
      <c r="AK214" s="1861"/>
      <c r="AL214" s="1861"/>
      <c r="AM214" s="1862"/>
      <c r="AN214" s="387"/>
    </row>
    <row r="215" spans="2:40" s="398" customFormat="1" ht="18" customHeight="1">
      <c r="B215" s="3043" t="s">
        <v>2605</v>
      </c>
      <c r="C215" s="2181"/>
      <c r="D215" s="2181"/>
      <c r="E215" s="2181"/>
      <c r="F215" s="2181"/>
      <c r="G215" s="2181"/>
      <c r="H215" s="2181"/>
      <c r="I215" s="2181"/>
      <c r="J215" s="2181"/>
      <c r="K215" s="2181"/>
      <c r="L215" s="2181"/>
      <c r="M215" s="2181"/>
      <c r="N215" s="2181"/>
      <c r="O215" s="2181"/>
      <c r="P215" s="2181"/>
      <c r="Q215" s="2181"/>
      <c r="R215" s="2181"/>
      <c r="S215" s="2181"/>
      <c r="T215" s="2181"/>
      <c r="U215" s="2181"/>
      <c r="V215" s="2181"/>
      <c r="W215" s="2181"/>
      <c r="X215" s="2181"/>
      <c r="Y215" s="2181"/>
      <c r="Z215" s="2181"/>
      <c r="AA215" s="2181"/>
      <c r="AB215" s="2181"/>
      <c r="AC215" s="2181"/>
      <c r="AD215" s="2181"/>
      <c r="AE215" s="2181"/>
      <c r="AF215" s="2181"/>
      <c r="AG215" s="2181"/>
      <c r="AH215" s="2181"/>
      <c r="AI215" s="2181"/>
      <c r="AJ215" s="2181"/>
      <c r="AK215" s="2181"/>
      <c r="AL215" s="2181"/>
      <c r="AM215" s="2181"/>
    </row>
    <row r="216" spans="2:40" s="398" customFormat="1" ht="125.1" customHeight="1">
      <c r="B216" s="3023" t="s">
        <v>2963</v>
      </c>
      <c r="C216" s="1861"/>
      <c r="D216" s="1861"/>
      <c r="E216" s="1861"/>
      <c r="F216" s="1861"/>
      <c r="G216" s="1861"/>
      <c r="H216" s="1861"/>
      <c r="I216" s="1861"/>
      <c r="J216" s="1861"/>
      <c r="K216" s="1861"/>
      <c r="L216" s="1861"/>
      <c r="M216" s="1861"/>
      <c r="N216" s="1861"/>
      <c r="O216" s="1861"/>
      <c r="P216" s="1861"/>
      <c r="Q216" s="1861"/>
      <c r="R216" s="1861"/>
      <c r="S216" s="1861"/>
      <c r="T216" s="1861"/>
      <c r="U216" s="1861"/>
      <c r="V216" s="1861"/>
      <c r="W216" s="1861"/>
      <c r="X216" s="1861"/>
      <c r="Y216" s="1861"/>
      <c r="Z216" s="1861"/>
      <c r="AA216" s="1861"/>
      <c r="AB216" s="1861"/>
      <c r="AC216" s="1861"/>
      <c r="AD216" s="1861"/>
      <c r="AE216" s="1861"/>
      <c r="AF216" s="1861"/>
      <c r="AG216" s="1861"/>
      <c r="AH216" s="1861"/>
      <c r="AI216" s="1861"/>
      <c r="AJ216" s="1861"/>
      <c r="AK216" s="1861"/>
      <c r="AL216" s="1861"/>
      <c r="AM216" s="1862"/>
    </row>
    <row r="217" spans="2:40" s="398" customFormat="1" ht="18" customHeight="1">
      <c r="B217" s="3043" t="s">
        <v>2606</v>
      </c>
      <c r="C217" s="2181"/>
      <c r="D217" s="2181"/>
      <c r="E217" s="2181"/>
      <c r="F217" s="2181"/>
      <c r="G217" s="2181"/>
      <c r="H217" s="2181"/>
      <c r="I217" s="2181"/>
      <c r="J217" s="2181"/>
      <c r="K217" s="2181"/>
      <c r="L217" s="2181"/>
      <c r="M217" s="2181"/>
      <c r="N217" s="2181"/>
      <c r="O217" s="2181"/>
      <c r="P217" s="2181"/>
      <c r="Q217" s="2181"/>
      <c r="R217" s="2181"/>
      <c r="S217" s="2181"/>
      <c r="T217" s="2181"/>
      <c r="U217" s="2181"/>
      <c r="V217" s="2181"/>
      <c r="W217" s="2181"/>
      <c r="X217" s="2181"/>
      <c r="Y217" s="2181"/>
      <c r="Z217" s="2181"/>
      <c r="AA217" s="2181"/>
      <c r="AB217" s="2181"/>
      <c r="AC217" s="2181"/>
      <c r="AD217" s="2181"/>
      <c r="AE217" s="2181"/>
      <c r="AF217" s="2181"/>
      <c r="AG217" s="2181"/>
      <c r="AH217" s="2181"/>
      <c r="AI217" s="2181"/>
      <c r="AJ217" s="2181"/>
      <c r="AK217" s="2181"/>
      <c r="AL217" s="2181"/>
      <c r="AM217" s="2181"/>
    </row>
    <row r="218" spans="2:40" s="398" customFormat="1" ht="125.1" customHeight="1">
      <c r="B218" s="3023" t="s">
        <v>2964</v>
      </c>
      <c r="C218" s="1861"/>
      <c r="D218" s="1861"/>
      <c r="E218" s="1861"/>
      <c r="F218" s="1861"/>
      <c r="G218" s="1861"/>
      <c r="H218" s="1861"/>
      <c r="I218" s="1861"/>
      <c r="J218" s="1861"/>
      <c r="K218" s="1861"/>
      <c r="L218" s="1861"/>
      <c r="M218" s="1861"/>
      <c r="N218" s="1861"/>
      <c r="O218" s="1861"/>
      <c r="P218" s="1861"/>
      <c r="Q218" s="1861"/>
      <c r="R218" s="1861"/>
      <c r="S218" s="1861"/>
      <c r="T218" s="1861"/>
      <c r="U218" s="1861"/>
      <c r="V218" s="1861"/>
      <c r="W218" s="1861"/>
      <c r="X218" s="1861"/>
      <c r="Y218" s="1861"/>
      <c r="Z218" s="1861"/>
      <c r="AA218" s="1861"/>
      <c r="AB218" s="1861"/>
      <c r="AC218" s="1861"/>
      <c r="AD218" s="1861"/>
      <c r="AE218" s="1861"/>
      <c r="AF218" s="1861"/>
      <c r="AG218" s="1861"/>
      <c r="AH218" s="1861"/>
      <c r="AI218" s="1861"/>
      <c r="AJ218" s="1861"/>
      <c r="AK218" s="1861"/>
      <c r="AL218" s="1861"/>
      <c r="AM218" s="1862"/>
    </row>
    <row r="219" spans="2:40" s="398" customFormat="1" ht="18" customHeight="1">
      <c r="B219" s="3043" t="s">
        <v>2607</v>
      </c>
      <c r="C219" s="2181"/>
      <c r="D219" s="2181"/>
      <c r="E219" s="2181"/>
      <c r="F219" s="2181"/>
      <c r="G219" s="2181"/>
      <c r="H219" s="2181"/>
      <c r="I219" s="2181"/>
      <c r="J219" s="2181"/>
      <c r="K219" s="2181"/>
      <c r="L219" s="2181"/>
      <c r="M219" s="2181"/>
      <c r="N219" s="2181"/>
      <c r="O219" s="2181"/>
      <c r="P219" s="2181"/>
      <c r="Q219" s="2181"/>
      <c r="R219" s="2181"/>
      <c r="S219" s="2181"/>
      <c r="T219" s="2181"/>
      <c r="U219" s="2181"/>
      <c r="V219" s="2181"/>
      <c r="W219" s="2181"/>
      <c r="X219" s="2181"/>
      <c r="Y219" s="2181"/>
      <c r="Z219" s="2181"/>
      <c r="AA219" s="2181"/>
      <c r="AB219" s="2181"/>
      <c r="AC219" s="2181"/>
      <c r="AD219" s="2181"/>
      <c r="AE219" s="2181"/>
      <c r="AF219" s="2181"/>
      <c r="AG219" s="2181"/>
      <c r="AH219" s="2181"/>
      <c r="AI219" s="2181"/>
      <c r="AJ219" s="2181"/>
      <c r="AK219" s="2181"/>
      <c r="AL219" s="2181"/>
      <c r="AM219" s="2181"/>
    </row>
    <row r="220" spans="2:40" s="398" customFormat="1" ht="125.1" customHeight="1">
      <c r="B220" s="3023"/>
      <c r="C220" s="1861"/>
      <c r="D220" s="1861"/>
      <c r="E220" s="1861"/>
      <c r="F220" s="1861"/>
      <c r="G220" s="1861"/>
      <c r="H220" s="1861"/>
      <c r="I220" s="1861"/>
      <c r="J220" s="1861"/>
      <c r="K220" s="1861"/>
      <c r="L220" s="1861"/>
      <c r="M220" s="1861"/>
      <c r="N220" s="1861"/>
      <c r="O220" s="1861"/>
      <c r="P220" s="1861"/>
      <c r="Q220" s="1861"/>
      <c r="R220" s="1861"/>
      <c r="S220" s="1861"/>
      <c r="T220" s="1861"/>
      <c r="U220" s="1861"/>
      <c r="V220" s="1861"/>
      <c r="W220" s="1861"/>
      <c r="X220" s="1861"/>
      <c r="Y220" s="1861"/>
      <c r="Z220" s="1861"/>
      <c r="AA220" s="1861"/>
      <c r="AB220" s="1861"/>
      <c r="AC220" s="1861"/>
      <c r="AD220" s="1861"/>
      <c r="AE220" s="1861"/>
      <c r="AF220" s="1861"/>
      <c r="AG220" s="1861"/>
      <c r="AH220" s="1861"/>
      <c r="AI220" s="1861"/>
      <c r="AJ220" s="1861"/>
      <c r="AK220" s="1861"/>
      <c r="AL220" s="1861"/>
      <c r="AM220" s="1862"/>
    </row>
    <row r="221" spans="2:40" s="398" customFormat="1" ht="18" customHeight="1">
      <c r="B221" s="3043" t="s">
        <v>2608</v>
      </c>
      <c r="C221" s="2181"/>
      <c r="D221" s="2181"/>
      <c r="E221" s="2181"/>
      <c r="F221" s="2181"/>
      <c r="G221" s="2181"/>
      <c r="H221" s="2181"/>
      <c r="I221" s="2181"/>
      <c r="J221" s="2181"/>
      <c r="K221" s="2181"/>
      <c r="L221" s="2181"/>
      <c r="M221" s="2181"/>
      <c r="N221" s="2181"/>
      <c r="O221" s="2181"/>
      <c r="P221" s="2181"/>
      <c r="Q221" s="2181"/>
      <c r="R221" s="2181"/>
      <c r="S221" s="2181"/>
      <c r="T221" s="2181"/>
      <c r="U221" s="2181"/>
      <c r="V221" s="2181"/>
      <c r="W221" s="2181"/>
      <c r="X221" s="2181"/>
      <c r="Y221" s="2181"/>
      <c r="Z221" s="2181"/>
      <c r="AA221" s="2181"/>
      <c r="AB221" s="2181"/>
      <c r="AC221" s="2181"/>
      <c r="AD221" s="2181"/>
      <c r="AE221" s="2181"/>
      <c r="AF221" s="2181"/>
      <c r="AG221" s="2181"/>
      <c r="AH221" s="2181"/>
      <c r="AI221" s="2181"/>
      <c r="AJ221" s="2181"/>
      <c r="AK221" s="2181"/>
      <c r="AL221" s="2181"/>
      <c r="AM221" s="2181"/>
      <c r="AN221" s="387"/>
    </row>
    <row r="222" spans="2:40" s="398" customFormat="1" ht="125.1" customHeight="1">
      <c r="B222" s="3023"/>
      <c r="C222" s="1861"/>
      <c r="D222" s="1861"/>
      <c r="E222" s="1861"/>
      <c r="F222" s="1861"/>
      <c r="G222" s="1861"/>
      <c r="H222" s="1861"/>
      <c r="I222" s="1861"/>
      <c r="J222" s="1861"/>
      <c r="K222" s="1861"/>
      <c r="L222" s="1861"/>
      <c r="M222" s="1861"/>
      <c r="N222" s="1861"/>
      <c r="O222" s="1861"/>
      <c r="P222" s="1861"/>
      <c r="Q222" s="1861"/>
      <c r="R222" s="1861"/>
      <c r="S222" s="1861"/>
      <c r="T222" s="1861"/>
      <c r="U222" s="1861"/>
      <c r="V222" s="1861"/>
      <c r="W222" s="1861"/>
      <c r="X222" s="1861"/>
      <c r="Y222" s="1861"/>
      <c r="Z222" s="1861"/>
      <c r="AA222" s="1861"/>
      <c r="AB222" s="1861"/>
      <c r="AC222" s="1861"/>
      <c r="AD222" s="1861"/>
      <c r="AE222" s="1861"/>
      <c r="AF222" s="1861"/>
      <c r="AG222" s="1861"/>
      <c r="AH222" s="1861"/>
      <c r="AI222" s="1861"/>
      <c r="AJ222" s="1861"/>
      <c r="AK222" s="1861"/>
      <c r="AL222" s="1861"/>
      <c r="AM222" s="1862"/>
    </row>
    <row r="223" spans="2:40" s="398" customFormat="1" ht="36" customHeight="1">
      <c r="B223" s="3043" t="s">
        <v>2965</v>
      </c>
      <c r="C223" s="2181"/>
      <c r="D223" s="2181"/>
      <c r="E223" s="2181"/>
      <c r="F223" s="2181"/>
      <c r="G223" s="2181"/>
      <c r="H223" s="2181"/>
      <c r="I223" s="2181"/>
      <c r="J223" s="2181"/>
      <c r="K223" s="2181"/>
      <c r="L223" s="2181"/>
      <c r="M223" s="2181"/>
      <c r="N223" s="2181"/>
      <c r="O223" s="2181"/>
      <c r="P223" s="2181"/>
      <c r="Q223" s="2181"/>
      <c r="R223" s="2181"/>
      <c r="S223" s="2181"/>
      <c r="T223" s="2181"/>
      <c r="U223" s="2181"/>
      <c r="V223" s="2181"/>
      <c r="W223" s="2181"/>
      <c r="X223" s="2181"/>
      <c r="Y223" s="2181"/>
      <c r="Z223" s="2181"/>
      <c r="AA223" s="2181"/>
      <c r="AB223" s="2181"/>
      <c r="AC223" s="2181"/>
      <c r="AD223" s="2181"/>
      <c r="AE223" s="2181"/>
      <c r="AF223" s="2181"/>
      <c r="AG223" s="2181"/>
      <c r="AH223" s="2181"/>
      <c r="AI223" s="2181"/>
      <c r="AJ223" s="2181"/>
      <c r="AK223" s="2181"/>
      <c r="AL223" s="2181"/>
      <c r="AM223" s="2181"/>
    </row>
    <row r="224" spans="2:40" s="398" customFormat="1" ht="125.1" customHeight="1">
      <c r="B224" s="3023"/>
      <c r="C224" s="1861"/>
      <c r="D224" s="1861"/>
      <c r="E224" s="1861"/>
      <c r="F224" s="1861"/>
      <c r="G224" s="1861"/>
      <c r="H224" s="1861"/>
      <c r="I224" s="1861"/>
      <c r="J224" s="1861"/>
      <c r="K224" s="1861"/>
      <c r="L224" s="1861"/>
      <c r="M224" s="1861"/>
      <c r="N224" s="1861"/>
      <c r="O224" s="1861"/>
      <c r="P224" s="1861"/>
      <c r="Q224" s="1861"/>
      <c r="R224" s="1861"/>
      <c r="S224" s="1861"/>
      <c r="T224" s="1861"/>
      <c r="U224" s="1861"/>
      <c r="V224" s="1861"/>
      <c r="W224" s="1861"/>
      <c r="X224" s="1861"/>
      <c r="Y224" s="1861"/>
      <c r="Z224" s="1861"/>
      <c r="AA224" s="1861"/>
      <c r="AB224" s="1861"/>
      <c r="AC224" s="1861"/>
      <c r="AD224" s="1861"/>
      <c r="AE224" s="1861"/>
      <c r="AF224" s="1861"/>
      <c r="AG224" s="1861"/>
      <c r="AH224" s="1861"/>
      <c r="AI224" s="1861"/>
      <c r="AJ224" s="1861"/>
      <c r="AK224" s="1861"/>
      <c r="AL224" s="1861"/>
      <c r="AM224" s="1862"/>
    </row>
    <row r="225" spans="2:40" s="398" customFormat="1" ht="36.75" customHeight="1">
      <c r="B225" s="3043" t="s">
        <v>2966</v>
      </c>
      <c r="C225" s="2181"/>
      <c r="D225" s="2181"/>
      <c r="E225" s="2181"/>
      <c r="F225" s="2181"/>
      <c r="G225" s="2181"/>
      <c r="H225" s="2181"/>
      <c r="I225" s="2181"/>
      <c r="J225" s="2181"/>
      <c r="K225" s="2181"/>
      <c r="L225" s="2181"/>
      <c r="M225" s="2181"/>
      <c r="N225" s="2181"/>
      <c r="O225" s="2181"/>
      <c r="P225" s="2181"/>
      <c r="Q225" s="2181"/>
      <c r="R225" s="2181"/>
      <c r="S225" s="2181"/>
      <c r="T225" s="2181"/>
      <c r="U225" s="2181"/>
      <c r="V225" s="2181"/>
      <c r="W225" s="2181"/>
      <c r="X225" s="2181"/>
      <c r="Y225" s="2181"/>
      <c r="Z225" s="2181"/>
      <c r="AA225" s="2181"/>
      <c r="AB225" s="2181"/>
      <c r="AC225" s="2181"/>
      <c r="AD225" s="2181"/>
      <c r="AE225" s="2181"/>
      <c r="AF225" s="2181"/>
      <c r="AG225" s="2181"/>
      <c r="AH225" s="2181"/>
      <c r="AI225" s="2181"/>
      <c r="AJ225" s="2181"/>
      <c r="AK225" s="2181"/>
      <c r="AL225" s="2181"/>
      <c r="AM225" s="2181"/>
    </row>
    <row r="226" spans="2:40" s="398" customFormat="1" ht="125.1" customHeight="1">
      <c r="B226" s="3023"/>
      <c r="C226" s="1861"/>
      <c r="D226" s="1861"/>
      <c r="E226" s="1861"/>
      <c r="F226" s="1861"/>
      <c r="G226" s="1861"/>
      <c r="H226" s="1861"/>
      <c r="I226" s="1861"/>
      <c r="J226" s="1861"/>
      <c r="K226" s="1861"/>
      <c r="L226" s="1861"/>
      <c r="M226" s="1861"/>
      <c r="N226" s="1861"/>
      <c r="O226" s="1861"/>
      <c r="P226" s="1861"/>
      <c r="Q226" s="1861"/>
      <c r="R226" s="1861"/>
      <c r="S226" s="1861"/>
      <c r="T226" s="1861"/>
      <c r="U226" s="1861"/>
      <c r="V226" s="1861"/>
      <c r="W226" s="1861"/>
      <c r="X226" s="1861"/>
      <c r="Y226" s="1861"/>
      <c r="Z226" s="1861"/>
      <c r="AA226" s="1861"/>
      <c r="AB226" s="1861"/>
      <c r="AC226" s="1861"/>
      <c r="AD226" s="1861"/>
      <c r="AE226" s="1861"/>
      <c r="AF226" s="1861"/>
      <c r="AG226" s="1861"/>
      <c r="AH226" s="1861"/>
      <c r="AI226" s="1861"/>
      <c r="AJ226" s="1861"/>
      <c r="AK226" s="1861"/>
      <c r="AL226" s="1861"/>
      <c r="AM226" s="1862"/>
    </row>
    <row r="227" spans="2:40" s="381" customFormat="1" ht="18" customHeight="1"/>
    <row r="228" spans="2:40" s="398" customFormat="1" ht="18" customHeight="1">
      <c r="B228" s="3130" t="s">
        <v>2380</v>
      </c>
      <c r="C228" s="2181"/>
      <c r="D228" s="2181"/>
      <c r="E228" s="2181"/>
      <c r="F228" s="2181"/>
      <c r="G228" s="2181"/>
      <c r="H228" s="2181"/>
      <c r="I228" s="2181"/>
      <c r="J228" s="2181"/>
      <c r="K228" s="2181"/>
      <c r="L228" s="2181"/>
      <c r="M228" s="2181"/>
      <c r="N228" s="2181"/>
      <c r="O228" s="2181"/>
      <c r="P228" s="2181"/>
      <c r="Q228" s="2181"/>
      <c r="R228" s="2181"/>
      <c r="S228" s="2181"/>
      <c r="T228" s="2181"/>
      <c r="U228" s="2181"/>
      <c r="V228" s="2181"/>
      <c r="W228" s="2181"/>
      <c r="X228" s="2181"/>
      <c r="Y228" s="2181"/>
      <c r="Z228" s="2181"/>
      <c r="AA228" s="2181"/>
      <c r="AB228" s="2181"/>
      <c r="AC228" s="2181"/>
      <c r="AD228" s="2181"/>
      <c r="AE228" s="2181"/>
      <c r="AF228" s="2181"/>
      <c r="AG228" s="2181"/>
      <c r="AH228" s="2181"/>
      <c r="AI228" s="2181"/>
      <c r="AJ228" s="2181"/>
      <c r="AK228" s="2181"/>
      <c r="AL228" s="2181"/>
      <c r="AM228" s="2181"/>
      <c r="AN228" s="387"/>
    </row>
    <row r="229" spans="2:40" ht="18" customHeight="1">
      <c r="B229" s="3043" t="s">
        <v>2967</v>
      </c>
      <c r="C229" s="3021"/>
      <c r="D229" s="3021"/>
      <c r="E229" s="3021"/>
      <c r="F229" s="3021"/>
      <c r="G229" s="3021"/>
      <c r="H229" s="3021"/>
      <c r="I229" s="1935"/>
      <c r="J229" s="3021"/>
      <c r="K229" s="3021"/>
      <c r="L229" s="3021"/>
      <c r="M229" s="3021"/>
      <c r="N229" s="3021"/>
      <c r="O229" s="3021"/>
      <c r="P229" s="3021"/>
      <c r="Q229" s="3021"/>
      <c r="R229" s="3021"/>
      <c r="S229" s="3021"/>
      <c r="T229" s="3021"/>
      <c r="U229" s="3021"/>
      <c r="V229" s="3021"/>
      <c r="W229" s="3021"/>
      <c r="X229" s="3021"/>
      <c r="Y229" s="3021"/>
      <c r="Z229" s="3021"/>
      <c r="AA229" s="3021"/>
      <c r="AB229" s="3021"/>
      <c r="AC229" s="3021"/>
      <c r="AD229" s="3021"/>
      <c r="AE229" s="3021"/>
      <c r="AF229" s="3021"/>
      <c r="AG229" s="3021"/>
      <c r="AH229" s="3021"/>
      <c r="AI229" s="3021"/>
      <c r="AJ229" s="3021"/>
      <c r="AK229" s="3021"/>
      <c r="AL229" s="3021"/>
      <c r="AM229" s="3021"/>
      <c r="AN229" s="398"/>
    </row>
    <row r="230" spans="2:40" s="398" customFormat="1" ht="125.1" customHeight="1">
      <c r="B230" s="3023"/>
      <c r="C230" s="1861"/>
      <c r="D230" s="1861"/>
      <c r="E230" s="1861"/>
      <c r="F230" s="1861"/>
      <c r="G230" s="1861"/>
      <c r="H230" s="1861"/>
      <c r="I230" s="1861"/>
      <c r="J230" s="1861"/>
      <c r="K230" s="1861"/>
      <c r="L230" s="1861"/>
      <c r="M230" s="1861"/>
      <c r="N230" s="1861"/>
      <c r="O230" s="1861"/>
      <c r="P230" s="1861"/>
      <c r="Q230" s="1861"/>
      <c r="R230" s="1861"/>
      <c r="S230" s="1861"/>
      <c r="T230" s="1861"/>
      <c r="U230" s="1861"/>
      <c r="V230" s="1861"/>
      <c r="W230" s="1861"/>
      <c r="X230" s="1861"/>
      <c r="Y230" s="1861"/>
      <c r="Z230" s="1861"/>
      <c r="AA230" s="1861"/>
      <c r="AB230" s="1861"/>
      <c r="AC230" s="1861"/>
      <c r="AD230" s="1861"/>
      <c r="AE230" s="1861"/>
      <c r="AF230" s="1861"/>
      <c r="AG230" s="1861"/>
      <c r="AH230" s="1861"/>
      <c r="AI230" s="1861"/>
      <c r="AJ230" s="1861"/>
      <c r="AK230" s="1861"/>
      <c r="AL230" s="1861"/>
      <c r="AM230" s="1862"/>
      <c r="AN230" s="387"/>
    </row>
    <row r="231" spans="2:40" s="398" customFormat="1" ht="18" customHeight="1">
      <c r="B231" s="3043" t="s">
        <v>2968</v>
      </c>
      <c r="C231" s="2181"/>
      <c r="D231" s="2181"/>
      <c r="E231" s="2181"/>
      <c r="F231" s="2181"/>
      <c r="G231" s="2181"/>
      <c r="H231" s="2181"/>
      <c r="I231" s="2181"/>
      <c r="J231" s="2181"/>
      <c r="K231" s="2181"/>
      <c r="L231" s="2181"/>
      <c r="M231" s="2181"/>
      <c r="N231" s="2181"/>
      <c r="O231" s="2181"/>
      <c r="P231" s="2181"/>
      <c r="Q231" s="2181"/>
      <c r="R231" s="2181"/>
      <c r="S231" s="2181"/>
      <c r="T231" s="2181"/>
      <c r="U231" s="2181"/>
      <c r="V231" s="2181"/>
      <c r="W231" s="2181"/>
      <c r="X231" s="2181"/>
      <c r="Y231" s="2181"/>
      <c r="Z231" s="2181"/>
      <c r="AA231" s="2181"/>
      <c r="AB231" s="2181"/>
      <c r="AC231" s="2181"/>
      <c r="AD231" s="2181"/>
      <c r="AE231" s="2181"/>
      <c r="AF231" s="2181"/>
      <c r="AG231" s="2181"/>
      <c r="AH231" s="2181"/>
      <c r="AI231" s="2181"/>
      <c r="AJ231" s="2181"/>
      <c r="AK231" s="2181"/>
      <c r="AL231" s="2181"/>
      <c r="AM231" s="2181"/>
    </row>
    <row r="232" spans="2:40" s="398" customFormat="1" ht="125.1" customHeight="1">
      <c r="B232" s="3023"/>
      <c r="C232" s="1861"/>
      <c r="D232" s="1861"/>
      <c r="E232" s="1861"/>
      <c r="F232" s="1861"/>
      <c r="G232" s="1861"/>
      <c r="H232" s="1861"/>
      <c r="I232" s="1861"/>
      <c r="J232" s="1861"/>
      <c r="K232" s="1861"/>
      <c r="L232" s="1861"/>
      <c r="M232" s="1861"/>
      <c r="N232" s="1861"/>
      <c r="O232" s="1861"/>
      <c r="P232" s="1861"/>
      <c r="Q232" s="1861"/>
      <c r="R232" s="1861"/>
      <c r="S232" s="1861"/>
      <c r="T232" s="1861"/>
      <c r="U232" s="1861"/>
      <c r="V232" s="1861"/>
      <c r="W232" s="1861"/>
      <c r="X232" s="1861"/>
      <c r="Y232" s="1861"/>
      <c r="Z232" s="1861"/>
      <c r="AA232" s="1861"/>
      <c r="AB232" s="1861"/>
      <c r="AC232" s="1861"/>
      <c r="AD232" s="1861"/>
      <c r="AE232" s="1861"/>
      <c r="AF232" s="1861"/>
      <c r="AG232" s="1861"/>
      <c r="AH232" s="1861"/>
      <c r="AI232" s="1861"/>
      <c r="AJ232" s="1861"/>
      <c r="AK232" s="1861"/>
      <c r="AL232" s="1861"/>
      <c r="AM232" s="1862"/>
      <c r="AN232" s="387"/>
    </row>
    <row r="233" spans="2:40" ht="18" customHeight="1">
      <c r="B233" s="3043" t="s">
        <v>2969</v>
      </c>
      <c r="C233" s="3021"/>
      <c r="D233" s="3021"/>
      <c r="E233" s="3021"/>
      <c r="F233" s="3021"/>
      <c r="G233" s="3021"/>
      <c r="H233" s="3021"/>
      <c r="I233" s="1935"/>
      <c r="J233" s="3021"/>
      <c r="K233" s="3021"/>
      <c r="L233" s="3021"/>
      <c r="M233" s="3021"/>
      <c r="N233" s="3021"/>
      <c r="O233" s="3021"/>
      <c r="P233" s="3021"/>
      <c r="Q233" s="3021"/>
      <c r="R233" s="3021"/>
      <c r="S233" s="3021"/>
      <c r="T233" s="3021"/>
      <c r="U233" s="3021"/>
      <c r="V233" s="3021"/>
      <c r="W233" s="3021"/>
      <c r="X233" s="3021"/>
      <c r="Y233" s="3021"/>
      <c r="Z233" s="3021"/>
      <c r="AA233" s="3021"/>
      <c r="AB233" s="3021"/>
      <c r="AC233" s="3021"/>
      <c r="AD233" s="3021"/>
      <c r="AE233" s="3021"/>
      <c r="AF233" s="3021"/>
      <c r="AG233" s="3021"/>
      <c r="AH233" s="3021"/>
      <c r="AI233" s="3021"/>
      <c r="AJ233" s="3021"/>
      <c r="AK233" s="3021"/>
      <c r="AL233" s="3021"/>
      <c r="AM233" s="3021"/>
      <c r="AN233" s="398"/>
    </row>
    <row r="234" spans="2:40" s="398" customFormat="1" ht="125.1" customHeight="1">
      <c r="B234" s="3023"/>
      <c r="C234" s="1861"/>
      <c r="D234" s="1861"/>
      <c r="E234" s="1861"/>
      <c r="F234" s="1861"/>
      <c r="G234" s="1861"/>
      <c r="H234" s="1861"/>
      <c r="I234" s="1861"/>
      <c r="J234" s="1861"/>
      <c r="K234" s="1861"/>
      <c r="L234" s="1861"/>
      <c r="M234" s="1861"/>
      <c r="N234" s="1861"/>
      <c r="O234" s="1861"/>
      <c r="P234" s="1861"/>
      <c r="Q234" s="1861"/>
      <c r="R234" s="1861"/>
      <c r="S234" s="1861"/>
      <c r="T234" s="1861"/>
      <c r="U234" s="1861"/>
      <c r="V234" s="1861"/>
      <c r="W234" s="1861"/>
      <c r="X234" s="1861"/>
      <c r="Y234" s="1861"/>
      <c r="Z234" s="1861"/>
      <c r="AA234" s="1861"/>
      <c r="AB234" s="1861"/>
      <c r="AC234" s="1861"/>
      <c r="AD234" s="1861"/>
      <c r="AE234" s="1861"/>
      <c r="AF234" s="1861"/>
      <c r="AG234" s="1861"/>
      <c r="AH234" s="1861"/>
      <c r="AI234" s="1861"/>
      <c r="AJ234" s="1861"/>
      <c r="AK234" s="1861"/>
      <c r="AL234" s="1861"/>
      <c r="AM234" s="1862"/>
      <c r="AN234" s="387"/>
    </row>
    <row r="235" spans="2:40" ht="18" customHeight="1">
      <c r="B235" s="3043" t="s">
        <v>2970</v>
      </c>
      <c r="C235" s="3021"/>
      <c r="D235" s="3021"/>
      <c r="E235" s="3021"/>
      <c r="F235" s="3021"/>
      <c r="G235" s="3021"/>
      <c r="H235" s="3021"/>
      <c r="I235" s="1935"/>
      <c r="J235" s="3021"/>
      <c r="K235" s="3021"/>
      <c r="L235" s="3021"/>
      <c r="M235" s="3021"/>
      <c r="N235" s="3021"/>
      <c r="O235" s="3021"/>
      <c r="P235" s="3021"/>
      <c r="Q235" s="3021"/>
      <c r="R235" s="3021"/>
      <c r="S235" s="3021"/>
      <c r="T235" s="3021"/>
      <c r="U235" s="3021"/>
      <c r="V235" s="3021"/>
      <c r="W235" s="3021"/>
      <c r="X235" s="3021"/>
      <c r="Y235" s="3021"/>
      <c r="Z235" s="3021"/>
      <c r="AA235" s="3021"/>
      <c r="AB235" s="3021"/>
      <c r="AC235" s="3021"/>
      <c r="AD235" s="3021"/>
      <c r="AE235" s="3021"/>
      <c r="AF235" s="3021"/>
      <c r="AG235" s="3021"/>
      <c r="AH235" s="3021"/>
      <c r="AI235" s="3021"/>
      <c r="AJ235" s="3021"/>
      <c r="AK235" s="3021"/>
      <c r="AL235" s="3021"/>
      <c r="AM235" s="3021"/>
      <c r="AN235" s="398"/>
    </row>
    <row r="236" spans="2:40" s="398" customFormat="1" ht="125.1" customHeight="1">
      <c r="B236" s="3023"/>
      <c r="C236" s="1861"/>
      <c r="D236" s="1861"/>
      <c r="E236" s="1861"/>
      <c r="F236" s="1861"/>
      <c r="G236" s="1861"/>
      <c r="H236" s="1861"/>
      <c r="I236" s="1861"/>
      <c r="J236" s="1861"/>
      <c r="K236" s="1861"/>
      <c r="L236" s="1861"/>
      <c r="M236" s="1861"/>
      <c r="N236" s="1861"/>
      <c r="O236" s="1861"/>
      <c r="P236" s="1861"/>
      <c r="Q236" s="1861"/>
      <c r="R236" s="1861"/>
      <c r="S236" s="1861"/>
      <c r="T236" s="1861"/>
      <c r="U236" s="1861"/>
      <c r="V236" s="1861"/>
      <c r="W236" s="1861"/>
      <c r="X236" s="1861"/>
      <c r="Y236" s="1861"/>
      <c r="Z236" s="1861"/>
      <c r="AA236" s="1861"/>
      <c r="AB236" s="1861"/>
      <c r="AC236" s="1861"/>
      <c r="AD236" s="1861"/>
      <c r="AE236" s="1861"/>
      <c r="AF236" s="1861"/>
      <c r="AG236" s="1861"/>
      <c r="AH236" s="1861"/>
      <c r="AI236" s="1861"/>
      <c r="AJ236" s="1861"/>
      <c r="AK236" s="1861"/>
      <c r="AL236" s="1861"/>
      <c r="AM236" s="1862"/>
      <c r="AN236" s="387"/>
    </row>
    <row r="237" spans="2:40" ht="18" customHeight="1">
      <c r="B237" s="3043" t="s">
        <v>2971</v>
      </c>
      <c r="C237" s="3021"/>
      <c r="D237" s="3021"/>
      <c r="E237" s="3021"/>
      <c r="F237" s="3021"/>
      <c r="G237" s="3021"/>
      <c r="H237" s="3021"/>
      <c r="I237" s="1935"/>
      <c r="J237" s="3021"/>
      <c r="K237" s="3021"/>
      <c r="L237" s="3021"/>
      <c r="M237" s="3021"/>
      <c r="N237" s="3021"/>
      <c r="O237" s="3021"/>
      <c r="P237" s="3021"/>
      <c r="Q237" s="3021"/>
      <c r="R237" s="3021"/>
      <c r="S237" s="3021"/>
      <c r="T237" s="3021"/>
      <c r="U237" s="3021"/>
      <c r="V237" s="3021"/>
      <c r="W237" s="3021"/>
      <c r="X237" s="3021"/>
      <c r="Y237" s="3021"/>
      <c r="Z237" s="3021"/>
      <c r="AA237" s="3021"/>
      <c r="AB237" s="3021"/>
      <c r="AC237" s="3021"/>
      <c r="AD237" s="3021"/>
      <c r="AE237" s="3021"/>
      <c r="AF237" s="3021"/>
      <c r="AG237" s="3021"/>
      <c r="AH237" s="3021"/>
      <c r="AI237" s="3021"/>
      <c r="AJ237" s="3021"/>
      <c r="AK237" s="3021"/>
      <c r="AL237" s="3021"/>
      <c r="AM237" s="3021"/>
      <c r="AN237" s="398"/>
    </row>
    <row r="238" spans="2:40" s="398" customFormat="1" ht="125.1" customHeight="1">
      <c r="B238" s="3023"/>
      <c r="C238" s="1861"/>
      <c r="D238" s="1861"/>
      <c r="E238" s="1861"/>
      <c r="F238" s="1861"/>
      <c r="G238" s="1861"/>
      <c r="H238" s="1861"/>
      <c r="I238" s="1861"/>
      <c r="J238" s="1861"/>
      <c r="K238" s="1861"/>
      <c r="L238" s="1861"/>
      <c r="M238" s="1861"/>
      <c r="N238" s="1861"/>
      <c r="O238" s="1861"/>
      <c r="P238" s="1861"/>
      <c r="Q238" s="1861"/>
      <c r="R238" s="1861"/>
      <c r="S238" s="1861"/>
      <c r="T238" s="1861"/>
      <c r="U238" s="1861"/>
      <c r="V238" s="1861"/>
      <c r="W238" s="1861"/>
      <c r="X238" s="1861"/>
      <c r="Y238" s="1861"/>
      <c r="Z238" s="1861"/>
      <c r="AA238" s="1861"/>
      <c r="AB238" s="1861"/>
      <c r="AC238" s="1861"/>
      <c r="AD238" s="1861"/>
      <c r="AE238" s="1861"/>
      <c r="AF238" s="1861"/>
      <c r="AG238" s="1861"/>
      <c r="AH238" s="1861"/>
      <c r="AI238" s="1861"/>
      <c r="AJ238" s="1861"/>
      <c r="AK238" s="1861"/>
      <c r="AL238" s="1861"/>
      <c r="AM238" s="1862"/>
    </row>
    <row r="239" spans="2:40" ht="18" customHeight="1">
      <c r="B239" s="3043" t="s">
        <v>2972</v>
      </c>
      <c r="C239" s="3021"/>
      <c r="D239" s="3021"/>
      <c r="E239" s="3021"/>
      <c r="F239" s="3021"/>
      <c r="G239" s="3021"/>
      <c r="H239" s="3021"/>
      <c r="I239" s="1935"/>
      <c r="J239" s="3021"/>
      <c r="K239" s="3021"/>
      <c r="L239" s="3021"/>
      <c r="M239" s="3021"/>
      <c r="N239" s="3021"/>
      <c r="O239" s="3021"/>
      <c r="P239" s="3021"/>
      <c r="Q239" s="3021"/>
      <c r="R239" s="3021"/>
      <c r="S239" s="3021"/>
      <c r="T239" s="3021"/>
      <c r="U239" s="3021"/>
      <c r="V239" s="3021"/>
      <c r="W239" s="3021"/>
      <c r="X239" s="3021"/>
      <c r="Y239" s="3021"/>
      <c r="Z239" s="3021"/>
      <c r="AA239" s="3021"/>
      <c r="AB239" s="3021"/>
      <c r="AC239" s="3021"/>
      <c r="AD239" s="3021"/>
      <c r="AE239" s="3021"/>
      <c r="AF239" s="3021"/>
      <c r="AG239" s="3021"/>
      <c r="AH239" s="3021"/>
      <c r="AI239" s="3021"/>
      <c r="AJ239" s="3021"/>
      <c r="AK239" s="3021"/>
      <c r="AL239" s="3021"/>
      <c r="AM239" s="3021"/>
    </row>
    <row r="240" spans="2:40" s="398" customFormat="1" ht="125.1" customHeight="1">
      <c r="B240" s="3023"/>
      <c r="C240" s="1861"/>
      <c r="D240" s="1861"/>
      <c r="E240" s="1861"/>
      <c r="F240" s="1861"/>
      <c r="G240" s="1861"/>
      <c r="H240" s="1861"/>
      <c r="I240" s="1861"/>
      <c r="J240" s="1861"/>
      <c r="K240" s="1861"/>
      <c r="L240" s="1861"/>
      <c r="M240" s="1861"/>
      <c r="N240" s="1861"/>
      <c r="O240" s="1861"/>
      <c r="P240" s="1861"/>
      <c r="Q240" s="1861"/>
      <c r="R240" s="1861"/>
      <c r="S240" s="1861"/>
      <c r="T240" s="1861"/>
      <c r="U240" s="1861"/>
      <c r="V240" s="1861"/>
      <c r="W240" s="1861"/>
      <c r="X240" s="1861"/>
      <c r="Y240" s="1861"/>
      <c r="Z240" s="1861"/>
      <c r="AA240" s="1861"/>
      <c r="AB240" s="1861"/>
      <c r="AC240" s="1861"/>
      <c r="AD240" s="1861"/>
      <c r="AE240" s="1861"/>
      <c r="AF240" s="1861"/>
      <c r="AG240" s="1861"/>
      <c r="AH240" s="1861"/>
      <c r="AI240" s="1861"/>
      <c r="AJ240" s="1861"/>
      <c r="AK240" s="1861"/>
      <c r="AL240" s="1861"/>
      <c r="AM240" s="1862"/>
      <c r="AN240" s="387"/>
    </row>
    <row r="241" spans="2:40" ht="18" customHeight="1">
      <c r="B241" s="3043" t="s">
        <v>2973</v>
      </c>
      <c r="C241" s="3021"/>
      <c r="D241" s="3021"/>
      <c r="E241" s="3021"/>
      <c r="F241" s="3021"/>
      <c r="G241" s="3021"/>
      <c r="H241" s="3021"/>
      <c r="I241" s="1935"/>
      <c r="J241" s="3021"/>
      <c r="K241" s="3021"/>
      <c r="L241" s="3021"/>
      <c r="M241" s="3021"/>
      <c r="N241" s="3021"/>
      <c r="O241" s="3021"/>
      <c r="P241" s="3021"/>
      <c r="Q241" s="3021"/>
      <c r="R241" s="3021"/>
      <c r="S241" s="3021"/>
      <c r="T241" s="3021"/>
      <c r="U241" s="3021"/>
      <c r="V241" s="3021"/>
      <c r="W241" s="3021"/>
      <c r="X241" s="3021"/>
      <c r="Y241" s="3021"/>
      <c r="Z241" s="3021"/>
      <c r="AA241" s="3021"/>
      <c r="AB241" s="3021"/>
      <c r="AC241" s="3021"/>
      <c r="AD241" s="3021"/>
      <c r="AE241" s="3021"/>
      <c r="AF241" s="3021"/>
      <c r="AG241" s="3021"/>
      <c r="AH241" s="3021"/>
      <c r="AI241" s="3021"/>
      <c r="AJ241" s="3021"/>
      <c r="AK241" s="3021"/>
      <c r="AL241" s="3021"/>
      <c r="AM241" s="3021"/>
    </row>
    <row r="242" spans="2:40" s="398" customFormat="1" ht="125.1" customHeight="1">
      <c r="B242" s="3023"/>
      <c r="C242" s="1861"/>
      <c r="D242" s="1861"/>
      <c r="E242" s="1861"/>
      <c r="F242" s="1861"/>
      <c r="G242" s="1861"/>
      <c r="H242" s="1861"/>
      <c r="I242" s="1861"/>
      <c r="J242" s="1861"/>
      <c r="K242" s="1861"/>
      <c r="L242" s="1861"/>
      <c r="M242" s="1861"/>
      <c r="N242" s="1861"/>
      <c r="O242" s="1861"/>
      <c r="P242" s="1861"/>
      <c r="Q242" s="1861"/>
      <c r="R242" s="1861"/>
      <c r="S242" s="1861"/>
      <c r="T242" s="1861"/>
      <c r="U242" s="1861"/>
      <c r="V242" s="1861"/>
      <c r="W242" s="1861"/>
      <c r="X242" s="1861"/>
      <c r="Y242" s="1861"/>
      <c r="Z242" s="1861"/>
      <c r="AA242" s="1861"/>
      <c r="AB242" s="1861"/>
      <c r="AC242" s="1861"/>
      <c r="AD242" s="1861"/>
      <c r="AE242" s="1861"/>
      <c r="AF242" s="1861"/>
      <c r="AG242" s="1861"/>
      <c r="AH242" s="1861"/>
      <c r="AI242" s="1861"/>
      <c r="AJ242" s="1861"/>
      <c r="AK242" s="1861"/>
      <c r="AL242" s="1861"/>
      <c r="AM242" s="1862"/>
      <c r="AN242" s="387"/>
    </row>
    <row r="243" spans="2:40" s="381" customFormat="1" ht="18" customHeight="1"/>
    <row r="244" spans="2:40" s="398" customFormat="1" ht="18" customHeight="1">
      <c r="B244" s="3245" t="s">
        <v>2974</v>
      </c>
      <c r="C244" s="2181"/>
      <c r="D244" s="2181"/>
      <c r="E244" s="2181"/>
      <c r="F244" s="2181"/>
      <c r="G244" s="2181"/>
      <c r="H244" s="2181"/>
      <c r="I244" s="2181"/>
      <c r="J244" s="2181"/>
      <c r="K244" s="2181"/>
      <c r="L244" s="2181"/>
      <c r="M244" s="2181"/>
      <c r="N244" s="2181"/>
      <c r="O244" s="2181"/>
      <c r="P244" s="2181"/>
      <c r="Q244" s="2181"/>
      <c r="R244" s="2181"/>
      <c r="S244" s="2181"/>
      <c r="T244" s="2181"/>
      <c r="U244" s="2181"/>
      <c r="V244" s="2181"/>
      <c r="W244" s="2181"/>
      <c r="X244" s="2181"/>
      <c r="Y244" s="2181"/>
      <c r="Z244" s="2181"/>
      <c r="AA244" s="2181"/>
      <c r="AB244" s="2181"/>
      <c r="AC244" s="2181"/>
      <c r="AD244" s="2181"/>
      <c r="AE244" s="2181"/>
      <c r="AF244" s="2181"/>
      <c r="AG244" s="2181"/>
      <c r="AH244" s="2181"/>
      <c r="AI244" s="2181"/>
      <c r="AJ244" s="2181"/>
      <c r="AK244" s="2181"/>
      <c r="AL244" s="2181"/>
      <c r="AM244" s="2181"/>
    </row>
    <row r="245" spans="2:40" s="398" customFormat="1" ht="18" customHeight="1">
      <c r="B245" s="3245" t="s">
        <v>2618</v>
      </c>
      <c r="C245" s="2181"/>
      <c r="D245" s="2181"/>
      <c r="E245" s="2181"/>
      <c r="F245" s="2181"/>
      <c r="G245" s="2181"/>
      <c r="H245" s="2181"/>
      <c r="I245" s="2181"/>
      <c r="J245" s="2181"/>
      <c r="K245" s="2181"/>
      <c r="L245" s="2181"/>
      <c r="M245" s="2181"/>
      <c r="N245" s="2181"/>
      <c r="O245" s="2181"/>
      <c r="P245" s="2181"/>
      <c r="Q245" s="2181"/>
      <c r="R245" s="2181"/>
      <c r="S245" s="2181"/>
      <c r="T245" s="2181"/>
      <c r="U245" s="2181"/>
      <c r="V245" s="2181"/>
      <c r="W245" s="2181"/>
      <c r="X245" s="2181"/>
      <c r="Y245" s="2181"/>
      <c r="Z245" s="2181"/>
      <c r="AA245" s="2181"/>
      <c r="AB245" s="2181"/>
      <c r="AC245" s="2181"/>
      <c r="AD245" s="2181"/>
      <c r="AE245" s="2181"/>
      <c r="AF245" s="2181"/>
      <c r="AG245" s="2181"/>
      <c r="AH245" s="2181"/>
      <c r="AI245" s="2181"/>
      <c r="AJ245" s="2181"/>
      <c r="AK245" s="2181"/>
      <c r="AL245" s="2181"/>
      <c r="AM245" s="2181"/>
    </row>
    <row r="246" spans="2:40" ht="54" customHeight="1">
      <c r="B246" s="3043" t="s">
        <v>2975</v>
      </c>
      <c r="C246" s="3021"/>
      <c r="D246" s="3021"/>
      <c r="E246" s="3021"/>
      <c r="F246" s="3021"/>
      <c r="G246" s="3021"/>
      <c r="H246" s="3021"/>
      <c r="I246" s="1935"/>
      <c r="J246" s="3021"/>
      <c r="K246" s="3021"/>
      <c r="L246" s="3021"/>
      <c r="M246" s="3021"/>
      <c r="N246" s="3021"/>
      <c r="O246" s="3021"/>
      <c r="P246" s="3021"/>
      <c r="Q246" s="3021"/>
      <c r="R246" s="3021"/>
      <c r="S246" s="3021"/>
      <c r="T246" s="3021"/>
      <c r="U246" s="3021"/>
      <c r="V246" s="3021"/>
      <c r="W246" s="3021"/>
      <c r="X246" s="3021"/>
      <c r="Y246" s="3021"/>
      <c r="Z246" s="3021"/>
      <c r="AA246" s="3021"/>
      <c r="AB246" s="3021"/>
      <c r="AC246" s="3021"/>
      <c r="AD246" s="3021"/>
      <c r="AE246" s="3021"/>
      <c r="AF246" s="3021"/>
      <c r="AG246" s="3021"/>
      <c r="AH246" s="3021"/>
      <c r="AI246" s="3021"/>
      <c r="AJ246" s="3021"/>
      <c r="AK246" s="3021"/>
      <c r="AL246" s="3021"/>
      <c r="AM246" s="3021"/>
    </row>
    <row r="247" spans="2:40" ht="54" customHeight="1">
      <c r="B247" s="3249" t="s">
        <v>2976</v>
      </c>
      <c r="C247" s="3021"/>
      <c r="D247" s="3021"/>
      <c r="E247" s="3021"/>
      <c r="F247" s="3021"/>
      <c r="G247" s="3021"/>
      <c r="H247" s="3021"/>
      <c r="I247" s="1935"/>
      <c r="J247" s="3021"/>
      <c r="K247" s="3021"/>
      <c r="L247" s="3021"/>
      <c r="M247" s="3021"/>
      <c r="N247" s="3021"/>
      <c r="O247" s="3021"/>
      <c r="P247" s="3021"/>
      <c r="Q247" s="3021"/>
      <c r="R247" s="3021"/>
      <c r="S247" s="3021"/>
      <c r="T247" s="3021"/>
      <c r="U247" s="3021"/>
      <c r="V247" s="3021"/>
      <c r="W247" s="3021"/>
      <c r="X247" s="3021"/>
      <c r="Y247" s="3021"/>
      <c r="Z247" s="3021"/>
      <c r="AA247" s="3021"/>
      <c r="AB247" s="3021"/>
      <c r="AC247" s="3021"/>
      <c r="AD247" s="3021"/>
      <c r="AE247" s="3021"/>
      <c r="AF247" s="3021"/>
      <c r="AG247" s="3021"/>
      <c r="AH247" s="3021"/>
      <c r="AI247" s="3021"/>
      <c r="AJ247" s="3021"/>
      <c r="AK247" s="3021"/>
      <c r="AL247" s="3021"/>
      <c r="AM247" s="3021"/>
    </row>
    <row r="248" spans="2:40" ht="54" customHeight="1">
      <c r="B248" s="3047" t="s">
        <v>1050</v>
      </c>
      <c r="C248" s="1777"/>
      <c r="D248" s="1777"/>
      <c r="E248" s="1778"/>
      <c r="F248" s="3047" t="s">
        <v>2300</v>
      </c>
      <c r="G248" s="1777"/>
      <c r="H248" s="1777"/>
      <c r="I248" s="1777"/>
      <c r="J248" s="1777"/>
      <c r="K248" s="1777"/>
      <c r="L248" s="1777"/>
      <c r="M248" s="1777"/>
      <c r="N248" s="1777"/>
      <c r="O248" s="1777"/>
      <c r="P248" s="1777"/>
      <c r="Q248" s="1777"/>
      <c r="R248" s="1777"/>
      <c r="S248" s="1777"/>
      <c r="T248" s="1777"/>
      <c r="U248" s="1777"/>
      <c r="V248" s="1778"/>
      <c r="W248" s="3255" t="s">
        <v>2301</v>
      </c>
      <c r="X248" s="1778"/>
      <c r="Y248" s="3042">
        <f>SUM(W250:Z259)</f>
        <v>0</v>
      </c>
      <c r="Z248" s="1778"/>
      <c r="AA248" s="3255" t="s">
        <v>2301</v>
      </c>
      <c r="AB248" s="1778"/>
      <c r="AC248" s="3042">
        <f>SUM(AA250:AD259)</f>
        <v>0</v>
      </c>
      <c r="AD248" s="1778"/>
      <c r="AE248" s="3047" t="s">
        <v>2302</v>
      </c>
      <c r="AF248" s="1777"/>
      <c r="AG248" s="1777"/>
      <c r="AH248" s="1777"/>
      <c r="AI248" s="1777"/>
      <c r="AJ248" s="1778"/>
      <c r="AK248" s="3047" t="s">
        <v>2303</v>
      </c>
      <c r="AL248" s="1777"/>
      <c r="AM248" s="1778"/>
    </row>
    <row r="249" spans="2:40" ht="69" customHeight="1">
      <c r="B249" s="3017" t="s">
        <v>2304</v>
      </c>
      <c r="C249" s="1777"/>
      <c r="D249" s="1777"/>
      <c r="E249" s="1778"/>
      <c r="F249" s="3068" t="s">
        <v>2977</v>
      </c>
      <c r="G249" s="1777"/>
      <c r="H249" s="1777"/>
      <c r="I249" s="1777"/>
      <c r="J249" s="1777"/>
      <c r="K249" s="1777"/>
      <c r="L249" s="1777"/>
      <c r="M249" s="1777"/>
      <c r="N249" s="1777"/>
      <c r="O249" s="1777"/>
      <c r="P249" s="1777"/>
      <c r="Q249" s="1777"/>
      <c r="R249" s="1777"/>
      <c r="S249" s="1777"/>
      <c r="T249" s="1777"/>
      <c r="U249" s="1777"/>
      <c r="V249" s="1778"/>
      <c r="W249" s="3017" t="s">
        <v>2978</v>
      </c>
      <c r="X249" s="1777"/>
      <c r="Y249" s="1777"/>
      <c r="Z249" s="1778"/>
      <c r="AA249" s="3017" t="s">
        <v>2979</v>
      </c>
      <c r="AB249" s="1777"/>
      <c r="AC249" s="1777"/>
      <c r="AD249" s="1778"/>
      <c r="AE249" s="3017" t="s">
        <v>2980</v>
      </c>
      <c r="AF249" s="1777"/>
      <c r="AG249" s="1777"/>
      <c r="AH249" s="1777"/>
      <c r="AI249" s="1777"/>
      <c r="AJ249" s="1778"/>
      <c r="AK249" s="3017" t="s">
        <v>2308</v>
      </c>
      <c r="AL249" s="1777"/>
      <c r="AM249" s="1778"/>
    </row>
    <row r="250" spans="2:40" ht="54" customHeight="1">
      <c r="B250" s="3032"/>
      <c r="C250" s="1861"/>
      <c r="D250" s="1861"/>
      <c r="E250" s="1862"/>
      <c r="F250" s="3030"/>
      <c r="G250" s="1861"/>
      <c r="H250" s="1861"/>
      <c r="I250" s="1861"/>
      <c r="J250" s="1861"/>
      <c r="K250" s="1861"/>
      <c r="L250" s="1861"/>
      <c r="M250" s="1861"/>
      <c r="N250" s="1861"/>
      <c r="O250" s="1861"/>
      <c r="P250" s="1861"/>
      <c r="Q250" s="1861"/>
      <c r="R250" s="1861"/>
      <c r="S250" s="1861"/>
      <c r="T250" s="1861"/>
      <c r="U250" s="1861"/>
      <c r="V250" s="1862"/>
      <c r="W250" s="3020"/>
      <c r="X250" s="1861"/>
      <c r="Y250" s="1861"/>
      <c r="Z250" s="1862"/>
      <c r="AA250" s="3020"/>
      <c r="AB250" s="1861"/>
      <c r="AC250" s="1861"/>
      <c r="AD250" s="1862"/>
      <c r="AE250" s="3020"/>
      <c r="AF250" s="1861"/>
      <c r="AG250" s="1861"/>
      <c r="AH250" s="1861"/>
      <c r="AI250" s="1861"/>
      <c r="AJ250" s="1862"/>
      <c r="AK250" s="3020"/>
      <c r="AL250" s="1861"/>
      <c r="AM250" s="1862"/>
    </row>
    <row r="251" spans="2:40" ht="54" customHeight="1">
      <c r="B251" s="3032"/>
      <c r="C251" s="1861"/>
      <c r="D251" s="1861"/>
      <c r="E251" s="1862"/>
      <c r="F251" s="3030"/>
      <c r="G251" s="1861"/>
      <c r="H251" s="1861"/>
      <c r="I251" s="1861"/>
      <c r="J251" s="1861"/>
      <c r="K251" s="1861"/>
      <c r="L251" s="1861"/>
      <c r="M251" s="1861"/>
      <c r="N251" s="1861"/>
      <c r="O251" s="1861"/>
      <c r="P251" s="1861"/>
      <c r="Q251" s="1861"/>
      <c r="R251" s="1861"/>
      <c r="S251" s="1861"/>
      <c r="T251" s="1861"/>
      <c r="U251" s="1861"/>
      <c r="V251" s="1862"/>
      <c r="W251" s="3020"/>
      <c r="X251" s="1861"/>
      <c r="Y251" s="1861"/>
      <c r="Z251" s="1862"/>
      <c r="AA251" s="3020"/>
      <c r="AB251" s="1861"/>
      <c r="AC251" s="1861"/>
      <c r="AD251" s="1862"/>
      <c r="AE251" s="3020"/>
      <c r="AF251" s="1861"/>
      <c r="AG251" s="1861"/>
      <c r="AH251" s="1861"/>
      <c r="AI251" s="1861"/>
      <c r="AJ251" s="1862"/>
      <c r="AK251" s="3020"/>
      <c r="AL251" s="1861"/>
      <c r="AM251" s="1862"/>
    </row>
    <row r="252" spans="2:40" ht="54" customHeight="1">
      <c r="B252" s="3032"/>
      <c r="C252" s="1861"/>
      <c r="D252" s="1861"/>
      <c r="E252" s="1862"/>
      <c r="F252" s="3030"/>
      <c r="G252" s="1861"/>
      <c r="H252" s="1861"/>
      <c r="I252" s="1861"/>
      <c r="J252" s="1861"/>
      <c r="K252" s="1861"/>
      <c r="L252" s="1861"/>
      <c r="M252" s="1861"/>
      <c r="N252" s="1861"/>
      <c r="O252" s="1861"/>
      <c r="P252" s="1861"/>
      <c r="Q252" s="1861"/>
      <c r="R252" s="1861"/>
      <c r="S252" s="1861"/>
      <c r="T252" s="1861"/>
      <c r="U252" s="1861"/>
      <c r="V252" s="1862"/>
      <c r="W252" s="3020"/>
      <c r="X252" s="1861"/>
      <c r="Y252" s="1861"/>
      <c r="Z252" s="1862"/>
      <c r="AA252" s="3020"/>
      <c r="AB252" s="1861"/>
      <c r="AC252" s="1861"/>
      <c r="AD252" s="1862"/>
      <c r="AE252" s="3020"/>
      <c r="AF252" s="1861"/>
      <c r="AG252" s="1861"/>
      <c r="AH252" s="1861"/>
      <c r="AI252" s="1861"/>
      <c r="AJ252" s="1862"/>
      <c r="AK252" s="3020"/>
      <c r="AL252" s="1861"/>
      <c r="AM252" s="1862"/>
    </row>
    <row r="253" spans="2:40" ht="54" customHeight="1">
      <c r="B253" s="3032"/>
      <c r="C253" s="1861"/>
      <c r="D253" s="1861"/>
      <c r="E253" s="1862"/>
      <c r="F253" s="3030"/>
      <c r="G253" s="1861"/>
      <c r="H253" s="1861"/>
      <c r="I253" s="1861"/>
      <c r="J253" s="1861"/>
      <c r="K253" s="1861"/>
      <c r="L253" s="1861"/>
      <c r="M253" s="1861"/>
      <c r="N253" s="1861"/>
      <c r="O253" s="1861"/>
      <c r="P253" s="1861"/>
      <c r="Q253" s="1861"/>
      <c r="R253" s="1861"/>
      <c r="S253" s="1861"/>
      <c r="T253" s="1861"/>
      <c r="U253" s="1861"/>
      <c r="V253" s="1862"/>
      <c r="W253" s="3020"/>
      <c r="X253" s="1861"/>
      <c r="Y253" s="1861"/>
      <c r="Z253" s="1862"/>
      <c r="AA253" s="3020"/>
      <c r="AB253" s="1861"/>
      <c r="AC253" s="1861"/>
      <c r="AD253" s="1862"/>
      <c r="AE253" s="3020"/>
      <c r="AF253" s="1861"/>
      <c r="AG253" s="1861"/>
      <c r="AH253" s="1861"/>
      <c r="AI253" s="1861"/>
      <c r="AJ253" s="1862"/>
      <c r="AK253" s="3020"/>
      <c r="AL253" s="1861"/>
      <c r="AM253" s="1862"/>
    </row>
    <row r="254" spans="2:40" ht="54" customHeight="1">
      <c r="B254" s="3032"/>
      <c r="C254" s="1861"/>
      <c r="D254" s="1861"/>
      <c r="E254" s="1862"/>
      <c r="F254" s="3030"/>
      <c r="G254" s="1861"/>
      <c r="H254" s="1861"/>
      <c r="I254" s="1861"/>
      <c r="J254" s="1861"/>
      <c r="K254" s="1861"/>
      <c r="L254" s="1861"/>
      <c r="M254" s="1861"/>
      <c r="N254" s="1861"/>
      <c r="O254" s="1861"/>
      <c r="P254" s="1861"/>
      <c r="Q254" s="1861"/>
      <c r="R254" s="1861"/>
      <c r="S254" s="1861"/>
      <c r="T254" s="1861"/>
      <c r="U254" s="1861"/>
      <c r="V254" s="1862"/>
      <c r="W254" s="3020"/>
      <c r="X254" s="1861"/>
      <c r="Y254" s="1861"/>
      <c r="Z254" s="1862"/>
      <c r="AA254" s="3234"/>
      <c r="AB254" s="1861"/>
      <c r="AC254" s="1861"/>
      <c r="AD254" s="1862"/>
      <c r="AE254" s="3020"/>
      <c r="AF254" s="1861"/>
      <c r="AG254" s="1861"/>
      <c r="AH254" s="1861"/>
      <c r="AI254" s="1861"/>
      <c r="AJ254" s="1862"/>
      <c r="AK254" s="3020"/>
      <c r="AL254" s="1861"/>
      <c r="AM254" s="1862"/>
    </row>
    <row r="255" spans="2:40" ht="54" customHeight="1">
      <c r="B255" s="3032"/>
      <c r="C255" s="1861"/>
      <c r="D255" s="1861"/>
      <c r="E255" s="1862"/>
      <c r="F255" s="3030"/>
      <c r="G255" s="1861"/>
      <c r="H255" s="1861"/>
      <c r="I255" s="1861"/>
      <c r="J255" s="1861"/>
      <c r="K255" s="1861"/>
      <c r="L255" s="1861"/>
      <c r="M255" s="1861"/>
      <c r="N255" s="1861"/>
      <c r="O255" s="1861"/>
      <c r="P255" s="1861"/>
      <c r="Q255" s="1861"/>
      <c r="R255" s="1861"/>
      <c r="S255" s="1861"/>
      <c r="T255" s="1861"/>
      <c r="U255" s="1861"/>
      <c r="V255" s="1862"/>
      <c r="W255" s="3020"/>
      <c r="X255" s="1861"/>
      <c r="Y255" s="1861"/>
      <c r="Z255" s="1862"/>
      <c r="AA255" s="3020"/>
      <c r="AB255" s="1861"/>
      <c r="AC255" s="1861"/>
      <c r="AD255" s="1862"/>
      <c r="AE255" s="3020"/>
      <c r="AF255" s="1861"/>
      <c r="AG255" s="1861"/>
      <c r="AH255" s="1861"/>
      <c r="AI255" s="1861"/>
      <c r="AJ255" s="1862"/>
      <c r="AK255" s="3020"/>
      <c r="AL255" s="1861"/>
      <c r="AM255" s="1862"/>
    </row>
    <row r="256" spans="2:40" ht="54" customHeight="1">
      <c r="B256" s="3032"/>
      <c r="C256" s="1861"/>
      <c r="D256" s="1861"/>
      <c r="E256" s="1862"/>
      <c r="F256" s="3030"/>
      <c r="G256" s="1861"/>
      <c r="H256" s="1861"/>
      <c r="I256" s="1861"/>
      <c r="J256" s="1861"/>
      <c r="K256" s="1861"/>
      <c r="L256" s="1861"/>
      <c r="M256" s="1861"/>
      <c r="N256" s="1861"/>
      <c r="O256" s="1861"/>
      <c r="P256" s="1861"/>
      <c r="Q256" s="1861"/>
      <c r="R256" s="1861"/>
      <c r="S256" s="1861"/>
      <c r="T256" s="1861"/>
      <c r="U256" s="1861"/>
      <c r="V256" s="1862"/>
      <c r="W256" s="3020"/>
      <c r="X256" s="1861"/>
      <c r="Y256" s="1861"/>
      <c r="Z256" s="1862"/>
      <c r="AA256" s="3020"/>
      <c r="AB256" s="1861"/>
      <c r="AC256" s="1861"/>
      <c r="AD256" s="1862"/>
      <c r="AE256" s="3020"/>
      <c r="AF256" s="1861"/>
      <c r="AG256" s="1861"/>
      <c r="AH256" s="1861"/>
      <c r="AI256" s="1861"/>
      <c r="AJ256" s="1862"/>
      <c r="AK256" s="3020"/>
      <c r="AL256" s="1861"/>
      <c r="AM256" s="1862"/>
    </row>
    <row r="257" spans="2:39" ht="54" customHeight="1">
      <c r="B257" s="3032"/>
      <c r="C257" s="1861"/>
      <c r="D257" s="1861"/>
      <c r="E257" s="1862"/>
      <c r="F257" s="3030"/>
      <c r="G257" s="1861"/>
      <c r="H257" s="1861"/>
      <c r="I257" s="1861"/>
      <c r="J257" s="1861"/>
      <c r="K257" s="1861"/>
      <c r="L257" s="1861"/>
      <c r="M257" s="1861"/>
      <c r="N257" s="1861"/>
      <c r="O257" s="1861"/>
      <c r="P257" s="1861"/>
      <c r="Q257" s="1861"/>
      <c r="R257" s="1861"/>
      <c r="S257" s="1861"/>
      <c r="T257" s="1861"/>
      <c r="U257" s="1861"/>
      <c r="V257" s="1862"/>
      <c r="W257" s="3020"/>
      <c r="X257" s="1861"/>
      <c r="Y257" s="1861"/>
      <c r="Z257" s="1862"/>
      <c r="AA257" s="3020"/>
      <c r="AB257" s="1861"/>
      <c r="AC257" s="1861"/>
      <c r="AD257" s="1862"/>
      <c r="AE257" s="3020"/>
      <c r="AF257" s="1861"/>
      <c r="AG257" s="1861"/>
      <c r="AH257" s="1861"/>
      <c r="AI257" s="1861"/>
      <c r="AJ257" s="1862"/>
      <c r="AK257" s="3020"/>
      <c r="AL257" s="1861"/>
      <c r="AM257" s="1862"/>
    </row>
    <row r="258" spans="2:39" ht="54" customHeight="1">
      <c r="B258" s="3032"/>
      <c r="C258" s="1861"/>
      <c r="D258" s="1861"/>
      <c r="E258" s="1862"/>
      <c r="F258" s="3030"/>
      <c r="G258" s="1861"/>
      <c r="H258" s="1861"/>
      <c r="I258" s="1861"/>
      <c r="J258" s="1861"/>
      <c r="K258" s="1861"/>
      <c r="L258" s="1861"/>
      <c r="M258" s="1861"/>
      <c r="N258" s="1861"/>
      <c r="O258" s="1861"/>
      <c r="P258" s="1861"/>
      <c r="Q258" s="1861"/>
      <c r="R258" s="1861"/>
      <c r="S258" s="1861"/>
      <c r="T258" s="1861"/>
      <c r="U258" s="1861"/>
      <c r="V258" s="1862"/>
      <c r="W258" s="3020"/>
      <c r="X258" s="1861"/>
      <c r="Y258" s="1861"/>
      <c r="Z258" s="1862"/>
      <c r="AA258" s="3020"/>
      <c r="AB258" s="1861"/>
      <c r="AC258" s="1861"/>
      <c r="AD258" s="1862"/>
      <c r="AE258" s="3020"/>
      <c r="AF258" s="1861"/>
      <c r="AG258" s="1861"/>
      <c r="AH258" s="1861"/>
      <c r="AI258" s="1861"/>
      <c r="AJ258" s="1862"/>
      <c r="AK258" s="3020"/>
      <c r="AL258" s="1861"/>
      <c r="AM258" s="1862"/>
    </row>
    <row r="259" spans="2:39" ht="54" customHeight="1">
      <c r="B259" s="3032"/>
      <c r="C259" s="1861"/>
      <c r="D259" s="1861"/>
      <c r="E259" s="1862"/>
      <c r="F259" s="3030"/>
      <c r="G259" s="1861"/>
      <c r="H259" s="1861"/>
      <c r="I259" s="1861"/>
      <c r="J259" s="1861"/>
      <c r="K259" s="1861"/>
      <c r="L259" s="1861"/>
      <c r="M259" s="1861"/>
      <c r="N259" s="1861"/>
      <c r="O259" s="1861"/>
      <c r="P259" s="1861"/>
      <c r="Q259" s="1861"/>
      <c r="R259" s="1861"/>
      <c r="S259" s="1861"/>
      <c r="T259" s="1861"/>
      <c r="U259" s="1861"/>
      <c r="V259" s="1862"/>
      <c r="W259" s="3020"/>
      <c r="X259" s="1861"/>
      <c r="Y259" s="1861"/>
      <c r="Z259" s="1862"/>
      <c r="AA259" s="3020"/>
      <c r="AB259" s="1861"/>
      <c r="AC259" s="1861"/>
      <c r="AD259" s="1862"/>
      <c r="AE259" s="3020"/>
      <c r="AF259" s="1861"/>
      <c r="AG259" s="1861"/>
      <c r="AH259" s="1861"/>
      <c r="AI259" s="1861"/>
      <c r="AJ259" s="1862"/>
      <c r="AK259" s="3020"/>
      <c r="AL259" s="1861"/>
      <c r="AM259" s="1862"/>
    </row>
    <row r="260" spans="2:39" s="536" customFormat="1" ht="36" customHeight="1">
      <c r="B260" s="3226" t="s">
        <v>558</v>
      </c>
      <c r="C260" s="1777"/>
      <c r="D260" s="1778"/>
      <c r="E260" s="2136" t="str">
        <f>'Document Checklist-Full List'!$E$142</f>
        <v>62. Duty Stmt1, Duty Stmt2, Duty
      Stmt3, Duty Stmt4</v>
      </c>
      <c r="F260" s="1777"/>
      <c r="G260" s="1777"/>
      <c r="H260" s="1777"/>
      <c r="I260" s="1777"/>
      <c r="J260" s="1777"/>
      <c r="K260" s="1777"/>
      <c r="L260" s="1777"/>
      <c r="M260" s="1778"/>
      <c r="N260" s="3247" t="str">
        <f>'Document Checklist-Full List'!$N$142</f>
        <v>Staff Duty Statements (all providers).</v>
      </c>
      <c r="O260" s="1777"/>
      <c r="P260" s="1777"/>
      <c r="Q260" s="1777"/>
      <c r="R260" s="1777"/>
      <c r="S260" s="1777"/>
      <c r="T260" s="1777"/>
      <c r="U260" s="1777"/>
      <c r="V260" s="1777"/>
      <c r="W260" s="1777"/>
      <c r="X260" s="1777"/>
      <c r="Y260" s="1777"/>
      <c r="Z260" s="1777"/>
      <c r="AA260" s="1777"/>
      <c r="AB260" s="1777"/>
      <c r="AC260" s="1777"/>
      <c r="AD260" s="1777"/>
      <c r="AE260" s="1778"/>
      <c r="AF260" s="3231" t="s">
        <v>559</v>
      </c>
      <c r="AG260" s="1777"/>
      <c r="AH260" s="1777"/>
      <c r="AI260" s="1777"/>
      <c r="AJ260" s="1777"/>
      <c r="AK260" s="1778"/>
      <c r="AL260" s="1958"/>
      <c r="AM260" s="1862"/>
    </row>
    <row r="261" spans="2:39" s="536" customFormat="1" ht="18" customHeight="1">
      <c r="B261" s="3252" t="s">
        <v>2981</v>
      </c>
      <c r="C261" s="1777"/>
      <c r="D261" s="1777"/>
      <c r="E261" s="1777"/>
      <c r="F261" s="1777"/>
      <c r="G261" s="1777"/>
      <c r="H261" s="1777"/>
      <c r="I261" s="1777"/>
      <c r="J261" s="1777"/>
      <c r="K261" s="1777"/>
      <c r="L261" s="1777"/>
      <c r="M261" s="1777"/>
      <c r="N261" s="1777"/>
      <c r="O261" s="1777"/>
      <c r="P261" s="1777"/>
      <c r="Q261" s="1777"/>
      <c r="R261" s="1777"/>
      <c r="S261" s="1777"/>
      <c r="T261" s="1777"/>
      <c r="U261" s="1777"/>
      <c r="V261" s="1777"/>
      <c r="W261" s="1777"/>
      <c r="X261" s="1777"/>
      <c r="Y261" s="1777"/>
      <c r="Z261" s="1777"/>
      <c r="AA261" s="1777"/>
      <c r="AB261" s="1777"/>
      <c r="AC261" s="1777"/>
      <c r="AD261" s="1777"/>
      <c r="AE261" s="1777"/>
      <c r="AF261" s="1777"/>
      <c r="AG261" s="1777"/>
      <c r="AH261" s="1777"/>
      <c r="AI261" s="1777"/>
      <c r="AJ261" s="1777"/>
      <c r="AK261" s="1777"/>
      <c r="AL261" s="1777"/>
      <c r="AM261" s="1778"/>
    </row>
    <row r="262" spans="2:39" s="536" customFormat="1" ht="125.1" customHeight="1">
      <c r="B262" s="3261"/>
      <c r="C262" s="1861"/>
      <c r="D262" s="1861"/>
      <c r="E262" s="1861"/>
      <c r="F262" s="1861"/>
      <c r="G262" s="1861"/>
      <c r="H262" s="1861"/>
      <c r="I262" s="1861"/>
      <c r="J262" s="1861"/>
      <c r="K262" s="1861"/>
      <c r="L262" s="1861"/>
      <c r="M262" s="1861"/>
      <c r="N262" s="1861"/>
      <c r="O262" s="1861"/>
      <c r="P262" s="1861"/>
      <c r="Q262" s="1861"/>
      <c r="R262" s="1861"/>
      <c r="S262" s="1861"/>
      <c r="T262" s="1861"/>
      <c r="U262" s="1861"/>
      <c r="V262" s="1861"/>
      <c r="W262" s="1861"/>
      <c r="X262" s="1861"/>
      <c r="Y262" s="1861"/>
      <c r="Z262" s="1861"/>
      <c r="AA262" s="1861"/>
      <c r="AB262" s="1861"/>
      <c r="AC262" s="1861"/>
      <c r="AD262" s="1861"/>
      <c r="AE262" s="1861"/>
      <c r="AF262" s="1861"/>
      <c r="AG262" s="1861"/>
      <c r="AH262" s="1861"/>
      <c r="AI262" s="1861"/>
      <c r="AJ262" s="1861"/>
      <c r="AK262" s="1861"/>
      <c r="AL262" s="1861"/>
      <c r="AM262" s="1862"/>
    </row>
    <row r="263" spans="2:39" s="536" customFormat="1" ht="18" customHeight="1"/>
    <row r="264" spans="2:39" ht="18" customHeight="1">
      <c r="B264" s="3144" t="s">
        <v>2624</v>
      </c>
      <c r="C264" s="3021"/>
      <c r="D264" s="3021"/>
      <c r="E264" s="3021"/>
      <c r="F264" s="3021"/>
      <c r="G264" s="3021"/>
      <c r="H264" s="3021"/>
      <c r="I264" s="1935"/>
      <c r="J264" s="3021"/>
      <c r="K264" s="3021"/>
      <c r="L264" s="3021"/>
      <c r="M264" s="3021"/>
      <c r="N264" s="3021"/>
      <c r="O264" s="3021"/>
      <c r="P264" s="3021"/>
      <c r="Q264" s="3021"/>
      <c r="R264" s="3021"/>
      <c r="S264" s="3021"/>
      <c r="T264" s="3021"/>
      <c r="U264" s="3021"/>
      <c r="V264" s="3021"/>
      <c r="W264" s="3021"/>
      <c r="X264" s="3021"/>
      <c r="Y264" s="3021"/>
      <c r="Z264" s="3021"/>
      <c r="AA264" s="3021"/>
      <c r="AB264" s="3021"/>
      <c r="AC264" s="3021"/>
      <c r="AD264" s="3021"/>
      <c r="AE264" s="3021"/>
      <c r="AF264" s="3021"/>
      <c r="AG264" s="3021"/>
      <c r="AH264" s="3021"/>
      <c r="AI264" s="3021"/>
      <c r="AJ264" s="3021"/>
      <c r="AK264" s="3021"/>
      <c r="AL264" s="3021"/>
      <c r="AM264" s="3021"/>
    </row>
    <row r="265" spans="2:39" ht="18" customHeight="1">
      <c r="B265" s="2181" t="s">
        <v>2625</v>
      </c>
      <c r="C265" s="3021"/>
      <c r="D265" s="3021"/>
      <c r="E265" s="3021"/>
      <c r="F265" s="3021"/>
      <c r="G265" s="3021"/>
      <c r="H265" s="3021"/>
      <c r="I265" s="1935"/>
      <c r="J265" s="3021"/>
      <c r="K265" s="3021"/>
      <c r="L265" s="3021"/>
      <c r="M265" s="3021"/>
      <c r="N265" s="3021"/>
      <c r="O265" s="3021"/>
      <c r="P265" s="3021"/>
      <c r="Q265" s="3021"/>
      <c r="R265" s="3021"/>
      <c r="S265" s="3021"/>
      <c r="T265" s="3021"/>
      <c r="U265" s="3021"/>
      <c r="V265" s="3021"/>
      <c r="W265" s="3021"/>
      <c r="X265" s="3021"/>
      <c r="Y265" s="3021"/>
      <c r="Z265" s="3021"/>
      <c r="AA265" s="3021"/>
      <c r="AB265" s="3021"/>
      <c r="AC265" s="3021"/>
      <c r="AD265" s="3021"/>
      <c r="AE265" s="3021"/>
      <c r="AF265" s="3021"/>
      <c r="AG265" s="3021"/>
      <c r="AH265" s="3021"/>
      <c r="AI265" s="3021"/>
      <c r="AJ265" s="3021"/>
      <c r="AK265" s="3021"/>
      <c r="AL265" s="3021"/>
      <c r="AM265" s="3021"/>
    </row>
    <row r="266" spans="2:39" ht="18" customHeight="1">
      <c r="B266" s="3017" t="s">
        <v>1312</v>
      </c>
      <c r="C266" s="1778"/>
      <c r="D266" s="3034" t="s">
        <v>2982</v>
      </c>
      <c r="E266" s="1777"/>
      <c r="F266" s="1777"/>
      <c r="G266" s="1777"/>
      <c r="H266" s="1777"/>
      <c r="I266" s="1777"/>
      <c r="J266" s="1777"/>
      <c r="K266" s="1777"/>
      <c r="L266" s="1777"/>
      <c r="M266" s="1777"/>
      <c r="N266" s="1777"/>
      <c r="O266" s="1777"/>
      <c r="P266" s="1777"/>
      <c r="Q266" s="1777"/>
      <c r="R266" s="1777"/>
      <c r="S266" s="1777"/>
      <c r="T266" s="1777"/>
      <c r="U266" s="1777"/>
      <c r="V266" s="1777"/>
      <c r="W266" s="1777"/>
      <c r="X266" s="1777"/>
      <c r="Y266" s="1777"/>
      <c r="Z266" s="1777"/>
      <c r="AA266" s="1777"/>
      <c r="AB266" s="1777"/>
      <c r="AC266" s="1777"/>
      <c r="AD266" s="1777"/>
      <c r="AE266" s="1777"/>
      <c r="AF266" s="1777"/>
      <c r="AG266" s="1777"/>
      <c r="AH266" s="1777"/>
      <c r="AI266" s="1777"/>
      <c r="AJ266" s="1778"/>
      <c r="AK266" s="3067">
        <f>'Unit Mix'!$D$8-ManagerUnits</f>
        <v>0</v>
      </c>
      <c r="AL266" s="1777"/>
      <c r="AM266" s="1778"/>
    </row>
    <row r="267" spans="2:39" ht="18" customHeight="1">
      <c r="B267" s="3017" t="s">
        <v>1318</v>
      </c>
      <c r="C267" s="1778"/>
      <c r="D267" s="3034" t="s">
        <v>2983</v>
      </c>
      <c r="E267" s="1777"/>
      <c r="F267" s="1777"/>
      <c r="G267" s="1777"/>
      <c r="H267" s="1777"/>
      <c r="I267" s="1777"/>
      <c r="J267" s="1777"/>
      <c r="K267" s="1777"/>
      <c r="L267" s="1777"/>
      <c r="M267" s="1777"/>
      <c r="N267" s="1777"/>
      <c r="O267" s="1777"/>
      <c r="P267" s="1777"/>
      <c r="Q267" s="1777"/>
      <c r="R267" s="1777"/>
      <c r="S267" s="1777"/>
      <c r="T267" s="1777"/>
      <c r="U267" s="1777"/>
      <c r="V267" s="1777"/>
      <c r="W267" s="1777"/>
      <c r="X267" s="1777"/>
      <c r="Y267" s="1777"/>
      <c r="Z267" s="1777"/>
      <c r="AA267" s="1777"/>
      <c r="AB267" s="1777"/>
      <c r="AC267" s="1777"/>
      <c r="AD267" s="1777"/>
      <c r="AE267" s="1777"/>
      <c r="AF267" s="1777"/>
      <c r="AG267" s="1777"/>
      <c r="AH267" s="1777"/>
      <c r="AI267" s="1777"/>
      <c r="AJ267" s="1778"/>
      <c r="AK267" s="3221"/>
      <c r="AL267" s="1861"/>
      <c r="AM267" s="1862"/>
    </row>
    <row r="268" spans="2:39" ht="18" customHeight="1">
      <c r="B268" s="3017" t="s">
        <v>1320</v>
      </c>
      <c r="C268" s="1778"/>
      <c r="D268" s="3034" t="s">
        <v>2984</v>
      </c>
      <c r="E268" s="1777"/>
      <c r="F268" s="1777"/>
      <c r="G268" s="1777"/>
      <c r="H268" s="1777"/>
      <c r="I268" s="1777"/>
      <c r="J268" s="1777"/>
      <c r="K268" s="1777"/>
      <c r="L268" s="1777"/>
      <c r="M268" s="1777"/>
      <c r="N268" s="1777"/>
      <c r="O268" s="1777"/>
      <c r="P268" s="1777"/>
      <c r="Q268" s="1777"/>
      <c r="R268" s="1777"/>
      <c r="S268" s="1777"/>
      <c r="T268" s="1777"/>
      <c r="U268" s="1777"/>
      <c r="V268" s="1777"/>
      <c r="W268" s="1777"/>
      <c r="X268" s="1777"/>
      <c r="Y268" s="1777"/>
      <c r="Z268" s="1777"/>
      <c r="AA268" s="1777"/>
      <c r="AB268" s="1777"/>
      <c r="AC268" s="1777"/>
      <c r="AD268" s="1777"/>
      <c r="AE268" s="1777"/>
      <c r="AF268" s="1777"/>
      <c r="AG268" s="1777"/>
      <c r="AH268" s="1777"/>
      <c r="AI268" s="1777"/>
      <c r="AJ268" s="1778"/>
      <c r="AK268" s="3259">
        <f>IF(AK267=0,0,AK266/AK267)</f>
        <v>0</v>
      </c>
      <c r="AL268" s="1777"/>
      <c r="AM268" s="1778"/>
    </row>
    <row r="269" spans="2:39" ht="36" customHeight="1">
      <c r="B269" s="3043" t="s">
        <v>2985</v>
      </c>
      <c r="C269" s="3021"/>
      <c r="D269" s="3021"/>
      <c r="E269" s="3021"/>
      <c r="F269" s="3021"/>
      <c r="G269" s="3021"/>
      <c r="H269" s="3021"/>
      <c r="I269" s="1935"/>
      <c r="J269" s="3021"/>
      <c r="K269" s="3021"/>
      <c r="L269" s="3021"/>
      <c r="M269" s="3021"/>
      <c r="N269" s="3021"/>
      <c r="O269" s="3021"/>
      <c r="P269" s="3021"/>
      <c r="Q269" s="3021"/>
      <c r="R269" s="3021"/>
      <c r="S269" s="3021"/>
      <c r="T269" s="3021"/>
      <c r="U269" s="3021"/>
      <c r="V269" s="3021"/>
      <c r="W269" s="3021"/>
      <c r="X269" s="3021"/>
      <c r="Y269" s="3021"/>
      <c r="Z269" s="3021"/>
      <c r="AA269" s="3021"/>
      <c r="AB269" s="3021"/>
      <c r="AC269" s="3021"/>
      <c r="AD269" s="3021"/>
      <c r="AE269" s="3021"/>
      <c r="AF269" s="3021"/>
      <c r="AG269" s="3021"/>
      <c r="AH269" s="3021"/>
      <c r="AI269" s="3021"/>
      <c r="AJ269" s="3021"/>
      <c r="AK269" s="3021"/>
      <c r="AL269" s="3021"/>
      <c r="AM269" s="3021"/>
    </row>
    <row r="270" spans="2:39" ht="18" customHeight="1">
      <c r="B270" s="3243" t="s">
        <v>2630</v>
      </c>
      <c r="C270" s="1777"/>
      <c r="D270" s="1777"/>
      <c r="E270" s="1777"/>
      <c r="F270" s="1777"/>
      <c r="G270" s="1777"/>
      <c r="H270" s="1777"/>
      <c r="I270" s="1777"/>
      <c r="J270" s="1777"/>
      <c r="K270" s="1777"/>
      <c r="L270" s="1777"/>
      <c r="M270" s="1777"/>
      <c r="N270" s="1778"/>
      <c r="O270" s="3243" t="s">
        <v>2986</v>
      </c>
      <c r="P270" s="1777"/>
      <c r="Q270" s="1777"/>
      <c r="R270" s="1777"/>
      <c r="S270" s="1777"/>
      <c r="T270" s="1777"/>
      <c r="U270" s="1777"/>
      <c r="V270" s="1777"/>
      <c r="W270" s="1778"/>
      <c r="X270" s="3243" t="s">
        <v>2987</v>
      </c>
      <c r="Y270" s="1777"/>
      <c r="Z270" s="1777"/>
      <c r="AA270" s="1777"/>
      <c r="AB270" s="1777"/>
      <c r="AC270" s="1777"/>
      <c r="AD270" s="1777"/>
      <c r="AE270" s="1778"/>
      <c r="AF270" s="3243" t="s">
        <v>2988</v>
      </c>
      <c r="AG270" s="1777"/>
      <c r="AH270" s="1777"/>
      <c r="AI270" s="1777"/>
      <c r="AJ270" s="1777"/>
      <c r="AK270" s="1777"/>
      <c r="AL270" s="1777"/>
      <c r="AM270" s="1778"/>
    </row>
    <row r="271" spans="2:39" ht="18" customHeight="1">
      <c r="B271" s="3242" t="s">
        <v>2989</v>
      </c>
      <c r="C271" s="1777"/>
      <c r="D271" s="1777"/>
      <c r="E271" s="1777"/>
      <c r="F271" s="1777"/>
      <c r="G271" s="1777"/>
      <c r="H271" s="1777"/>
      <c r="I271" s="1777"/>
      <c r="J271" s="1777"/>
      <c r="K271" s="1777"/>
      <c r="L271" s="1777"/>
      <c r="M271" s="1777"/>
      <c r="N271" s="1778"/>
      <c r="O271" s="3237" t="s">
        <v>2632</v>
      </c>
      <c r="P271" s="1777"/>
      <c r="Q271" s="1777"/>
      <c r="R271" s="1777"/>
      <c r="S271" s="1777"/>
      <c r="T271" s="1777"/>
      <c r="U271" s="1777"/>
      <c r="V271" s="1777"/>
      <c r="W271" s="1778"/>
      <c r="X271" s="3237" t="s">
        <v>2633</v>
      </c>
      <c r="Y271" s="1777"/>
      <c r="Z271" s="1777"/>
      <c r="AA271" s="1777"/>
      <c r="AB271" s="1777"/>
      <c r="AC271" s="1777"/>
      <c r="AD271" s="1777"/>
      <c r="AE271" s="1778"/>
      <c r="AF271" s="3258" t="s">
        <v>2634</v>
      </c>
      <c r="AG271" s="1777"/>
      <c r="AH271" s="1777"/>
      <c r="AI271" s="1777"/>
      <c r="AJ271" s="1777"/>
      <c r="AK271" s="1777"/>
      <c r="AL271" s="1777"/>
      <c r="AM271" s="1778"/>
    </row>
    <row r="272" spans="2:39" ht="18" customHeight="1">
      <c r="B272" s="3145" t="s">
        <v>2990</v>
      </c>
      <c r="C272" s="1777"/>
      <c r="D272" s="1777"/>
      <c r="E272" s="1777"/>
      <c r="F272" s="1777"/>
      <c r="G272" s="1777"/>
      <c r="H272" s="1777"/>
      <c r="I272" s="1777"/>
      <c r="J272" s="1777"/>
      <c r="K272" s="1777"/>
      <c r="L272" s="1777"/>
      <c r="M272" s="1777"/>
      <c r="N272" s="1777"/>
      <c r="O272" s="1777"/>
      <c r="P272" s="1777"/>
      <c r="Q272" s="1777"/>
      <c r="R272" s="1777"/>
      <c r="S272" s="1777"/>
      <c r="T272" s="1777"/>
      <c r="U272" s="1777"/>
      <c r="V272" s="1777"/>
      <c r="W272" s="1777"/>
      <c r="X272" s="1777"/>
      <c r="Y272" s="1777"/>
      <c r="Z272" s="1777"/>
      <c r="AA272" s="1777"/>
      <c r="AB272" s="1777"/>
      <c r="AC272" s="1777"/>
      <c r="AD272" s="1777"/>
      <c r="AE272" s="1777"/>
      <c r="AF272" s="1777"/>
      <c r="AG272" s="1777"/>
      <c r="AH272" s="1777"/>
      <c r="AI272" s="1777"/>
      <c r="AJ272" s="1777"/>
      <c r="AK272" s="1777"/>
      <c r="AL272" s="1777"/>
      <c r="AM272" s="1778"/>
    </row>
    <row r="273" spans="2:46" ht="18" customHeight="1">
      <c r="B273" s="3017" t="s">
        <v>1312</v>
      </c>
      <c r="C273" s="1778"/>
      <c r="D273" s="3034" t="s">
        <v>2991</v>
      </c>
      <c r="E273" s="1777"/>
      <c r="F273" s="1777"/>
      <c r="G273" s="1777"/>
      <c r="H273" s="1777"/>
      <c r="I273" s="1777"/>
      <c r="J273" s="1777"/>
      <c r="K273" s="1777"/>
      <c r="L273" s="1777"/>
      <c r="M273" s="1777"/>
      <c r="N273" s="1777"/>
      <c r="O273" s="1777"/>
      <c r="P273" s="1777"/>
      <c r="Q273" s="1777"/>
      <c r="R273" s="1777"/>
      <c r="S273" s="1777"/>
      <c r="T273" s="1777"/>
      <c r="U273" s="1777"/>
      <c r="V273" s="1777"/>
      <c r="W273" s="1777"/>
      <c r="X273" s="1777"/>
      <c r="Y273" s="1777"/>
      <c r="Z273" s="1777"/>
      <c r="AA273" s="1777"/>
      <c r="AB273" s="1777"/>
      <c r="AC273" s="1777"/>
      <c r="AD273" s="1777"/>
      <c r="AE273" s="1777"/>
      <c r="AF273" s="1777"/>
      <c r="AG273" s="1777"/>
      <c r="AH273" s="1777"/>
      <c r="AI273" s="1777"/>
      <c r="AJ273" s="1778"/>
      <c r="AK273" s="3227"/>
      <c r="AL273" s="1861"/>
      <c r="AM273" s="1862"/>
    </row>
    <row r="274" spans="2:46" ht="18" customHeight="1">
      <c r="B274" s="3017" t="s">
        <v>1318</v>
      </c>
      <c r="C274" s="1778"/>
      <c r="D274" s="3028" t="s">
        <v>2992</v>
      </c>
      <c r="E274" s="1777"/>
      <c r="F274" s="1777"/>
      <c r="G274" s="1777"/>
      <c r="H274" s="1777"/>
      <c r="I274" s="1777"/>
      <c r="J274" s="1777"/>
      <c r="K274" s="1777"/>
      <c r="L274" s="1777"/>
      <c r="M274" s="1777"/>
      <c r="N274" s="1777"/>
      <c r="O274" s="1777"/>
      <c r="P274" s="1777"/>
      <c r="Q274" s="1777"/>
      <c r="R274" s="1777"/>
      <c r="S274" s="1777"/>
      <c r="T274" s="1777"/>
      <c r="U274" s="1777"/>
      <c r="V274" s="1777"/>
      <c r="W274" s="1777"/>
      <c r="X274" s="1777"/>
      <c r="Y274" s="1777"/>
      <c r="Z274" s="1777"/>
      <c r="AA274" s="1777"/>
      <c r="AB274" s="1777"/>
      <c r="AC274" s="1777"/>
      <c r="AD274" s="1777"/>
      <c r="AE274" s="1777"/>
      <c r="AF274" s="1777"/>
      <c r="AG274" s="1777"/>
      <c r="AH274" s="1777"/>
      <c r="AI274" s="1777"/>
      <c r="AJ274" s="1778"/>
      <c r="AK274" s="3221"/>
      <c r="AL274" s="1861"/>
      <c r="AM274" s="1862"/>
    </row>
    <row r="275" spans="2:46" ht="18" customHeight="1">
      <c r="B275" s="3047" t="s">
        <v>1320</v>
      </c>
      <c r="C275" s="1778"/>
      <c r="D275" s="3034" t="s">
        <v>2993</v>
      </c>
      <c r="E275" s="1777"/>
      <c r="F275" s="1777"/>
      <c r="G275" s="1777"/>
      <c r="H275" s="1777"/>
      <c r="I275" s="1777"/>
      <c r="J275" s="1777"/>
      <c r="K275" s="1777"/>
      <c r="L275" s="1777"/>
      <c r="M275" s="1777"/>
      <c r="N275" s="1777"/>
      <c r="O275" s="1777"/>
      <c r="P275" s="1777"/>
      <c r="Q275" s="1777"/>
      <c r="R275" s="1777"/>
      <c r="S275" s="1777"/>
      <c r="T275" s="1777"/>
      <c r="U275" s="1777"/>
      <c r="V275" s="1777"/>
      <c r="W275" s="1777"/>
      <c r="X275" s="1777"/>
      <c r="Y275" s="1777"/>
      <c r="Z275" s="1777"/>
      <c r="AA275" s="1777"/>
      <c r="AB275" s="1777"/>
      <c r="AC275" s="1777"/>
      <c r="AD275" s="1777"/>
      <c r="AE275" s="1777"/>
      <c r="AF275" s="1777"/>
      <c r="AG275" s="1777"/>
      <c r="AH275" s="1777"/>
      <c r="AI275" s="1777"/>
      <c r="AJ275" s="1778"/>
      <c r="AK275" s="3232">
        <f>IF(AK274=0,0,AK273/AK274)</f>
        <v>0</v>
      </c>
      <c r="AL275" s="1777"/>
      <c r="AM275" s="1778"/>
    </row>
    <row r="276" spans="2:46" ht="18" customHeight="1">
      <c r="B276" s="3145" t="s">
        <v>2994</v>
      </c>
      <c r="C276" s="1777"/>
      <c r="D276" s="1777"/>
      <c r="E276" s="1777"/>
      <c r="F276" s="1777"/>
      <c r="G276" s="1777"/>
      <c r="H276" s="1777"/>
      <c r="I276" s="1777"/>
      <c r="J276" s="1777"/>
      <c r="K276" s="1777"/>
      <c r="L276" s="1777"/>
      <c r="M276" s="1777"/>
      <c r="N276" s="1777"/>
      <c r="O276" s="1777"/>
      <c r="P276" s="1777"/>
      <c r="Q276" s="1777"/>
      <c r="R276" s="1777"/>
      <c r="S276" s="1777"/>
      <c r="T276" s="1777"/>
      <c r="U276" s="1777"/>
      <c r="V276" s="1777"/>
      <c r="W276" s="1777"/>
      <c r="X276" s="1777"/>
      <c r="Y276" s="1777"/>
      <c r="Z276" s="1777"/>
      <c r="AA276" s="1777"/>
      <c r="AB276" s="1777"/>
      <c r="AC276" s="1777"/>
      <c r="AD276" s="1777"/>
      <c r="AE276" s="1777"/>
      <c r="AF276" s="1777"/>
      <c r="AG276" s="1777"/>
      <c r="AH276" s="1777"/>
      <c r="AI276" s="1777"/>
      <c r="AJ276" s="1777"/>
      <c r="AK276" s="1777"/>
      <c r="AL276" s="1777"/>
      <c r="AM276" s="1778"/>
    </row>
    <row r="277" spans="2:46" ht="18" customHeight="1">
      <c r="B277" s="3017" t="s">
        <v>1322</v>
      </c>
      <c r="C277" s="1778"/>
      <c r="D277" s="3034" t="s">
        <v>2995</v>
      </c>
      <c r="E277" s="1777"/>
      <c r="F277" s="1777"/>
      <c r="G277" s="1777"/>
      <c r="H277" s="1777"/>
      <c r="I277" s="1777"/>
      <c r="J277" s="1777"/>
      <c r="K277" s="1777"/>
      <c r="L277" s="1777"/>
      <c r="M277" s="1777"/>
      <c r="N277" s="1777"/>
      <c r="O277" s="1777"/>
      <c r="P277" s="1777"/>
      <c r="Q277" s="1777"/>
      <c r="R277" s="1777"/>
      <c r="S277" s="1777"/>
      <c r="T277" s="1777"/>
      <c r="U277" s="1777"/>
      <c r="V277" s="1777"/>
      <c r="W277" s="1777"/>
      <c r="X277" s="1777"/>
      <c r="Y277" s="1777"/>
      <c r="Z277" s="1777"/>
      <c r="AA277" s="1777"/>
      <c r="AB277" s="1777"/>
      <c r="AC277" s="1777"/>
      <c r="AD277" s="1777"/>
      <c r="AE277" s="1777"/>
      <c r="AF277" s="1777"/>
      <c r="AG277" s="1777"/>
      <c r="AH277" s="1777"/>
      <c r="AI277" s="1777"/>
      <c r="AJ277" s="1778"/>
      <c r="AK277" s="3227"/>
      <c r="AL277" s="1861"/>
      <c r="AM277" s="1862"/>
    </row>
    <row r="278" spans="2:46" ht="18" customHeight="1">
      <c r="B278" s="3017" t="s">
        <v>1325</v>
      </c>
      <c r="C278" s="1778"/>
      <c r="D278" s="3028" t="s">
        <v>2996</v>
      </c>
      <c r="E278" s="1777"/>
      <c r="F278" s="1777"/>
      <c r="G278" s="1777"/>
      <c r="H278" s="1777"/>
      <c r="I278" s="1777"/>
      <c r="J278" s="1777"/>
      <c r="K278" s="1777"/>
      <c r="L278" s="1777"/>
      <c r="M278" s="1777"/>
      <c r="N278" s="1777"/>
      <c r="O278" s="1777"/>
      <c r="P278" s="1777"/>
      <c r="Q278" s="1777"/>
      <c r="R278" s="1777"/>
      <c r="S278" s="1777"/>
      <c r="T278" s="1777"/>
      <c r="U278" s="1777"/>
      <c r="V278" s="1777"/>
      <c r="W278" s="1777"/>
      <c r="X278" s="1777"/>
      <c r="Y278" s="1777"/>
      <c r="Z278" s="1777"/>
      <c r="AA278" s="1777"/>
      <c r="AB278" s="1777"/>
      <c r="AC278" s="1777"/>
      <c r="AD278" s="1777"/>
      <c r="AE278" s="1777"/>
      <c r="AF278" s="1777"/>
      <c r="AG278" s="1777"/>
      <c r="AH278" s="1777"/>
      <c r="AI278" s="1777"/>
      <c r="AJ278" s="1778"/>
      <c r="AK278" s="3221"/>
      <c r="AL278" s="1861"/>
      <c r="AM278" s="1862"/>
    </row>
    <row r="279" spans="2:46" s="483" customFormat="1" ht="18" customHeight="1">
      <c r="B279" s="3183" t="s">
        <v>2641</v>
      </c>
      <c r="C279" s="1778"/>
      <c r="D279" s="3034" t="s">
        <v>2997</v>
      </c>
      <c r="E279" s="1777"/>
      <c r="F279" s="1777"/>
      <c r="G279" s="1777"/>
      <c r="H279" s="1777"/>
      <c r="I279" s="1777"/>
      <c r="J279" s="1777"/>
      <c r="K279" s="1777"/>
      <c r="L279" s="1777"/>
      <c r="M279" s="1777"/>
      <c r="N279" s="1777"/>
      <c r="O279" s="1777"/>
      <c r="P279" s="1777"/>
      <c r="Q279" s="1777"/>
      <c r="R279" s="1777"/>
      <c r="S279" s="1777"/>
      <c r="T279" s="1777"/>
      <c r="U279" s="1777"/>
      <c r="V279" s="1777"/>
      <c r="W279" s="1777"/>
      <c r="X279" s="1777"/>
      <c r="Y279" s="1777"/>
      <c r="Z279" s="1777"/>
      <c r="AA279" s="1777"/>
      <c r="AB279" s="1777"/>
      <c r="AC279" s="1777"/>
      <c r="AD279" s="1777"/>
      <c r="AE279" s="1777"/>
      <c r="AF279" s="1777"/>
      <c r="AG279" s="1777"/>
      <c r="AH279" s="1777"/>
      <c r="AI279" s="1777"/>
      <c r="AJ279" s="1778"/>
      <c r="AK279" s="3232">
        <f>IFERROR((AK277/AK278),0)</f>
        <v>0</v>
      </c>
      <c r="AL279" s="1777"/>
      <c r="AM279" s="1778"/>
      <c r="AT279" s="387"/>
    </row>
    <row r="280" spans="2:46" s="483" customFormat="1" ht="18" customHeight="1">
      <c r="B280" s="3246" t="s">
        <v>2998</v>
      </c>
      <c r="C280" s="1777"/>
      <c r="D280" s="1777"/>
      <c r="E280" s="1777"/>
      <c r="F280" s="1777"/>
      <c r="G280" s="1777"/>
      <c r="H280" s="1777"/>
      <c r="I280" s="1777"/>
      <c r="J280" s="1777"/>
      <c r="K280" s="1777"/>
      <c r="L280" s="1777"/>
      <c r="M280" s="1777"/>
      <c r="N280" s="1777"/>
      <c r="O280" s="1777"/>
      <c r="P280" s="1777"/>
      <c r="Q280" s="1777"/>
      <c r="R280" s="1777"/>
      <c r="S280" s="1777"/>
      <c r="T280" s="1777"/>
      <c r="U280" s="1777"/>
      <c r="V280" s="1777"/>
      <c r="W280" s="1777"/>
      <c r="X280" s="1777"/>
      <c r="Y280" s="1777"/>
      <c r="Z280" s="1777"/>
      <c r="AA280" s="1777"/>
      <c r="AB280" s="1777"/>
      <c r="AC280" s="1777"/>
      <c r="AD280" s="1777"/>
      <c r="AE280" s="1777"/>
      <c r="AF280" s="1777"/>
      <c r="AG280" s="1777"/>
      <c r="AH280" s="1777"/>
      <c r="AI280" s="1777"/>
      <c r="AJ280" s="1777"/>
      <c r="AK280" s="1777"/>
      <c r="AL280" s="1777"/>
      <c r="AM280" s="1778"/>
      <c r="AT280" s="387"/>
    </row>
    <row r="281" spans="2:46" ht="18" customHeight="1">
      <c r="B281" s="3233" t="s">
        <v>2643</v>
      </c>
      <c r="C281" s="1778"/>
      <c r="D281" s="3034" t="s">
        <v>2999</v>
      </c>
      <c r="E281" s="1777"/>
      <c r="F281" s="1777"/>
      <c r="G281" s="1777"/>
      <c r="H281" s="1777"/>
      <c r="I281" s="1777"/>
      <c r="J281" s="1777"/>
      <c r="K281" s="1777"/>
      <c r="L281" s="1777"/>
      <c r="M281" s="1777"/>
      <c r="N281" s="1777"/>
      <c r="O281" s="1777"/>
      <c r="P281" s="1777"/>
      <c r="Q281" s="1777"/>
      <c r="R281" s="1777"/>
      <c r="S281" s="1777"/>
      <c r="T281" s="1777"/>
      <c r="U281" s="1777"/>
      <c r="V281" s="1777"/>
      <c r="W281" s="1777"/>
      <c r="X281" s="1777"/>
      <c r="Y281" s="1777"/>
      <c r="Z281" s="1777"/>
      <c r="AA281" s="1777"/>
      <c r="AB281" s="1777"/>
      <c r="AC281" s="1777"/>
      <c r="AD281" s="1777"/>
      <c r="AE281" s="1777"/>
      <c r="AF281" s="1777"/>
      <c r="AG281" s="1777"/>
      <c r="AH281" s="1777"/>
      <c r="AI281" s="1777"/>
      <c r="AJ281" s="1778"/>
      <c r="AK281" s="3227"/>
      <c r="AL281" s="1861"/>
      <c r="AM281" s="1862"/>
    </row>
    <row r="282" spans="2:46" ht="18" customHeight="1">
      <c r="B282" s="3017" t="s">
        <v>2645</v>
      </c>
      <c r="C282" s="1778"/>
      <c r="D282" s="3028" t="s">
        <v>2996</v>
      </c>
      <c r="E282" s="1777"/>
      <c r="F282" s="1777"/>
      <c r="G282" s="1777"/>
      <c r="H282" s="1777"/>
      <c r="I282" s="1777"/>
      <c r="J282" s="1777"/>
      <c r="K282" s="1777"/>
      <c r="L282" s="1777"/>
      <c r="M282" s="1777"/>
      <c r="N282" s="1777"/>
      <c r="O282" s="1777"/>
      <c r="P282" s="1777"/>
      <c r="Q282" s="1777"/>
      <c r="R282" s="1777"/>
      <c r="S282" s="1777"/>
      <c r="T282" s="1777"/>
      <c r="U282" s="1777"/>
      <c r="V282" s="1777"/>
      <c r="W282" s="1777"/>
      <c r="X282" s="1777"/>
      <c r="Y282" s="1777"/>
      <c r="Z282" s="1777"/>
      <c r="AA282" s="1777"/>
      <c r="AB282" s="1777"/>
      <c r="AC282" s="1777"/>
      <c r="AD282" s="1777"/>
      <c r="AE282" s="1777"/>
      <c r="AF282" s="1777"/>
      <c r="AG282" s="1777"/>
      <c r="AH282" s="1777"/>
      <c r="AI282" s="1777"/>
      <c r="AJ282" s="1778"/>
      <c r="AK282" s="3221"/>
      <c r="AL282" s="1861"/>
      <c r="AM282" s="1862"/>
      <c r="AS282" s="398"/>
    </row>
    <row r="283" spans="2:46" s="483" customFormat="1" ht="18" customHeight="1">
      <c r="B283" s="3183" t="s">
        <v>1314</v>
      </c>
      <c r="C283" s="1778"/>
      <c r="D283" s="3034" t="s">
        <v>3000</v>
      </c>
      <c r="E283" s="1777"/>
      <c r="F283" s="1777"/>
      <c r="G283" s="1777"/>
      <c r="H283" s="1777"/>
      <c r="I283" s="1777"/>
      <c r="J283" s="1777"/>
      <c r="K283" s="1777"/>
      <c r="L283" s="1777"/>
      <c r="M283" s="1777"/>
      <c r="N283" s="1777"/>
      <c r="O283" s="1777"/>
      <c r="P283" s="1777"/>
      <c r="Q283" s="1777"/>
      <c r="R283" s="1777"/>
      <c r="S283" s="1777"/>
      <c r="T283" s="1777"/>
      <c r="U283" s="1777"/>
      <c r="V283" s="1777"/>
      <c r="W283" s="1777"/>
      <c r="X283" s="1777"/>
      <c r="Y283" s="1777"/>
      <c r="Z283" s="1777"/>
      <c r="AA283" s="1777"/>
      <c r="AB283" s="1777"/>
      <c r="AC283" s="1777"/>
      <c r="AD283" s="1777"/>
      <c r="AE283" s="1777"/>
      <c r="AF283" s="1777"/>
      <c r="AG283" s="1777"/>
      <c r="AH283" s="1777"/>
      <c r="AI283" s="1777"/>
      <c r="AJ283" s="1778"/>
      <c r="AK283" s="3232">
        <f>IFERROR((AK281/AK282),0)</f>
        <v>0</v>
      </c>
      <c r="AL283" s="1777"/>
      <c r="AM283" s="1778"/>
      <c r="AS283" s="387"/>
      <c r="AT283" s="387"/>
    </row>
    <row r="284" spans="2:46" s="538" customFormat="1" ht="18" customHeight="1">
      <c r="AT284" s="384"/>
    </row>
    <row r="285" spans="2:46" s="398" customFormat="1" ht="18" customHeight="1">
      <c r="B285" s="3130" t="s">
        <v>2649</v>
      </c>
      <c r="C285" s="2181"/>
      <c r="D285" s="2181"/>
      <c r="E285" s="2181"/>
      <c r="F285" s="2181"/>
      <c r="G285" s="2181"/>
      <c r="H285" s="2181"/>
      <c r="I285" s="2181"/>
      <c r="J285" s="2181"/>
      <c r="K285" s="2181"/>
      <c r="L285" s="2181"/>
      <c r="M285" s="2181"/>
      <c r="N285" s="2181"/>
      <c r="O285" s="2181"/>
      <c r="P285" s="2181"/>
      <c r="Q285" s="2181"/>
      <c r="R285" s="2181"/>
      <c r="S285" s="2181"/>
      <c r="T285" s="2181"/>
      <c r="U285" s="2181"/>
      <c r="V285" s="2181"/>
      <c r="W285" s="2181"/>
      <c r="X285" s="2181"/>
      <c r="Y285" s="2181"/>
      <c r="Z285" s="2181"/>
      <c r="AA285" s="2181"/>
      <c r="AB285" s="2181"/>
      <c r="AC285" s="2181"/>
      <c r="AD285" s="2181"/>
      <c r="AE285" s="2181"/>
      <c r="AF285" s="2181"/>
      <c r="AG285" s="2181"/>
      <c r="AH285" s="2181"/>
      <c r="AI285" s="2181"/>
      <c r="AJ285" s="2181"/>
      <c r="AK285" s="2181"/>
      <c r="AL285" s="2181"/>
      <c r="AM285" s="2181"/>
      <c r="AS285" s="387"/>
    </row>
    <row r="286" spans="2:46" s="398" customFormat="1" ht="72" customHeight="1">
      <c r="B286" s="2181" t="s">
        <v>3001</v>
      </c>
      <c r="C286" s="2181"/>
      <c r="D286" s="2181"/>
      <c r="E286" s="2181"/>
      <c r="F286" s="2181"/>
      <c r="G286" s="2181"/>
      <c r="H286" s="2181"/>
      <c r="I286" s="2181"/>
      <c r="J286" s="2181"/>
      <c r="K286" s="2181"/>
      <c r="L286" s="2181"/>
      <c r="M286" s="2181"/>
      <c r="N286" s="2181"/>
      <c r="O286" s="2181"/>
      <c r="P286" s="2181"/>
      <c r="Q286" s="2181"/>
      <c r="R286" s="2181"/>
      <c r="S286" s="2181"/>
      <c r="T286" s="2181"/>
      <c r="U286" s="2181"/>
      <c r="V286" s="2181"/>
      <c r="W286" s="2181"/>
      <c r="X286" s="2181"/>
      <c r="Y286" s="2181"/>
      <c r="Z286" s="2181"/>
      <c r="AA286" s="2181"/>
      <c r="AB286" s="2181"/>
      <c r="AC286" s="2181"/>
      <c r="AD286" s="2181"/>
      <c r="AE286" s="2181"/>
      <c r="AF286" s="2181"/>
      <c r="AG286" s="2181"/>
      <c r="AH286" s="2181"/>
      <c r="AI286" s="2181"/>
      <c r="AJ286" s="2181"/>
      <c r="AK286" s="2181"/>
      <c r="AL286" s="2181"/>
      <c r="AM286" s="2181"/>
      <c r="AS286" s="387"/>
    </row>
    <row r="287" spans="2:46" ht="54" customHeight="1">
      <c r="B287" s="2181" t="s">
        <v>3002</v>
      </c>
      <c r="C287" s="3021"/>
      <c r="D287" s="3021"/>
      <c r="E287" s="3021"/>
      <c r="F287" s="3021"/>
      <c r="G287" s="3021"/>
      <c r="H287" s="3021"/>
      <c r="I287" s="1935"/>
      <c r="J287" s="3021"/>
      <c r="K287" s="3021"/>
      <c r="L287" s="3021"/>
      <c r="M287" s="3021"/>
      <c r="N287" s="3021"/>
      <c r="O287" s="3021"/>
      <c r="P287" s="3021"/>
      <c r="Q287" s="3021"/>
      <c r="R287" s="3021"/>
      <c r="S287" s="3021"/>
      <c r="T287" s="3021"/>
      <c r="U287" s="3021"/>
      <c r="V287" s="3021"/>
      <c r="W287" s="3021"/>
      <c r="X287" s="3021"/>
      <c r="Y287" s="3021"/>
      <c r="Z287" s="3021"/>
      <c r="AA287" s="3021"/>
      <c r="AB287" s="3021"/>
      <c r="AC287" s="3021"/>
      <c r="AD287" s="3021"/>
      <c r="AE287" s="3021"/>
      <c r="AF287" s="3021"/>
      <c r="AG287" s="3021"/>
      <c r="AH287" s="3021"/>
      <c r="AI287" s="3021"/>
      <c r="AJ287" s="3021"/>
      <c r="AK287" s="3021"/>
      <c r="AL287" s="3021"/>
      <c r="AM287" s="3021"/>
    </row>
    <row r="288" spans="2:46" ht="36" customHeight="1">
      <c r="B288" s="3047" t="s">
        <v>3003</v>
      </c>
      <c r="C288" s="1777"/>
      <c r="D288" s="1777"/>
      <c r="E288" s="1777"/>
      <c r="F288" s="1777"/>
      <c r="G288" s="1777"/>
      <c r="H288" s="1777"/>
      <c r="I288" s="1777"/>
      <c r="J288" s="1777"/>
      <c r="K288" s="1777"/>
      <c r="L288" s="1777"/>
      <c r="M288" s="1777"/>
      <c r="N288" s="1777"/>
      <c r="O288" s="1777"/>
      <c r="P288" s="1777"/>
      <c r="Q288" s="1777"/>
      <c r="R288" s="1777"/>
      <c r="S288" s="1777"/>
      <c r="T288" s="1777"/>
      <c r="U288" s="1777"/>
      <c r="V288" s="1777"/>
      <c r="W288" s="1778"/>
      <c r="X288" s="3047" t="s">
        <v>2335</v>
      </c>
      <c r="Y288" s="1777"/>
      <c r="Z288" s="1778"/>
      <c r="AA288" s="3047" t="s">
        <v>1096</v>
      </c>
      <c r="AB288" s="1777"/>
      <c r="AC288" s="1778"/>
      <c r="AD288" s="3047" t="s">
        <v>2336</v>
      </c>
      <c r="AE288" s="1777"/>
      <c r="AF288" s="1777"/>
      <c r="AG288" s="1777"/>
      <c r="AH288" s="1777"/>
      <c r="AI288" s="1778"/>
      <c r="AJ288" s="3047" t="s">
        <v>2337</v>
      </c>
      <c r="AK288" s="1777"/>
      <c r="AL288" s="1777"/>
      <c r="AM288" s="1778"/>
    </row>
    <row r="289" spans="2:39" ht="18" customHeight="1">
      <c r="B289" s="3117"/>
      <c r="C289" s="1861"/>
      <c r="D289" s="1861"/>
      <c r="E289" s="1861"/>
      <c r="F289" s="1861"/>
      <c r="G289" s="1861"/>
      <c r="H289" s="1861"/>
      <c r="I289" s="1861"/>
      <c r="J289" s="1861"/>
      <c r="K289" s="1861"/>
      <c r="L289" s="1861"/>
      <c r="M289" s="1861"/>
      <c r="N289" s="1861"/>
      <c r="O289" s="1861"/>
      <c r="P289" s="1861"/>
      <c r="Q289" s="1861"/>
      <c r="R289" s="1861"/>
      <c r="S289" s="1861"/>
      <c r="T289" s="1861"/>
      <c r="U289" s="1861"/>
      <c r="V289" s="1861"/>
      <c r="W289" s="1862"/>
      <c r="X289" s="3041"/>
      <c r="Y289" s="1861"/>
      <c r="Z289" s="1862"/>
      <c r="AA289" s="3020"/>
      <c r="AB289" s="1861"/>
      <c r="AC289" s="1862"/>
      <c r="AD289" s="3020"/>
      <c r="AE289" s="1861"/>
      <c r="AF289" s="1861"/>
      <c r="AG289" s="1861"/>
      <c r="AH289" s="1861"/>
      <c r="AI289" s="1862"/>
      <c r="AJ289" s="3095">
        <f>IF($X$293=0,0,X289/$X$293)</f>
        <v>0</v>
      </c>
      <c r="AK289" s="1777"/>
      <c r="AL289" s="1777"/>
      <c r="AM289" s="1778"/>
    </row>
    <row r="290" spans="2:39" ht="18" customHeight="1">
      <c r="B290" s="3117"/>
      <c r="C290" s="1861"/>
      <c r="D290" s="1861"/>
      <c r="E290" s="1861"/>
      <c r="F290" s="1861"/>
      <c r="G290" s="1861"/>
      <c r="H290" s="1861"/>
      <c r="I290" s="1861"/>
      <c r="J290" s="1861"/>
      <c r="K290" s="1861"/>
      <c r="L290" s="1861"/>
      <c r="M290" s="1861"/>
      <c r="N290" s="1861"/>
      <c r="O290" s="1861"/>
      <c r="P290" s="1861"/>
      <c r="Q290" s="1861"/>
      <c r="R290" s="1861"/>
      <c r="S290" s="1861"/>
      <c r="T290" s="1861"/>
      <c r="U290" s="1861"/>
      <c r="V290" s="1861"/>
      <c r="W290" s="1862"/>
      <c r="X290" s="3041"/>
      <c r="Y290" s="1861"/>
      <c r="Z290" s="1862"/>
      <c r="AA290" s="3020"/>
      <c r="AB290" s="1861"/>
      <c r="AC290" s="1862"/>
      <c r="AD290" s="3020"/>
      <c r="AE290" s="1861"/>
      <c r="AF290" s="1861"/>
      <c r="AG290" s="1861"/>
      <c r="AH290" s="1861"/>
      <c r="AI290" s="1862"/>
      <c r="AJ290" s="3095">
        <f>IF($X$293=0,0,X290/$X$293)</f>
        <v>0</v>
      </c>
      <c r="AK290" s="1777"/>
      <c r="AL290" s="1777"/>
      <c r="AM290" s="1778"/>
    </row>
    <row r="291" spans="2:39" ht="18" customHeight="1">
      <c r="B291" s="3117"/>
      <c r="C291" s="1861"/>
      <c r="D291" s="1861"/>
      <c r="E291" s="1861"/>
      <c r="F291" s="1861"/>
      <c r="G291" s="1861"/>
      <c r="H291" s="1861"/>
      <c r="I291" s="1861"/>
      <c r="J291" s="1861"/>
      <c r="K291" s="1861"/>
      <c r="L291" s="1861"/>
      <c r="M291" s="1861"/>
      <c r="N291" s="1861"/>
      <c r="O291" s="1861"/>
      <c r="P291" s="1861"/>
      <c r="Q291" s="1861"/>
      <c r="R291" s="1861"/>
      <c r="S291" s="1861"/>
      <c r="T291" s="1861"/>
      <c r="U291" s="1861"/>
      <c r="V291" s="1861"/>
      <c r="W291" s="1862"/>
      <c r="X291" s="3041"/>
      <c r="Y291" s="1861"/>
      <c r="Z291" s="1862"/>
      <c r="AA291" s="3020"/>
      <c r="AB291" s="1861"/>
      <c r="AC291" s="1862"/>
      <c r="AD291" s="3020"/>
      <c r="AE291" s="1861"/>
      <c r="AF291" s="1861"/>
      <c r="AG291" s="1861"/>
      <c r="AH291" s="1861"/>
      <c r="AI291" s="1862"/>
      <c r="AJ291" s="3095">
        <f>IF($X$293=0,0,X291/$X$293)</f>
        <v>0</v>
      </c>
      <c r="AK291" s="1777"/>
      <c r="AL291" s="1777"/>
      <c r="AM291" s="1778"/>
    </row>
    <row r="292" spans="2:39" ht="18" customHeight="1">
      <c r="B292" s="3117"/>
      <c r="C292" s="1861"/>
      <c r="D292" s="1861"/>
      <c r="E292" s="1861"/>
      <c r="F292" s="1861"/>
      <c r="G292" s="1861"/>
      <c r="H292" s="1861"/>
      <c r="I292" s="1861"/>
      <c r="J292" s="1861"/>
      <c r="K292" s="1861"/>
      <c r="L292" s="1861"/>
      <c r="M292" s="1861"/>
      <c r="N292" s="1861"/>
      <c r="O292" s="1861"/>
      <c r="P292" s="1861"/>
      <c r="Q292" s="1861"/>
      <c r="R292" s="1861"/>
      <c r="S292" s="1861"/>
      <c r="T292" s="1861"/>
      <c r="U292" s="1861"/>
      <c r="V292" s="1861"/>
      <c r="W292" s="1862"/>
      <c r="X292" s="3041"/>
      <c r="Y292" s="1861"/>
      <c r="Z292" s="1862"/>
      <c r="AA292" s="3020"/>
      <c r="AB292" s="1861"/>
      <c r="AC292" s="1862"/>
      <c r="AD292" s="3020"/>
      <c r="AE292" s="1861"/>
      <c r="AF292" s="1861"/>
      <c r="AG292" s="1861"/>
      <c r="AH292" s="1861"/>
      <c r="AI292" s="1862"/>
      <c r="AJ292" s="3095">
        <f>IF($X$293=0,0,X292/$X$293)</f>
        <v>0</v>
      </c>
      <c r="AK292" s="1777"/>
      <c r="AL292" s="1777"/>
      <c r="AM292" s="1778"/>
    </row>
    <row r="293" spans="2:39" ht="18" customHeight="1">
      <c r="B293" s="3254" t="s">
        <v>2338</v>
      </c>
      <c r="C293" s="1777"/>
      <c r="D293" s="1777"/>
      <c r="E293" s="1777"/>
      <c r="F293" s="1777"/>
      <c r="G293" s="1777"/>
      <c r="H293" s="1777"/>
      <c r="I293" s="1777"/>
      <c r="J293" s="1777"/>
      <c r="K293" s="1777"/>
      <c r="L293" s="1777"/>
      <c r="M293" s="1777"/>
      <c r="N293" s="1777"/>
      <c r="O293" s="1777"/>
      <c r="P293" s="1777"/>
      <c r="Q293" s="1777"/>
      <c r="R293" s="1777"/>
      <c r="S293" s="1777"/>
      <c r="T293" s="1777"/>
      <c r="U293" s="1777"/>
      <c r="V293" s="1777"/>
      <c r="W293" s="1778"/>
      <c r="X293" s="3156">
        <f>SUM(X289:Z292)</f>
        <v>0</v>
      </c>
      <c r="Y293" s="1777"/>
      <c r="Z293" s="1778"/>
      <c r="AA293" s="3047"/>
      <c r="AB293" s="1777"/>
      <c r="AC293" s="1778"/>
      <c r="AD293" s="3047"/>
      <c r="AE293" s="1777"/>
      <c r="AF293" s="1777"/>
      <c r="AG293" s="1777"/>
      <c r="AH293" s="1777"/>
      <c r="AI293" s="1778"/>
      <c r="AJ293" s="3187">
        <f>SUM(AJ289:AM292)</f>
        <v>0</v>
      </c>
      <c r="AK293" s="1777"/>
      <c r="AL293" s="1777"/>
      <c r="AM293" s="1778"/>
    </row>
    <row r="294" spans="2:39" ht="36" customHeight="1">
      <c r="B294" s="3145" t="s">
        <v>2339</v>
      </c>
      <c r="C294" s="1777"/>
      <c r="D294" s="1777"/>
      <c r="E294" s="1777"/>
      <c r="F294" s="1777"/>
      <c r="G294" s="1777"/>
      <c r="H294" s="1777"/>
      <c r="I294" s="1777"/>
      <c r="J294" s="1777"/>
      <c r="K294" s="1777"/>
      <c r="L294" s="1777"/>
      <c r="M294" s="1777"/>
      <c r="N294" s="1777"/>
      <c r="O294" s="1777"/>
      <c r="P294" s="1777"/>
      <c r="Q294" s="1777"/>
      <c r="R294" s="1777"/>
      <c r="S294" s="1777"/>
      <c r="T294" s="1777"/>
      <c r="U294" s="1777"/>
      <c r="V294" s="1777"/>
      <c r="W294" s="1778"/>
      <c r="X294" s="3047" t="s">
        <v>2335</v>
      </c>
      <c r="Y294" s="1777"/>
      <c r="Z294" s="1778"/>
      <c r="AA294" s="3047" t="s">
        <v>1096</v>
      </c>
      <c r="AB294" s="1777"/>
      <c r="AC294" s="1778"/>
      <c r="AD294" s="3047" t="s">
        <v>2336</v>
      </c>
      <c r="AE294" s="1777"/>
      <c r="AF294" s="1777"/>
      <c r="AG294" s="1777"/>
      <c r="AH294" s="1777"/>
      <c r="AI294" s="1778"/>
      <c r="AJ294" s="3047" t="s">
        <v>2337</v>
      </c>
      <c r="AK294" s="1777"/>
      <c r="AL294" s="1777"/>
      <c r="AM294" s="1778"/>
    </row>
    <row r="295" spans="2:39" ht="18" customHeight="1">
      <c r="B295" s="3028" t="s">
        <v>2340</v>
      </c>
      <c r="C295" s="1777"/>
      <c r="D295" s="1777"/>
      <c r="E295" s="1777"/>
      <c r="F295" s="1777"/>
      <c r="G295" s="1777"/>
      <c r="H295" s="1777"/>
      <c r="I295" s="1777"/>
      <c r="J295" s="1777"/>
      <c r="K295" s="1777"/>
      <c r="L295" s="1777"/>
      <c r="M295" s="1777"/>
      <c r="N295" s="1777"/>
      <c r="O295" s="1777"/>
      <c r="P295" s="1777"/>
      <c r="Q295" s="1777"/>
      <c r="R295" s="1777"/>
      <c r="S295" s="1777"/>
      <c r="T295" s="1777"/>
      <c r="U295" s="1777"/>
      <c r="V295" s="1777"/>
      <c r="W295" s="1778"/>
      <c r="X295" s="3127"/>
      <c r="Y295" s="1777"/>
      <c r="Z295" s="1778"/>
      <c r="AA295" s="3127"/>
      <c r="AB295" s="1777"/>
      <c r="AC295" s="1778"/>
      <c r="AD295" s="3127"/>
      <c r="AE295" s="1777"/>
      <c r="AF295" s="1777"/>
      <c r="AG295" s="1777"/>
      <c r="AH295" s="1777"/>
      <c r="AI295" s="1778"/>
      <c r="AJ295" s="3127"/>
      <c r="AK295" s="1777"/>
      <c r="AL295" s="1777"/>
      <c r="AM295" s="1778"/>
    </row>
    <row r="296" spans="2:39" ht="18" customHeight="1">
      <c r="B296" s="3230" t="s">
        <v>2341</v>
      </c>
      <c r="C296" s="1861"/>
      <c r="D296" s="1861"/>
      <c r="E296" s="1861"/>
      <c r="F296" s="1861"/>
      <c r="G296" s="1861"/>
      <c r="H296" s="1861"/>
      <c r="I296" s="1861"/>
      <c r="J296" s="1861"/>
      <c r="K296" s="1861"/>
      <c r="L296" s="1861"/>
      <c r="M296" s="1861"/>
      <c r="N296" s="1861"/>
      <c r="O296" s="1861"/>
      <c r="P296" s="1861"/>
      <c r="Q296" s="1861"/>
      <c r="R296" s="1861"/>
      <c r="S296" s="1862"/>
      <c r="T296" s="3240" t="s">
        <v>2342</v>
      </c>
      <c r="U296" s="1778"/>
      <c r="V296" s="3221"/>
      <c r="W296" s="1862"/>
      <c r="X296" s="3041"/>
      <c r="Y296" s="1861"/>
      <c r="Z296" s="1862"/>
      <c r="AA296" s="3020"/>
      <c r="AB296" s="1861"/>
      <c r="AC296" s="1862"/>
      <c r="AD296" s="3020"/>
      <c r="AE296" s="1861"/>
      <c r="AF296" s="1861"/>
      <c r="AG296" s="1861"/>
      <c r="AH296" s="1861"/>
      <c r="AI296" s="1862"/>
      <c r="AJ296" s="3095">
        <f t="shared" ref="AJ296:AJ306" si="0">IF($X$307=0,0,X296/$X$307)</f>
        <v>0</v>
      </c>
      <c r="AK296" s="1777"/>
      <c r="AL296" s="1777"/>
      <c r="AM296" s="1778"/>
    </row>
    <row r="297" spans="2:39" ht="18" customHeight="1">
      <c r="B297" s="3230" t="s">
        <v>2341</v>
      </c>
      <c r="C297" s="1861"/>
      <c r="D297" s="1861"/>
      <c r="E297" s="1861"/>
      <c r="F297" s="1861"/>
      <c r="G297" s="1861"/>
      <c r="H297" s="1861"/>
      <c r="I297" s="1861"/>
      <c r="J297" s="1861"/>
      <c r="K297" s="1861"/>
      <c r="L297" s="1861"/>
      <c r="M297" s="1861"/>
      <c r="N297" s="1861"/>
      <c r="O297" s="1861"/>
      <c r="P297" s="1861"/>
      <c r="Q297" s="1861"/>
      <c r="R297" s="1861"/>
      <c r="S297" s="1862"/>
      <c r="T297" s="3240" t="s">
        <v>2342</v>
      </c>
      <c r="U297" s="1778"/>
      <c r="V297" s="3221"/>
      <c r="W297" s="1862"/>
      <c r="X297" s="3041"/>
      <c r="Y297" s="1861"/>
      <c r="Z297" s="1862"/>
      <c r="AA297" s="3020"/>
      <c r="AB297" s="1861"/>
      <c r="AC297" s="1862"/>
      <c r="AD297" s="3020"/>
      <c r="AE297" s="1861"/>
      <c r="AF297" s="1861"/>
      <c r="AG297" s="1861"/>
      <c r="AH297" s="1861"/>
      <c r="AI297" s="1862"/>
      <c r="AJ297" s="3095">
        <f t="shared" si="0"/>
        <v>0</v>
      </c>
      <c r="AK297" s="1777"/>
      <c r="AL297" s="1777"/>
      <c r="AM297" s="1778"/>
    </row>
    <row r="298" spans="2:39" ht="18" customHeight="1">
      <c r="B298" s="3230" t="s">
        <v>2341</v>
      </c>
      <c r="C298" s="1861"/>
      <c r="D298" s="1861"/>
      <c r="E298" s="1861"/>
      <c r="F298" s="1861"/>
      <c r="G298" s="1861"/>
      <c r="H298" s="1861"/>
      <c r="I298" s="1861"/>
      <c r="J298" s="1861"/>
      <c r="K298" s="1861"/>
      <c r="L298" s="1861"/>
      <c r="M298" s="1861"/>
      <c r="N298" s="1861"/>
      <c r="O298" s="1861"/>
      <c r="P298" s="1861"/>
      <c r="Q298" s="1861"/>
      <c r="R298" s="1861"/>
      <c r="S298" s="1862"/>
      <c r="T298" s="3240" t="s">
        <v>2342</v>
      </c>
      <c r="U298" s="1778"/>
      <c r="V298" s="3221"/>
      <c r="W298" s="1862"/>
      <c r="X298" s="3041"/>
      <c r="Y298" s="1861"/>
      <c r="Z298" s="1862"/>
      <c r="AA298" s="3020"/>
      <c r="AB298" s="1861"/>
      <c r="AC298" s="1862"/>
      <c r="AD298" s="3020"/>
      <c r="AE298" s="1861"/>
      <c r="AF298" s="1861"/>
      <c r="AG298" s="1861"/>
      <c r="AH298" s="1861"/>
      <c r="AI298" s="1862"/>
      <c r="AJ298" s="3095">
        <f t="shared" si="0"/>
        <v>0</v>
      </c>
      <c r="AK298" s="1777"/>
      <c r="AL298" s="1777"/>
      <c r="AM298" s="1778"/>
    </row>
    <row r="299" spans="2:39" ht="18" customHeight="1">
      <c r="B299" s="3230" t="s">
        <v>2341</v>
      </c>
      <c r="C299" s="1861"/>
      <c r="D299" s="1861"/>
      <c r="E299" s="1861"/>
      <c r="F299" s="1861"/>
      <c r="G299" s="1861"/>
      <c r="H299" s="1861"/>
      <c r="I299" s="1861"/>
      <c r="J299" s="1861"/>
      <c r="K299" s="1861"/>
      <c r="L299" s="1861"/>
      <c r="M299" s="1861"/>
      <c r="N299" s="1861"/>
      <c r="O299" s="1861"/>
      <c r="P299" s="1861"/>
      <c r="Q299" s="1861"/>
      <c r="R299" s="1861"/>
      <c r="S299" s="1862"/>
      <c r="T299" s="3240" t="s">
        <v>2342</v>
      </c>
      <c r="U299" s="1778"/>
      <c r="V299" s="3221"/>
      <c r="W299" s="1862"/>
      <c r="X299" s="3041"/>
      <c r="Y299" s="1861"/>
      <c r="Z299" s="1862"/>
      <c r="AA299" s="3020"/>
      <c r="AB299" s="1861"/>
      <c r="AC299" s="1862"/>
      <c r="AD299" s="3020"/>
      <c r="AE299" s="1861"/>
      <c r="AF299" s="1861"/>
      <c r="AG299" s="1861"/>
      <c r="AH299" s="1861"/>
      <c r="AI299" s="1862"/>
      <c r="AJ299" s="3095">
        <f t="shared" si="0"/>
        <v>0</v>
      </c>
      <c r="AK299" s="1777"/>
      <c r="AL299" s="1777"/>
      <c r="AM299" s="1778"/>
    </row>
    <row r="300" spans="2:39" ht="18" customHeight="1">
      <c r="B300" s="3230" t="s">
        <v>2341</v>
      </c>
      <c r="C300" s="1861"/>
      <c r="D300" s="1861"/>
      <c r="E300" s="1861"/>
      <c r="F300" s="1861"/>
      <c r="G300" s="1861"/>
      <c r="H300" s="1861"/>
      <c r="I300" s="1861"/>
      <c r="J300" s="1861"/>
      <c r="K300" s="1861"/>
      <c r="L300" s="1861"/>
      <c r="M300" s="1861"/>
      <c r="N300" s="1861"/>
      <c r="O300" s="1861"/>
      <c r="P300" s="1861"/>
      <c r="Q300" s="1861"/>
      <c r="R300" s="1861"/>
      <c r="S300" s="1862"/>
      <c r="T300" s="3240" t="s">
        <v>2342</v>
      </c>
      <c r="U300" s="1778"/>
      <c r="V300" s="3221"/>
      <c r="W300" s="1862"/>
      <c r="X300" s="3041"/>
      <c r="Y300" s="1861"/>
      <c r="Z300" s="1862"/>
      <c r="AA300" s="3020"/>
      <c r="AB300" s="1861"/>
      <c r="AC300" s="1862"/>
      <c r="AD300" s="3020"/>
      <c r="AE300" s="1861"/>
      <c r="AF300" s="1861"/>
      <c r="AG300" s="1861"/>
      <c r="AH300" s="1861"/>
      <c r="AI300" s="1862"/>
      <c r="AJ300" s="3095">
        <f t="shared" si="0"/>
        <v>0</v>
      </c>
      <c r="AK300" s="1777"/>
      <c r="AL300" s="1777"/>
      <c r="AM300" s="1778"/>
    </row>
    <row r="301" spans="2:39" ht="18" customHeight="1">
      <c r="B301" s="3230" t="s">
        <v>2341</v>
      </c>
      <c r="C301" s="1861"/>
      <c r="D301" s="1861"/>
      <c r="E301" s="1861"/>
      <c r="F301" s="1861"/>
      <c r="G301" s="1861"/>
      <c r="H301" s="1861"/>
      <c r="I301" s="1861"/>
      <c r="J301" s="1861"/>
      <c r="K301" s="1861"/>
      <c r="L301" s="1861"/>
      <c r="M301" s="1861"/>
      <c r="N301" s="1861"/>
      <c r="O301" s="1861"/>
      <c r="P301" s="1861"/>
      <c r="Q301" s="1861"/>
      <c r="R301" s="1861"/>
      <c r="S301" s="1862"/>
      <c r="T301" s="3240" t="s">
        <v>2342</v>
      </c>
      <c r="U301" s="1778"/>
      <c r="V301" s="3221"/>
      <c r="W301" s="1862"/>
      <c r="X301" s="3041"/>
      <c r="Y301" s="1861"/>
      <c r="Z301" s="1862"/>
      <c r="AA301" s="3020"/>
      <c r="AB301" s="1861"/>
      <c r="AC301" s="1862"/>
      <c r="AD301" s="3020"/>
      <c r="AE301" s="1861"/>
      <c r="AF301" s="1861"/>
      <c r="AG301" s="1861"/>
      <c r="AH301" s="1861"/>
      <c r="AI301" s="1862"/>
      <c r="AJ301" s="3095">
        <f t="shared" si="0"/>
        <v>0</v>
      </c>
      <c r="AK301" s="1777"/>
      <c r="AL301" s="1777"/>
      <c r="AM301" s="1778"/>
    </row>
    <row r="302" spans="2:39" ht="18" customHeight="1">
      <c r="B302" s="3230" t="s">
        <v>2341</v>
      </c>
      <c r="C302" s="1861"/>
      <c r="D302" s="1861"/>
      <c r="E302" s="1861"/>
      <c r="F302" s="1861"/>
      <c r="G302" s="1861"/>
      <c r="H302" s="1861"/>
      <c r="I302" s="1861"/>
      <c r="J302" s="1861"/>
      <c r="K302" s="1861"/>
      <c r="L302" s="1861"/>
      <c r="M302" s="1861"/>
      <c r="N302" s="1861"/>
      <c r="O302" s="1861"/>
      <c r="P302" s="1861"/>
      <c r="Q302" s="1861"/>
      <c r="R302" s="1861"/>
      <c r="S302" s="1862"/>
      <c r="T302" s="3240" t="s">
        <v>2342</v>
      </c>
      <c r="U302" s="1778"/>
      <c r="V302" s="3221"/>
      <c r="W302" s="1862"/>
      <c r="X302" s="3041"/>
      <c r="Y302" s="1861"/>
      <c r="Z302" s="1862"/>
      <c r="AA302" s="3020"/>
      <c r="AB302" s="1861"/>
      <c r="AC302" s="1862"/>
      <c r="AD302" s="3020"/>
      <c r="AE302" s="1861"/>
      <c r="AF302" s="1861"/>
      <c r="AG302" s="1861"/>
      <c r="AH302" s="1861"/>
      <c r="AI302" s="1862"/>
      <c r="AJ302" s="3095">
        <f t="shared" si="0"/>
        <v>0</v>
      </c>
      <c r="AK302" s="1777"/>
      <c r="AL302" s="1777"/>
      <c r="AM302" s="1778"/>
    </row>
    <row r="303" spans="2:39" ht="18" customHeight="1">
      <c r="B303" s="3230" t="s">
        <v>2341</v>
      </c>
      <c r="C303" s="1861"/>
      <c r="D303" s="1861"/>
      <c r="E303" s="1861"/>
      <c r="F303" s="1861"/>
      <c r="G303" s="1861"/>
      <c r="H303" s="1861"/>
      <c r="I303" s="1861"/>
      <c r="J303" s="1861"/>
      <c r="K303" s="1861"/>
      <c r="L303" s="1861"/>
      <c r="M303" s="1861"/>
      <c r="N303" s="1861"/>
      <c r="O303" s="1861"/>
      <c r="P303" s="1861"/>
      <c r="Q303" s="1861"/>
      <c r="R303" s="1861"/>
      <c r="S303" s="1862"/>
      <c r="T303" s="3240" t="s">
        <v>2342</v>
      </c>
      <c r="U303" s="1778"/>
      <c r="V303" s="3221"/>
      <c r="W303" s="1862"/>
      <c r="X303" s="3041"/>
      <c r="Y303" s="1861"/>
      <c r="Z303" s="1862"/>
      <c r="AA303" s="3020"/>
      <c r="AB303" s="1861"/>
      <c r="AC303" s="1862"/>
      <c r="AD303" s="3020"/>
      <c r="AE303" s="1861"/>
      <c r="AF303" s="1861"/>
      <c r="AG303" s="1861"/>
      <c r="AH303" s="1861"/>
      <c r="AI303" s="1862"/>
      <c r="AJ303" s="3095">
        <f t="shared" si="0"/>
        <v>0</v>
      </c>
      <c r="AK303" s="1777"/>
      <c r="AL303" s="1777"/>
      <c r="AM303" s="1778"/>
    </row>
    <row r="304" spans="2:39" ht="18" customHeight="1">
      <c r="B304" s="3230" t="s">
        <v>2341</v>
      </c>
      <c r="C304" s="1861"/>
      <c r="D304" s="1861"/>
      <c r="E304" s="1861"/>
      <c r="F304" s="1861"/>
      <c r="G304" s="1861"/>
      <c r="H304" s="1861"/>
      <c r="I304" s="1861"/>
      <c r="J304" s="1861"/>
      <c r="K304" s="1861"/>
      <c r="L304" s="1861"/>
      <c r="M304" s="1861"/>
      <c r="N304" s="1861"/>
      <c r="O304" s="1861"/>
      <c r="P304" s="1861"/>
      <c r="Q304" s="1861"/>
      <c r="R304" s="1861"/>
      <c r="S304" s="1862"/>
      <c r="T304" s="3240" t="s">
        <v>2342</v>
      </c>
      <c r="U304" s="1778"/>
      <c r="V304" s="3221"/>
      <c r="W304" s="1862"/>
      <c r="X304" s="3041"/>
      <c r="Y304" s="1861"/>
      <c r="Z304" s="1862"/>
      <c r="AA304" s="3020"/>
      <c r="AB304" s="1861"/>
      <c r="AC304" s="1862"/>
      <c r="AD304" s="3020"/>
      <c r="AE304" s="1861"/>
      <c r="AF304" s="1861"/>
      <c r="AG304" s="1861"/>
      <c r="AH304" s="1861"/>
      <c r="AI304" s="1862"/>
      <c r="AJ304" s="3095">
        <f t="shared" si="0"/>
        <v>0</v>
      </c>
      <c r="AK304" s="1777"/>
      <c r="AL304" s="1777"/>
      <c r="AM304" s="1778"/>
    </row>
    <row r="305" spans="2:39" ht="18" customHeight="1">
      <c r="B305" s="3230" t="s">
        <v>2341</v>
      </c>
      <c r="C305" s="1861"/>
      <c r="D305" s="1861"/>
      <c r="E305" s="1861"/>
      <c r="F305" s="1861"/>
      <c r="G305" s="1861"/>
      <c r="H305" s="1861"/>
      <c r="I305" s="1861"/>
      <c r="J305" s="1861"/>
      <c r="K305" s="1861"/>
      <c r="L305" s="1861"/>
      <c r="M305" s="1861"/>
      <c r="N305" s="1861"/>
      <c r="O305" s="1861"/>
      <c r="P305" s="1861"/>
      <c r="Q305" s="1861"/>
      <c r="R305" s="1861"/>
      <c r="S305" s="1862"/>
      <c r="T305" s="3240" t="s">
        <v>2342</v>
      </c>
      <c r="U305" s="1778"/>
      <c r="V305" s="3221"/>
      <c r="W305" s="1862"/>
      <c r="X305" s="3041"/>
      <c r="Y305" s="1861"/>
      <c r="Z305" s="1862"/>
      <c r="AA305" s="3020"/>
      <c r="AB305" s="1861"/>
      <c r="AC305" s="1862"/>
      <c r="AD305" s="3020"/>
      <c r="AE305" s="1861"/>
      <c r="AF305" s="1861"/>
      <c r="AG305" s="1861"/>
      <c r="AH305" s="1861"/>
      <c r="AI305" s="1862"/>
      <c r="AJ305" s="3095">
        <f t="shared" si="0"/>
        <v>0</v>
      </c>
      <c r="AK305" s="1777"/>
      <c r="AL305" s="1777"/>
      <c r="AM305" s="1778"/>
    </row>
    <row r="306" spans="2:39" ht="18" customHeight="1">
      <c r="B306" s="3248" t="s">
        <v>2343</v>
      </c>
      <c r="C306" s="1777"/>
      <c r="D306" s="1777"/>
      <c r="E306" s="1777"/>
      <c r="F306" s="1777"/>
      <c r="G306" s="1777"/>
      <c r="H306" s="1777"/>
      <c r="I306" s="1777"/>
      <c r="J306" s="1777"/>
      <c r="K306" s="1777"/>
      <c r="L306" s="1777"/>
      <c r="M306" s="1777"/>
      <c r="N306" s="1777"/>
      <c r="O306" s="1777"/>
      <c r="P306" s="1777"/>
      <c r="Q306" s="1777"/>
      <c r="R306" s="1777"/>
      <c r="S306" s="1777"/>
      <c r="T306" s="1777"/>
      <c r="U306" s="1777"/>
      <c r="V306" s="1777"/>
      <c r="W306" s="1778"/>
      <c r="X306" s="3041"/>
      <c r="Y306" s="1861"/>
      <c r="Z306" s="1862"/>
      <c r="AA306" s="3020"/>
      <c r="AB306" s="1861"/>
      <c r="AC306" s="1862"/>
      <c r="AD306" s="3020"/>
      <c r="AE306" s="1861"/>
      <c r="AF306" s="1861"/>
      <c r="AG306" s="1861"/>
      <c r="AH306" s="1861"/>
      <c r="AI306" s="1862"/>
      <c r="AJ306" s="3095">
        <f t="shared" si="0"/>
        <v>0</v>
      </c>
      <c r="AK306" s="1777"/>
      <c r="AL306" s="1777"/>
      <c r="AM306" s="1778"/>
    </row>
    <row r="307" spans="2:39" ht="18" customHeight="1">
      <c r="B307" s="3229" t="s">
        <v>2344</v>
      </c>
      <c r="C307" s="1777"/>
      <c r="D307" s="1777"/>
      <c r="E307" s="1777"/>
      <c r="F307" s="1777"/>
      <c r="G307" s="1777"/>
      <c r="H307" s="1777"/>
      <c r="I307" s="1777"/>
      <c r="J307" s="1777"/>
      <c r="K307" s="1777"/>
      <c r="L307" s="1777"/>
      <c r="M307" s="1777"/>
      <c r="N307" s="1777"/>
      <c r="O307" s="1777"/>
      <c r="P307" s="1777"/>
      <c r="Q307" s="1777"/>
      <c r="R307" s="1777"/>
      <c r="S307" s="1777"/>
      <c r="T307" s="1777"/>
      <c r="U307" s="1777"/>
      <c r="V307" s="1777"/>
      <c r="W307" s="1778"/>
      <c r="X307" s="3156">
        <f>SUM(X296:Z306)</f>
        <v>0</v>
      </c>
      <c r="Y307" s="1777"/>
      <c r="Z307" s="1778"/>
      <c r="AA307" s="3017"/>
      <c r="AB307" s="1777"/>
      <c r="AC307" s="1777"/>
      <c r="AD307" s="1777"/>
      <c r="AE307" s="1777"/>
      <c r="AF307" s="1777"/>
      <c r="AG307" s="1777"/>
      <c r="AH307" s="1777"/>
      <c r="AI307" s="1778"/>
      <c r="AJ307" s="3187">
        <f t="shared" ref="AJ307:AJ318" si="1">IF($X$319=0,0,X307/$X$319)</f>
        <v>0</v>
      </c>
      <c r="AK307" s="1777"/>
      <c r="AL307" s="1777"/>
      <c r="AM307" s="1778"/>
    </row>
    <row r="308" spans="2:39" ht="18" customHeight="1">
      <c r="B308" s="3248" t="s">
        <v>2345</v>
      </c>
      <c r="C308" s="1777"/>
      <c r="D308" s="1777"/>
      <c r="E308" s="1777"/>
      <c r="F308" s="1777"/>
      <c r="G308" s="1777"/>
      <c r="H308" s="1777"/>
      <c r="I308" s="1777"/>
      <c r="J308" s="1777"/>
      <c r="K308" s="1777"/>
      <c r="L308" s="1777"/>
      <c r="M308" s="1777"/>
      <c r="N308" s="1777"/>
      <c r="O308" s="1777"/>
      <c r="P308" s="1777"/>
      <c r="Q308" s="1777"/>
      <c r="R308" s="1777"/>
      <c r="S308" s="1777"/>
      <c r="T308" s="1777"/>
      <c r="U308" s="1777"/>
      <c r="V308" s="1777"/>
      <c r="W308" s="1778"/>
      <c r="X308" s="3041"/>
      <c r="Y308" s="1861"/>
      <c r="Z308" s="1862"/>
      <c r="AA308" s="3020"/>
      <c r="AB308" s="1861"/>
      <c r="AC308" s="1862"/>
      <c r="AD308" s="3020"/>
      <c r="AE308" s="1861"/>
      <c r="AF308" s="1861"/>
      <c r="AG308" s="1861"/>
      <c r="AH308" s="1861"/>
      <c r="AI308" s="1862"/>
      <c r="AJ308" s="3095">
        <f t="shared" si="1"/>
        <v>0</v>
      </c>
      <c r="AK308" s="1777"/>
      <c r="AL308" s="1777"/>
      <c r="AM308" s="1778"/>
    </row>
    <row r="309" spans="2:39" ht="18" customHeight="1">
      <c r="B309" s="3248" t="s">
        <v>2346</v>
      </c>
      <c r="C309" s="1777"/>
      <c r="D309" s="1777"/>
      <c r="E309" s="1777"/>
      <c r="F309" s="1777"/>
      <c r="G309" s="1777"/>
      <c r="H309" s="1777"/>
      <c r="I309" s="1777"/>
      <c r="J309" s="1777"/>
      <c r="K309" s="1777"/>
      <c r="L309" s="1777"/>
      <c r="M309" s="1777"/>
      <c r="N309" s="1777"/>
      <c r="O309" s="1777"/>
      <c r="P309" s="1777"/>
      <c r="Q309" s="1777"/>
      <c r="R309" s="1777"/>
      <c r="S309" s="1777"/>
      <c r="T309" s="1777"/>
      <c r="U309" s="1777"/>
      <c r="V309" s="1777"/>
      <c r="W309" s="1778"/>
      <c r="X309" s="3041"/>
      <c r="Y309" s="1861"/>
      <c r="Z309" s="1862"/>
      <c r="AA309" s="3020"/>
      <c r="AB309" s="1861"/>
      <c r="AC309" s="1862"/>
      <c r="AD309" s="3020"/>
      <c r="AE309" s="1861"/>
      <c r="AF309" s="1861"/>
      <c r="AG309" s="1861"/>
      <c r="AH309" s="1861"/>
      <c r="AI309" s="1862"/>
      <c r="AJ309" s="3095">
        <f t="shared" si="1"/>
        <v>0</v>
      </c>
      <c r="AK309" s="1777"/>
      <c r="AL309" s="1777"/>
      <c r="AM309" s="1778"/>
    </row>
    <row r="310" spans="2:39" ht="18" customHeight="1">
      <c r="B310" s="3248" t="s">
        <v>2347</v>
      </c>
      <c r="C310" s="1777"/>
      <c r="D310" s="1777"/>
      <c r="E310" s="1777"/>
      <c r="F310" s="1777"/>
      <c r="G310" s="1777"/>
      <c r="H310" s="1777"/>
      <c r="I310" s="1777"/>
      <c r="J310" s="1777"/>
      <c r="K310" s="1777"/>
      <c r="L310" s="1777"/>
      <c r="M310" s="1777"/>
      <c r="N310" s="1777"/>
      <c r="O310" s="1777"/>
      <c r="P310" s="1777"/>
      <c r="Q310" s="1777"/>
      <c r="R310" s="1777"/>
      <c r="S310" s="1777"/>
      <c r="T310" s="1777"/>
      <c r="U310" s="1777"/>
      <c r="V310" s="1777"/>
      <c r="W310" s="1778"/>
      <c r="X310" s="3041"/>
      <c r="Y310" s="1861"/>
      <c r="Z310" s="1862"/>
      <c r="AA310" s="3020"/>
      <c r="AB310" s="1861"/>
      <c r="AC310" s="1862"/>
      <c r="AD310" s="3020"/>
      <c r="AE310" s="1861"/>
      <c r="AF310" s="1861"/>
      <c r="AG310" s="1861"/>
      <c r="AH310" s="1861"/>
      <c r="AI310" s="1862"/>
      <c r="AJ310" s="3095">
        <f t="shared" si="1"/>
        <v>0</v>
      </c>
      <c r="AK310" s="1777"/>
      <c r="AL310" s="1777"/>
      <c r="AM310" s="1778"/>
    </row>
    <row r="311" spans="2:39" ht="18" customHeight="1">
      <c r="B311" s="3248" t="s">
        <v>2348</v>
      </c>
      <c r="C311" s="1777"/>
      <c r="D311" s="1777"/>
      <c r="E311" s="1777"/>
      <c r="F311" s="1777"/>
      <c r="G311" s="1777"/>
      <c r="H311" s="1777"/>
      <c r="I311" s="1777"/>
      <c r="J311" s="1777"/>
      <c r="K311" s="1777"/>
      <c r="L311" s="1777"/>
      <c r="M311" s="1777"/>
      <c r="N311" s="1777"/>
      <c r="O311" s="1777"/>
      <c r="P311" s="1777"/>
      <c r="Q311" s="1777"/>
      <c r="R311" s="1777"/>
      <c r="S311" s="1777"/>
      <c r="T311" s="1777"/>
      <c r="U311" s="1777"/>
      <c r="V311" s="1777"/>
      <c r="W311" s="1778"/>
      <c r="X311" s="3041"/>
      <c r="Y311" s="1861"/>
      <c r="Z311" s="1862"/>
      <c r="AA311" s="3020"/>
      <c r="AB311" s="1861"/>
      <c r="AC311" s="1862"/>
      <c r="AD311" s="3020"/>
      <c r="AE311" s="1861"/>
      <c r="AF311" s="1861"/>
      <c r="AG311" s="1861"/>
      <c r="AH311" s="1861"/>
      <c r="AI311" s="1862"/>
      <c r="AJ311" s="3095">
        <f t="shared" si="1"/>
        <v>0</v>
      </c>
      <c r="AK311" s="1777"/>
      <c r="AL311" s="1777"/>
      <c r="AM311" s="1778"/>
    </row>
    <row r="312" spans="2:39" ht="18" customHeight="1">
      <c r="B312" s="3248" t="s">
        <v>2349</v>
      </c>
      <c r="C312" s="1777"/>
      <c r="D312" s="1777"/>
      <c r="E312" s="1777"/>
      <c r="F312" s="1777"/>
      <c r="G312" s="1777"/>
      <c r="H312" s="1777"/>
      <c r="I312" s="1777"/>
      <c r="J312" s="1777"/>
      <c r="K312" s="1777"/>
      <c r="L312" s="1777"/>
      <c r="M312" s="1777"/>
      <c r="N312" s="1777"/>
      <c r="O312" s="1777"/>
      <c r="P312" s="1777"/>
      <c r="Q312" s="1777"/>
      <c r="R312" s="1777"/>
      <c r="S312" s="1777"/>
      <c r="T312" s="1777"/>
      <c r="U312" s="1777"/>
      <c r="V312" s="1777"/>
      <c r="W312" s="1778"/>
      <c r="X312" s="3041"/>
      <c r="Y312" s="1861"/>
      <c r="Z312" s="1862"/>
      <c r="AA312" s="3020"/>
      <c r="AB312" s="1861"/>
      <c r="AC312" s="1862"/>
      <c r="AD312" s="3020"/>
      <c r="AE312" s="1861"/>
      <c r="AF312" s="1861"/>
      <c r="AG312" s="1861"/>
      <c r="AH312" s="1861"/>
      <c r="AI312" s="1862"/>
      <c r="AJ312" s="3095">
        <f t="shared" si="1"/>
        <v>0</v>
      </c>
      <c r="AK312" s="1777"/>
      <c r="AL312" s="1777"/>
      <c r="AM312" s="1778"/>
    </row>
    <row r="313" spans="2:39" ht="18" customHeight="1">
      <c r="B313" s="3248" t="s">
        <v>2350</v>
      </c>
      <c r="C313" s="1777"/>
      <c r="D313" s="1777"/>
      <c r="E313" s="1777"/>
      <c r="F313" s="1777"/>
      <c r="G313" s="1777"/>
      <c r="H313" s="1777"/>
      <c r="I313" s="1777"/>
      <c r="J313" s="1777"/>
      <c r="K313" s="1777"/>
      <c r="L313" s="1777"/>
      <c r="M313" s="1777"/>
      <c r="N313" s="1777"/>
      <c r="O313" s="1777"/>
      <c r="P313" s="1777"/>
      <c r="Q313" s="1777"/>
      <c r="R313" s="1777"/>
      <c r="S313" s="1777"/>
      <c r="T313" s="1777"/>
      <c r="U313" s="1777"/>
      <c r="V313" s="1777"/>
      <c r="W313" s="1778"/>
      <c r="X313" s="3041"/>
      <c r="Y313" s="1861"/>
      <c r="Z313" s="1862"/>
      <c r="AA313" s="3020"/>
      <c r="AB313" s="1861"/>
      <c r="AC313" s="1862"/>
      <c r="AD313" s="3020"/>
      <c r="AE313" s="1861"/>
      <c r="AF313" s="1861"/>
      <c r="AG313" s="1861"/>
      <c r="AH313" s="1861"/>
      <c r="AI313" s="1862"/>
      <c r="AJ313" s="3095">
        <f t="shared" si="1"/>
        <v>0</v>
      </c>
      <c r="AK313" s="1777"/>
      <c r="AL313" s="1777"/>
      <c r="AM313" s="1778"/>
    </row>
    <row r="314" spans="2:39" ht="18" customHeight="1">
      <c r="B314" s="3230" t="s">
        <v>2351</v>
      </c>
      <c r="C314" s="1861"/>
      <c r="D314" s="1861"/>
      <c r="E314" s="1861"/>
      <c r="F314" s="1861"/>
      <c r="G314" s="1861"/>
      <c r="H314" s="1861"/>
      <c r="I314" s="1861"/>
      <c r="J314" s="1861"/>
      <c r="K314" s="1861"/>
      <c r="L314" s="1861"/>
      <c r="M314" s="1861"/>
      <c r="N314" s="1861"/>
      <c r="O314" s="1861"/>
      <c r="P314" s="1861"/>
      <c r="Q314" s="1861"/>
      <c r="R314" s="1861"/>
      <c r="S314" s="1861"/>
      <c r="T314" s="1861"/>
      <c r="U314" s="1861"/>
      <c r="V314" s="1861"/>
      <c r="W314" s="1862"/>
      <c r="X314" s="3041"/>
      <c r="Y314" s="1861"/>
      <c r="Z314" s="1862"/>
      <c r="AA314" s="3020"/>
      <c r="AB314" s="1861"/>
      <c r="AC314" s="1862"/>
      <c r="AD314" s="3020"/>
      <c r="AE314" s="1861"/>
      <c r="AF314" s="1861"/>
      <c r="AG314" s="1861"/>
      <c r="AH314" s="1861"/>
      <c r="AI314" s="1862"/>
      <c r="AJ314" s="3095">
        <f t="shared" si="1"/>
        <v>0</v>
      </c>
      <c r="AK314" s="1777"/>
      <c r="AL314" s="1777"/>
      <c r="AM314" s="1778"/>
    </row>
    <row r="315" spans="2:39" ht="18" customHeight="1">
      <c r="B315" s="3230" t="s">
        <v>2352</v>
      </c>
      <c r="C315" s="1861"/>
      <c r="D315" s="1861"/>
      <c r="E315" s="1861"/>
      <c r="F315" s="1861"/>
      <c r="G315" s="1861"/>
      <c r="H315" s="1861"/>
      <c r="I315" s="1861"/>
      <c r="J315" s="1861"/>
      <c r="K315" s="1861"/>
      <c r="L315" s="1861"/>
      <c r="M315" s="1861"/>
      <c r="N315" s="1861"/>
      <c r="O315" s="1861"/>
      <c r="P315" s="1861"/>
      <c r="Q315" s="1861"/>
      <c r="R315" s="1861"/>
      <c r="S315" s="1861"/>
      <c r="T315" s="1861"/>
      <c r="U315" s="1861"/>
      <c r="V315" s="1861"/>
      <c r="W315" s="1862"/>
      <c r="X315" s="3041"/>
      <c r="Y315" s="1861"/>
      <c r="Z315" s="1862"/>
      <c r="AA315" s="3020"/>
      <c r="AB315" s="1861"/>
      <c r="AC315" s="1862"/>
      <c r="AD315" s="3020"/>
      <c r="AE315" s="1861"/>
      <c r="AF315" s="1861"/>
      <c r="AG315" s="1861"/>
      <c r="AH315" s="1861"/>
      <c r="AI315" s="1862"/>
      <c r="AJ315" s="3095">
        <f t="shared" si="1"/>
        <v>0</v>
      </c>
      <c r="AK315" s="1777"/>
      <c r="AL315" s="1777"/>
      <c r="AM315" s="1778"/>
    </row>
    <row r="316" spans="2:39" ht="18" customHeight="1">
      <c r="B316" s="3230" t="s">
        <v>2353</v>
      </c>
      <c r="C316" s="1861"/>
      <c r="D316" s="1861"/>
      <c r="E316" s="1861"/>
      <c r="F316" s="1861"/>
      <c r="G316" s="1861"/>
      <c r="H316" s="1861"/>
      <c r="I316" s="1861"/>
      <c r="J316" s="1861"/>
      <c r="K316" s="1861"/>
      <c r="L316" s="1861"/>
      <c r="M316" s="1861"/>
      <c r="N316" s="1861"/>
      <c r="O316" s="1861"/>
      <c r="P316" s="1861"/>
      <c r="Q316" s="1861"/>
      <c r="R316" s="1861"/>
      <c r="S316" s="1861"/>
      <c r="T316" s="1861"/>
      <c r="U316" s="1861"/>
      <c r="V316" s="1861"/>
      <c r="W316" s="1862"/>
      <c r="X316" s="3041"/>
      <c r="Y316" s="1861"/>
      <c r="Z316" s="1862"/>
      <c r="AA316" s="3020"/>
      <c r="AB316" s="1861"/>
      <c r="AC316" s="1862"/>
      <c r="AD316" s="3020"/>
      <c r="AE316" s="1861"/>
      <c r="AF316" s="1861"/>
      <c r="AG316" s="1861"/>
      <c r="AH316" s="1861"/>
      <c r="AI316" s="1862"/>
      <c r="AJ316" s="3095">
        <f t="shared" si="1"/>
        <v>0</v>
      </c>
      <c r="AK316" s="1777"/>
      <c r="AL316" s="1777"/>
      <c r="AM316" s="1778"/>
    </row>
    <row r="317" spans="2:39" ht="18" customHeight="1">
      <c r="B317" s="3230" t="s">
        <v>2353</v>
      </c>
      <c r="C317" s="1861"/>
      <c r="D317" s="1861"/>
      <c r="E317" s="1861"/>
      <c r="F317" s="1861"/>
      <c r="G317" s="1861"/>
      <c r="H317" s="1861"/>
      <c r="I317" s="1861"/>
      <c r="J317" s="1861"/>
      <c r="K317" s="1861"/>
      <c r="L317" s="1861"/>
      <c r="M317" s="1861"/>
      <c r="N317" s="1861"/>
      <c r="O317" s="1861"/>
      <c r="P317" s="1861"/>
      <c r="Q317" s="1861"/>
      <c r="R317" s="1861"/>
      <c r="S317" s="1861"/>
      <c r="T317" s="1861"/>
      <c r="U317" s="1861"/>
      <c r="V317" s="1861"/>
      <c r="W317" s="1862"/>
      <c r="X317" s="3041"/>
      <c r="Y317" s="1861"/>
      <c r="Z317" s="1862"/>
      <c r="AA317" s="3020"/>
      <c r="AB317" s="1861"/>
      <c r="AC317" s="1862"/>
      <c r="AD317" s="3020"/>
      <c r="AE317" s="1861"/>
      <c r="AF317" s="1861"/>
      <c r="AG317" s="1861"/>
      <c r="AH317" s="1861"/>
      <c r="AI317" s="1862"/>
      <c r="AJ317" s="3095">
        <f t="shared" si="1"/>
        <v>0</v>
      </c>
      <c r="AK317" s="1777"/>
      <c r="AL317" s="1777"/>
      <c r="AM317" s="1778"/>
    </row>
    <row r="318" spans="2:39" ht="18" customHeight="1">
      <c r="B318" s="3230" t="s">
        <v>2353</v>
      </c>
      <c r="C318" s="1861"/>
      <c r="D318" s="1861"/>
      <c r="E318" s="1861"/>
      <c r="F318" s="1861"/>
      <c r="G318" s="1861"/>
      <c r="H318" s="1861"/>
      <c r="I318" s="1861"/>
      <c r="J318" s="1861"/>
      <c r="K318" s="1861"/>
      <c r="L318" s="1861"/>
      <c r="M318" s="1861"/>
      <c r="N318" s="1861"/>
      <c r="O318" s="1861"/>
      <c r="P318" s="1861"/>
      <c r="Q318" s="1861"/>
      <c r="R318" s="1861"/>
      <c r="S318" s="1861"/>
      <c r="T318" s="1861"/>
      <c r="U318" s="1861"/>
      <c r="V318" s="1861"/>
      <c r="W318" s="1862"/>
      <c r="X318" s="3041"/>
      <c r="Y318" s="1861"/>
      <c r="Z318" s="1862"/>
      <c r="AA318" s="3020"/>
      <c r="AB318" s="1861"/>
      <c r="AC318" s="1862"/>
      <c r="AD318" s="3020"/>
      <c r="AE318" s="1861"/>
      <c r="AF318" s="1861"/>
      <c r="AG318" s="1861"/>
      <c r="AH318" s="1861"/>
      <c r="AI318" s="1862"/>
      <c r="AJ318" s="3095">
        <f t="shared" si="1"/>
        <v>0</v>
      </c>
      <c r="AK318" s="1777"/>
      <c r="AL318" s="1777"/>
      <c r="AM318" s="1778"/>
    </row>
    <row r="319" spans="2:39" ht="18" customHeight="1">
      <c r="B319" s="3229" t="s">
        <v>2354</v>
      </c>
      <c r="C319" s="1777"/>
      <c r="D319" s="1777"/>
      <c r="E319" s="1777"/>
      <c r="F319" s="1777"/>
      <c r="G319" s="1777"/>
      <c r="H319" s="1777"/>
      <c r="I319" s="1777"/>
      <c r="J319" s="1777"/>
      <c r="K319" s="1777"/>
      <c r="L319" s="1777"/>
      <c r="M319" s="1777"/>
      <c r="N319" s="1777"/>
      <c r="O319" s="1777"/>
      <c r="P319" s="1777"/>
      <c r="Q319" s="1777"/>
      <c r="R319" s="1777"/>
      <c r="S319" s="1777"/>
      <c r="T319" s="1777"/>
      <c r="U319" s="1777"/>
      <c r="V319" s="1777"/>
      <c r="W319" s="1778"/>
      <c r="X319" s="3156">
        <f>SUM(X307:Z318)</f>
        <v>0</v>
      </c>
      <c r="Y319" s="1777"/>
      <c r="Z319" s="1778"/>
      <c r="AA319" s="3233"/>
      <c r="AB319" s="1777"/>
      <c r="AC319" s="1777"/>
      <c r="AD319" s="1777"/>
      <c r="AE319" s="1777"/>
      <c r="AF319" s="1777"/>
      <c r="AG319" s="1777"/>
      <c r="AH319" s="1777"/>
      <c r="AI319" s="1778"/>
      <c r="AJ319" s="3187">
        <f>SUM(AJ307:AM318)</f>
        <v>0</v>
      </c>
      <c r="AK319" s="1777"/>
      <c r="AL319" s="1777"/>
      <c r="AM319" s="1778"/>
    </row>
    <row r="320" spans="2:39" ht="54" customHeight="1">
      <c r="B320" s="2181" t="s">
        <v>3004</v>
      </c>
      <c r="C320" s="3021"/>
      <c r="D320" s="3021"/>
      <c r="E320" s="3021"/>
      <c r="F320" s="3021"/>
      <c r="G320" s="3021"/>
      <c r="H320" s="3021"/>
      <c r="I320" s="1935"/>
      <c r="J320" s="3021"/>
      <c r="K320" s="3021"/>
      <c r="L320" s="3021"/>
      <c r="M320" s="3021"/>
      <c r="N320" s="3021"/>
      <c r="O320" s="3021"/>
      <c r="P320" s="3021"/>
      <c r="Q320" s="3021"/>
      <c r="R320" s="3021"/>
      <c r="S320" s="3021"/>
      <c r="T320" s="3021"/>
      <c r="U320" s="3021"/>
      <c r="V320" s="3021"/>
      <c r="W320" s="3021"/>
      <c r="X320" s="3021"/>
      <c r="Y320" s="3021"/>
      <c r="Z320" s="3021"/>
      <c r="AA320" s="3021"/>
      <c r="AB320" s="3021"/>
      <c r="AC320" s="3021"/>
      <c r="AD320" s="3021"/>
      <c r="AE320" s="3021"/>
      <c r="AF320" s="3021"/>
      <c r="AG320" s="3021"/>
      <c r="AH320" s="3021"/>
      <c r="AI320" s="3021"/>
      <c r="AJ320" s="3021"/>
      <c r="AK320" s="3021"/>
      <c r="AL320" s="3021"/>
      <c r="AM320" s="3021"/>
    </row>
    <row r="321" spans="2:46" ht="18" customHeight="1">
      <c r="B321" s="3250" t="s">
        <v>3005</v>
      </c>
      <c r="C321" s="3021"/>
      <c r="D321" s="3021"/>
      <c r="E321" s="3021"/>
      <c r="F321" s="3021"/>
      <c r="G321" s="3021"/>
      <c r="H321" s="3021"/>
      <c r="I321" s="1935"/>
      <c r="J321" s="3021"/>
      <c r="K321" s="3021"/>
      <c r="L321" s="3021"/>
      <c r="M321" s="3021"/>
      <c r="N321" s="3021"/>
      <c r="O321" s="3021"/>
      <c r="P321" s="3021"/>
      <c r="Q321" s="3021"/>
      <c r="R321" s="3021"/>
      <c r="S321" s="3021"/>
      <c r="T321" s="3021"/>
      <c r="U321" s="3021"/>
      <c r="V321" s="3021"/>
      <c r="W321" s="3021"/>
      <c r="X321" s="3021"/>
      <c r="Y321" s="3021"/>
      <c r="Z321" s="3021"/>
      <c r="AA321" s="3021"/>
      <c r="AB321" s="3021"/>
      <c r="AC321" s="3021"/>
      <c r="AD321" s="3021"/>
      <c r="AE321" s="3021"/>
      <c r="AF321" s="3021"/>
      <c r="AG321" s="3021"/>
      <c r="AH321" s="3021"/>
      <c r="AI321" s="3021"/>
      <c r="AJ321" s="3021"/>
      <c r="AK321" s="3021"/>
      <c r="AL321" s="3021"/>
      <c r="AM321" s="3021"/>
    </row>
    <row r="322" spans="2:46" ht="18" customHeight="1">
      <c r="B322" s="3062" t="s">
        <v>3006</v>
      </c>
      <c r="C322" s="3021"/>
      <c r="D322" s="3021"/>
      <c r="E322" s="3021"/>
      <c r="F322" s="3021"/>
      <c r="G322" s="3021"/>
      <c r="H322" s="3021"/>
      <c r="I322" s="1935"/>
      <c r="J322" s="3021"/>
      <c r="K322" s="3021"/>
      <c r="L322" s="3021"/>
      <c r="M322" s="3021"/>
      <c r="N322" s="3021"/>
      <c r="O322" s="3021"/>
      <c r="P322" s="3021"/>
      <c r="Q322" s="3021"/>
      <c r="R322" s="3021"/>
      <c r="S322" s="3021"/>
      <c r="T322" s="3021"/>
      <c r="U322" s="3021"/>
      <c r="V322" s="3021"/>
      <c r="W322" s="3021"/>
      <c r="X322" s="3021"/>
      <c r="Y322" s="3021"/>
      <c r="Z322" s="3021"/>
      <c r="AA322" s="3021"/>
      <c r="AB322" s="3021"/>
      <c r="AC322" s="3021"/>
      <c r="AD322" s="3021"/>
      <c r="AE322" s="3021"/>
      <c r="AF322" s="3021"/>
      <c r="AG322" s="3021"/>
      <c r="AH322" s="3021"/>
      <c r="AI322" s="3021"/>
      <c r="AJ322" s="3021"/>
      <c r="AK322" s="3021"/>
      <c r="AL322" s="3021"/>
      <c r="AM322" s="3021"/>
    </row>
    <row r="323" spans="2:46" ht="18" customHeight="1">
      <c r="B323" s="3233" t="s">
        <v>1312</v>
      </c>
      <c r="C323" s="1778"/>
      <c r="D323" s="3116" t="s">
        <v>3007</v>
      </c>
      <c r="E323" s="1777"/>
      <c r="F323" s="1777"/>
      <c r="G323" s="1777"/>
      <c r="H323" s="1777"/>
      <c r="I323" s="1777"/>
      <c r="J323" s="1777"/>
      <c r="K323" s="1777"/>
      <c r="L323" s="1777"/>
      <c r="M323" s="1777"/>
      <c r="N323" s="1777"/>
      <c r="O323" s="1777"/>
      <c r="P323" s="1777"/>
      <c r="Q323" s="1777"/>
      <c r="R323" s="1777"/>
      <c r="S323" s="1777"/>
      <c r="T323" s="1777"/>
      <c r="U323" s="1777"/>
      <c r="V323" s="1777"/>
      <c r="W323" s="1777"/>
      <c r="X323" s="1777"/>
      <c r="Y323" s="1777"/>
      <c r="Z323" s="1777"/>
      <c r="AA323" s="1777"/>
      <c r="AB323" s="1777"/>
      <c r="AC323" s="1777"/>
      <c r="AD323" s="1777"/>
      <c r="AE323" s="1777"/>
      <c r="AF323" s="1777"/>
      <c r="AG323" s="1777"/>
      <c r="AH323" s="1777"/>
      <c r="AI323" s="1777"/>
      <c r="AJ323" s="1778"/>
      <c r="AK323" s="3227"/>
      <c r="AL323" s="1861"/>
      <c r="AM323" s="1862"/>
      <c r="AO323" s="2181"/>
      <c r="AP323" s="3021"/>
      <c r="AQ323" s="3021"/>
      <c r="AR323" s="539"/>
      <c r="AS323" s="420"/>
      <c r="AT323" s="576"/>
    </row>
    <row r="324" spans="2:46" ht="18" customHeight="1">
      <c r="B324" s="3233" t="s">
        <v>1318</v>
      </c>
      <c r="C324" s="1778"/>
      <c r="D324" s="3116" t="s">
        <v>3008</v>
      </c>
      <c r="E324" s="1777"/>
      <c r="F324" s="1777"/>
      <c r="G324" s="1777"/>
      <c r="H324" s="1777"/>
      <c r="I324" s="1777"/>
      <c r="J324" s="1777"/>
      <c r="K324" s="1777"/>
      <c r="L324" s="1777"/>
      <c r="M324" s="1777"/>
      <c r="N324" s="1777"/>
      <c r="O324" s="1777"/>
      <c r="P324" s="1777"/>
      <c r="Q324" s="1777"/>
      <c r="R324" s="1777"/>
      <c r="S324" s="1777"/>
      <c r="T324" s="1777"/>
      <c r="U324" s="1777"/>
      <c r="V324" s="1777"/>
      <c r="W324" s="1777"/>
      <c r="X324" s="1777"/>
      <c r="Y324" s="1777"/>
      <c r="Z324" s="1777"/>
      <c r="AA324" s="1777"/>
      <c r="AB324" s="1777"/>
      <c r="AC324" s="1777"/>
      <c r="AD324" s="1777"/>
      <c r="AE324" s="1777"/>
      <c r="AF324" s="1777"/>
      <c r="AG324" s="1777"/>
      <c r="AH324" s="1777"/>
      <c r="AI324" s="1777"/>
      <c r="AJ324" s="1778"/>
      <c r="AK324" s="3127">
        <f>X319</f>
        <v>0</v>
      </c>
      <c r="AL324" s="1777"/>
      <c r="AM324" s="1778"/>
      <c r="AO324" s="3065"/>
      <c r="AP324" s="3021"/>
      <c r="AQ324" s="3021"/>
      <c r="AR324" s="540"/>
      <c r="AS324" s="420"/>
      <c r="AT324" s="576"/>
    </row>
    <row r="325" spans="2:46" ht="18" customHeight="1">
      <c r="B325" s="3233" t="s">
        <v>1320</v>
      </c>
      <c r="C325" s="1778"/>
      <c r="D325" s="3116" t="s">
        <v>3009</v>
      </c>
      <c r="E325" s="1777"/>
      <c r="F325" s="1777"/>
      <c r="G325" s="1777"/>
      <c r="H325" s="1777"/>
      <c r="I325" s="1777"/>
      <c r="J325" s="1777"/>
      <c r="K325" s="1777"/>
      <c r="L325" s="1777"/>
      <c r="M325" s="1777"/>
      <c r="N325" s="1777"/>
      <c r="O325" s="1777"/>
      <c r="P325" s="1777"/>
      <c r="Q325" s="1777"/>
      <c r="R325" s="1777"/>
      <c r="S325" s="1777"/>
      <c r="T325" s="1777"/>
      <c r="U325" s="1777"/>
      <c r="V325" s="1777"/>
      <c r="W325" s="1777"/>
      <c r="X325" s="1777"/>
      <c r="Y325" s="1777"/>
      <c r="Z325" s="1777"/>
      <c r="AA325" s="1777"/>
      <c r="AB325" s="1777"/>
      <c r="AC325" s="1777"/>
      <c r="AD325" s="1777"/>
      <c r="AE325" s="1777"/>
      <c r="AF325" s="1777"/>
      <c r="AG325" s="1777"/>
      <c r="AH325" s="1777"/>
      <c r="AI325" s="1777"/>
      <c r="AJ325" s="1778"/>
      <c r="AK325" s="3127">
        <f>IFERROR(AK324/AK323,0)</f>
        <v>0</v>
      </c>
      <c r="AL325" s="1777"/>
      <c r="AM325" s="1778"/>
      <c r="AO325" s="2181"/>
      <c r="AP325" s="3021"/>
      <c r="AQ325" s="3021"/>
      <c r="AR325" s="541"/>
      <c r="AS325" s="420"/>
      <c r="AT325" s="576"/>
    </row>
    <row r="326" spans="2:46" ht="18" customHeight="1">
      <c r="B326" s="3062" t="s">
        <v>3010</v>
      </c>
      <c r="C326" s="3021"/>
      <c r="D326" s="3021"/>
      <c r="E326" s="3021"/>
      <c r="F326" s="3021"/>
      <c r="G326" s="3021"/>
      <c r="H326" s="3021"/>
      <c r="I326" s="1935"/>
      <c r="J326" s="3021"/>
      <c r="K326" s="3021"/>
      <c r="L326" s="3021"/>
      <c r="M326" s="3021"/>
      <c r="N326" s="3021"/>
      <c r="O326" s="3021"/>
      <c r="P326" s="3021"/>
      <c r="Q326" s="3021"/>
      <c r="R326" s="3021"/>
      <c r="S326" s="3021"/>
      <c r="T326" s="3021"/>
      <c r="U326" s="3021"/>
      <c r="V326" s="3021"/>
      <c r="W326" s="3021"/>
      <c r="X326" s="3021"/>
      <c r="Y326" s="3021"/>
      <c r="Z326" s="3021"/>
      <c r="AA326" s="3021"/>
      <c r="AB326" s="3021"/>
      <c r="AC326" s="3021"/>
      <c r="AD326" s="3021"/>
      <c r="AE326" s="3021"/>
      <c r="AF326" s="3021"/>
      <c r="AG326" s="3021"/>
      <c r="AH326" s="3021"/>
      <c r="AI326" s="3021"/>
      <c r="AJ326" s="3021"/>
      <c r="AK326" s="3021"/>
      <c r="AL326" s="3021"/>
      <c r="AM326" s="3021"/>
      <c r="AO326" s="3217"/>
      <c r="AP326" s="3021"/>
      <c r="AQ326" s="3021"/>
      <c r="AR326" s="542"/>
      <c r="AS326" s="543"/>
      <c r="AT326" s="576"/>
    </row>
    <row r="327" spans="2:46" ht="18" customHeight="1">
      <c r="B327" s="3233" t="s">
        <v>1322</v>
      </c>
      <c r="C327" s="1778"/>
      <c r="D327" s="3241" t="s">
        <v>3011</v>
      </c>
      <c r="E327" s="1777"/>
      <c r="F327" s="1777"/>
      <c r="G327" s="1777"/>
      <c r="H327" s="1777"/>
      <c r="I327" s="1777"/>
      <c r="J327" s="1777"/>
      <c r="K327" s="1777"/>
      <c r="L327" s="1777"/>
      <c r="M327" s="1777"/>
      <c r="N327" s="1777"/>
      <c r="O327" s="1777"/>
      <c r="P327" s="1777"/>
      <c r="Q327" s="1777"/>
      <c r="R327" s="1777"/>
      <c r="S327" s="1777"/>
      <c r="T327" s="1777"/>
      <c r="U327" s="1777"/>
      <c r="V327" s="1777"/>
      <c r="W327" s="1777"/>
      <c r="X327" s="1777"/>
      <c r="Y327" s="1777"/>
      <c r="Z327" s="1777"/>
      <c r="AA327" s="1777"/>
      <c r="AB327" s="1777"/>
      <c r="AC327" s="1777"/>
      <c r="AD327" s="1777"/>
      <c r="AE327" s="1777"/>
      <c r="AF327" s="1777"/>
      <c r="AG327" s="1777"/>
      <c r="AH327" s="1777"/>
      <c r="AI327" s="1777"/>
      <c r="AJ327" s="1778"/>
      <c r="AK327" s="3067">
        <f>'Unit Mix'!$L$8</f>
        <v>0</v>
      </c>
      <c r="AL327" s="1777"/>
      <c r="AM327" s="1778"/>
      <c r="AT327" s="576"/>
    </row>
    <row r="328" spans="2:46" ht="18" customHeight="1">
      <c r="B328" s="3233" t="s">
        <v>1325</v>
      </c>
      <c r="C328" s="1778"/>
      <c r="D328" s="3116" t="s">
        <v>3012</v>
      </c>
      <c r="E328" s="1777"/>
      <c r="F328" s="1777"/>
      <c r="G328" s="1777"/>
      <c r="H328" s="1777"/>
      <c r="I328" s="1777"/>
      <c r="J328" s="1777"/>
      <c r="K328" s="1777"/>
      <c r="L328" s="1777"/>
      <c r="M328" s="1777"/>
      <c r="N328" s="1777"/>
      <c r="O328" s="1777"/>
      <c r="P328" s="1777"/>
      <c r="Q328" s="1777"/>
      <c r="R328" s="1777"/>
      <c r="S328" s="1777"/>
      <c r="T328" s="1777"/>
      <c r="U328" s="1777"/>
      <c r="V328" s="1777"/>
      <c r="W328" s="1777"/>
      <c r="X328" s="1777"/>
      <c r="Y328" s="1777"/>
      <c r="Z328" s="1777"/>
      <c r="AA328" s="1777"/>
      <c r="AB328" s="1777"/>
      <c r="AC328" s="1777"/>
      <c r="AD328" s="1777"/>
      <c r="AE328" s="1777"/>
      <c r="AF328" s="1777"/>
      <c r="AG328" s="1777"/>
      <c r="AH328" s="1777"/>
      <c r="AI328" s="1777"/>
      <c r="AJ328" s="1778"/>
      <c r="AK328" s="3095">
        <f>IFERROR(AK327/AK323,0)</f>
        <v>0</v>
      </c>
      <c r="AL328" s="1777"/>
      <c r="AM328" s="1778"/>
    </row>
    <row r="329" spans="2:46" ht="18" customHeight="1">
      <c r="B329" s="3233" t="s">
        <v>2641</v>
      </c>
      <c r="C329" s="1778"/>
      <c r="D329" s="3116" t="s">
        <v>3013</v>
      </c>
      <c r="E329" s="1777"/>
      <c r="F329" s="1777"/>
      <c r="G329" s="1777"/>
      <c r="H329" s="1777"/>
      <c r="I329" s="1777"/>
      <c r="J329" s="1777"/>
      <c r="K329" s="1777"/>
      <c r="L329" s="1777"/>
      <c r="M329" s="1777"/>
      <c r="N329" s="1777"/>
      <c r="O329" s="1777"/>
      <c r="P329" s="1777"/>
      <c r="Q329" s="1777"/>
      <c r="R329" s="1777"/>
      <c r="S329" s="1777"/>
      <c r="T329" s="1777"/>
      <c r="U329" s="1777"/>
      <c r="V329" s="1777"/>
      <c r="W329" s="1777"/>
      <c r="X329" s="1777"/>
      <c r="Y329" s="1777"/>
      <c r="Z329" s="1777"/>
      <c r="AA329" s="1777"/>
      <c r="AB329" s="1777"/>
      <c r="AC329" s="1777"/>
      <c r="AD329" s="1777"/>
      <c r="AE329" s="1777"/>
      <c r="AF329" s="1777"/>
      <c r="AG329" s="1777"/>
      <c r="AH329" s="1777"/>
      <c r="AI329" s="1777"/>
      <c r="AJ329" s="1778"/>
      <c r="AK329" s="3127">
        <f>AK324*AK328</f>
        <v>0</v>
      </c>
      <c r="AL329" s="1777"/>
      <c r="AM329" s="1778"/>
    </row>
    <row r="330" spans="2:46" ht="18" customHeight="1">
      <c r="B330" s="1724"/>
      <c r="C330" s="1712"/>
      <c r="D330" s="1712"/>
      <c r="E330" s="1712"/>
      <c r="F330" s="1712"/>
      <c r="G330" s="1712"/>
      <c r="H330" s="1712"/>
      <c r="I330" s="1712"/>
      <c r="J330" s="1712"/>
      <c r="K330" s="1712"/>
      <c r="L330" s="1712"/>
      <c r="M330" s="1712"/>
      <c r="N330" s="1712"/>
      <c r="O330" s="1712"/>
      <c r="P330" s="1712"/>
      <c r="Q330" s="1712"/>
      <c r="R330" s="1712"/>
      <c r="S330" s="1712"/>
      <c r="T330" s="1712"/>
      <c r="U330" s="1712"/>
      <c r="V330" s="1712"/>
      <c r="W330" s="1712"/>
      <c r="X330" s="1712"/>
      <c r="Y330" s="1712"/>
      <c r="Z330" s="1708"/>
      <c r="AA330" s="1708"/>
      <c r="AB330" s="1708"/>
      <c r="AS330" s="398"/>
    </row>
    <row r="331" spans="2:46" ht="18" customHeight="1">
      <c r="B331" s="3144" t="s">
        <v>2388</v>
      </c>
      <c r="C331" s="3021"/>
      <c r="D331" s="3021"/>
      <c r="E331" s="3021"/>
      <c r="F331" s="3021"/>
      <c r="G331" s="3021"/>
      <c r="H331" s="3021"/>
      <c r="I331" s="1935"/>
      <c r="J331" s="3021"/>
      <c r="K331" s="3021"/>
      <c r="L331" s="3021"/>
      <c r="M331" s="3021"/>
      <c r="N331" s="3021"/>
      <c r="O331" s="3021"/>
      <c r="P331" s="3021"/>
      <c r="Q331" s="3021"/>
      <c r="R331" s="3021"/>
      <c r="S331" s="3021"/>
      <c r="T331" s="3021"/>
      <c r="U331" s="3021"/>
      <c r="V331" s="3021"/>
      <c r="W331" s="3021"/>
      <c r="X331" s="3021"/>
      <c r="Y331" s="3021"/>
      <c r="Z331" s="3021"/>
      <c r="AA331" s="3021"/>
      <c r="AB331" s="3021"/>
      <c r="AN331" s="398"/>
      <c r="AS331" s="398"/>
    </row>
    <row r="332" spans="2:46" ht="18" customHeight="1">
      <c r="B332" s="3021" t="s">
        <v>3014</v>
      </c>
      <c r="C332" s="3021"/>
      <c r="D332" s="3021"/>
      <c r="E332" s="3021"/>
      <c r="F332" s="3021"/>
      <c r="G332" s="3021"/>
      <c r="H332" s="3021"/>
      <c r="I332" s="1935"/>
      <c r="J332" s="3021"/>
      <c r="K332" s="3021"/>
      <c r="L332" s="3021"/>
      <c r="M332" s="3021"/>
      <c r="N332" s="3021"/>
      <c r="O332" s="3021"/>
      <c r="P332" s="3021"/>
      <c r="Q332" s="3021"/>
      <c r="R332" s="3021"/>
      <c r="S332" s="3021"/>
      <c r="T332" s="3021"/>
      <c r="U332" s="3021"/>
      <c r="V332" s="3021"/>
      <c r="W332" s="3021"/>
      <c r="X332" s="3021"/>
      <c r="Y332" s="3021"/>
      <c r="Z332" s="3021"/>
      <c r="AA332" s="3021"/>
      <c r="AB332" s="3021"/>
      <c r="AC332" s="3021"/>
      <c r="AD332" s="3021"/>
      <c r="AE332" s="3021"/>
      <c r="AF332" s="3021"/>
      <c r="AG332" s="3021"/>
      <c r="AH332" s="3021"/>
      <c r="AI332" s="3021"/>
      <c r="AJ332" s="3021"/>
      <c r="AK332" s="3021"/>
      <c r="AL332" s="3021"/>
      <c r="AM332" s="3021"/>
    </row>
    <row r="333" spans="2:46" s="398" customFormat="1" ht="125.1" customHeight="1">
      <c r="B333" s="3023"/>
      <c r="C333" s="1861"/>
      <c r="D333" s="1861"/>
      <c r="E333" s="1861"/>
      <c r="F333" s="1861"/>
      <c r="G333" s="1861"/>
      <c r="H333" s="1861"/>
      <c r="I333" s="1861"/>
      <c r="J333" s="1861"/>
      <c r="K333" s="1861"/>
      <c r="L333" s="1861"/>
      <c r="M333" s="1861"/>
      <c r="N333" s="1861"/>
      <c r="O333" s="1861"/>
      <c r="P333" s="1861"/>
      <c r="Q333" s="1861"/>
      <c r="R333" s="1861"/>
      <c r="S333" s="1861"/>
      <c r="T333" s="1861"/>
      <c r="U333" s="1861"/>
      <c r="V333" s="1861"/>
      <c r="W333" s="1861"/>
      <c r="X333" s="1861"/>
      <c r="Y333" s="1861"/>
      <c r="Z333" s="1861"/>
      <c r="AA333" s="1861"/>
      <c r="AB333" s="1861"/>
      <c r="AC333" s="1861"/>
      <c r="AD333" s="1861"/>
      <c r="AE333" s="1861"/>
      <c r="AF333" s="1861"/>
      <c r="AG333" s="1861"/>
      <c r="AH333" s="1861"/>
      <c r="AI333" s="1861"/>
      <c r="AJ333" s="1861"/>
      <c r="AK333" s="1861"/>
      <c r="AL333" s="1861"/>
      <c r="AM333" s="1862"/>
      <c r="AS333" s="536"/>
    </row>
    <row r="334" spans="2:46" s="398" customFormat="1" ht="18" customHeight="1">
      <c r="B334" s="2181" t="s">
        <v>3015</v>
      </c>
      <c r="C334" s="2181"/>
      <c r="D334" s="2181"/>
      <c r="E334" s="2181"/>
      <c r="F334" s="2181"/>
      <c r="G334" s="2181"/>
      <c r="H334" s="2181"/>
      <c r="I334" s="2181"/>
      <c r="J334" s="2181"/>
      <c r="K334" s="2181"/>
      <c r="L334" s="2181"/>
      <c r="M334" s="2181"/>
      <c r="N334" s="2181"/>
      <c r="O334" s="2181"/>
      <c r="P334" s="2181"/>
      <c r="Q334" s="2181"/>
      <c r="R334" s="2181"/>
      <c r="S334" s="2181"/>
      <c r="T334" s="2181"/>
      <c r="U334" s="2181"/>
      <c r="V334" s="2181"/>
      <c r="W334" s="2181"/>
      <c r="X334" s="2181"/>
      <c r="Y334" s="2181"/>
      <c r="Z334" s="2181"/>
      <c r="AA334" s="2181"/>
      <c r="AB334" s="2181"/>
      <c r="AC334" s="2181"/>
      <c r="AD334" s="2181"/>
      <c r="AE334" s="2181"/>
      <c r="AF334" s="2181"/>
      <c r="AG334" s="2181"/>
      <c r="AH334" s="2181"/>
      <c r="AI334" s="2181"/>
      <c r="AJ334" s="2181"/>
      <c r="AK334" s="2181"/>
      <c r="AL334" s="2181"/>
      <c r="AM334" s="2181"/>
      <c r="AS334" s="387"/>
    </row>
    <row r="335" spans="2:46" ht="36" customHeight="1">
      <c r="B335" s="3043" t="s">
        <v>2363</v>
      </c>
      <c r="C335" s="3021"/>
      <c r="D335" s="3021"/>
      <c r="E335" s="3021"/>
      <c r="F335" s="3021"/>
      <c r="G335" s="3021"/>
      <c r="H335" s="3021"/>
      <c r="I335" s="1935"/>
      <c r="J335" s="3021"/>
      <c r="K335" s="3021"/>
      <c r="L335" s="3021"/>
      <c r="M335" s="3021"/>
      <c r="N335" s="3021"/>
      <c r="O335" s="3021"/>
      <c r="P335" s="3021"/>
      <c r="Q335" s="3021"/>
      <c r="R335" s="3021"/>
      <c r="S335" s="3021"/>
      <c r="T335" s="3021"/>
      <c r="U335" s="3021"/>
      <c r="V335" s="3021"/>
      <c r="W335" s="3021"/>
      <c r="X335" s="3021"/>
      <c r="Y335" s="3021"/>
      <c r="Z335" s="3021"/>
      <c r="AA335" s="3021"/>
      <c r="AB335" s="3021"/>
      <c r="AC335" s="3021"/>
      <c r="AD335" s="3021"/>
      <c r="AE335" s="3021"/>
      <c r="AF335" s="3021"/>
      <c r="AG335" s="3021"/>
      <c r="AH335" s="3021"/>
      <c r="AI335" s="3021"/>
      <c r="AJ335" s="3021"/>
      <c r="AK335" s="3021"/>
      <c r="AL335" s="3021"/>
      <c r="AM335" s="3021"/>
      <c r="AN335" s="398"/>
      <c r="AS335" s="398"/>
    </row>
    <row r="336" spans="2:46" s="536" customFormat="1" ht="69" customHeight="1">
      <c r="B336" s="3226" t="s">
        <v>558</v>
      </c>
      <c r="C336" s="1777"/>
      <c r="D336" s="1778"/>
      <c r="E336" s="3256" t="str">
        <f>'Document Checklist-Full List'!$E$143</f>
        <v>63. SS Fund Ltr1, SS Fund Ltr2, SS
      Fund Ltr3, etc.</v>
      </c>
      <c r="F336" s="1777"/>
      <c r="G336" s="1777"/>
      <c r="H336" s="1777"/>
      <c r="I336" s="1777"/>
      <c r="J336" s="1777"/>
      <c r="K336" s="1777"/>
      <c r="L336" s="1777"/>
      <c r="M336" s="1778"/>
      <c r="N336" s="3256" t="str">
        <f>'Document Checklist-Full List'!$N$143</f>
        <v xml:space="preserve">Services funding commitment letters; Include: Project name; description of services; dollar value of funds or in-kind services; If cash is provided, state funding source; funding term; description &amp; history of agency/org. providing funding or services. </v>
      </c>
      <c r="O336" s="1777"/>
      <c r="P336" s="1777"/>
      <c r="Q336" s="1777"/>
      <c r="R336" s="1777"/>
      <c r="S336" s="1777"/>
      <c r="T336" s="1777"/>
      <c r="U336" s="1777"/>
      <c r="V336" s="1777"/>
      <c r="W336" s="1777"/>
      <c r="X336" s="1777"/>
      <c r="Y336" s="1777"/>
      <c r="Z336" s="1777"/>
      <c r="AA336" s="1777"/>
      <c r="AB336" s="1777"/>
      <c r="AC336" s="1777"/>
      <c r="AD336" s="1777"/>
      <c r="AE336" s="1778"/>
      <c r="AF336" s="3231" t="s">
        <v>559</v>
      </c>
      <c r="AG336" s="1777"/>
      <c r="AH336" s="1777"/>
      <c r="AI336" s="1777"/>
      <c r="AJ336" s="1777"/>
      <c r="AK336" s="1778"/>
      <c r="AL336" s="1958"/>
      <c r="AM336" s="1862"/>
      <c r="AS336" s="398"/>
    </row>
    <row r="337" spans="2:45" ht="18" customHeight="1">
      <c r="B337" s="2181" t="s">
        <v>3016</v>
      </c>
      <c r="C337" s="3021"/>
      <c r="D337" s="3021"/>
      <c r="E337" s="3021"/>
      <c r="F337" s="3021"/>
      <c r="G337" s="3021"/>
      <c r="H337" s="3021"/>
      <c r="I337" s="1935"/>
      <c r="J337" s="3021"/>
      <c r="K337" s="3021"/>
      <c r="L337" s="3021"/>
      <c r="M337" s="3021"/>
      <c r="N337" s="3021"/>
      <c r="O337" s="3021"/>
      <c r="P337" s="3021"/>
      <c r="Q337" s="3021"/>
      <c r="R337" s="3021"/>
      <c r="S337" s="3021"/>
      <c r="T337" s="3021"/>
      <c r="U337" s="3021"/>
      <c r="V337" s="3021"/>
      <c r="W337" s="3021"/>
      <c r="X337" s="3021"/>
      <c r="Y337" s="3021"/>
      <c r="Z337" s="3021"/>
      <c r="AA337" s="3021"/>
      <c r="AB337" s="3021"/>
      <c r="AC337" s="3021"/>
      <c r="AD337" s="3021"/>
      <c r="AE337" s="3021"/>
      <c r="AF337" s="3021"/>
      <c r="AG337" s="3021"/>
      <c r="AH337" s="3021"/>
      <c r="AI337" s="3021"/>
      <c r="AJ337" s="3021"/>
      <c r="AK337" s="3021"/>
      <c r="AL337" s="3021"/>
      <c r="AM337" s="3021"/>
      <c r="AS337" s="398"/>
    </row>
    <row r="338" spans="2:45" s="398" customFormat="1" ht="125.1" customHeight="1">
      <c r="B338" s="3023"/>
      <c r="C338" s="1861"/>
      <c r="D338" s="1861"/>
      <c r="E338" s="1861"/>
      <c r="F338" s="1861"/>
      <c r="G338" s="1861"/>
      <c r="H338" s="1861"/>
      <c r="I338" s="1861"/>
      <c r="J338" s="1861"/>
      <c r="K338" s="1861"/>
      <c r="L338" s="1861"/>
      <c r="M338" s="1861"/>
      <c r="N338" s="1861"/>
      <c r="O338" s="1861"/>
      <c r="P338" s="1861"/>
      <c r="Q338" s="1861"/>
      <c r="R338" s="1861"/>
      <c r="S338" s="1861"/>
      <c r="T338" s="1861"/>
      <c r="U338" s="1861"/>
      <c r="V338" s="1861"/>
      <c r="W338" s="1861"/>
      <c r="X338" s="1861"/>
      <c r="Y338" s="1861"/>
      <c r="Z338" s="1861"/>
      <c r="AA338" s="1861"/>
      <c r="AB338" s="1861"/>
      <c r="AC338" s="1861"/>
      <c r="AD338" s="1861"/>
      <c r="AE338" s="1861"/>
      <c r="AF338" s="1861"/>
      <c r="AG338" s="1861"/>
      <c r="AH338" s="1861"/>
      <c r="AI338" s="1861"/>
      <c r="AJ338" s="1861"/>
      <c r="AK338" s="1861"/>
      <c r="AL338" s="1861"/>
      <c r="AM338" s="1862"/>
      <c r="AN338" s="387"/>
    </row>
    <row r="339" spans="2:45" s="398" customFormat="1" ht="36" customHeight="1">
      <c r="B339" s="2181" t="s">
        <v>3017</v>
      </c>
      <c r="C339" s="2181"/>
      <c r="D339" s="2181"/>
      <c r="E339" s="2181"/>
      <c r="F339" s="2181"/>
      <c r="G339" s="2181"/>
      <c r="H339" s="2181"/>
      <c r="I339" s="2181"/>
      <c r="J339" s="2181"/>
      <c r="K339" s="2181"/>
      <c r="L339" s="2181"/>
      <c r="M339" s="2181"/>
      <c r="N339" s="2181"/>
      <c r="O339" s="2181"/>
      <c r="P339" s="2181"/>
      <c r="Q339" s="2181"/>
      <c r="R339" s="2181"/>
      <c r="S339" s="2181"/>
      <c r="T339" s="2181"/>
      <c r="U339" s="2181"/>
      <c r="V339" s="2181"/>
      <c r="W339" s="2181"/>
      <c r="X339" s="2181"/>
      <c r="Y339" s="2181"/>
      <c r="Z339" s="2181"/>
      <c r="AA339" s="2181"/>
      <c r="AB339" s="2181"/>
      <c r="AC339" s="2181"/>
      <c r="AD339" s="2181"/>
      <c r="AE339" s="2181"/>
      <c r="AF339" s="2181"/>
      <c r="AG339" s="2181"/>
      <c r="AH339" s="2181"/>
      <c r="AI339" s="2181"/>
      <c r="AJ339" s="2181"/>
      <c r="AK339" s="2181"/>
      <c r="AL339" s="2181"/>
      <c r="AM339" s="2181"/>
      <c r="AN339" s="387"/>
      <c r="AS339" s="387"/>
    </row>
    <row r="340" spans="2:45" s="398" customFormat="1" ht="125.1" customHeight="1">
      <c r="B340" s="3023"/>
      <c r="C340" s="1861"/>
      <c r="D340" s="1861"/>
      <c r="E340" s="1861"/>
      <c r="F340" s="1861"/>
      <c r="G340" s="1861"/>
      <c r="H340" s="1861"/>
      <c r="I340" s="1861"/>
      <c r="J340" s="1861"/>
      <c r="K340" s="1861"/>
      <c r="L340" s="1861"/>
      <c r="M340" s="1861"/>
      <c r="N340" s="1861"/>
      <c r="O340" s="1861"/>
      <c r="P340" s="1861"/>
      <c r="Q340" s="1861"/>
      <c r="R340" s="1861"/>
      <c r="S340" s="1861"/>
      <c r="T340" s="1861"/>
      <c r="U340" s="1861"/>
      <c r="V340" s="1861"/>
      <c r="W340" s="1861"/>
      <c r="X340" s="1861"/>
      <c r="Y340" s="1861"/>
      <c r="Z340" s="1861"/>
      <c r="AA340" s="1861"/>
      <c r="AB340" s="1861"/>
      <c r="AC340" s="1861"/>
      <c r="AD340" s="1861"/>
      <c r="AE340" s="1861"/>
      <c r="AF340" s="1861"/>
      <c r="AG340" s="1861"/>
      <c r="AH340" s="1861"/>
      <c r="AI340" s="1861"/>
      <c r="AJ340" s="1861"/>
      <c r="AK340" s="1861"/>
      <c r="AL340" s="1861"/>
      <c r="AM340" s="1862"/>
      <c r="AN340" s="387"/>
      <c r="AS340" s="387"/>
    </row>
    <row r="341" spans="2:45" s="381" customFormat="1" ht="18" customHeight="1"/>
    <row r="342" spans="2:45" s="398" customFormat="1" ht="18" customHeight="1">
      <c r="B342" s="3021" t="s">
        <v>3018</v>
      </c>
      <c r="C342" s="2181"/>
      <c r="D342" s="2181"/>
      <c r="E342" s="2181"/>
      <c r="F342" s="2181"/>
      <c r="G342" s="2181"/>
      <c r="H342" s="2181"/>
      <c r="I342" s="2181"/>
      <c r="J342" s="2181"/>
      <c r="K342" s="2181"/>
      <c r="L342" s="2181"/>
      <c r="M342" s="2181"/>
      <c r="N342" s="2181"/>
      <c r="O342" s="2181"/>
      <c r="P342" s="2181"/>
      <c r="Q342" s="2181"/>
      <c r="R342" s="2181"/>
      <c r="S342" s="2181"/>
      <c r="T342" s="2181"/>
      <c r="U342" s="2181"/>
      <c r="V342" s="2181"/>
      <c r="W342" s="2181"/>
      <c r="X342" s="2181"/>
      <c r="Y342" s="2181"/>
      <c r="Z342" s="2181"/>
      <c r="AA342" s="2181"/>
      <c r="AB342" s="2181"/>
      <c r="AC342" s="2181"/>
      <c r="AD342" s="2181"/>
      <c r="AE342" s="2181"/>
      <c r="AF342" s="2181"/>
      <c r="AG342" s="2181"/>
      <c r="AH342" s="2181"/>
      <c r="AI342" s="2181"/>
      <c r="AJ342" s="2181"/>
      <c r="AK342" s="2181"/>
      <c r="AL342" s="2181"/>
      <c r="AM342" s="2181"/>
      <c r="AN342" s="387"/>
      <c r="AS342" s="387"/>
    </row>
    <row r="343" spans="2:45" ht="18" customHeight="1">
      <c r="B343" s="3028" t="s">
        <v>2680</v>
      </c>
      <c r="C343" s="1777"/>
      <c r="D343" s="1777"/>
      <c r="E343" s="1777"/>
      <c r="F343" s="1777"/>
      <c r="G343" s="1778"/>
      <c r="H343" s="3023"/>
      <c r="I343" s="1861"/>
      <c r="J343" s="1861"/>
      <c r="K343" s="1861"/>
      <c r="L343" s="1861"/>
      <c r="M343" s="1861"/>
      <c r="N343" s="1861"/>
      <c r="O343" s="1861"/>
      <c r="P343" s="1861"/>
      <c r="Q343" s="1861"/>
      <c r="R343" s="1861"/>
      <c r="S343" s="1861"/>
      <c r="T343" s="1861"/>
      <c r="U343" s="1861"/>
      <c r="V343" s="1861"/>
      <c r="W343" s="1861"/>
      <c r="X343" s="1861"/>
      <c r="Y343" s="1861"/>
      <c r="Z343" s="1861"/>
      <c r="AA343" s="1861"/>
      <c r="AB343" s="1861"/>
      <c r="AC343" s="1861"/>
      <c r="AD343" s="1861"/>
      <c r="AE343" s="1861"/>
      <c r="AF343" s="1861"/>
      <c r="AG343" s="1861"/>
      <c r="AH343" s="1861"/>
      <c r="AI343" s="1861"/>
      <c r="AJ343" s="1861"/>
      <c r="AK343" s="1861"/>
      <c r="AL343" s="1861"/>
      <c r="AM343" s="1862"/>
    </row>
    <row r="344" spans="2:45" ht="18" customHeight="1">
      <c r="B344" s="384"/>
      <c r="C344" s="384"/>
      <c r="D344" s="384"/>
      <c r="E344" s="384"/>
      <c r="F344" s="384"/>
      <c r="G344" s="384"/>
      <c r="H344" s="2181" t="s">
        <v>3019</v>
      </c>
      <c r="I344" s="1935"/>
      <c r="J344" s="3021"/>
      <c r="K344" s="3021"/>
      <c r="L344" s="3021"/>
      <c r="M344" s="3021"/>
      <c r="N344" s="3021"/>
      <c r="O344" s="3021"/>
      <c r="P344" s="3021"/>
      <c r="Q344" s="3021"/>
      <c r="R344" s="3021"/>
      <c r="S344" s="3021"/>
      <c r="T344" s="3021"/>
      <c r="U344" s="3021"/>
      <c r="V344" s="3021"/>
      <c r="W344" s="3021"/>
      <c r="X344" s="3021"/>
      <c r="Y344" s="3021"/>
      <c r="Z344" s="3021"/>
      <c r="AA344" s="3021"/>
      <c r="AB344" s="3021"/>
      <c r="AC344" s="3021"/>
      <c r="AD344" s="3021"/>
      <c r="AE344" s="3021"/>
      <c r="AF344" s="3021"/>
      <c r="AG344" s="3021"/>
      <c r="AH344" s="3021"/>
      <c r="AI344" s="3021"/>
      <c r="AJ344" s="3021"/>
      <c r="AK344" s="3021"/>
      <c r="AL344" s="3021"/>
      <c r="AM344" s="3021"/>
    </row>
    <row r="345" spans="2:45" ht="36" customHeight="1">
      <c r="B345" s="3017" t="s">
        <v>2681</v>
      </c>
      <c r="C345" s="1777"/>
      <c r="D345" s="1777"/>
      <c r="E345" s="1777"/>
      <c r="F345" s="1777"/>
      <c r="G345" s="1777"/>
      <c r="H345" s="1777"/>
      <c r="I345" s="1777"/>
      <c r="J345" s="1777"/>
      <c r="K345" s="1777"/>
      <c r="L345" s="1777"/>
      <c r="M345" s="1777"/>
      <c r="N345" s="1778"/>
      <c r="O345" s="3017" t="s">
        <v>2682</v>
      </c>
      <c r="P345" s="1777"/>
      <c r="Q345" s="1777"/>
      <c r="R345" s="1777"/>
      <c r="S345" s="1777"/>
      <c r="T345" s="1777"/>
      <c r="U345" s="1777"/>
      <c r="V345" s="1777"/>
      <c r="W345" s="1777"/>
      <c r="X345" s="1778"/>
      <c r="Y345" s="3017" t="s">
        <v>2335</v>
      </c>
      <c r="Z345" s="1777"/>
      <c r="AA345" s="1778"/>
      <c r="AB345" s="3017" t="s">
        <v>3020</v>
      </c>
      <c r="AC345" s="1777"/>
      <c r="AD345" s="1777"/>
      <c r="AE345" s="1778"/>
      <c r="AF345" s="3017" t="s">
        <v>2684</v>
      </c>
      <c r="AG345" s="1777"/>
      <c r="AH345" s="1777"/>
      <c r="AI345" s="1777"/>
      <c r="AJ345" s="1777"/>
      <c r="AK345" s="1777"/>
      <c r="AL345" s="1777"/>
      <c r="AM345" s="1778"/>
    </row>
    <row r="346" spans="2:45" ht="36" customHeight="1">
      <c r="B346" s="3029"/>
      <c r="C346" s="1861"/>
      <c r="D346" s="1861"/>
      <c r="E346" s="1861"/>
      <c r="F346" s="1861"/>
      <c r="G346" s="1861"/>
      <c r="H346" s="1861"/>
      <c r="I346" s="1861"/>
      <c r="J346" s="1861"/>
      <c r="K346" s="1861"/>
      <c r="L346" s="1861"/>
      <c r="M346" s="1861"/>
      <c r="N346" s="1862"/>
      <c r="O346" s="3029"/>
      <c r="P346" s="1861"/>
      <c r="Q346" s="1861"/>
      <c r="R346" s="1861"/>
      <c r="S346" s="1861"/>
      <c r="T346" s="1861"/>
      <c r="U346" s="1861"/>
      <c r="V346" s="1861"/>
      <c r="W346" s="1861"/>
      <c r="X346" s="1862"/>
      <c r="Y346" s="3041"/>
      <c r="Z346" s="1861"/>
      <c r="AA346" s="1862"/>
      <c r="AB346" s="3020"/>
      <c r="AC346" s="1861"/>
      <c r="AD346" s="1861"/>
      <c r="AE346" s="1862"/>
      <c r="AF346" s="3023"/>
      <c r="AG346" s="1861"/>
      <c r="AH346" s="1861"/>
      <c r="AI346" s="1861"/>
      <c r="AJ346" s="1861"/>
      <c r="AK346" s="1861"/>
      <c r="AL346" s="1861"/>
      <c r="AM346" s="1862"/>
    </row>
    <row r="347" spans="2:45" ht="36" customHeight="1">
      <c r="B347" s="3029"/>
      <c r="C347" s="1861"/>
      <c r="D347" s="1861"/>
      <c r="E347" s="1861"/>
      <c r="F347" s="1861"/>
      <c r="G347" s="1861"/>
      <c r="H347" s="1861"/>
      <c r="I347" s="1861"/>
      <c r="J347" s="1861"/>
      <c r="K347" s="1861"/>
      <c r="L347" s="1861"/>
      <c r="M347" s="1861"/>
      <c r="N347" s="1862"/>
      <c r="O347" s="3029"/>
      <c r="P347" s="1861"/>
      <c r="Q347" s="1861"/>
      <c r="R347" s="1861"/>
      <c r="S347" s="1861"/>
      <c r="T347" s="1861"/>
      <c r="U347" s="1861"/>
      <c r="V347" s="1861"/>
      <c r="W347" s="1861"/>
      <c r="X347" s="1862"/>
      <c r="Y347" s="3041"/>
      <c r="Z347" s="1861"/>
      <c r="AA347" s="1862"/>
      <c r="AB347" s="3020"/>
      <c r="AC347" s="1861"/>
      <c r="AD347" s="1861"/>
      <c r="AE347" s="1862"/>
      <c r="AF347" s="3023"/>
      <c r="AG347" s="1861"/>
      <c r="AH347" s="1861"/>
      <c r="AI347" s="1861"/>
      <c r="AJ347" s="1861"/>
      <c r="AK347" s="1861"/>
      <c r="AL347" s="1861"/>
      <c r="AM347" s="1862"/>
    </row>
    <row r="348" spans="2:45" ht="36" customHeight="1">
      <c r="B348" s="3029"/>
      <c r="C348" s="1861"/>
      <c r="D348" s="1861"/>
      <c r="E348" s="1861"/>
      <c r="F348" s="1861"/>
      <c r="G348" s="1861"/>
      <c r="H348" s="1861"/>
      <c r="I348" s="1861"/>
      <c r="J348" s="1861"/>
      <c r="K348" s="1861"/>
      <c r="L348" s="1861"/>
      <c r="M348" s="1861"/>
      <c r="N348" s="1862"/>
      <c r="O348" s="3029"/>
      <c r="P348" s="1861"/>
      <c r="Q348" s="1861"/>
      <c r="R348" s="1861"/>
      <c r="S348" s="1861"/>
      <c r="T348" s="1861"/>
      <c r="U348" s="1861"/>
      <c r="V348" s="1861"/>
      <c r="W348" s="1861"/>
      <c r="X348" s="1862"/>
      <c r="Y348" s="3041"/>
      <c r="Z348" s="1861"/>
      <c r="AA348" s="1862"/>
      <c r="AB348" s="3020"/>
      <c r="AC348" s="1861"/>
      <c r="AD348" s="1861"/>
      <c r="AE348" s="1862"/>
      <c r="AF348" s="3023"/>
      <c r="AG348" s="1861"/>
      <c r="AH348" s="1861"/>
      <c r="AI348" s="1861"/>
      <c r="AJ348" s="1861"/>
      <c r="AK348" s="1861"/>
      <c r="AL348" s="1861"/>
      <c r="AM348" s="1862"/>
    </row>
    <row r="349" spans="2:45" ht="36" customHeight="1">
      <c r="B349" s="3029"/>
      <c r="C349" s="1861"/>
      <c r="D349" s="1861"/>
      <c r="E349" s="1861"/>
      <c r="F349" s="1861"/>
      <c r="G349" s="1861"/>
      <c r="H349" s="1861"/>
      <c r="I349" s="1861"/>
      <c r="J349" s="1861"/>
      <c r="K349" s="1861"/>
      <c r="L349" s="1861"/>
      <c r="M349" s="1861"/>
      <c r="N349" s="1862"/>
      <c r="O349" s="3029"/>
      <c r="P349" s="1861"/>
      <c r="Q349" s="1861"/>
      <c r="R349" s="1861"/>
      <c r="S349" s="1861"/>
      <c r="T349" s="1861"/>
      <c r="U349" s="1861"/>
      <c r="V349" s="1861"/>
      <c r="W349" s="1861"/>
      <c r="X349" s="1862"/>
      <c r="Y349" s="3041"/>
      <c r="Z349" s="1861"/>
      <c r="AA349" s="1862"/>
      <c r="AB349" s="3020"/>
      <c r="AC349" s="1861"/>
      <c r="AD349" s="1861"/>
      <c r="AE349" s="1862"/>
      <c r="AF349" s="3023"/>
      <c r="AG349" s="1861"/>
      <c r="AH349" s="1861"/>
      <c r="AI349" s="1861"/>
      <c r="AJ349" s="1861"/>
      <c r="AK349" s="1861"/>
      <c r="AL349" s="1861"/>
      <c r="AM349" s="1862"/>
    </row>
    <row r="350" spans="2:45" ht="36" customHeight="1">
      <c r="B350" s="3029"/>
      <c r="C350" s="1861"/>
      <c r="D350" s="1861"/>
      <c r="E350" s="1861"/>
      <c r="F350" s="1861"/>
      <c r="G350" s="1861"/>
      <c r="H350" s="1861"/>
      <c r="I350" s="1861"/>
      <c r="J350" s="1861"/>
      <c r="K350" s="1861"/>
      <c r="L350" s="1861"/>
      <c r="M350" s="1861"/>
      <c r="N350" s="1862"/>
      <c r="O350" s="3029"/>
      <c r="P350" s="1861"/>
      <c r="Q350" s="1861"/>
      <c r="R350" s="1861"/>
      <c r="S350" s="1861"/>
      <c r="T350" s="1861"/>
      <c r="U350" s="1861"/>
      <c r="V350" s="1861"/>
      <c r="W350" s="1861"/>
      <c r="X350" s="1862"/>
      <c r="Y350" s="3041"/>
      <c r="Z350" s="1861"/>
      <c r="AA350" s="1862"/>
      <c r="AB350" s="3020"/>
      <c r="AC350" s="1861"/>
      <c r="AD350" s="1861"/>
      <c r="AE350" s="1862"/>
      <c r="AF350" s="3023"/>
      <c r="AG350" s="1861"/>
      <c r="AH350" s="1861"/>
      <c r="AI350" s="1861"/>
      <c r="AJ350" s="1861"/>
      <c r="AK350" s="1861"/>
      <c r="AL350" s="1861"/>
      <c r="AM350" s="1862"/>
    </row>
    <row r="351" spans="2:45" ht="36" customHeight="1">
      <c r="B351" s="3029"/>
      <c r="C351" s="1861"/>
      <c r="D351" s="1861"/>
      <c r="E351" s="1861"/>
      <c r="F351" s="1861"/>
      <c r="G351" s="1861"/>
      <c r="H351" s="1861"/>
      <c r="I351" s="1861"/>
      <c r="J351" s="1861"/>
      <c r="K351" s="1861"/>
      <c r="L351" s="1861"/>
      <c r="M351" s="1861"/>
      <c r="N351" s="1862"/>
      <c r="O351" s="3029"/>
      <c r="P351" s="1861"/>
      <c r="Q351" s="1861"/>
      <c r="R351" s="1861"/>
      <c r="S351" s="1861"/>
      <c r="T351" s="1861"/>
      <c r="U351" s="1861"/>
      <c r="V351" s="1861"/>
      <c r="W351" s="1861"/>
      <c r="X351" s="1862"/>
      <c r="Y351" s="3041"/>
      <c r="Z351" s="1861"/>
      <c r="AA351" s="1862"/>
      <c r="AB351" s="3020"/>
      <c r="AC351" s="1861"/>
      <c r="AD351" s="1861"/>
      <c r="AE351" s="1862"/>
      <c r="AF351" s="3023"/>
      <c r="AG351" s="1861"/>
      <c r="AH351" s="1861"/>
      <c r="AI351" s="1861"/>
      <c r="AJ351" s="1861"/>
      <c r="AK351" s="1861"/>
      <c r="AL351" s="1861"/>
      <c r="AM351" s="1862"/>
    </row>
    <row r="352" spans="2:45" ht="36" customHeight="1">
      <c r="B352" s="3029"/>
      <c r="C352" s="1861"/>
      <c r="D352" s="1861"/>
      <c r="E352" s="1861"/>
      <c r="F352" s="1861"/>
      <c r="G352" s="1861"/>
      <c r="H352" s="1861"/>
      <c r="I352" s="1861"/>
      <c r="J352" s="1861"/>
      <c r="K352" s="1861"/>
      <c r="L352" s="1861"/>
      <c r="M352" s="1861"/>
      <c r="N352" s="1862"/>
      <c r="O352" s="3029"/>
      <c r="P352" s="1861"/>
      <c r="Q352" s="1861"/>
      <c r="R352" s="1861"/>
      <c r="S352" s="1861"/>
      <c r="T352" s="1861"/>
      <c r="U352" s="1861"/>
      <c r="V352" s="1861"/>
      <c r="W352" s="1861"/>
      <c r="X352" s="1862"/>
      <c r="Y352" s="3041"/>
      <c r="Z352" s="1861"/>
      <c r="AA352" s="1862"/>
      <c r="AB352" s="3020"/>
      <c r="AC352" s="1861"/>
      <c r="AD352" s="1861"/>
      <c r="AE352" s="1862"/>
      <c r="AF352" s="3023"/>
      <c r="AG352" s="1861"/>
      <c r="AH352" s="1861"/>
      <c r="AI352" s="1861"/>
      <c r="AJ352" s="1861"/>
      <c r="AK352" s="1861"/>
      <c r="AL352" s="1861"/>
      <c r="AM352" s="1862"/>
    </row>
    <row r="353" spans="2:45" ht="36" customHeight="1">
      <c r="B353" s="3029"/>
      <c r="C353" s="1861"/>
      <c r="D353" s="1861"/>
      <c r="E353" s="1861"/>
      <c r="F353" s="1861"/>
      <c r="G353" s="1861"/>
      <c r="H353" s="1861"/>
      <c r="I353" s="1861"/>
      <c r="J353" s="1861"/>
      <c r="K353" s="1861"/>
      <c r="L353" s="1861"/>
      <c r="M353" s="1861"/>
      <c r="N353" s="1862"/>
      <c r="O353" s="3029"/>
      <c r="P353" s="1861"/>
      <c r="Q353" s="1861"/>
      <c r="R353" s="1861"/>
      <c r="S353" s="1861"/>
      <c r="T353" s="1861"/>
      <c r="U353" s="1861"/>
      <c r="V353" s="1861"/>
      <c r="W353" s="1861"/>
      <c r="X353" s="1862"/>
      <c r="Y353" s="3041"/>
      <c r="Z353" s="1861"/>
      <c r="AA353" s="1862"/>
      <c r="AB353" s="3020"/>
      <c r="AC353" s="1861"/>
      <c r="AD353" s="1861"/>
      <c r="AE353" s="1862"/>
      <c r="AF353" s="3023"/>
      <c r="AG353" s="1861"/>
      <c r="AH353" s="1861"/>
      <c r="AI353" s="1861"/>
      <c r="AJ353" s="1861"/>
      <c r="AK353" s="1861"/>
      <c r="AL353" s="1861"/>
      <c r="AM353" s="1862"/>
      <c r="AS353" s="398"/>
    </row>
    <row r="354" spans="2:45" s="384" customFormat="1" ht="18" customHeight="1"/>
    <row r="355" spans="2:45" ht="18" customHeight="1">
      <c r="B355" s="3245" t="s">
        <v>3021</v>
      </c>
      <c r="C355" s="3021"/>
      <c r="D355" s="3021"/>
      <c r="E355" s="3021"/>
      <c r="F355" s="3021"/>
      <c r="G355" s="3021"/>
      <c r="H355" s="3021"/>
      <c r="I355" s="1935"/>
      <c r="J355" s="3021"/>
      <c r="K355" s="3021"/>
      <c r="L355" s="3021"/>
      <c r="M355" s="3021"/>
      <c r="N355" s="3021"/>
      <c r="O355" s="3021"/>
      <c r="P355" s="3021"/>
      <c r="Q355" s="3021"/>
      <c r="R355" s="3021"/>
      <c r="S355" s="3021"/>
      <c r="T355" s="3021"/>
      <c r="U355" s="3021"/>
      <c r="V355" s="3021"/>
      <c r="W355" s="3021"/>
      <c r="X355" s="3021"/>
      <c r="Y355" s="3021"/>
      <c r="Z355" s="3021"/>
      <c r="AA355" s="3021"/>
      <c r="AB355" s="3021"/>
      <c r="AC355" s="3021"/>
      <c r="AD355" s="3021"/>
      <c r="AE355" s="3021"/>
      <c r="AF355" s="3021"/>
      <c r="AG355" s="3021"/>
      <c r="AH355" s="3021"/>
      <c r="AI355" s="3021"/>
      <c r="AJ355" s="3021"/>
      <c r="AK355" s="3021"/>
      <c r="AL355" s="3021"/>
      <c r="AM355" s="3021"/>
      <c r="AS355" s="398"/>
    </row>
    <row r="356" spans="2:45" s="398" customFormat="1" ht="18" customHeight="1">
      <c r="B356" s="3224" t="s">
        <v>2392</v>
      </c>
      <c r="C356" s="2181"/>
      <c r="D356" s="2181"/>
      <c r="E356" s="2181"/>
      <c r="F356" s="2181"/>
      <c r="G356" s="2181"/>
      <c r="H356" s="2181"/>
      <c r="I356" s="2181"/>
      <c r="J356" s="2181"/>
      <c r="K356" s="2181"/>
      <c r="L356" s="2181"/>
      <c r="M356" s="2181"/>
      <c r="N356" s="2181"/>
      <c r="O356" s="2181"/>
      <c r="P356" s="2181"/>
      <c r="Q356" s="2181"/>
      <c r="R356" s="2181"/>
      <c r="S356" s="2181"/>
      <c r="T356" s="2181"/>
      <c r="U356" s="2181"/>
      <c r="V356" s="2181"/>
      <c r="W356" s="2181"/>
      <c r="X356" s="2181"/>
      <c r="Y356" s="2181"/>
      <c r="Z356" s="2181"/>
      <c r="AA356" s="2181"/>
      <c r="AB356" s="2181"/>
      <c r="AC356" s="2181"/>
      <c r="AD356" s="2181"/>
      <c r="AE356" s="2181"/>
      <c r="AF356" s="2181"/>
      <c r="AG356" s="2181"/>
      <c r="AH356" s="2181"/>
      <c r="AI356" s="2181"/>
      <c r="AJ356" s="2181"/>
      <c r="AK356" s="2181"/>
      <c r="AL356" s="2181"/>
      <c r="AM356" s="2181"/>
      <c r="AS356" s="1558"/>
    </row>
    <row r="357" spans="2:45" ht="36" customHeight="1">
      <c r="B357" s="3043" t="s">
        <v>3022</v>
      </c>
      <c r="C357" s="3021"/>
      <c r="D357" s="3021"/>
      <c r="E357" s="3021"/>
      <c r="F357" s="3021"/>
      <c r="G357" s="3021"/>
      <c r="H357" s="3021"/>
      <c r="I357" s="1935"/>
      <c r="J357" s="3021"/>
      <c r="K357" s="3021"/>
      <c r="L357" s="3021"/>
      <c r="M357" s="3021"/>
      <c r="N357" s="3021"/>
      <c r="O357" s="3021"/>
      <c r="P357" s="3021"/>
      <c r="Q357" s="3021"/>
      <c r="R357" s="3021"/>
      <c r="S357" s="3021"/>
      <c r="T357" s="3021"/>
      <c r="U357" s="3021"/>
      <c r="V357" s="3021"/>
      <c r="W357" s="3021"/>
      <c r="X357" s="3021"/>
      <c r="Y357" s="3021"/>
      <c r="Z357" s="3021"/>
      <c r="AA357" s="3021"/>
      <c r="AB357" s="3021"/>
      <c r="AC357" s="3021"/>
      <c r="AD357" s="3021"/>
      <c r="AE357" s="3021"/>
      <c r="AF357" s="3021"/>
      <c r="AG357" s="3021"/>
      <c r="AH357" s="3021"/>
      <c r="AI357" s="3021"/>
      <c r="AJ357" s="3021"/>
      <c r="AK357" s="3021"/>
      <c r="AL357" s="3021"/>
      <c r="AM357" s="3021"/>
      <c r="AN357" s="398"/>
      <c r="AS357" s="1558"/>
    </row>
    <row r="358" spans="2:45" s="398" customFormat="1" ht="18" customHeight="1">
      <c r="B358" s="3105" t="s">
        <v>3023</v>
      </c>
      <c r="C358" s="2181"/>
      <c r="D358" s="2181"/>
      <c r="E358" s="2181"/>
      <c r="F358" s="2181"/>
      <c r="G358" s="2181"/>
      <c r="H358" s="2181"/>
      <c r="I358" s="2181"/>
      <c r="J358" s="2181"/>
      <c r="K358" s="2181"/>
      <c r="L358" s="2181"/>
      <c r="M358" s="2181"/>
      <c r="N358" s="2181"/>
      <c r="O358" s="2181"/>
      <c r="P358" s="2181"/>
      <c r="Q358" s="2181"/>
      <c r="R358" s="2181"/>
      <c r="S358" s="2181"/>
      <c r="T358" s="2181"/>
      <c r="U358" s="2181"/>
      <c r="V358" s="2181"/>
      <c r="W358" s="2181"/>
      <c r="X358" s="2181"/>
      <c r="Y358" s="2181"/>
      <c r="Z358" s="2181"/>
      <c r="AA358" s="2181"/>
      <c r="AB358" s="2181"/>
      <c r="AC358" s="2181"/>
      <c r="AD358" s="2181"/>
      <c r="AE358" s="2181"/>
      <c r="AF358" s="2181"/>
      <c r="AG358" s="2181"/>
      <c r="AH358" s="2181"/>
      <c r="AI358" s="2181"/>
      <c r="AJ358" s="2181"/>
      <c r="AK358" s="2181"/>
      <c r="AL358" s="2181"/>
      <c r="AM358" s="2181"/>
      <c r="AS358" s="1558"/>
    </row>
    <row r="359" spans="2:45" s="544" customFormat="1" ht="18" customHeight="1">
      <c r="B359" s="3155" t="s">
        <v>2689</v>
      </c>
      <c r="C359" s="1777"/>
      <c r="D359" s="1777"/>
      <c r="E359" s="1777"/>
      <c r="F359" s="1777"/>
      <c r="G359" s="1777"/>
      <c r="H359" s="1777"/>
      <c r="I359" s="1777"/>
      <c r="J359" s="1777"/>
      <c r="K359" s="1777"/>
      <c r="L359" s="1777"/>
      <c r="M359" s="1778"/>
      <c r="N359" s="3155" t="s">
        <v>2690</v>
      </c>
      <c r="O359" s="1777"/>
      <c r="P359" s="1777"/>
      <c r="Q359" s="1777"/>
      <c r="R359" s="1777"/>
      <c r="S359" s="1777"/>
      <c r="T359" s="1777"/>
      <c r="U359" s="1777"/>
      <c r="V359" s="1777"/>
      <c r="W359" s="1777"/>
      <c r="X359" s="1777"/>
      <c r="Y359" s="1777"/>
      <c r="Z359" s="1778"/>
      <c r="AA359" s="3155" t="s">
        <v>2691</v>
      </c>
      <c r="AB359" s="1777"/>
      <c r="AC359" s="1777"/>
      <c r="AD359" s="1777"/>
      <c r="AE359" s="1777"/>
      <c r="AF359" s="1777"/>
      <c r="AG359" s="1777"/>
      <c r="AH359" s="1777"/>
      <c r="AI359" s="1777"/>
      <c r="AJ359" s="1777"/>
      <c r="AK359" s="1777"/>
      <c r="AL359" s="1777"/>
      <c r="AM359" s="1778"/>
      <c r="AN359" s="1558"/>
      <c r="AO359" s="1558"/>
      <c r="AP359" s="1558"/>
      <c r="AQ359" s="1558"/>
      <c r="AR359" s="1558"/>
      <c r="AS359" s="1558"/>
    </row>
    <row r="360" spans="2:45" s="544" customFormat="1" ht="81.75" customHeight="1">
      <c r="B360" s="3140" t="s">
        <v>2692</v>
      </c>
      <c r="C360" s="1777"/>
      <c r="D360" s="1777"/>
      <c r="E360" s="1777"/>
      <c r="F360" s="1777"/>
      <c r="G360" s="1777"/>
      <c r="H360" s="1777"/>
      <c r="I360" s="1777"/>
      <c r="J360" s="1777"/>
      <c r="K360" s="1777"/>
      <c r="L360" s="1777"/>
      <c r="M360" s="1778"/>
      <c r="N360" s="3124"/>
      <c r="O360" s="1861"/>
      <c r="P360" s="1861"/>
      <c r="Q360" s="1861"/>
      <c r="R360" s="1861"/>
      <c r="S360" s="1861"/>
      <c r="T360" s="1861"/>
      <c r="U360" s="1861"/>
      <c r="V360" s="1861"/>
      <c r="W360" s="1861"/>
      <c r="X360" s="1861"/>
      <c r="Y360" s="1861"/>
      <c r="Z360" s="1862"/>
      <c r="AA360" s="3257"/>
      <c r="AB360" s="1861"/>
      <c r="AC360" s="1861"/>
      <c r="AD360" s="1861"/>
      <c r="AE360" s="1861"/>
      <c r="AF360" s="1861"/>
      <c r="AG360" s="1861"/>
      <c r="AH360" s="1861"/>
      <c r="AI360" s="1861"/>
      <c r="AJ360" s="1861"/>
      <c r="AK360" s="1861"/>
      <c r="AL360" s="1861"/>
      <c r="AM360" s="1862"/>
      <c r="AN360" s="1558"/>
      <c r="AO360" s="1558"/>
      <c r="AP360" s="1558"/>
      <c r="AQ360" s="1558"/>
      <c r="AR360" s="1558"/>
      <c r="AS360" s="398"/>
    </row>
    <row r="361" spans="2:45" s="544" customFormat="1" ht="110.25" customHeight="1">
      <c r="B361" s="3140" t="s">
        <v>3024</v>
      </c>
      <c r="C361" s="1777"/>
      <c r="D361" s="1777"/>
      <c r="E361" s="1777"/>
      <c r="F361" s="1777"/>
      <c r="G361" s="1777"/>
      <c r="H361" s="1777"/>
      <c r="I361" s="1777"/>
      <c r="J361" s="1777"/>
      <c r="K361" s="1777"/>
      <c r="L361" s="1777"/>
      <c r="M361" s="1778"/>
      <c r="N361" s="3225"/>
      <c r="O361" s="1861"/>
      <c r="P361" s="1861"/>
      <c r="Q361" s="1861"/>
      <c r="R361" s="1861"/>
      <c r="S361" s="1861"/>
      <c r="T361" s="1861"/>
      <c r="U361" s="1861"/>
      <c r="V361" s="1861"/>
      <c r="W361" s="1861"/>
      <c r="X361" s="1861"/>
      <c r="Y361" s="1861"/>
      <c r="Z361" s="1862"/>
      <c r="AA361" s="3257"/>
      <c r="AB361" s="1861"/>
      <c r="AC361" s="1861"/>
      <c r="AD361" s="1861"/>
      <c r="AE361" s="1861"/>
      <c r="AF361" s="1861"/>
      <c r="AG361" s="1861"/>
      <c r="AH361" s="1861"/>
      <c r="AI361" s="1861"/>
      <c r="AJ361" s="1861"/>
      <c r="AK361" s="1861"/>
      <c r="AL361" s="1861"/>
      <c r="AM361" s="1862"/>
      <c r="AN361" s="1558"/>
      <c r="AO361" s="1558"/>
      <c r="AP361" s="1558"/>
      <c r="AQ361" s="1558"/>
      <c r="AR361" s="1558"/>
      <c r="AS361" s="398"/>
    </row>
    <row r="362" spans="2:45" s="544" customFormat="1" ht="79.5" customHeight="1">
      <c r="B362" s="3140" t="s">
        <v>2694</v>
      </c>
      <c r="C362" s="1777"/>
      <c r="D362" s="1777"/>
      <c r="E362" s="1777"/>
      <c r="F362" s="1777"/>
      <c r="G362" s="1777"/>
      <c r="H362" s="1777"/>
      <c r="I362" s="1777"/>
      <c r="J362" s="1777"/>
      <c r="K362" s="1777"/>
      <c r="L362" s="1777"/>
      <c r="M362" s="1778"/>
      <c r="N362" s="3225"/>
      <c r="O362" s="1861"/>
      <c r="P362" s="1861"/>
      <c r="Q362" s="1861"/>
      <c r="R362" s="1861"/>
      <c r="S362" s="1861"/>
      <c r="T362" s="1861"/>
      <c r="U362" s="1861"/>
      <c r="V362" s="1861"/>
      <c r="W362" s="1861"/>
      <c r="X362" s="1861"/>
      <c r="Y362" s="1861"/>
      <c r="Z362" s="1862"/>
      <c r="AA362" s="3257"/>
      <c r="AB362" s="1861"/>
      <c r="AC362" s="1861"/>
      <c r="AD362" s="1861"/>
      <c r="AE362" s="1861"/>
      <c r="AF362" s="1861"/>
      <c r="AG362" s="1861"/>
      <c r="AH362" s="1861"/>
      <c r="AI362" s="1861"/>
      <c r="AJ362" s="1861"/>
      <c r="AK362" s="1861"/>
      <c r="AL362" s="1861"/>
      <c r="AM362" s="1862"/>
      <c r="AN362" s="1558"/>
      <c r="AO362" s="1558"/>
      <c r="AP362" s="1558"/>
      <c r="AQ362" s="1558"/>
      <c r="AR362" s="1558"/>
      <c r="AS362" s="398"/>
    </row>
    <row r="363" spans="2:45" s="544" customFormat="1" ht="19.5" customHeight="1">
      <c r="B363" s="1558"/>
      <c r="C363" s="1558"/>
      <c r="D363" s="1558"/>
      <c r="E363" s="1558"/>
      <c r="F363" s="1558"/>
      <c r="G363" s="1558"/>
      <c r="H363" s="1558"/>
      <c r="I363" s="1558"/>
      <c r="J363" s="1558"/>
      <c r="K363" s="1558"/>
      <c r="L363" s="1558"/>
      <c r="M363" s="1558"/>
      <c r="N363" s="1558"/>
      <c r="O363" s="1558"/>
      <c r="P363" s="1558"/>
      <c r="Q363" s="1558"/>
      <c r="R363" s="1558"/>
      <c r="S363" s="1558"/>
      <c r="T363" s="1558"/>
      <c r="U363" s="1558"/>
      <c r="V363" s="1558"/>
      <c r="W363" s="1558"/>
      <c r="X363" s="1558"/>
      <c r="Y363" s="1558"/>
      <c r="Z363" s="1558"/>
      <c r="AA363" s="1558"/>
      <c r="AB363" s="1558"/>
      <c r="AC363" s="1558"/>
      <c r="AD363" s="1558"/>
      <c r="AE363" s="1558"/>
      <c r="AF363" s="1558"/>
      <c r="AG363" s="1558"/>
      <c r="AH363" s="1558"/>
      <c r="AI363" s="1558"/>
      <c r="AJ363" s="1558"/>
      <c r="AK363" s="1558"/>
      <c r="AL363" s="1558"/>
      <c r="AM363" s="1558"/>
      <c r="AN363" s="1558"/>
      <c r="AO363" s="1558"/>
      <c r="AP363" s="1558"/>
      <c r="AQ363" s="1558"/>
      <c r="AR363" s="1558"/>
      <c r="AS363" s="1558"/>
    </row>
    <row r="364" spans="2:45" s="398" customFormat="1" ht="18" customHeight="1">
      <c r="B364" s="3224" t="s">
        <v>2393</v>
      </c>
      <c r="C364" s="2181"/>
      <c r="D364" s="2181"/>
      <c r="E364" s="2181"/>
      <c r="F364" s="2181"/>
      <c r="G364" s="2181"/>
      <c r="H364" s="2181"/>
      <c r="I364" s="2181"/>
      <c r="J364" s="2181"/>
      <c r="K364" s="2181"/>
      <c r="L364" s="2181"/>
      <c r="M364" s="2181"/>
      <c r="N364" s="2181"/>
      <c r="O364" s="2181"/>
      <c r="P364" s="2181"/>
      <c r="Q364" s="2181"/>
      <c r="R364" s="2181"/>
      <c r="S364" s="2181"/>
      <c r="T364" s="2181"/>
      <c r="U364" s="2181"/>
      <c r="V364" s="2181"/>
      <c r="W364" s="2181"/>
      <c r="X364" s="2181"/>
      <c r="Y364" s="2181"/>
      <c r="Z364" s="2181"/>
      <c r="AA364" s="2181"/>
      <c r="AB364" s="2181"/>
      <c r="AC364" s="2181"/>
      <c r="AD364" s="2181"/>
      <c r="AE364" s="2181"/>
      <c r="AF364" s="2181"/>
      <c r="AG364" s="2181"/>
      <c r="AH364" s="2181"/>
      <c r="AI364" s="2181"/>
      <c r="AJ364" s="2181"/>
      <c r="AK364" s="2181"/>
      <c r="AL364" s="2181"/>
      <c r="AM364" s="2181"/>
    </row>
    <row r="365" spans="2:45" s="398" customFormat="1" ht="36" customHeight="1">
      <c r="B365" s="2181" t="s">
        <v>3025</v>
      </c>
      <c r="C365" s="2181"/>
      <c r="D365" s="2181"/>
      <c r="E365" s="2181"/>
      <c r="F365" s="2181"/>
      <c r="G365" s="2181"/>
      <c r="H365" s="2181"/>
      <c r="I365" s="2181"/>
      <c r="J365" s="2181"/>
      <c r="K365" s="2181"/>
      <c r="L365" s="2181"/>
      <c r="M365" s="2181"/>
      <c r="N365" s="2181"/>
      <c r="O365" s="2181"/>
      <c r="P365" s="2181"/>
      <c r="Q365" s="2181"/>
      <c r="R365" s="2181"/>
      <c r="S365" s="2181"/>
      <c r="T365" s="2181"/>
      <c r="U365" s="2181"/>
      <c r="V365" s="2181"/>
      <c r="W365" s="2181"/>
      <c r="X365" s="2181"/>
      <c r="Y365" s="2181"/>
      <c r="Z365" s="2181"/>
      <c r="AA365" s="2181"/>
      <c r="AB365" s="2181"/>
      <c r="AC365" s="2181"/>
      <c r="AD365" s="2181"/>
      <c r="AE365" s="2181"/>
      <c r="AF365" s="2181"/>
      <c r="AG365" s="2181"/>
      <c r="AH365" s="2181"/>
      <c r="AI365" s="2181"/>
      <c r="AJ365" s="2181"/>
      <c r="AK365" s="2181"/>
      <c r="AL365" s="2181"/>
      <c r="AM365" s="2181"/>
      <c r="AN365" s="387"/>
    </row>
    <row r="366" spans="2:45" s="398" customFormat="1" ht="175.35" customHeight="1">
      <c r="B366" s="3023"/>
      <c r="C366" s="1861"/>
      <c r="D366" s="1861"/>
      <c r="E366" s="1861"/>
      <c r="F366" s="1861"/>
      <c r="G366" s="1861"/>
      <c r="H366" s="1861"/>
      <c r="I366" s="1861"/>
      <c r="J366" s="1861"/>
      <c r="K366" s="1861"/>
      <c r="L366" s="1861"/>
      <c r="M366" s="1861"/>
      <c r="N366" s="1861"/>
      <c r="O366" s="1861"/>
      <c r="P366" s="1861"/>
      <c r="Q366" s="1861"/>
      <c r="R366" s="1861"/>
      <c r="S366" s="1861"/>
      <c r="T366" s="1861"/>
      <c r="U366" s="1861"/>
      <c r="V366" s="1861"/>
      <c r="W366" s="1861"/>
      <c r="X366" s="1861"/>
      <c r="Y366" s="1861"/>
      <c r="Z366" s="1861"/>
      <c r="AA366" s="1861"/>
      <c r="AB366" s="1861"/>
      <c r="AC366" s="1861"/>
      <c r="AD366" s="1861"/>
      <c r="AE366" s="1861"/>
      <c r="AF366" s="1861"/>
      <c r="AG366" s="1861"/>
      <c r="AH366" s="1861"/>
      <c r="AI366" s="1861"/>
      <c r="AJ366" s="1861"/>
      <c r="AK366" s="1861"/>
      <c r="AL366" s="1861"/>
      <c r="AM366" s="1862"/>
      <c r="AS366" s="387"/>
    </row>
    <row r="368" spans="2:45" ht="18" customHeight="1">
      <c r="B368" s="3228" t="s">
        <v>461</v>
      </c>
      <c r="C368" s="3021"/>
      <c r="D368" s="3021"/>
      <c r="E368" s="3021"/>
      <c r="F368" s="3021"/>
      <c r="G368" s="3021"/>
      <c r="H368" s="3021"/>
      <c r="I368" s="1935"/>
      <c r="J368" s="3021"/>
      <c r="K368" s="3021"/>
      <c r="L368" s="3021"/>
      <c r="M368" s="3021"/>
      <c r="N368" s="3021"/>
      <c r="O368" s="3021"/>
      <c r="P368" s="3021"/>
      <c r="Q368" s="3021"/>
      <c r="R368" s="3021"/>
      <c r="S368" s="3021"/>
      <c r="T368" s="3021"/>
      <c r="U368" s="3021"/>
      <c r="V368" s="3021"/>
      <c r="W368" s="3021"/>
      <c r="X368" s="3021"/>
      <c r="Y368" s="3021"/>
      <c r="Z368" s="3021"/>
      <c r="AA368" s="3021"/>
      <c r="AB368" s="3021"/>
      <c r="AC368" s="3021"/>
      <c r="AD368" s="3021"/>
      <c r="AE368" s="3021"/>
      <c r="AF368" s="3021"/>
      <c r="AG368" s="3021"/>
      <c r="AH368" s="3021"/>
      <c r="AI368" s="3021"/>
      <c r="AJ368" s="3021"/>
      <c r="AK368" s="3021"/>
      <c r="AL368" s="3021"/>
      <c r="AM368" s="3021"/>
    </row>
  </sheetData>
  <sheetProtection algorithmName="SHA-512" hashValue="CUJmfAegRaqXhHnFhPEsEGRm7l6NWXIWtOgPou5ZDUiX6QiXd57Ac3Q80Uh0nS1EzU/E7aKSierzsB/w6SYQ/w==" saltValue="uMh3TvDghotOl8+1L8xU5w==" spinCount="100000" sheet="1" objects="1" scenarios="1"/>
  <mergeCells count="834">
    <mergeCell ref="AK25:AM27"/>
    <mergeCell ref="B308:W308"/>
    <mergeCell ref="E18:U18"/>
    <mergeCell ref="X308:Z308"/>
    <mergeCell ref="C15:D15"/>
    <mergeCell ref="W257:Z257"/>
    <mergeCell ref="B85:AM85"/>
    <mergeCell ref="AA296:AC296"/>
    <mergeCell ref="B80:D80"/>
    <mergeCell ref="B136:AM136"/>
    <mergeCell ref="E24:U24"/>
    <mergeCell ref="E17:U17"/>
    <mergeCell ref="W22:AH24"/>
    <mergeCell ref="E19:U19"/>
    <mergeCell ref="V74:W74"/>
    <mergeCell ref="G72:AB72"/>
    <mergeCell ref="X74:Y74"/>
    <mergeCell ref="W198:Z198"/>
    <mergeCell ref="X301:Z301"/>
    <mergeCell ref="E25:U25"/>
    <mergeCell ref="B54:AM54"/>
    <mergeCell ref="AI194:AM194"/>
    <mergeCell ref="AA195:AD195"/>
    <mergeCell ref="S91:AM91"/>
    <mergeCell ref="B72:F72"/>
    <mergeCell ref="B154:AM154"/>
    <mergeCell ref="X298:Z298"/>
    <mergeCell ref="F256:V256"/>
    <mergeCell ref="B156:AM156"/>
    <mergeCell ref="B155:AM155"/>
    <mergeCell ref="B93:AM93"/>
    <mergeCell ref="B149:AM149"/>
    <mergeCell ref="N199:AE199"/>
    <mergeCell ref="B141:AM141"/>
    <mergeCell ref="N182:AE182"/>
    <mergeCell ref="B159:AM159"/>
    <mergeCell ref="B298:S298"/>
    <mergeCell ref="B167:AM167"/>
    <mergeCell ref="B272:AM272"/>
    <mergeCell ref="B125:AM125"/>
    <mergeCell ref="B172:AM172"/>
    <mergeCell ref="G190:V190"/>
    <mergeCell ref="AJ293:AM293"/>
    <mergeCell ref="B250:E250"/>
    <mergeCell ref="AA178:AD178"/>
    <mergeCell ref="B90:R90"/>
    <mergeCell ref="B83:R83"/>
    <mergeCell ref="B92:AM92"/>
    <mergeCell ref="Y352:AA352"/>
    <mergeCell ref="B225:AM225"/>
    <mergeCell ref="F259:V259"/>
    <mergeCell ref="AK275:AM275"/>
    <mergeCell ref="Y351:AA351"/>
    <mergeCell ref="O350:X350"/>
    <mergeCell ref="O347:X347"/>
    <mergeCell ref="B310:W310"/>
    <mergeCell ref="X310:Z310"/>
    <mergeCell ref="AA307:AI307"/>
    <mergeCell ref="AK266:AM266"/>
    <mergeCell ref="B235:AM235"/>
    <mergeCell ref="AD292:AI292"/>
    <mergeCell ref="T300:U300"/>
    <mergeCell ref="AB350:AE350"/>
    <mergeCell ref="AF352:AM352"/>
    <mergeCell ref="AK252:AM252"/>
    <mergeCell ref="AA299:AC299"/>
    <mergeCell ref="B301:S301"/>
    <mergeCell ref="X296:Z296"/>
    <mergeCell ref="B303:S303"/>
    <mergeCell ref="F254:V254"/>
    <mergeCell ref="Y348:AA348"/>
    <mergeCell ref="B316:W316"/>
    <mergeCell ref="Y347:AA347"/>
    <mergeCell ref="B256:E256"/>
    <mergeCell ref="B323:C323"/>
    <mergeCell ref="X309:Z309"/>
    <mergeCell ref="AE193:AH193"/>
    <mergeCell ref="H344:AM344"/>
    <mergeCell ref="AA297:AC297"/>
    <mergeCell ref="W193:Z193"/>
    <mergeCell ref="B262:AM262"/>
    <mergeCell ref="AJ315:AM315"/>
    <mergeCell ref="AA315:AC315"/>
    <mergeCell ref="X319:Z319"/>
    <mergeCell ref="AK259:AM259"/>
    <mergeCell ref="AA308:AC308"/>
    <mergeCell ref="B337:AM337"/>
    <mergeCell ref="AI193:AM193"/>
    <mergeCell ref="B326:AM326"/>
    <mergeCell ref="D267:AJ267"/>
    <mergeCell ref="V297:W297"/>
    <mergeCell ref="B315:W315"/>
    <mergeCell ref="AK255:AM255"/>
    <mergeCell ref="AA304:AC304"/>
    <mergeCell ref="B270:N270"/>
    <mergeCell ref="AD310:AI310"/>
    <mergeCell ref="AF348:AM348"/>
    <mergeCell ref="AA194:AD194"/>
    <mergeCell ref="X295:Z295"/>
    <mergeCell ref="T297:U297"/>
    <mergeCell ref="AK278:AM278"/>
    <mergeCell ref="AD317:AI317"/>
    <mergeCell ref="B186:F186"/>
    <mergeCell ref="AI188:AM188"/>
    <mergeCell ref="B361:M361"/>
    <mergeCell ref="B253:E253"/>
    <mergeCell ref="B331:AB331"/>
    <mergeCell ref="AA257:AD257"/>
    <mergeCell ref="AA191:AD191"/>
    <mergeCell ref="F249:V249"/>
    <mergeCell ref="AA314:AC314"/>
    <mergeCell ref="B340:AM340"/>
    <mergeCell ref="AA359:AM359"/>
    <mergeCell ref="Y349:AA349"/>
    <mergeCell ref="B254:E254"/>
    <mergeCell ref="B265:AM265"/>
    <mergeCell ref="X304:Z304"/>
    <mergeCell ref="AI191:AM191"/>
    <mergeCell ref="AA192:AD192"/>
    <mergeCell ref="AB351:AE351"/>
    <mergeCell ref="AI16:AJ18"/>
    <mergeCell ref="B246:AM246"/>
    <mergeCell ref="B40:AM40"/>
    <mergeCell ref="B211:AM211"/>
    <mergeCell ref="B338:AM338"/>
    <mergeCell ref="C18:D18"/>
    <mergeCell ref="AJ288:AM288"/>
    <mergeCell ref="B36:R36"/>
    <mergeCell ref="B104:AM104"/>
    <mergeCell ref="W186:Z186"/>
    <mergeCell ref="AL80:AM80"/>
    <mergeCell ref="B41:AM41"/>
    <mergeCell ref="B35:AM35"/>
    <mergeCell ref="T79:V79"/>
    <mergeCell ref="B106:AM106"/>
    <mergeCell ref="AD293:AI293"/>
    <mergeCell ref="B77:M77"/>
    <mergeCell ref="AA255:AD255"/>
    <mergeCell ref="E22:U22"/>
    <mergeCell ref="AA313:AC313"/>
    <mergeCell ref="B37:N37"/>
    <mergeCell ref="AE248:AJ248"/>
    <mergeCell ref="X317:Z317"/>
    <mergeCell ref="C24:D24"/>
    <mergeCell ref="E14:U14"/>
    <mergeCell ref="AK256:AM256"/>
    <mergeCell ref="AI178:AM178"/>
    <mergeCell ref="C29:D29"/>
    <mergeCell ref="E80:M80"/>
    <mergeCell ref="B366:AM366"/>
    <mergeCell ref="B66:AM66"/>
    <mergeCell ref="B260:D260"/>
    <mergeCell ref="B304:S304"/>
    <mergeCell ref="O352:X352"/>
    <mergeCell ref="AB353:AE353"/>
    <mergeCell ref="C31:D31"/>
    <mergeCell ref="AK16:AM18"/>
    <mergeCell ref="AA181:AD181"/>
    <mergeCell ref="B130:AM130"/>
    <mergeCell ref="AK257:AM257"/>
    <mergeCell ref="B170:AM170"/>
    <mergeCell ref="AA362:AM362"/>
    <mergeCell ref="B157:AM157"/>
    <mergeCell ref="O353:X353"/>
    <mergeCell ref="E27:U27"/>
    <mergeCell ref="AA318:AC318"/>
    <mergeCell ref="B234:AM234"/>
    <mergeCell ref="B34:AM34"/>
    <mergeCell ref="C26:D26"/>
    <mergeCell ref="N359:Z359"/>
    <mergeCell ref="B161:AM161"/>
    <mergeCell ref="AA302:AC302"/>
    <mergeCell ref="W16:AH18"/>
    <mergeCell ref="F252:V252"/>
    <mergeCell ref="AD296:AI296"/>
    <mergeCell ref="AO324:AQ324"/>
    <mergeCell ref="B56:AM56"/>
    <mergeCell ref="AA258:AD258"/>
    <mergeCell ref="B105:AM105"/>
    <mergeCell ref="AE187:AH187"/>
    <mergeCell ref="B43:AM43"/>
    <mergeCell ref="T302:U302"/>
    <mergeCell ref="AJ312:AM312"/>
    <mergeCell ref="D323:AJ323"/>
    <mergeCell ref="W190:Z190"/>
    <mergeCell ref="B177:F177"/>
    <mergeCell ref="AI181:AM181"/>
    <mergeCell ref="AK28:AM30"/>
    <mergeCell ref="G178:V178"/>
    <mergeCell ref="B61:X61"/>
    <mergeCell ref="AE257:AJ257"/>
    <mergeCell ref="E30:U30"/>
    <mergeCell ref="AO325:AQ325"/>
    <mergeCell ref="AK328:AM328"/>
    <mergeCell ref="AF351:AM351"/>
    <mergeCell ref="AF345:AM345"/>
    <mergeCell ref="B300:S300"/>
    <mergeCell ref="E336:M336"/>
    <mergeCell ref="B295:W295"/>
    <mergeCell ref="C27:D27"/>
    <mergeCell ref="E13:U13"/>
    <mergeCell ref="B214:AM214"/>
    <mergeCell ref="B276:AM276"/>
    <mergeCell ref="AI197:AM197"/>
    <mergeCell ref="B120:AM120"/>
    <mergeCell ref="AD298:AI298"/>
    <mergeCell ref="E199:M199"/>
    <mergeCell ref="W254:Z254"/>
    <mergeCell ref="B107:AM107"/>
    <mergeCell ref="AE189:AH189"/>
    <mergeCell ref="E15:U15"/>
    <mergeCell ref="D279:AJ279"/>
    <mergeCell ref="AI25:AJ27"/>
    <mergeCell ref="B259:E259"/>
    <mergeCell ref="B57:AM57"/>
    <mergeCell ref="W256:Z256"/>
    <mergeCell ref="N362:Z362"/>
    <mergeCell ref="AK323:AM323"/>
    <mergeCell ref="AI179:AM179"/>
    <mergeCell ref="B207:AM207"/>
    <mergeCell ref="B204:AM204"/>
    <mergeCell ref="AF346:AM346"/>
    <mergeCell ref="B173:AM173"/>
    <mergeCell ref="B4:AM4"/>
    <mergeCell ref="AJ305:AM305"/>
    <mergeCell ref="D278:AJ278"/>
    <mergeCell ref="B180:F180"/>
    <mergeCell ref="AJ292:AM292"/>
    <mergeCell ref="B202:AM202"/>
    <mergeCell ref="G193:V193"/>
    <mergeCell ref="W249:Z249"/>
    <mergeCell ref="AL336:AM336"/>
    <mergeCell ref="G185:V185"/>
    <mergeCell ref="E28:U28"/>
    <mergeCell ref="AK249:AM249"/>
    <mergeCell ref="B39:AM39"/>
    <mergeCell ref="B351:N351"/>
    <mergeCell ref="AE177:AH177"/>
    <mergeCell ref="B345:N345"/>
    <mergeCell ref="AJ300:AM300"/>
    <mergeCell ref="B364:AM364"/>
    <mergeCell ref="AD318:AI318"/>
    <mergeCell ref="W19:AH21"/>
    <mergeCell ref="Z63:AA63"/>
    <mergeCell ref="B217:AM217"/>
    <mergeCell ref="X270:AE270"/>
    <mergeCell ref="AD312:AI312"/>
    <mergeCell ref="AJ314:AM314"/>
    <mergeCell ref="W180:Z180"/>
    <mergeCell ref="AD299:AI299"/>
    <mergeCell ref="B268:C268"/>
    <mergeCell ref="B324:C324"/>
    <mergeCell ref="AA360:AM360"/>
    <mergeCell ref="AJ289:AM289"/>
    <mergeCell ref="G177:V177"/>
    <mergeCell ref="D329:AJ329"/>
    <mergeCell ref="B222:AM222"/>
    <mergeCell ref="AD314:AI314"/>
    <mergeCell ref="H73:AB73"/>
    <mergeCell ref="B123:AM123"/>
    <mergeCell ref="B185:F185"/>
    <mergeCell ref="B221:AM221"/>
    <mergeCell ref="D266:AJ266"/>
    <mergeCell ref="B110:AM110"/>
    <mergeCell ref="C7:AM7"/>
    <mergeCell ref="B69:AB69"/>
    <mergeCell ref="AK273:AM273"/>
    <mergeCell ref="N80:AE80"/>
    <mergeCell ref="AE186:AH186"/>
    <mergeCell ref="B74:Q74"/>
    <mergeCell ref="Z61:AA61"/>
    <mergeCell ref="B144:AM144"/>
    <mergeCell ref="E20:U20"/>
    <mergeCell ref="AL199:AM199"/>
    <mergeCell ref="B152:AM152"/>
    <mergeCell ref="B244:AM244"/>
    <mergeCell ref="B229:AM229"/>
    <mergeCell ref="L38:M38"/>
    <mergeCell ref="B82:R82"/>
    <mergeCell ref="B145:AM145"/>
    <mergeCell ref="W192:Z192"/>
    <mergeCell ref="C14:D14"/>
    <mergeCell ref="B75:Y75"/>
    <mergeCell ref="B266:C266"/>
    <mergeCell ref="B128:AM128"/>
    <mergeCell ref="AA197:AD197"/>
    <mergeCell ref="G175:V175"/>
    <mergeCell ref="AE188:AH188"/>
    <mergeCell ref="AF349:AM349"/>
    <mergeCell ref="AD294:AI294"/>
    <mergeCell ref="AB345:AE345"/>
    <mergeCell ref="X297:Z297"/>
    <mergeCell ref="B245:AM245"/>
    <mergeCell ref="AA250:AD250"/>
    <mergeCell ref="X313:Z313"/>
    <mergeCell ref="AK329:AM329"/>
    <mergeCell ref="Y346:AA346"/>
    <mergeCell ref="B329:C329"/>
    <mergeCell ref="H343:AM343"/>
    <mergeCell ref="AB348:AE348"/>
    <mergeCell ref="B257:E257"/>
    <mergeCell ref="W248:X248"/>
    <mergeCell ref="T301:U301"/>
    <mergeCell ref="AF271:AM271"/>
    <mergeCell ref="V300:W300"/>
    <mergeCell ref="B279:C279"/>
    <mergeCell ref="AD302:AI302"/>
    <mergeCell ref="AK268:AM268"/>
    <mergeCell ref="T303:U303"/>
    <mergeCell ref="B282:C282"/>
    <mergeCell ref="V303:W303"/>
    <mergeCell ref="AJ309:AM309"/>
    <mergeCell ref="E11:U11"/>
    <mergeCell ref="B103:AM103"/>
    <mergeCell ref="B78:AM78"/>
    <mergeCell ref="AE185:AH185"/>
    <mergeCell ref="B281:C281"/>
    <mergeCell ref="W185:Z185"/>
    <mergeCell ref="B205:AM205"/>
    <mergeCell ref="AJ308:AM308"/>
    <mergeCell ref="B339:AM339"/>
    <mergeCell ref="G186:V186"/>
    <mergeCell ref="C21:D21"/>
    <mergeCell ref="C23:D23"/>
    <mergeCell ref="V301:W301"/>
    <mergeCell ref="B142:AM142"/>
    <mergeCell ref="AE175:AH175"/>
    <mergeCell ref="B70:AB70"/>
    <mergeCell ref="B213:AM213"/>
    <mergeCell ref="AD308:AI308"/>
    <mergeCell ref="AD305:AI305"/>
    <mergeCell ref="AJ310:AM310"/>
    <mergeCell ref="W176:Z176"/>
    <mergeCell ref="E12:U12"/>
    <mergeCell ref="C17:D17"/>
    <mergeCell ref="B147:AM147"/>
    <mergeCell ref="B353:N353"/>
    <mergeCell ref="O270:W270"/>
    <mergeCell ref="AF260:AK260"/>
    <mergeCell ref="AE255:AJ255"/>
    <mergeCell ref="X303:Z303"/>
    <mergeCell ref="W252:Z252"/>
    <mergeCell ref="B290:W290"/>
    <mergeCell ref="B198:F198"/>
    <mergeCell ref="B55:AM55"/>
    <mergeCell ref="B348:N348"/>
    <mergeCell ref="B169:AM169"/>
    <mergeCell ref="B288:W288"/>
    <mergeCell ref="X288:Z288"/>
    <mergeCell ref="D281:AJ281"/>
    <mergeCell ref="AJ290:AM290"/>
    <mergeCell ref="B62:X62"/>
    <mergeCell ref="AK250:AM250"/>
    <mergeCell ref="B129:AM129"/>
    <mergeCell ref="B84:AM84"/>
    <mergeCell ref="AA289:AC289"/>
    <mergeCell ref="X293:Z293"/>
    <mergeCell ref="G196:V196"/>
    <mergeCell ref="B241:AM241"/>
    <mergeCell ref="AA193:AD193"/>
    <mergeCell ref="B365:AM365"/>
    <mergeCell ref="AE258:AJ258"/>
    <mergeCell ref="Y345:AA345"/>
    <mergeCell ref="AA361:AM361"/>
    <mergeCell ref="B131:AM131"/>
    <mergeCell ref="B236:AM236"/>
    <mergeCell ref="AE196:AH196"/>
    <mergeCell ref="B52:AM52"/>
    <mergeCell ref="B223:AM223"/>
    <mergeCell ref="W196:Z196"/>
    <mergeCell ref="AD315:AI315"/>
    <mergeCell ref="B360:M360"/>
    <mergeCell ref="B191:F191"/>
    <mergeCell ref="B231:AM231"/>
    <mergeCell ref="B178:F178"/>
    <mergeCell ref="AE198:AH198"/>
    <mergeCell ref="B287:AM287"/>
    <mergeCell ref="B358:AM358"/>
    <mergeCell ref="B347:N347"/>
    <mergeCell ref="B296:S296"/>
    <mergeCell ref="B53:AM53"/>
    <mergeCell ref="AE180:AH180"/>
    <mergeCell ref="B192:F192"/>
    <mergeCell ref="B65:X65"/>
    <mergeCell ref="AB352:AE352"/>
    <mergeCell ref="W178:Z178"/>
    <mergeCell ref="AA305:AC305"/>
    <mergeCell ref="C16:D16"/>
    <mergeCell ref="B81:AM81"/>
    <mergeCell ref="AA292:AC292"/>
    <mergeCell ref="B208:AM208"/>
    <mergeCell ref="AJ311:AM311"/>
    <mergeCell ref="B306:W306"/>
    <mergeCell ref="AK258:AM258"/>
    <mergeCell ref="B219:AM219"/>
    <mergeCell ref="Z62:AA62"/>
    <mergeCell ref="X306:Z306"/>
    <mergeCell ref="AA294:AC294"/>
    <mergeCell ref="O348:X348"/>
    <mergeCell ref="N336:AE336"/>
    <mergeCell ref="F255:V255"/>
    <mergeCell ref="B232:AM232"/>
    <mergeCell ref="S87:AM87"/>
    <mergeCell ref="B150:AM150"/>
    <mergeCell ref="X294:Z294"/>
    <mergeCell ref="AA295:AC295"/>
    <mergeCell ref="B195:F195"/>
    <mergeCell ref="AK281:AM281"/>
    <mergeCell ref="AK2:AM2"/>
    <mergeCell ref="C11:D11"/>
    <mergeCell ref="Z64:AA64"/>
    <mergeCell ref="B291:W291"/>
    <mergeCell ref="X291:Z291"/>
    <mergeCell ref="AK14:AM15"/>
    <mergeCell ref="AA179:AD179"/>
    <mergeCell ref="AA75:AB75"/>
    <mergeCell ref="B333:AM333"/>
    <mergeCell ref="B293:W293"/>
    <mergeCell ref="Y248:Z248"/>
    <mergeCell ref="AA248:AB248"/>
    <mergeCell ref="B99:AM99"/>
    <mergeCell ref="W28:AH30"/>
    <mergeCell ref="W181:Z181"/>
    <mergeCell ref="B239:AM239"/>
    <mergeCell ref="B297:S297"/>
    <mergeCell ref="B76:AM76"/>
    <mergeCell ref="B194:F194"/>
    <mergeCell ref="B317:W317"/>
    <mergeCell ref="F257:V257"/>
    <mergeCell ref="B73:G73"/>
    <mergeCell ref="B299:S299"/>
    <mergeCell ref="B319:W319"/>
    <mergeCell ref="C19:D19"/>
    <mergeCell ref="X312:Z312"/>
    <mergeCell ref="B249:E249"/>
    <mergeCell ref="X299:Z299"/>
    <mergeCell ref="B49:AM49"/>
    <mergeCell ref="E21:U21"/>
    <mergeCell ref="E23:U23"/>
    <mergeCell ref="C20:D20"/>
    <mergeCell ref="AI189:AM189"/>
    <mergeCell ref="F248:V248"/>
    <mergeCell ref="AA290:AC290"/>
    <mergeCell ref="B79:S79"/>
    <mergeCell ref="B302:S302"/>
    <mergeCell ref="F258:V258"/>
    <mergeCell ref="AA175:AD175"/>
    <mergeCell ref="AK274:AM274"/>
    <mergeCell ref="S90:AM90"/>
    <mergeCell ref="AA298:AC298"/>
    <mergeCell ref="AA177:AD177"/>
    <mergeCell ref="B95:AM95"/>
    <mergeCell ref="B118:AM118"/>
    <mergeCell ref="AI180:AM180"/>
    <mergeCell ref="B160:AM160"/>
    <mergeCell ref="B38:K38"/>
    <mergeCell ref="O351:X351"/>
    <mergeCell ref="AA187:AD187"/>
    <mergeCell ref="O345:X345"/>
    <mergeCell ref="AB346:AE346"/>
    <mergeCell ref="AA310:AC310"/>
    <mergeCell ref="B314:W314"/>
    <mergeCell ref="Z65:AA65"/>
    <mergeCell ref="X314:Z314"/>
    <mergeCell ref="W25:AH27"/>
    <mergeCell ref="X292:Z292"/>
    <mergeCell ref="AA251:AD251"/>
    <mergeCell ref="AA189:AD189"/>
    <mergeCell ref="B163:AM163"/>
    <mergeCell ref="X307:Z307"/>
    <mergeCell ref="B334:AM334"/>
    <mergeCell ref="O346:X346"/>
    <mergeCell ref="B113:AM113"/>
    <mergeCell ref="AD291:AI291"/>
    <mergeCell ref="B100:AM100"/>
    <mergeCell ref="B165:AM165"/>
    <mergeCell ref="B115:AM115"/>
    <mergeCell ref="B102:AM102"/>
    <mergeCell ref="G198:V198"/>
    <mergeCell ref="D274:AJ274"/>
    <mergeCell ref="B116:AM116"/>
    <mergeCell ref="B174:AM174"/>
    <mergeCell ref="B89:AM89"/>
    <mergeCell ref="W258:Z258"/>
    <mergeCell ref="AA319:AI319"/>
    <mergeCell ref="B91:R91"/>
    <mergeCell ref="AA316:AC316"/>
    <mergeCell ref="W195:Z195"/>
    <mergeCell ref="B97:AM97"/>
    <mergeCell ref="B153:AM153"/>
    <mergeCell ref="AL260:AM260"/>
    <mergeCell ref="AA309:AC309"/>
    <mergeCell ref="B313:W313"/>
    <mergeCell ref="B261:AM261"/>
    <mergeCell ref="W197:Z197"/>
    <mergeCell ref="AA188:AD188"/>
    <mergeCell ref="AF182:AK182"/>
    <mergeCell ref="AA259:AD259"/>
    <mergeCell ref="B184:AM184"/>
    <mergeCell ref="AA253:AD253"/>
    <mergeCell ref="T305:U305"/>
    <mergeCell ref="AA311:AC311"/>
    <mergeCell ref="AK282:AM282"/>
    <mergeCell ref="AD309:AI309"/>
    <mergeCell ref="X318:Z318"/>
    <mergeCell ref="B264:AM264"/>
    <mergeCell ref="B320:AM320"/>
    <mergeCell ref="B309:W309"/>
    <mergeCell ref="B321:AM321"/>
    <mergeCell ref="E260:M260"/>
    <mergeCell ref="D268:AJ268"/>
    <mergeCell ref="T299:U299"/>
    <mergeCell ref="B318:W318"/>
    <mergeCell ref="W191:Z191"/>
    <mergeCell ref="B230:AM230"/>
    <mergeCell ref="AJ316:AM316"/>
    <mergeCell ref="B311:W311"/>
    <mergeCell ref="T304:U304"/>
    <mergeCell ref="AD316:AI316"/>
    <mergeCell ref="B220:AM220"/>
    <mergeCell ref="B247:AM247"/>
    <mergeCell ref="B312:W312"/>
    <mergeCell ref="D324:AJ324"/>
    <mergeCell ref="B143:AM143"/>
    <mergeCell ref="AF336:AK336"/>
    <mergeCell ref="B248:E248"/>
    <mergeCell ref="N260:AE260"/>
    <mergeCell ref="AI187:AM187"/>
    <mergeCell ref="B176:F176"/>
    <mergeCell ref="B226:AM226"/>
    <mergeCell ref="V305:W305"/>
    <mergeCell ref="B286:AM286"/>
    <mergeCell ref="B283:C283"/>
    <mergeCell ref="V304:W304"/>
    <mergeCell ref="AA180:AD180"/>
    <mergeCell ref="W194:Z194"/>
    <mergeCell ref="B199:D199"/>
    <mergeCell ref="X311:Z311"/>
    <mergeCell ref="AA312:AC312"/>
    <mergeCell ref="B151:AM151"/>
    <mergeCell ref="B328:C328"/>
    <mergeCell ref="AI198:AM198"/>
    <mergeCell ref="B175:F175"/>
    <mergeCell ref="AE254:AJ254"/>
    <mergeCell ref="B242:AM242"/>
    <mergeCell ref="AI190:AM190"/>
    <mergeCell ref="AO323:AQ323"/>
    <mergeCell ref="AF347:AM347"/>
    <mergeCell ref="E182:M182"/>
    <mergeCell ref="AI175:AM175"/>
    <mergeCell ref="AO48:AP48"/>
    <mergeCell ref="B182:D182"/>
    <mergeCell ref="AK324:AM324"/>
    <mergeCell ref="B355:AM355"/>
    <mergeCell ref="AA185:AD185"/>
    <mergeCell ref="B134:AM134"/>
    <mergeCell ref="B280:AM280"/>
    <mergeCell ref="D325:AJ325"/>
    <mergeCell ref="B343:G343"/>
    <mergeCell ref="D328:AJ328"/>
    <mergeCell ref="AF350:AM350"/>
    <mergeCell ref="B349:N349"/>
    <mergeCell ref="B335:AM335"/>
    <mergeCell ref="AJ306:AM306"/>
    <mergeCell ref="AE259:AJ259"/>
    <mergeCell ref="AE253:AJ253"/>
    <mergeCell ref="AK253:AM253"/>
    <mergeCell ref="AC248:AD248"/>
    <mergeCell ref="AI196:AM196"/>
    <mergeCell ref="D277:AJ277"/>
    <mergeCell ref="N360:Z360"/>
    <mergeCell ref="X290:Z290"/>
    <mergeCell ref="AI177:AM177"/>
    <mergeCell ref="E29:U29"/>
    <mergeCell ref="B357:AM357"/>
    <mergeCell ref="B96:AM96"/>
    <mergeCell ref="B71:AM71"/>
    <mergeCell ref="B274:C274"/>
    <mergeCell ref="B332:AM332"/>
    <mergeCell ref="AJ295:AM295"/>
    <mergeCell ref="B111:AM111"/>
    <mergeCell ref="E31:U31"/>
    <mergeCell ref="AD289:AI289"/>
    <mergeCell ref="B267:C267"/>
    <mergeCell ref="B98:AM98"/>
    <mergeCell ref="Y353:AA353"/>
    <mergeCell ref="B325:C325"/>
    <mergeCell ref="B327:C327"/>
    <mergeCell ref="AE176:AH176"/>
    <mergeCell ref="B126:AM126"/>
    <mergeCell ref="B109:AM109"/>
    <mergeCell ref="AE191:AH191"/>
    <mergeCell ref="B47:AM47"/>
    <mergeCell ref="B218:AM218"/>
    <mergeCell ref="B9:AK9"/>
    <mergeCell ref="G194:V194"/>
    <mergeCell ref="G181:V181"/>
    <mergeCell ref="AE250:AJ250"/>
    <mergeCell ref="B162:AM162"/>
    <mergeCell ref="AJ296:AM296"/>
    <mergeCell ref="E26:U26"/>
    <mergeCell ref="X316:Z316"/>
    <mergeCell ref="AA317:AC317"/>
    <mergeCell ref="AD313:AI313"/>
    <mergeCell ref="X271:AE271"/>
    <mergeCell ref="G189:V189"/>
    <mergeCell ref="B258:E258"/>
    <mergeCell ref="B269:AM269"/>
    <mergeCell ref="AK19:AM21"/>
    <mergeCell ref="AA196:AD196"/>
    <mergeCell ref="AE251:AJ251"/>
    <mergeCell ref="AA256:AD256"/>
    <mergeCell ref="B197:F197"/>
    <mergeCell ref="B124:AM124"/>
    <mergeCell ref="B63:X63"/>
    <mergeCell ref="AA198:AD198"/>
    <mergeCell ref="B45:AM45"/>
    <mergeCell ref="B216:AM216"/>
    <mergeCell ref="C8:AM8"/>
    <mergeCell ref="AE178:AH178"/>
    <mergeCell ref="B59:AM59"/>
    <mergeCell ref="AJ301:AM301"/>
    <mergeCell ref="B46:AM46"/>
    <mergeCell ref="D327:AJ327"/>
    <mergeCell ref="B271:N271"/>
    <mergeCell ref="B179:F179"/>
    <mergeCell ref="AJ291:AM291"/>
    <mergeCell ref="B48:AM48"/>
    <mergeCell ref="AK325:AM325"/>
    <mergeCell ref="G176:V176"/>
    <mergeCell ref="AA186:AD186"/>
    <mergeCell ref="AI185:AM185"/>
    <mergeCell ref="B114:AM114"/>
    <mergeCell ref="AK251:AM251"/>
    <mergeCell ref="B212:AM212"/>
    <mergeCell ref="AA300:AC300"/>
    <mergeCell ref="G197:V197"/>
    <mergeCell ref="W179:Z179"/>
    <mergeCell ref="B203:AM203"/>
    <mergeCell ref="AF270:AM270"/>
    <mergeCell ref="AI19:AJ21"/>
    <mergeCell ref="D275:AJ275"/>
    <mergeCell ref="C5:AM5"/>
    <mergeCell ref="AJ303:AM303"/>
    <mergeCell ref="G191:V191"/>
    <mergeCell ref="AK327:AM327"/>
    <mergeCell ref="T296:U296"/>
    <mergeCell ref="AI176:AM176"/>
    <mergeCell ref="B275:C275"/>
    <mergeCell ref="B137:AM137"/>
    <mergeCell ref="AD303:AI303"/>
    <mergeCell ref="AI186:AM186"/>
    <mergeCell ref="AD290:AI290"/>
    <mergeCell ref="E32:U32"/>
    <mergeCell ref="AA252:AD252"/>
    <mergeCell ref="T298:U298"/>
    <mergeCell ref="G195:V195"/>
    <mergeCell ref="B277:C277"/>
    <mergeCell ref="B201:AM201"/>
    <mergeCell ref="B164:AM164"/>
    <mergeCell ref="B139:AM139"/>
    <mergeCell ref="AJ298:AM298"/>
    <mergeCell ref="B255:E255"/>
    <mergeCell ref="V298:W298"/>
    <mergeCell ref="D282:AJ282"/>
    <mergeCell ref="AJ304:AM304"/>
    <mergeCell ref="B359:M359"/>
    <mergeCell ref="B67:AM67"/>
    <mergeCell ref="AD301:AI301"/>
    <mergeCell ref="B112:AM112"/>
    <mergeCell ref="B51:AM51"/>
    <mergeCell ref="S82:AM82"/>
    <mergeCell ref="B193:F193"/>
    <mergeCell ref="G192:V192"/>
    <mergeCell ref="B190:F190"/>
    <mergeCell ref="AD311:AI311"/>
    <mergeCell ref="B237:AM237"/>
    <mergeCell ref="B60:AB60"/>
    <mergeCell ref="AE249:AJ249"/>
    <mergeCell ref="B138:AM138"/>
    <mergeCell ref="B209:AM209"/>
    <mergeCell ref="AD304:AI304"/>
    <mergeCell ref="R74:S74"/>
    <mergeCell ref="B252:E252"/>
    <mergeCell ref="X315:Z315"/>
    <mergeCell ref="T74:U74"/>
    <mergeCell ref="B181:F181"/>
    <mergeCell ref="X302:Z302"/>
    <mergeCell ref="AA190:AD190"/>
    <mergeCell ref="AB349:AE349"/>
    <mergeCell ref="B117:AM117"/>
    <mergeCell ref="AK248:AM248"/>
    <mergeCell ref="W255:Z255"/>
    <mergeCell ref="C22:D22"/>
    <mergeCell ref="B42:AM42"/>
    <mergeCell ref="AJ307:AM307"/>
    <mergeCell ref="AA254:AD254"/>
    <mergeCell ref="B44:AM44"/>
    <mergeCell ref="B166:AM166"/>
    <mergeCell ref="AI28:AJ30"/>
    <mergeCell ref="AF80:AK80"/>
    <mergeCell ref="B86:R86"/>
    <mergeCell ref="AA249:AD249"/>
    <mergeCell ref="B101:AM101"/>
    <mergeCell ref="AA176:AD176"/>
    <mergeCell ref="B87:R87"/>
    <mergeCell ref="AI195:AM195"/>
    <mergeCell ref="B108:AM108"/>
    <mergeCell ref="B168:AM168"/>
    <mergeCell ref="O271:W271"/>
    <mergeCell ref="B215:AM215"/>
    <mergeCell ref="C28:D28"/>
    <mergeCell ref="C30:D30"/>
    <mergeCell ref="S86:AM86"/>
    <mergeCell ref="B3:AM3"/>
    <mergeCell ref="W250:Z250"/>
    <mergeCell ref="AI192:AM192"/>
    <mergeCell ref="B122:AM122"/>
    <mergeCell ref="V299:W299"/>
    <mergeCell ref="B278:C278"/>
    <mergeCell ref="B140:AM140"/>
    <mergeCell ref="W187:Z187"/>
    <mergeCell ref="AD306:AI306"/>
    <mergeCell ref="B238:AM238"/>
    <mergeCell ref="D283:AJ283"/>
    <mergeCell ref="AI14:AJ15"/>
    <mergeCell ref="AJ297:AM297"/>
    <mergeCell ref="X300:Z300"/>
    <mergeCell ref="AK283:AM283"/>
    <mergeCell ref="G187:V187"/>
    <mergeCell ref="AD288:AI288"/>
    <mergeCell ref="B158:AM158"/>
    <mergeCell ref="B289:W289"/>
    <mergeCell ref="AL9:AM9"/>
    <mergeCell ref="X289:Z289"/>
    <mergeCell ref="B133:AM133"/>
    <mergeCell ref="N77:P77"/>
    <mergeCell ref="G180:V180"/>
    <mergeCell ref="C12:D12"/>
    <mergeCell ref="B292:W292"/>
    <mergeCell ref="C6:AM6"/>
    <mergeCell ref="W189:Z189"/>
    <mergeCell ref="AF199:AK199"/>
    <mergeCell ref="B240:AM240"/>
    <mergeCell ref="AK279:AM279"/>
    <mergeCell ref="AD297:AI297"/>
    <mergeCell ref="AJ299:AM299"/>
    <mergeCell ref="AK254:AM254"/>
    <mergeCell ref="B294:W294"/>
    <mergeCell ref="AI22:AJ24"/>
    <mergeCell ref="AD295:AI295"/>
    <mergeCell ref="C32:D32"/>
    <mergeCell ref="B132:AM132"/>
    <mergeCell ref="G179:V179"/>
    <mergeCell ref="AE192:AH192"/>
    <mergeCell ref="AE256:AJ256"/>
    <mergeCell ref="B119:AM119"/>
    <mergeCell ref="V296:W296"/>
    <mergeCell ref="AK277:AM277"/>
    <mergeCell ref="B187:F187"/>
    <mergeCell ref="AE194:AH194"/>
    <mergeCell ref="AE181:AH181"/>
    <mergeCell ref="B368:AM368"/>
    <mergeCell ref="B251:E251"/>
    <mergeCell ref="AE195:AH195"/>
    <mergeCell ref="B233:AM233"/>
    <mergeCell ref="AJ318:AM318"/>
    <mergeCell ref="B224:AM224"/>
    <mergeCell ref="W175:Z175"/>
    <mergeCell ref="AJ302:AM302"/>
    <mergeCell ref="Y350:AA350"/>
    <mergeCell ref="AA291:AC291"/>
    <mergeCell ref="B322:AM322"/>
    <mergeCell ref="AA293:AC293"/>
    <mergeCell ref="B346:N346"/>
    <mergeCell ref="AB347:AE347"/>
    <mergeCell ref="V302:W302"/>
    <mergeCell ref="AF353:AM353"/>
    <mergeCell ref="AA301:AC301"/>
    <mergeCell ref="X305:Z305"/>
    <mergeCell ref="AA306:AC306"/>
    <mergeCell ref="AA303:AC303"/>
    <mergeCell ref="B307:W307"/>
    <mergeCell ref="B350:N350"/>
    <mergeCell ref="B342:AM342"/>
    <mergeCell ref="B305:S305"/>
    <mergeCell ref="E16:U16"/>
    <mergeCell ref="B64:X64"/>
    <mergeCell ref="C13:D13"/>
    <mergeCell ref="B362:M362"/>
    <mergeCell ref="B356:AM356"/>
    <mergeCell ref="B273:C273"/>
    <mergeCell ref="AL182:AM182"/>
    <mergeCell ref="G188:V188"/>
    <mergeCell ref="B135:AM135"/>
    <mergeCell ref="O349:X349"/>
    <mergeCell ref="N361:Z361"/>
    <mergeCell ref="B336:D336"/>
    <mergeCell ref="AJ317:AM317"/>
    <mergeCell ref="B127:AM127"/>
    <mergeCell ref="B189:F189"/>
    <mergeCell ref="B285:AM285"/>
    <mergeCell ref="B352:N352"/>
    <mergeCell ref="AJ319:AM319"/>
    <mergeCell ref="AA288:AC288"/>
    <mergeCell ref="B188:F188"/>
    <mergeCell ref="AJ294:AM294"/>
    <mergeCell ref="AD300:AI300"/>
    <mergeCell ref="F250:V250"/>
    <mergeCell ref="AK22:AM24"/>
    <mergeCell ref="AO326:AQ326"/>
    <mergeCell ref="AE190:AH190"/>
    <mergeCell ref="AJ313:AM313"/>
    <mergeCell ref="W14:AH15"/>
    <mergeCell ref="C25:D25"/>
    <mergeCell ref="AE197:AH197"/>
    <mergeCell ref="W177:Z177"/>
    <mergeCell ref="F251:V251"/>
    <mergeCell ref="B2:AJ2"/>
    <mergeCell ref="B228:AM228"/>
    <mergeCell ref="AK267:AM267"/>
    <mergeCell ref="D273:AJ273"/>
    <mergeCell ref="S83:AM83"/>
    <mergeCell ref="B196:F196"/>
    <mergeCell ref="F253:V253"/>
    <mergeCell ref="B88:AM88"/>
    <mergeCell ref="B148:AM148"/>
    <mergeCell ref="W251:Z251"/>
    <mergeCell ref="AE252:AJ252"/>
    <mergeCell ref="W188:Z188"/>
    <mergeCell ref="B146:AM146"/>
    <mergeCell ref="AE179:AH179"/>
    <mergeCell ref="W259:Z259"/>
    <mergeCell ref="W253:Z253"/>
  </mergeCells>
  <conditionalFormatting sqref="AL80:AM80">
    <cfRule type="cellIs" dxfId="879" priority="12" operator="equal">
      <formula>"No"</formula>
    </cfRule>
  </conditionalFormatting>
  <conditionalFormatting sqref="AK275">
    <cfRule type="expression" dxfId="878" priority="9">
      <formula>AND($AK$273="",$AK$274="")</formula>
    </cfRule>
    <cfRule type="expression" dxfId="877" priority="10">
      <formula>$AK$275&lt;=20</formula>
    </cfRule>
    <cfRule type="expression" dxfId="876" priority="11">
      <formula>$AK$275&gt;20</formula>
    </cfRule>
  </conditionalFormatting>
  <conditionalFormatting sqref="AK279">
    <cfRule type="expression" dxfId="875" priority="6">
      <formula>AND($AK$277="",$AK$278="")</formula>
    </cfRule>
    <cfRule type="expression" dxfId="874" priority="7">
      <formula>$AK$279&lt;=25</formula>
    </cfRule>
    <cfRule type="expression" dxfId="873" priority="8">
      <formula>$AK$279&gt;25</formula>
    </cfRule>
  </conditionalFormatting>
  <conditionalFormatting sqref="AK283">
    <cfRule type="expression" dxfId="872" priority="3">
      <formula>AND($AK$281="",$AK$282="")</formula>
    </cfRule>
    <cfRule type="expression" dxfId="871" priority="4">
      <formula>$AK$283&lt;=40</formula>
    </cfRule>
    <cfRule type="expression" dxfId="870" priority="5">
      <formula>$AK$283&gt;40</formula>
    </cfRule>
  </conditionalFormatting>
  <conditionalFormatting sqref="AL9:AM9">
    <cfRule type="cellIs" dxfId="869" priority="1" operator="equal">
      <formula>"No"</formula>
    </cfRule>
    <cfRule type="cellIs" dxfId="868" priority="2" operator="equal">
      <formula>"Yes"</formula>
    </cfRule>
  </conditionalFormatting>
  <dataValidations count="12">
    <dataValidation type="list" allowBlank="1" sqref="H73:AB73" xr:uid="{00000000-0002-0000-1900-000000000000}">
      <formula1>"Owner/Operator,Contract,Memorandum of Understanding,Letter of Commitment"</formula1>
    </dataValidation>
    <dataValidation type="list" allowBlank="1" sqref="AE250:AJ259" xr:uid="{00000000-0002-0000-1900-000001000000}">
      <formula1>"Lead Service Provider,Sponsor,Project Partner"</formula1>
    </dataValidation>
    <dataValidation type="list" allowBlank="1" sqref="AK250:AM259" xr:uid="{00000000-0002-0000-1900-000002000000}">
      <formula1>"On-Site,Off-Site"</formula1>
    </dataValidation>
    <dataValidation type="list" allowBlank="1" sqref="AA289:AA292 AA296:AA306 AA308:AA318" xr:uid="{00000000-0002-0000-1900-000003000000}">
      <formula1>"Cash,In-kind"</formula1>
    </dataValidation>
    <dataValidation type="list" allowBlank="1" sqref="AD289:AD292 AD296:AD306 AD308:AD318" xr:uid="{00000000-0002-0000-1900-000004000000}">
      <formula1>"Committed,Intend to Fund or Provide,Not Committed"</formula1>
    </dataValidation>
    <dataValidation type="list" allowBlank="1" sqref="AA177:AD181 AA187:AD198" xr:uid="{00000000-0002-0000-1900-000005000000}">
      <formula1>"Sponsor,Division of Sponsor's Org,Project Partner"</formula1>
    </dataValidation>
    <dataValidation type="list" allowBlank="1" sqref="AE177:AH181 AE187:AH198" xr:uid="{00000000-0002-0000-1900-000006000000}">
      <formula1>"Contract,Memorandum of Understanding,Commitment Letter"</formula1>
    </dataValidation>
    <dataValidation type="list" allowBlank="1" showInputMessage="1" showErrorMessage="1" sqref="AL80:AM80 AL182:AM182 AL199:AM199 AL260:AM260 AL336:AM336" xr:uid="{00000000-0002-0000-1900-000007000000}">
      <formula1>"Yes,No,N/A"</formula1>
    </dataValidation>
    <dataValidation type="list" allowBlank="1" showInputMessage="1" showErrorMessage="1" sqref="C12 C14:C15 C17:C19 C21:C22 C24:C25 C27:C29 C31:C32 L38 Z61:AA65 AL9:AM9" xr:uid="{00000000-0002-0000-1900-000008000000}">
      <formula1>"Yes,No"</formula1>
    </dataValidation>
    <dataValidation type="list" allowBlank="1" sqref="B250:E259" xr:uid="{00000000-0002-0000-1900-000009000000}">
      <formula1>"Case Manager,Peer Support,HMIS Admin.,Resident Services Coordinator"</formula1>
    </dataValidation>
    <dataValidation type="list" allowBlank="1" showInputMessage="1" showErrorMessage="1" sqref="W16 W19 W22 W25 W28:AH30" xr:uid="{00000000-0002-0000-1900-00000A000000}">
      <formula1>$AS$21:$AS$31</formula1>
    </dataValidation>
    <dataValidation type="list" allowBlank="1" showInputMessage="1" showErrorMessage="1" sqref="N77 T79" xr:uid="{00000000-0002-0000-1900-00000B000000}">
      <formula1>$AO$68:$AO$71</formula1>
    </dataValidation>
  </dataValidations>
  <hyperlinks>
    <hyperlink ref="B44" r:id="rId1" xr:uid="{00000000-0004-0000-1900-000000000000}"/>
  </hyperlinks>
  <pageMargins left="0.7" right="0.7" top="0.75" bottom="0.75" header="0.3" footer="0.3"/>
  <pageSetup scale="55" fitToHeight="0" orientation="portrait" r:id="rId2"/>
  <rowBreaks count="7" manualBreakCount="7">
    <brk id="112" min="1" max="43" man="1"/>
    <brk id="146" min="1" max="43" man="1"/>
    <brk id="176" min="1" max="43" man="1"/>
    <brk id="210" min="1" max="43" man="1"/>
    <brk id="243" min="1" max="43" man="1"/>
    <brk id="284" min="1" max="43" man="1"/>
    <brk id="341" min="1" max="43" man="1"/>
  </rowBreaks>
  <legacy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AtHighRiskReq">
    <tabColor rgb="FF7030A0"/>
  </sheetPr>
  <dimension ref="A2:AQ31"/>
  <sheetViews>
    <sheetView showGridLines="0" showRowColHeaders="0" zoomScaleNormal="100" zoomScaleSheetLayoutView="100" workbookViewId="0">
      <selection activeCell="F33" sqref="F33"/>
    </sheetView>
  </sheetViews>
  <sheetFormatPr defaultColWidth="9.28515625" defaultRowHeight="18" customHeight="1"/>
  <cols>
    <col min="1" max="1" width="8.7109375" customWidth="1"/>
    <col min="2" max="39" width="4.28515625" style="14" customWidth="1"/>
    <col min="40" max="43" width="9.28515625" hidden="1" customWidth="1"/>
  </cols>
  <sheetData>
    <row r="2" spans="1:41" ht="12.75">
      <c r="B2" s="3265" t="s">
        <v>3026</v>
      </c>
      <c r="C2" s="3266"/>
      <c r="D2" s="3266"/>
      <c r="E2" s="3266"/>
      <c r="F2" s="3266"/>
      <c r="G2" s="3266"/>
      <c r="H2" s="3266"/>
      <c r="I2" s="3266"/>
      <c r="J2" s="3266"/>
      <c r="K2" s="3266"/>
      <c r="L2" s="3266"/>
      <c r="M2" s="3266"/>
      <c r="N2" s="3266"/>
      <c r="O2" s="3266"/>
      <c r="P2" s="3266"/>
      <c r="Q2" s="3266"/>
      <c r="R2" s="3266"/>
      <c r="S2" s="3266"/>
      <c r="T2" s="3266"/>
      <c r="U2" s="3266"/>
      <c r="V2" s="3266"/>
      <c r="W2" s="3266"/>
      <c r="X2" s="3266"/>
      <c r="Y2" s="3266"/>
      <c r="Z2" s="3266"/>
      <c r="AA2" s="3266"/>
      <c r="AB2" s="3266"/>
      <c r="AC2" s="3266"/>
      <c r="AD2" s="3266"/>
      <c r="AE2" s="3266"/>
      <c r="AF2" s="3266"/>
      <c r="AG2" s="3266"/>
      <c r="AH2" s="3266"/>
      <c r="AI2" s="3266"/>
      <c r="AJ2" s="3266"/>
      <c r="AK2" s="3266"/>
      <c r="AL2" s="3266"/>
      <c r="AM2" s="3266"/>
    </row>
    <row r="3" spans="1:41" ht="9" customHeight="1">
      <c r="B3" s="1725"/>
      <c r="C3" s="1725"/>
      <c r="D3" s="1725"/>
      <c r="E3" s="1725"/>
      <c r="F3" s="1725"/>
      <c r="G3" s="1725"/>
      <c r="H3" s="1725"/>
      <c r="I3" s="1725"/>
      <c r="J3" s="1725"/>
      <c r="K3" s="1725"/>
      <c r="L3" s="1725"/>
      <c r="M3" s="1725"/>
      <c r="N3" s="1725"/>
      <c r="O3" s="1725"/>
      <c r="P3" s="1725"/>
      <c r="Q3" s="1725"/>
      <c r="R3" s="1725"/>
      <c r="S3" s="1725"/>
      <c r="T3" s="1725"/>
      <c r="U3" s="1725"/>
      <c r="V3" s="1725"/>
      <c r="W3" s="1725"/>
      <c r="X3" s="1725"/>
      <c r="Y3" s="1725"/>
      <c r="Z3" s="1725"/>
      <c r="AA3" s="1725"/>
      <c r="AB3" s="1725"/>
      <c r="AC3" s="1725"/>
      <c r="AD3" s="1725"/>
      <c r="AE3" s="1725"/>
      <c r="AF3" s="1725"/>
      <c r="AG3" s="1725"/>
      <c r="AH3" s="1725"/>
      <c r="AI3" s="1725"/>
      <c r="AJ3" s="1725"/>
      <c r="AK3" s="1725"/>
      <c r="AL3" s="1725"/>
      <c r="AM3" s="1725"/>
    </row>
    <row r="4" spans="1:41" ht="54" customHeight="1">
      <c r="A4" s="5"/>
      <c r="B4" s="2075" t="s">
        <v>3027</v>
      </c>
      <c r="C4" s="3266"/>
      <c r="D4" s="3266"/>
      <c r="E4" s="3266"/>
      <c r="F4" s="3266"/>
      <c r="G4" s="3266"/>
      <c r="H4" s="3266"/>
      <c r="I4" s="3266"/>
      <c r="J4" s="3266"/>
      <c r="K4" s="3266"/>
      <c r="L4" s="3266"/>
      <c r="M4" s="3266"/>
      <c r="N4" s="3266"/>
      <c r="O4" s="3266"/>
      <c r="P4" s="3266"/>
      <c r="Q4" s="3266"/>
      <c r="R4" s="3266"/>
      <c r="S4" s="3266"/>
      <c r="T4" s="3266"/>
      <c r="U4" s="3266"/>
      <c r="V4" s="3266"/>
      <c r="W4" s="3266"/>
      <c r="X4" s="3266"/>
      <c r="Y4" s="3266"/>
      <c r="Z4" s="3266"/>
      <c r="AA4" s="3266"/>
      <c r="AB4" s="3266"/>
      <c r="AC4" s="3266"/>
      <c r="AD4" s="3266"/>
      <c r="AE4" s="3266"/>
      <c r="AF4" s="3266"/>
      <c r="AG4" s="3266"/>
      <c r="AH4" s="3266"/>
      <c r="AI4" s="3266"/>
      <c r="AJ4" s="3266"/>
      <c r="AK4" s="3266"/>
      <c r="AL4" s="3266"/>
      <c r="AM4" s="3266"/>
    </row>
    <row r="5" spans="1:41" ht="54" customHeight="1">
      <c r="B5" s="3271" t="s">
        <v>3028</v>
      </c>
      <c r="C5" s="1777"/>
      <c r="D5" s="1777"/>
      <c r="E5" s="1777"/>
      <c r="F5" s="1777"/>
      <c r="G5" s="1777"/>
      <c r="H5" s="1777"/>
      <c r="I5" s="1777"/>
      <c r="J5" s="1777"/>
      <c r="K5" s="1777"/>
      <c r="L5" s="1777"/>
      <c r="M5" s="1777"/>
      <c r="N5" s="1777"/>
      <c r="O5" s="1777"/>
      <c r="P5" s="1777"/>
      <c r="Q5" s="1777"/>
      <c r="R5" s="1777"/>
      <c r="S5" s="1777"/>
      <c r="T5" s="1777"/>
      <c r="U5" s="1777"/>
      <c r="V5" s="1777"/>
      <c r="W5" s="1777"/>
      <c r="X5" s="1777"/>
      <c r="Y5" s="1777"/>
      <c r="Z5" s="1777"/>
      <c r="AA5" s="1777"/>
      <c r="AB5" s="1777"/>
      <c r="AC5" s="1777"/>
      <c r="AD5" s="1777"/>
      <c r="AE5" s="1777"/>
      <c r="AF5" s="1777"/>
      <c r="AG5" s="1777"/>
      <c r="AH5" s="1777"/>
      <c r="AI5" s="1778"/>
      <c r="AJ5" s="3274" t="s">
        <v>3029</v>
      </c>
      <c r="AK5" s="1777"/>
      <c r="AL5" s="1777"/>
      <c r="AM5" s="1778"/>
    </row>
    <row r="6" spans="1:41" ht="18" customHeight="1">
      <c r="B6" s="3272" t="s">
        <v>3030</v>
      </c>
      <c r="C6" s="1777"/>
      <c r="D6" s="1777"/>
      <c r="E6" s="1777"/>
      <c r="F6" s="1777"/>
      <c r="G6" s="1777"/>
      <c r="H6" s="1777"/>
      <c r="I6" s="1777"/>
      <c r="J6" s="1777"/>
      <c r="K6" s="1777"/>
      <c r="L6" s="1777"/>
      <c r="M6" s="1777"/>
      <c r="N6" s="1777"/>
      <c r="O6" s="1777"/>
      <c r="P6" s="1777"/>
      <c r="Q6" s="1777"/>
      <c r="R6" s="1777"/>
      <c r="S6" s="1777"/>
      <c r="T6" s="1777"/>
      <c r="U6" s="1777"/>
      <c r="V6" s="1777"/>
      <c r="W6" s="1777"/>
      <c r="X6" s="1777"/>
      <c r="Y6" s="1777"/>
      <c r="Z6" s="1777"/>
      <c r="AA6" s="1777"/>
      <c r="AB6" s="1777"/>
      <c r="AC6" s="1777"/>
      <c r="AD6" s="1777"/>
      <c r="AE6" s="1777"/>
      <c r="AF6" s="1777"/>
      <c r="AG6" s="1777"/>
      <c r="AH6" s="1777"/>
      <c r="AI6" s="1778"/>
      <c r="AJ6" s="3267"/>
      <c r="AK6" s="1861"/>
      <c r="AL6" s="1861"/>
      <c r="AM6" s="1862"/>
      <c r="AN6">
        <f>IF(AJ6="Meets",1,0)</f>
        <v>0</v>
      </c>
      <c r="AO6">
        <v>1</v>
      </c>
    </row>
    <row r="7" spans="1:41" ht="18" customHeight="1">
      <c r="B7" s="3272" t="s">
        <v>3031</v>
      </c>
      <c r="C7" s="1777"/>
      <c r="D7" s="1777"/>
      <c r="E7" s="1777"/>
      <c r="F7" s="1777"/>
      <c r="G7" s="1777"/>
      <c r="H7" s="1777"/>
      <c r="I7" s="1777"/>
      <c r="J7" s="1777"/>
      <c r="K7" s="1777"/>
      <c r="L7" s="1777"/>
      <c r="M7" s="1777"/>
      <c r="N7" s="1777"/>
      <c r="O7" s="1777"/>
      <c r="P7" s="1777"/>
      <c r="Q7" s="1777"/>
      <c r="R7" s="1777"/>
      <c r="S7" s="1777"/>
      <c r="T7" s="1777"/>
      <c r="U7" s="1777"/>
      <c r="V7" s="1777"/>
      <c r="W7" s="1777"/>
      <c r="X7" s="1777"/>
      <c r="Y7" s="1777"/>
      <c r="Z7" s="1777"/>
      <c r="AA7" s="1777"/>
      <c r="AB7" s="1777"/>
      <c r="AC7" s="1777"/>
      <c r="AD7" s="1777"/>
      <c r="AE7" s="1777"/>
      <c r="AF7" s="1777"/>
      <c r="AG7" s="1777"/>
      <c r="AH7" s="1777"/>
      <c r="AI7" s="1777"/>
      <c r="AJ7" s="1777"/>
      <c r="AK7" s="1777"/>
      <c r="AL7" s="1777"/>
      <c r="AM7" s="1778"/>
    </row>
    <row r="8" spans="1:41" ht="83.25" customHeight="1">
      <c r="B8" s="1404" t="s">
        <v>3032</v>
      </c>
      <c r="C8" s="3268" t="s">
        <v>3033</v>
      </c>
      <c r="D8" s="1777"/>
      <c r="E8" s="1777"/>
      <c r="F8" s="1777"/>
      <c r="G8" s="1777"/>
      <c r="H8" s="1777"/>
      <c r="I8" s="1777"/>
      <c r="J8" s="1777"/>
      <c r="K8" s="1777"/>
      <c r="L8" s="1777"/>
      <c r="M8" s="1777"/>
      <c r="N8" s="1777"/>
      <c r="O8" s="1777"/>
      <c r="P8" s="1777"/>
      <c r="Q8" s="1777"/>
      <c r="R8" s="1777"/>
      <c r="S8" s="1777"/>
      <c r="T8" s="1777"/>
      <c r="U8" s="1777"/>
      <c r="V8" s="1777"/>
      <c r="W8" s="1777"/>
      <c r="X8" s="1777"/>
      <c r="Y8" s="1777"/>
      <c r="Z8" s="1777"/>
      <c r="AA8" s="1777"/>
      <c r="AB8" s="1777"/>
      <c r="AC8" s="1777"/>
      <c r="AD8" s="1777"/>
      <c r="AE8" s="1777"/>
      <c r="AF8" s="1777"/>
      <c r="AG8" s="1777"/>
      <c r="AH8" s="1777"/>
      <c r="AI8" s="1778"/>
      <c r="AJ8" s="3267"/>
      <c r="AK8" s="1861"/>
      <c r="AL8" s="1861"/>
      <c r="AM8" s="1862"/>
      <c r="AN8">
        <f t="shared" ref="AN8:AN15" si="0">IF(AJ8="Meets",1,0)</f>
        <v>0</v>
      </c>
      <c r="AO8">
        <v>2</v>
      </c>
    </row>
    <row r="9" spans="1:41" ht="77.25" customHeight="1">
      <c r="B9" s="1726" t="s">
        <v>3034</v>
      </c>
      <c r="C9" s="3268" t="s">
        <v>3035</v>
      </c>
      <c r="D9" s="1777"/>
      <c r="E9" s="1777"/>
      <c r="F9" s="1777"/>
      <c r="G9" s="1777"/>
      <c r="H9" s="1777"/>
      <c r="I9" s="1777"/>
      <c r="J9" s="1777"/>
      <c r="K9" s="1777"/>
      <c r="L9" s="1777"/>
      <c r="M9" s="1777"/>
      <c r="N9" s="1777"/>
      <c r="O9" s="1777"/>
      <c r="P9" s="1777"/>
      <c r="Q9" s="1777"/>
      <c r="R9" s="1777"/>
      <c r="S9" s="1777"/>
      <c r="T9" s="1777"/>
      <c r="U9" s="1777"/>
      <c r="V9" s="1777"/>
      <c r="W9" s="1777"/>
      <c r="X9" s="1777"/>
      <c r="Y9" s="1777"/>
      <c r="Z9" s="1777"/>
      <c r="AA9" s="1777"/>
      <c r="AB9" s="1777"/>
      <c r="AC9" s="1777"/>
      <c r="AD9" s="1777"/>
      <c r="AE9" s="1777"/>
      <c r="AF9" s="1777"/>
      <c r="AG9" s="1777"/>
      <c r="AH9" s="1777"/>
      <c r="AI9" s="1778"/>
      <c r="AJ9" s="3267"/>
      <c r="AK9" s="1861"/>
      <c r="AL9" s="1861"/>
      <c r="AM9" s="1862"/>
      <c r="AN9">
        <f t="shared" si="0"/>
        <v>0</v>
      </c>
      <c r="AO9">
        <v>3</v>
      </c>
    </row>
    <row r="10" spans="1:41" ht="36" customHeight="1">
      <c r="B10" s="1726" t="s">
        <v>1993</v>
      </c>
      <c r="C10" s="3268" t="s">
        <v>3036</v>
      </c>
      <c r="D10" s="1777"/>
      <c r="E10" s="1777"/>
      <c r="F10" s="1777"/>
      <c r="G10" s="1777"/>
      <c r="H10" s="1777"/>
      <c r="I10" s="1777"/>
      <c r="J10" s="1777"/>
      <c r="K10" s="1777"/>
      <c r="L10" s="1777"/>
      <c r="M10" s="1777"/>
      <c r="N10" s="1777"/>
      <c r="O10" s="1777"/>
      <c r="P10" s="1777"/>
      <c r="Q10" s="1777"/>
      <c r="R10" s="1777"/>
      <c r="S10" s="1777"/>
      <c r="T10" s="1777"/>
      <c r="U10" s="1777"/>
      <c r="V10" s="1777"/>
      <c r="W10" s="1777"/>
      <c r="X10" s="1777"/>
      <c r="Y10" s="1777"/>
      <c r="Z10" s="1777"/>
      <c r="AA10" s="1777"/>
      <c r="AB10" s="1777"/>
      <c r="AC10" s="1777"/>
      <c r="AD10" s="1777"/>
      <c r="AE10" s="1777"/>
      <c r="AF10" s="1777"/>
      <c r="AG10" s="1777"/>
      <c r="AH10" s="1777"/>
      <c r="AI10" s="1778"/>
      <c r="AJ10" s="3267"/>
      <c r="AK10" s="1861"/>
      <c r="AL10" s="1861"/>
      <c r="AM10" s="1862"/>
      <c r="AN10">
        <f t="shared" si="0"/>
        <v>0</v>
      </c>
      <c r="AO10">
        <v>4</v>
      </c>
    </row>
    <row r="11" spans="1:41" ht="81" customHeight="1">
      <c r="B11" s="1726" t="s">
        <v>3037</v>
      </c>
      <c r="C11" s="3268" t="s">
        <v>3038</v>
      </c>
      <c r="D11" s="1777"/>
      <c r="E11" s="1777"/>
      <c r="F11" s="1777"/>
      <c r="G11" s="1777"/>
      <c r="H11" s="1777"/>
      <c r="I11" s="1777"/>
      <c r="J11" s="1777"/>
      <c r="K11" s="1777"/>
      <c r="L11" s="1777"/>
      <c r="M11" s="1777"/>
      <c r="N11" s="1777"/>
      <c r="O11" s="1777"/>
      <c r="P11" s="1777"/>
      <c r="Q11" s="1777"/>
      <c r="R11" s="1777"/>
      <c r="S11" s="1777"/>
      <c r="T11" s="1777"/>
      <c r="U11" s="1777"/>
      <c r="V11" s="1777"/>
      <c r="W11" s="1777"/>
      <c r="X11" s="1777"/>
      <c r="Y11" s="1777"/>
      <c r="Z11" s="1777"/>
      <c r="AA11" s="1777"/>
      <c r="AB11" s="1777"/>
      <c r="AC11" s="1777"/>
      <c r="AD11" s="1777"/>
      <c r="AE11" s="1777"/>
      <c r="AF11" s="1777"/>
      <c r="AG11" s="1777"/>
      <c r="AH11" s="1777"/>
      <c r="AI11" s="1778"/>
      <c r="AJ11" s="3267"/>
      <c r="AK11" s="1861"/>
      <c r="AL11" s="1861"/>
      <c r="AM11" s="1862"/>
      <c r="AN11">
        <f t="shared" si="0"/>
        <v>0</v>
      </c>
      <c r="AO11">
        <v>5</v>
      </c>
    </row>
    <row r="12" spans="1:41" ht="36" customHeight="1">
      <c r="B12" s="1726" t="s">
        <v>3039</v>
      </c>
      <c r="C12" s="3268" t="s">
        <v>3040</v>
      </c>
      <c r="D12" s="1777"/>
      <c r="E12" s="1777"/>
      <c r="F12" s="1777"/>
      <c r="G12" s="1777"/>
      <c r="H12" s="1777"/>
      <c r="I12" s="1777"/>
      <c r="J12" s="1777"/>
      <c r="K12" s="1777"/>
      <c r="L12" s="1777"/>
      <c r="M12" s="1777"/>
      <c r="N12" s="1777"/>
      <c r="O12" s="1777"/>
      <c r="P12" s="1777"/>
      <c r="Q12" s="1777"/>
      <c r="R12" s="1777"/>
      <c r="S12" s="1777"/>
      <c r="T12" s="1777"/>
      <c r="U12" s="1777"/>
      <c r="V12" s="1777"/>
      <c r="W12" s="1777"/>
      <c r="X12" s="1777"/>
      <c r="Y12" s="1777"/>
      <c r="Z12" s="1777"/>
      <c r="AA12" s="1777"/>
      <c r="AB12" s="1777"/>
      <c r="AC12" s="1777"/>
      <c r="AD12" s="1777"/>
      <c r="AE12" s="1777"/>
      <c r="AF12" s="1777"/>
      <c r="AG12" s="1777"/>
      <c r="AH12" s="1777"/>
      <c r="AI12" s="1778"/>
      <c r="AJ12" s="3267"/>
      <c r="AK12" s="1861"/>
      <c r="AL12" s="1861"/>
      <c r="AM12" s="1862"/>
      <c r="AN12">
        <f t="shared" si="0"/>
        <v>0</v>
      </c>
      <c r="AO12">
        <v>6</v>
      </c>
    </row>
    <row r="13" spans="1:41" ht="36" customHeight="1">
      <c r="B13" s="1405" t="s">
        <v>3041</v>
      </c>
      <c r="C13" s="3268" t="s">
        <v>3042</v>
      </c>
      <c r="D13" s="1777"/>
      <c r="E13" s="1777"/>
      <c r="F13" s="1777"/>
      <c r="G13" s="1777"/>
      <c r="H13" s="1777"/>
      <c r="I13" s="1777"/>
      <c r="J13" s="1777"/>
      <c r="K13" s="1777"/>
      <c r="L13" s="1777"/>
      <c r="M13" s="1777"/>
      <c r="N13" s="1777"/>
      <c r="O13" s="1777"/>
      <c r="P13" s="1777"/>
      <c r="Q13" s="1777"/>
      <c r="R13" s="1777"/>
      <c r="S13" s="1777"/>
      <c r="T13" s="1777"/>
      <c r="U13" s="1777"/>
      <c r="V13" s="1777"/>
      <c r="W13" s="1777"/>
      <c r="X13" s="1777"/>
      <c r="Y13" s="1777"/>
      <c r="Z13" s="1777"/>
      <c r="AA13" s="1777"/>
      <c r="AB13" s="1777"/>
      <c r="AC13" s="1777"/>
      <c r="AD13" s="1777"/>
      <c r="AE13" s="1777"/>
      <c r="AF13" s="1777"/>
      <c r="AG13" s="1777"/>
      <c r="AH13" s="1777"/>
      <c r="AI13" s="1778"/>
      <c r="AJ13" s="3267"/>
      <c r="AK13" s="1861"/>
      <c r="AL13" s="1861"/>
      <c r="AM13" s="1862"/>
      <c r="AN13">
        <f t="shared" si="0"/>
        <v>0</v>
      </c>
      <c r="AO13">
        <v>7</v>
      </c>
    </row>
    <row r="14" spans="1:41" ht="36" customHeight="1">
      <c r="B14" s="3269" t="s">
        <v>3043</v>
      </c>
      <c r="C14" s="1778"/>
      <c r="D14" s="3268" t="s">
        <v>3044</v>
      </c>
      <c r="E14" s="1777"/>
      <c r="F14" s="1777"/>
      <c r="G14" s="1777"/>
      <c r="H14" s="1777"/>
      <c r="I14" s="1777"/>
      <c r="J14" s="1777"/>
      <c r="K14" s="1777"/>
      <c r="L14" s="1777"/>
      <c r="M14" s="1777"/>
      <c r="N14" s="1777"/>
      <c r="O14" s="1777"/>
      <c r="P14" s="1777"/>
      <c r="Q14" s="1777"/>
      <c r="R14" s="1777"/>
      <c r="S14" s="1777"/>
      <c r="T14" s="1777"/>
      <c r="U14" s="1777"/>
      <c r="V14" s="1777"/>
      <c r="W14" s="1777"/>
      <c r="X14" s="1777"/>
      <c r="Y14" s="1777"/>
      <c r="Z14" s="1777"/>
      <c r="AA14" s="1777"/>
      <c r="AB14" s="1777"/>
      <c r="AC14" s="1777"/>
      <c r="AD14" s="1777"/>
      <c r="AE14" s="1777"/>
      <c r="AF14" s="1777"/>
      <c r="AG14" s="1777"/>
      <c r="AH14" s="1777"/>
      <c r="AI14" s="1778"/>
      <c r="AJ14" s="3267"/>
      <c r="AK14" s="1861"/>
      <c r="AL14" s="1861"/>
      <c r="AM14" s="1862"/>
      <c r="AN14">
        <f t="shared" si="0"/>
        <v>0</v>
      </c>
      <c r="AO14">
        <v>8</v>
      </c>
    </row>
    <row r="15" spans="1:41" ht="36" customHeight="1">
      <c r="B15" s="3269" t="s">
        <v>3045</v>
      </c>
      <c r="C15" s="1778"/>
      <c r="D15" s="3268" t="s">
        <v>3046</v>
      </c>
      <c r="E15" s="1777"/>
      <c r="F15" s="1777"/>
      <c r="G15" s="1777"/>
      <c r="H15" s="1777"/>
      <c r="I15" s="1777"/>
      <c r="J15" s="1777"/>
      <c r="K15" s="1777"/>
      <c r="L15" s="1777"/>
      <c r="M15" s="1777"/>
      <c r="N15" s="1777"/>
      <c r="O15" s="1777"/>
      <c r="P15" s="1777"/>
      <c r="Q15" s="1777"/>
      <c r="R15" s="1777"/>
      <c r="S15" s="1777"/>
      <c r="T15" s="1777"/>
      <c r="U15" s="1777"/>
      <c r="V15" s="1777"/>
      <c r="W15" s="1777"/>
      <c r="X15" s="1777"/>
      <c r="Y15" s="1777"/>
      <c r="Z15" s="1777"/>
      <c r="AA15" s="1777"/>
      <c r="AB15" s="1777"/>
      <c r="AC15" s="1777"/>
      <c r="AD15" s="1777"/>
      <c r="AE15" s="1777"/>
      <c r="AF15" s="1777"/>
      <c r="AG15" s="1777"/>
      <c r="AH15" s="1777"/>
      <c r="AI15" s="1778"/>
      <c r="AJ15" s="3267"/>
      <c r="AK15" s="1861"/>
      <c r="AL15" s="1861"/>
      <c r="AM15" s="1862"/>
      <c r="AN15">
        <f t="shared" si="0"/>
        <v>0</v>
      </c>
      <c r="AO15">
        <v>9</v>
      </c>
    </row>
    <row r="17" spans="1:41" ht="18" customHeight="1">
      <c r="A17" s="5"/>
      <c r="B17" s="3270" t="s">
        <v>3047</v>
      </c>
      <c r="C17" s="3266"/>
      <c r="D17" s="3266"/>
      <c r="E17" s="3266"/>
      <c r="F17" s="3266"/>
      <c r="G17" s="3266"/>
      <c r="H17" s="3266"/>
      <c r="I17" s="3266"/>
      <c r="J17" s="3266"/>
      <c r="K17" s="3266"/>
      <c r="L17" s="3266"/>
      <c r="M17" s="3266"/>
      <c r="N17" s="3266"/>
      <c r="O17" s="3266"/>
      <c r="P17" s="3266"/>
      <c r="Q17" s="3266"/>
      <c r="R17" s="3266"/>
      <c r="S17" s="3266"/>
      <c r="T17" s="3266"/>
      <c r="U17" s="3266"/>
      <c r="V17" s="3266"/>
      <c r="W17" s="3266"/>
      <c r="X17" s="3266"/>
      <c r="Y17" s="3266"/>
      <c r="Z17" s="3266"/>
      <c r="AA17" s="3266"/>
      <c r="AB17" s="3266"/>
      <c r="AC17" s="3266"/>
      <c r="AD17" s="3266"/>
      <c r="AE17" s="3266"/>
      <c r="AF17" s="3266"/>
      <c r="AG17" s="3266"/>
      <c r="AH17" s="3266"/>
      <c r="AI17" s="3266"/>
      <c r="AJ17" s="3266"/>
      <c r="AK17" s="3266"/>
      <c r="AL17" s="3266"/>
      <c r="AM17" s="3266"/>
    </row>
    <row r="18" spans="1:41" ht="54" customHeight="1">
      <c r="B18" s="1726" t="s">
        <v>1989</v>
      </c>
      <c r="C18" s="3268" t="s">
        <v>3048</v>
      </c>
      <c r="D18" s="1777"/>
      <c r="E18" s="1777"/>
      <c r="F18" s="1777"/>
      <c r="G18" s="1777"/>
      <c r="H18" s="1777"/>
      <c r="I18" s="1777"/>
      <c r="J18" s="1777"/>
      <c r="K18" s="1777"/>
      <c r="L18" s="1777"/>
      <c r="M18" s="1777"/>
      <c r="N18" s="1777"/>
      <c r="O18" s="1777"/>
      <c r="P18" s="1777"/>
      <c r="Q18" s="1777"/>
      <c r="R18" s="1777"/>
      <c r="S18" s="1777"/>
      <c r="T18" s="1777"/>
      <c r="U18" s="1777"/>
      <c r="V18" s="1777"/>
      <c r="W18" s="1777"/>
      <c r="X18" s="1777"/>
      <c r="Y18" s="1777"/>
      <c r="Z18" s="1777"/>
      <c r="AA18" s="1777"/>
      <c r="AB18" s="1777"/>
      <c r="AC18" s="1777"/>
      <c r="AD18" s="1777"/>
      <c r="AE18" s="1777"/>
      <c r="AF18" s="1777"/>
      <c r="AG18" s="1777"/>
      <c r="AH18" s="1777"/>
      <c r="AI18" s="1778"/>
      <c r="AJ18" s="3267"/>
      <c r="AK18" s="1861"/>
      <c r="AL18" s="1861"/>
      <c r="AM18" s="1862"/>
      <c r="AN18">
        <f>IF(AJ18="Meets",1,0)</f>
        <v>0</v>
      </c>
      <c r="AO18">
        <v>10</v>
      </c>
    </row>
    <row r="19" spans="1:41" ht="36" customHeight="1">
      <c r="B19" s="1726" t="s">
        <v>1990</v>
      </c>
      <c r="C19" s="3268" t="s">
        <v>3049</v>
      </c>
      <c r="D19" s="1777"/>
      <c r="E19" s="1777"/>
      <c r="F19" s="1777"/>
      <c r="G19" s="1777"/>
      <c r="H19" s="1777"/>
      <c r="I19" s="1777"/>
      <c r="J19" s="1777"/>
      <c r="K19" s="1777"/>
      <c r="L19" s="1777"/>
      <c r="M19" s="1777"/>
      <c r="N19" s="1777"/>
      <c r="O19" s="1777"/>
      <c r="P19" s="1777"/>
      <c r="Q19" s="1777"/>
      <c r="R19" s="1777"/>
      <c r="S19" s="1777"/>
      <c r="T19" s="1777"/>
      <c r="U19" s="1777"/>
      <c r="V19" s="1777"/>
      <c r="W19" s="1777"/>
      <c r="X19" s="1777"/>
      <c r="Y19" s="1777"/>
      <c r="Z19" s="1777"/>
      <c r="AA19" s="1777"/>
      <c r="AB19" s="1777"/>
      <c r="AC19" s="1777"/>
      <c r="AD19" s="1777"/>
      <c r="AE19" s="1777"/>
      <c r="AF19" s="1777"/>
      <c r="AG19" s="1777"/>
      <c r="AH19" s="1777"/>
      <c r="AI19" s="1778"/>
      <c r="AJ19" s="3267"/>
      <c r="AK19" s="1861"/>
      <c r="AL19" s="1861"/>
      <c r="AM19" s="1862"/>
      <c r="AN19">
        <f>IF(AJ19="Meets",1,0)</f>
        <v>0</v>
      </c>
      <c r="AO19">
        <v>11</v>
      </c>
    </row>
    <row r="20" spans="1:41" ht="63" customHeight="1">
      <c r="B20" s="1405" t="s">
        <v>1996</v>
      </c>
      <c r="C20" s="3268" t="s">
        <v>3050</v>
      </c>
      <c r="D20" s="1777"/>
      <c r="E20" s="1777"/>
      <c r="F20" s="1777"/>
      <c r="G20" s="1777"/>
      <c r="H20" s="1777"/>
      <c r="I20" s="1777"/>
      <c r="J20" s="1777"/>
      <c r="K20" s="1777"/>
      <c r="L20" s="1777"/>
      <c r="M20" s="1777"/>
      <c r="N20" s="1777"/>
      <c r="O20" s="1777"/>
      <c r="P20" s="1777"/>
      <c r="Q20" s="1777"/>
      <c r="R20" s="1777"/>
      <c r="S20" s="1777"/>
      <c r="T20" s="1777"/>
      <c r="U20" s="1777"/>
      <c r="V20" s="1777"/>
      <c r="W20" s="1777"/>
      <c r="X20" s="1777"/>
      <c r="Y20" s="1777"/>
      <c r="Z20" s="1777"/>
      <c r="AA20" s="1777"/>
      <c r="AB20" s="1777"/>
      <c r="AC20" s="1777"/>
      <c r="AD20" s="1777"/>
      <c r="AE20" s="1777"/>
      <c r="AF20" s="1777"/>
      <c r="AG20" s="1777"/>
      <c r="AH20" s="1777"/>
      <c r="AI20" s="1778"/>
      <c r="AJ20" s="3267"/>
      <c r="AK20" s="1861"/>
      <c r="AL20" s="1861"/>
      <c r="AM20" s="1862"/>
      <c r="AN20">
        <f>IF(AJ20="Meets",1,0)</f>
        <v>0</v>
      </c>
      <c r="AO20">
        <v>12</v>
      </c>
    </row>
    <row r="21" spans="1:41" ht="36" customHeight="1">
      <c r="B21" s="3269" t="s">
        <v>1999</v>
      </c>
      <c r="C21" s="3271" t="s">
        <v>3051</v>
      </c>
      <c r="D21" s="1777"/>
      <c r="E21" s="1777"/>
      <c r="F21" s="1777"/>
      <c r="G21" s="1777"/>
      <c r="H21" s="1777"/>
      <c r="I21" s="1777"/>
      <c r="J21" s="1777"/>
      <c r="K21" s="1777"/>
      <c r="L21" s="1777"/>
      <c r="M21" s="1777"/>
      <c r="N21" s="1777"/>
      <c r="O21" s="1777"/>
      <c r="P21" s="1777"/>
      <c r="Q21" s="1777"/>
      <c r="R21" s="1777"/>
      <c r="S21" s="1777"/>
      <c r="T21" s="1777"/>
      <c r="U21" s="1777"/>
      <c r="V21" s="1777"/>
      <c r="W21" s="1777"/>
      <c r="X21" s="1777"/>
      <c r="Y21" s="1777"/>
      <c r="Z21" s="1777"/>
      <c r="AA21" s="1777"/>
      <c r="AB21" s="1777"/>
      <c r="AC21" s="1777"/>
      <c r="AD21" s="1777"/>
      <c r="AE21" s="1777"/>
      <c r="AF21" s="1777"/>
      <c r="AG21" s="1777"/>
      <c r="AH21" s="1777"/>
      <c r="AI21" s="1778"/>
      <c r="AJ21" s="3267"/>
      <c r="AK21" s="1864"/>
      <c r="AL21" s="1864"/>
      <c r="AM21" s="1865"/>
    </row>
    <row r="22" spans="1:41" ht="36" customHeight="1">
      <c r="B22" s="2464"/>
      <c r="C22" s="1726" t="s">
        <v>3052</v>
      </c>
      <c r="D22" s="3273" t="s">
        <v>3053</v>
      </c>
      <c r="E22" s="1777"/>
      <c r="F22" s="1777"/>
      <c r="G22" s="1777"/>
      <c r="H22" s="1777"/>
      <c r="I22" s="1777"/>
      <c r="J22" s="1777"/>
      <c r="K22" s="1777"/>
      <c r="L22" s="1777"/>
      <c r="M22" s="1777"/>
      <c r="N22" s="1777"/>
      <c r="O22" s="1777"/>
      <c r="P22" s="1777"/>
      <c r="Q22" s="1777"/>
      <c r="R22" s="1777"/>
      <c r="S22" s="1777"/>
      <c r="T22" s="1777"/>
      <c r="U22" s="1777"/>
      <c r="V22" s="1777"/>
      <c r="W22" s="1777"/>
      <c r="X22" s="1777"/>
      <c r="Y22" s="1777"/>
      <c r="Z22" s="1777"/>
      <c r="AA22" s="1777"/>
      <c r="AB22" s="1777"/>
      <c r="AC22" s="1777"/>
      <c r="AD22" s="1777"/>
      <c r="AE22" s="1777"/>
      <c r="AF22" s="1777"/>
      <c r="AG22" s="1777"/>
      <c r="AH22" s="1777"/>
      <c r="AI22" s="1778"/>
      <c r="AJ22" s="2579"/>
      <c r="AK22" s="2022"/>
      <c r="AL22" s="2022"/>
      <c r="AM22" s="2023"/>
    </row>
    <row r="23" spans="1:41" ht="18" customHeight="1">
      <c r="B23" s="2465"/>
      <c r="C23" s="1406" t="s">
        <v>3054</v>
      </c>
      <c r="D23" s="3268" t="s">
        <v>3055</v>
      </c>
      <c r="E23" s="1777"/>
      <c r="F23" s="1777"/>
      <c r="G23" s="1777"/>
      <c r="H23" s="1777"/>
      <c r="I23" s="1777"/>
      <c r="J23" s="1777"/>
      <c r="K23" s="1777"/>
      <c r="L23" s="1777"/>
      <c r="M23" s="1777"/>
      <c r="N23" s="1777"/>
      <c r="O23" s="1777"/>
      <c r="P23" s="1777"/>
      <c r="Q23" s="1777"/>
      <c r="R23" s="1777"/>
      <c r="S23" s="1777"/>
      <c r="T23" s="1777"/>
      <c r="U23" s="1777"/>
      <c r="V23" s="1777"/>
      <c r="W23" s="1777"/>
      <c r="X23" s="1777"/>
      <c r="Y23" s="1777"/>
      <c r="Z23" s="1777"/>
      <c r="AA23" s="1777"/>
      <c r="AB23" s="1777"/>
      <c r="AC23" s="1777"/>
      <c r="AD23" s="1777"/>
      <c r="AE23" s="1777"/>
      <c r="AF23" s="1777"/>
      <c r="AG23" s="1777"/>
      <c r="AH23" s="1777"/>
      <c r="AI23" s="1778"/>
      <c r="AJ23" s="2574"/>
      <c r="AK23" s="1869"/>
      <c r="AL23" s="1869"/>
      <c r="AM23" s="1870"/>
      <c r="AN23">
        <f>IF(AJ23="Meets",1,0)</f>
        <v>0</v>
      </c>
      <c r="AO23">
        <v>13</v>
      </c>
    </row>
    <row r="24" spans="1:41" ht="36" customHeight="1">
      <c r="B24" s="1726" t="s">
        <v>2742</v>
      </c>
      <c r="C24" s="3268" t="s">
        <v>3056</v>
      </c>
      <c r="D24" s="1777"/>
      <c r="E24" s="1777"/>
      <c r="F24" s="1777"/>
      <c r="G24" s="1777"/>
      <c r="H24" s="1777"/>
      <c r="I24" s="1777"/>
      <c r="J24" s="1777"/>
      <c r="K24" s="1777"/>
      <c r="L24" s="1777"/>
      <c r="M24" s="1777"/>
      <c r="N24" s="1777"/>
      <c r="O24" s="1777"/>
      <c r="P24" s="1777"/>
      <c r="Q24" s="1777"/>
      <c r="R24" s="1777"/>
      <c r="S24" s="1777"/>
      <c r="T24" s="1777"/>
      <c r="U24" s="1777"/>
      <c r="V24" s="1777"/>
      <c r="W24" s="1777"/>
      <c r="X24" s="1777"/>
      <c r="Y24" s="1777"/>
      <c r="Z24" s="1777"/>
      <c r="AA24" s="1777"/>
      <c r="AB24" s="1777"/>
      <c r="AC24" s="1777"/>
      <c r="AD24" s="1777"/>
      <c r="AE24" s="1777"/>
      <c r="AF24" s="1777"/>
      <c r="AG24" s="1777"/>
      <c r="AH24" s="1777"/>
      <c r="AI24" s="1778"/>
      <c r="AJ24" s="3267"/>
      <c r="AK24" s="1861"/>
      <c r="AL24" s="1861"/>
      <c r="AM24" s="1862"/>
      <c r="AN24">
        <f>IF(AJ24="Meets",1,0)</f>
        <v>0</v>
      </c>
      <c r="AO24">
        <v>14</v>
      </c>
    </row>
    <row r="25" spans="1:41" ht="36" customHeight="1">
      <c r="B25" s="1726" t="s">
        <v>2743</v>
      </c>
      <c r="C25" s="3268" t="s">
        <v>3057</v>
      </c>
      <c r="D25" s="1777"/>
      <c r="E25" s="1777"/>
      <c r="F25" s="1777"/>
      <c r="G25" s="1777"/>
      <c r="H25" s="1777"/>
      <c r="I25" s="1777"/>
      <c r="J25" s="1777"/>
      <c r="K25" s="1777"/>
      <c r="L25" s="1777"/>
      <c r="M25" s="1777"/>
      <c r="N25" s="1777"/>
      <c r="O25" s="1777"/>
      <c r="P25" s="1777"/>
      <c r="Q25" s="1777"/>
      <c r="R25" s="1777"/>
      <c r="S25" s="1777"/>
      <c r="T25" s="1777"/>
      <c r="U25" s="1777"/>
      <c r="V25" s="1777"/>
      <c r="W25" s="1777"/>
      <c r="X25" s="1777"/>
      <c r="Y25" s="1777"/>
      <c r="Z25" s="1777"/>
      <c r="AA25" s="1777"/>
      <c r="AB25" s="1777"/>
      <c r="AC25" s="1777"/>
      <c r="AD25" s="1777"/>
      <c r="AE25" s="1777"/>
      <c r="AF25" s="1777"/>
      <c r="AG25" s="1777"/>
      <c r="AH25" s="1777"/>
      <c r="AI25" s="1778"/>
      <c r="AJ25" s="3267"/>
      <c r="AK25" s="1861"/>
      <c r="AL25" s="1861"/>
      <c r="AM25" s="1862"/>
      <c r="AN25">
        <f>IF(AJ25="Meets",1,0)</f>
        <v>0</v>
      </c>
      <c r="AO25">
        <v>15</v>
      </c>
    </row>
    <row r="26" spans="1:41" ht="18" customHeight="1">
      <c r="B26" s="1726" t="s">
        <v>2744</v>
      </c>
      <c r="C26" s="3268" t="s">
        <v>3058</v>
      </c>
      <c r="D26" s="1777"/>
      <c r="E26" s="1777"/>
      <c r="F26" s="1777"/>
      <c r="G26" s="1777"/>
      <c r="H26" s="1777"/>
      <c r="I26" s="1777"/>
      <c r="J26" s="1777"/>
      <c r="K26" s="1777"/>
      <c r="L26" s="1777"/>
      <c r="M26" s="1777"/>
      <c r="N26" s="1777"/>
      <c r="O26" s="1777"/>
      <c r="P26" s="1777"/>
      <c r="Q26" s="1777"/>
      <c r="R26" s="1777"/>
      <c r="S26" s="1777"/>
      <c r="T26" s="1777"/>
      <c r="U26" s="1777"/>
      <c r="V26" s="1777"/>
      <c r="W26" s="1777"/>
      <c r="X26" s="1777"/>
      <c r="Y26" s="1777"/>
      <c r="Z26" s="1777"/>
      <c r="AA26" s="1777"/>
      <c r="AB26" s="1777"/>
      <c r="AC26" s="1777"/>
      <c r="AD26" s="1777"/>
      <c r="AE26" s="1777"/>
      <c r="AF26" s="1777"/>
      <c r="AG26" s="1777"/>
      <c r="AH26" s="1777"/>
      <c r="AI26" s="1778"/>
      <c r="AJ26" s="3267"/>
      <c r="AK26" s="1861"/>
      <c r="AL26" s="1861"/>
      <c r="AM26" s="1862"/>
      <c r="AN26">
        <f>SUM(AN18:AN25,AN8:AN15,AN6)</f>
        <v>0</v>
      </c>
    </row>
    <row r="27" spans="1:41" ht="18" customHeight="1">
      <c r="B27" s="1726" t="s">
        <v>2745</v>
      </c>
      <c r="C27" s="3268" t="s">
        <v>3059</v>
      </c>
      <c r="D27" s="1777"/>
      <c r="E27" s="1777"/>
      <c r="F27" s="1777"/>
      <c r="G27" s="1777"/>
      <c r="H27" s="1777"/>
      <c r="I27" s="1777"/>
      <c r="J27" s="1777"/>
      <c r="K27" s="1777"/>
      <c r="L27" s="1777"/>
      <c r="M27" s="1777"/>
      <c r="N27" s="1777"/>
      <c r="O27" s="1777"/>
      <c r="P27" s="1777"/>
      <c r="Q27" s="1777"/>
      <c r="R27" s="1777"/>
      <c r="S27" s="1777"/>
      <c r="T27" s="1777"/>
      <c r="U27" s="1777"/>
      <c r="V27" s="1777"/>
      <c r="W27" s="1777"/>
      <c r="X27" s="1777"/>
      <c r="Y27" s="1777"/>
      <c r="Z27" s="1777"/>
      <c r="AA27" s="1777"/>
      <c r="AB27" s="1777"/>
      <c r="AC27" s="1777"/>
      <c r="AD27" s="1777"/>
      <c r="AE27" s="1777"/>
      <c r="AF27" s="1777"/>
      <c r="AG27" s="1777"/>
      <c r="AH27" s="1777"/>
      <c r="AI27" s="1778"/>
      <c r="AJ27" s="3267"/>
      <c r="AK27" s="1861"/>
      <c r="AL27" s="1861"/>
      <c r="AM27" s="1862"/>
    </row>
    <row r="28" spans="1:41" ht="18" customHeight="1">
      <c r="B28" s="1726" t="s">
        <v>2746</v>
      </c>
      <c r="C28" s="3268" t="s">
        <v>3060</v>
      </c>
      <c r="D28" s="1777"/>
      <c r="E28" s="1777"/>
      <c r="F28" s="1777"/>
      <c r="G28" s="1777"/>
      <c r="H28" s="1777"/>
      <c r="I28" s="1777"/>
      <c r="J28" s="1777"/>
      <c r="K28" s="1777"/>
      <c r="L28" s="1777"/>
      <c r="M28" s="1777"/>
      <c r="N28" s="1777"/>
      <c r="O28" s="1777"/>
      <c r="P28" s="1777"/>
      <c r="Q28" s="1777"/>
      <c r="R28" s="1777"/>
      <c r="S28" s="1777"/>
      <c r="T28" s="1777"/>
      <c r="U28" s="1777"/>
      <c r="V28" s="1777"/>
      <c r="W28" s="1777"/>
      <c r="X28" s="1777"/>
      <c r="Y28" s="1777"/>
      <c r="Z28" s="1777"/>
      <c r="AA28" s="1777"/>
      <c r="AB28" s="1777"/>
      <c r="AC28" s="1777"/>
      <c r="AD28" s="1777"/>
      <c r="AE28" s="1777"/>
      <c r="AF28" s="1777"/>
      <c r="AG28" s="1777"/>
      <c r="AH28" s="1777"/>
      <c r="AI28" s="1778"/>
      <c r="AJ28" s="3267"/>
      <c r="AK28" s="1861"/>
      <c r="AL28" s="1861"/>
      <c r="AM28" s="1862"/>
    </row>
    <row r="29" spans="1:41" ht="54" customHeight="1">
      <c r="B29" s="1726" t="s">
        <v>2747</v>
      </c>
      <c r="C29" s="3268" t="s">
        <v>3061</v>
      </c>
      <c r="D29" s="1777"/>
      <c r="E29" s="1777"/>
      <c r="F29" s="1777"/>
      <c r="G29" s="1777"/>
      <c r="H29" s="1777"/>
      <c r="I29" s="1777"/>
      <c r="J29" s="1777"/>
      <c r="K29" s="1777"/>
      <c r="L29" s="1777"/>
      <c r="M29" s="1777"/>
      <c r="N29" s="1777"/>
      <c r="O29" s="1777"/>
      <c r="P29" s="1777"/>
      <c r="Q29" s="1777"/>
      <c r="R29" s="1777"/>
      <c r="S29" s="1777"/>
      <c r="T29" s="1777"/>
      <c r="U29" s="1777"/>
      <c r="V29" s="1777"/>
      <c r="W29" s="1777"/>
      <c r="X29" s="1777"/>
      <c r="Y29" s="1777"/>
      <c r="Z29" s="1777"/>
      <c r="AA29" s="1777"/>
      <c r="AB29" s="1777"/>
      <c r="AC29" s="1777"/>
      <c r="AD29" s="1777"/>
      <c r="AE29" s="1777"/>
      <c r="AF29" s="1777"/>
      <c r="AG29" s="1777"/>
      <c r="AH29" s="1777"/>
      <c r="AI29" s="1778"/>
      <c r="AJ29" s="3267"/>
      <c r="AK29" s="1861"/>
      <c r="AL29" s="1861"/>
      <c r="AM29" s="1862"/>
    </row>
    <row r="31" spans="1:41" ht="18" customHeight="1">
      <c r="B31" s="2529" t="s">
        <v>461</v>
      </c>
      <c r="C31" s="3266"/>
      <c r="D31" s="3266"/>
      <c r="E31" s="3266"/>
      <c r="F31" s="3266"/>
      <c r="G31" s="3266"/>
      <c r="H31" s="3266"/>
      <c r="I31" s="3266"/>
      <c r="J31" s="3266"/>
      <c r="K31" s="3266"/>
      <c r="L31" s="3266"/>
      <c r="M31" s="3266"/>
      <c r="N31" s="3266"/>
      <c r="O31" s="3266"/>
      <c r="P31" s="3266"/>
      <c r="Q31" s="3266"/>
      <c r="R31" s="3266"/>
      <c r="S31" s="3266"/>
      <c r="T31" s="3266"/>
      <c r="U31" s="3266"/>
      <c r="V31" s="3266"/>
      <c r="W31" s="3266"/>
      <c r="X31" s="3266"/>
      <c r="Y31" s="3266"/>
      <c r="Z31" s="3266"/>
      <c r="AA31" s="3266"/>
      <c r="AB31" s="3266"/>
      <c r="AC31" s="3266"/>
      <c r="AD31" s="3266"/>
      <c r="AE31" s="3266"/>
      <c r="AF31" s="3266"/>
      <c r="AG31" s="3266"/>
      <c r="AH31" s="3266"/>
      <c r="AI31" s="3266"/>
      <c r="AJ31" s="3266"/>
      <c r="AK31" s="3266"/>
      <c r="AL31" s="3266"/>
      <c r="AM31" s="3266"/>
    </row>
  </sheetData>
  <sheetProtection algorithmName="SHA-512" hashValue="4JwViTZM7gQ6HWa3eaL8dcz6x4QIN3OHklWc7G0EgF9pSWdUh2Ey55GhPZg3k+rhp2YkEu0PsGyltZ2tsLeGIA==" saltValue="DMwMzx+DpuUmTEMBFx6XGQ==" spinCount="100000" sheet="1" objects="1" scenarios="1"/>
  <mergeCells count="50">
    <mergeCell ref="C29:AI29"/>
    <mergeCell ref="C10:AI10"/>
    <mergeCell ref="AJ29:AM29"/>
    <mergeCell ref="C25:AI25"/>
    <mergeCell ref="AJ20:AM20"/>
    <mergeCell ref="D14:AI14"/>
    <mergeCell ref="C26:AI26"/>
    <mergeCell ref="D23:AI23"/>
    <mergeCell ref="C20:AI20"/>
    <mergeCell ref="AJ26:AM26"/>
    <mergeCell ref="B4:AM4"/>
    <mergeCell ref="AJ25:AM25"/>
    <mergeCell ref="B7:AM7"/>
    <mergeCell ref="C9:AI9"/>
    <mergeCell ref="B6:AI6"/>
    <mergeCell ref="D22:AI22"/>
    <mergeCell ref="AJ24:AM24"/>
    <mergeCell ref="AJ5:AM5"/>
    <mergeCell ref="B31:AM31"/>
    <mergeCell ref="C21:AI21"/>
    <mergeCell ref="AJ9:AM9"/>
    <mergeCell ref="C12:AI12"/>
    <mergeCell ref="B5:AI5"/>
    <mergeCell ref="B14:C14"/>
    <mergeCell ref="C11:AI11"/>
    <mergeCell ref="AJ12:AM12"/>
    <mergeCell ref="C27:AI27"/>
    <mergeCell ref="C28:AI28"/>
    <mergeCell ref="AJ28:AM28"/>
    <mergeCell ref="B15:C15"/>
    <mergeCell ref="AJ18:AM18"/>
    <mergeCell ref="C24:AI24"/>
    <mergeCell ref="AJ15:AM15"/>
    <mergeCell ref="AJ6:AM6"/>
    <mergeCell ref="B2:AM2"/>
    <mergeCell ref="AJ11:AM11"/>
    <mergeCell ref="AJ27:AM27"/>
    <mergeCell ref="AJ14:AM14"/>
    <mergeCell ref="C8:AI8"/>
    <mergeCell ref="AJ8:AM8"/>
    <mergeCell ref="AJ21:AM23"/>
    <mergeCell ref="B21:B23"/>
    <mergeCell ref="D15:AI15"/>
    <mergeCell ref="B17:AM17"/>
    <mergeCell ref="C19:AI19"/>
    <mergeCell ref="AJ10:AM10"/>
    <mergeCell ref="C13:AI13"/>
    <mergeCell ref="C18:AI18"/>
    <mergeCell ref="AJ13:AM13"/>
    <mergeCell ref="AJ19:AM19"/>
  </mergeCells>
  <conditionalFormatting sqref="AJ6">
    <cfRule type="cellIs" dxfId="867" priority="12" operator="equal">
      <formula>"No"</formula>
    </cfRule>
  </conditionalFormatting>
  <conditionalFormatting sqref="AJ8:AJ15 AJ18:AJ21 AJ24:AJ25">
    <cfRule type="cellIs" dxfId="866" priority="11" operator="equal">
      <formula>"No"</formula>
    </cfRule>
  </conditionalFormatting>
  <conditionalFormatting sqref="AJ5">
    <cfRule type="cellIs" dxfId="865" priority="10" operator="equal">
      <formula>"No"</formula>
    </cfRule>
  </conditionalFormatting>
  <conditionalFormatting sqref="AL4:AM4">
    <cfRule type="cellIs" dxfId="864" priority="9" operator="equal">
      <formula>"No"</formula>
    </cfRule>
  </conditionalFormatting>
  <conditionalFormatting sqref="AJ26">
    <cfRule type="cellIs" dxfId="863" priority="8" operator="equal">
      <formula>"No"</formula>
    </cfRule>
  </conditionalFormatting>
  <conditionalFormatting sqref="AJ26:AM26">
    <cfRule type="cellIs" dxfId="862" priority="7" operator="equal">
      <formula>"No"</formula>
    </cfRule>
  </conditionalFormatting>
  <conditionalFormatting sqref="AJ27">
    <cfRule type="cellIs" dxfId="861" priority="6" operator="equal">
      <formula>"No"</formula>
    </cfRule>
  </conditionalFormatting>
  <conditionalFormatting sqref="AJ27:AM27">
    <cfRule type="cellIs" dxfId="860" priority="5" operator="equal">
      <formula>"No"</formula>
    </cfRule>
  </conditionalFormatting>
  <conditionalFormatting sqref="AJ28">
    <cfRule type="cellIs" dxfId="859" priority="4" operator="equal">
      <formula>"No"</formula>
    </cfRule>
  </conditionalFormatting>
  <conditionalFormatting sqref="AJ28:AM28">
    <cfRule type="cellIs" dxfId="858" priority="3" operator="equal">
      <formula>"No"</formula>
    </cfRule>
  </conditionalFormatting>
  <conditionalFormatting sqref="AJ29">
    <cfRule type="cellIs" dxfId="857" priority="2" operator="equal">
      <formula>"No"</formula>
    </cfRule>
  </conditionalFormatting>
  <conditionalFormatting sqref="AJ29:AM29">
    <cfRule type="cellIs" dxfId="856" priority="1" operator="equal">
      <formula>"No"</formula>
    </cfRule>
  </conditionalFormatting>
  <dataValidations count="2">
    <dataValidation type="list" allowBlank="1" showInputMessage="1" showErrorMessage="1" sqref="AJ6 AJ8:AJ15 AJ18:AJ21 AJ24:AJ25" xr:uid="{00000000-0002-0000-1A00-000000000000}">
      <formula1>"Meets, Does Not Meet"</formula1>
    </dataValidation>
    <dataValidation type="list" allowBlank="1" showInputMessage="1" showErrorMessage="1" sqref="AJ26:AM29" xr:uid="{00000000-0002-0000-1A00-000001000000}">
      <formula1>"Yes,No"</formula1>
    </dataValidation>
  </dataValidations>
  <printOptions horizontalCentered="1"/>
  <pageMargins left="0" right="0.25" top="0" bottom="0" header="0.25" footer="0.25"/>
  <pageSetup scale="65" orientation="portrait" r:id="rId1"/>
  <headerFooter>
    <oddFooter>&amp;L&amp;F&amp;C&amp;P of &amp;N&amp;R &amp;A</oddFooter>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S3SupportiveHousingExp">
    <tabColor rgb="FF7030A0"/>
  </sheetPr>
  <dimension ref="B2:AN36"/>
  <sheetViews>
    <sheetView showGridLines="0" showRowColHeaders="0" zoomScaleNormal="100" zoomScaleSheetLayoutView="100" workbookViewId="0"/>
  </sheetViews>
  <sheetFormatPr defaultColWidth="9.28515625" defaultRowHeight="18" customHeight="1"/>
  <cols>
    <col min="1" max="1" width="8.7109375" style="4" customWidth="1"/>
    <col min="2" max="39" width="4.28515625" style="4" customWidth="1"/>
    <col min="40" max="40" width="9.28515625" style="4" customWidth="1"/>
    <col min="41" max="16384" width="9.28515625" style="4"/>
  </cols>
  <sheetData>
    <row r="2" spans="2:40" s="59" customFormat="1" ht="46.5" customHeight="1" thickBot="1">
      <c r="B2" s="1795" t="s">
        <v>3062</v>
      </c>
      <c r="C2" s="1796"/>
      <c r="D2" s="1796"/>
      <c r="E2" s="1796"/>
      <c r="F2" s="1796"/>
      <c r="G2" s="1796"/>
      <c r="H2" s="1796"/>
      <c r="I2" s="1796"/>
      <c r="J2" s="1796"/>
      <c r="K2" s="1796"/>
      <c r="L2" s="1796"/>
      <c r="M2" s="1796"/>
      <c r="N2" s="1796"/>
      <c r="O2" s="1796"/>
      <c r="P2" s="1796"/>
      <c r="Q2" s="1796"/>
      <c r="R2" s="1796"/>
      <c r="S2" s="1796"/>
      <c r="T2" s="1796"/>
      <c r="U2" s="1796"/>
      <c r="V2" s="1796"/>
      <c r="W2" s="1796"/>
      <c r="X2" s="1796"/>
      <c r="Y2" s="1796"/>
      <c r="Z2" s="1796"/>
      <c r="AA2" s="1796"/>
      <c r="AB2" s="1796"/>
      <c r="AC2" s="1796"/>
      <c r="AD2" s="1796"/>
      <c r="AE2" s="1796"/>
      <c r="AF2" s="1796"/>
      <c r="AG2" s="1796"/>
      <c r="AH2" s="1796"/>
      <c r="AI2" s="1796"/>
      <c r="AJ2" s="1796"/>
      <c r="AK2" s="1796"/>
      <c r="AL2" s="1796"/>
      <c r="AM2" s="1796"/>
    </row>
    <row r="3" spans="2:40" s="59" customFormat="1" ht="18" customHeight="1"/>
    <row r="4" spans="2:40" s="59" customFormat="1" ht="18" customHeight="1">
      <c r="B4" s="3300" t="s">
        <v>3063</v>
      </c>
      <c r="C4" s="1953"/>
      <c r="D4" s="1953"/>
      <c r="E4" s="1953"/>
      <c r="F4" s="1953"/>
      <c r="G4" s="1953"/>
      <c r="H4" s="1953"/>
      <c r="I4" s="1953"/>
      <c r="J4" s="1953"/>
      <c r="K4" s="1953"/>
      <c r="L4" s="1953"/>
      <c r="M4" s="1953"/>
      <c r="N4" s="1953"/>
      <c r="O4" s="1953"/>
      <c r="P4" s="1953"/>
      <c r="Q4" s="1953"/>
      <c r="R4" s="1953"/>
      <c r="S4" s="1953"/>
      <c r="T4" s="1953"/>
      <c r="U4" s="1953"/>
      <c r="V4" s="1953"/>
      <c r="W4" s="1953"/>
      <c r="X4" s="1953"/>
      <c r="Y4" s="1953"/>
      <c r="Z4" s="1953"/>
      <c r="AA4" s="1953"/>
      <c r="AB4" s="1953"/>
      <c r="AC4" s="1953"/>
      <c r="AD4" s="1953"/>
      <c r="AE4" s="1953"/>
      <c r="AF4" s="1953"/>
      <c r="AG4" s="1953"/>
      <c r="AH4" s="1953"/>
      <c r="AI4" s="1953"/>
      <c r="AJ4" s="1953"/>
      <c r="AK4" s="1953"/>
      <c r="AL4" s="1953"/>
      <c r="AM4" s="1770"/>
    </row>
    <row r="5" spans="2:40" s="59" customFormat="1" ht="18" customHeight="1">
      <c r="B5" s="2675" t="s">
        <v>2711</v>
      </c>
      <c r="C5" s="1778"/>
      <c r="D5" s="3275"/>
      <c r="E5" s="1861"/>
      <c r="F5" s="1861"/>
      <c r="G5" s="1861"/>
      <c r="H5" s="1861"/>
      <c r="I5" s="1861"/>
      <c r="J5" s="1861"/>
      <c r="K5" s="1861"/>
      <c r="L5" s="1861"/>
      <c r="M5" s="1861"/>
      <c r="N5" s="1861"/>
      <c r="O5" s="1861"/>
      <c r="P5" s="1861"/>
      <c r="Q5" s="1861"/>
      <c r="R5" s="1861"/>
      <c r="S5" s="1861"/>
      <c r="T5" s="1861"/>
      <c r="U5" s="1861"/>
      <c r="V5" s="1861"/>
      <c r="W5" s="1861"/>
      <c r="X5" s="1861"/>
      <c r="Y5" s="1861"/>
      <c r="Z5" s="1861"/>
      <c r="AA5" s="1861"/>
      <c r="AB5" s="1861"/>
      <c r="AC5" s="1861"/>
      <c r="AD5" s="1861"/>
      <c r="AE5" s="1861"/>
      <c r="AF5" s="1861"/>
      <c r="AG5" s="1861"/>
      <c r="AH5" s="1861"/>
      <c r="AI5" s="1861"/>
      <c r="AJ5" s="1861"/>
      <c r="AK5" s="1861"/>
      <c r="AL5" s="1861"/>
      <c r="AM5" s="1862"/>
    </row>
    <row r="6" spans="2:40" s="59" customFormat="1" ht="18" customHeight="1">
      <c r="B6" s="2675" t="s">
        <v>2713</v>
      </c>
      <c r="C6" s="1778"/>
      <c r="D6" s="3275"/>
      <c r="E6" s="1861"/>
      <c r="F6" s="1861"/>
      <c r="G6" s="1861"/>
      <c r="H6" s="1861"/>
      <c r="I6" s="1861"/>
      <c r="J6" s="1861"/>
      <c r="K6" s="1861"/>
      <c r="L6" s="1861"/>
      <c r="M6" s="1861"/>
      <c r="N6" s="1861"/>
      <c r="O6" s="1861"/>
      <c r="P6" s="1861"/>
      <c r="Q6" s="1861"/>
      <c r="R6" s="1861"/>
      <c r="S6" s="1861"/>
      <c r="T6" s="1861"/>
      <c r="U6" s="1861"/>
      <c r="V6" s="1861"/>
      <c r="W6" s="1861"/>
      <c r="X6" s="1861"/>
      <c r="Y6" s="1861"/>
      <c r="Z6" s="1861"/>
      <c r="AA6" s="1861"/>
      <c r="AB6" s="1861"/>
      <c r="AC6" s="1861"/>
      <c r="AD6" s="1861"/>
      <c r="AE6" s="1861"/>
      <c r="AF6" s="1861"/>
      <c r="AG6" s="1861"/>
      <c r="AH6" s="1861"/>
      <c r="AI6" s="1861"/>
      <c r="AJ6" s="1861"/>
      <c r="AK6" s="1861"/>
      <c r="AL6" s="1861"/>
      <c r="AM6" s="1862"/>
    </row>
    <row r="7" spans="2:40" s="59" customFormat="1" ht="18" customHeight="1">
      <c r="B7" s="2675" t="s">
        <v>2717</v>
      </c>
      <c r="C7" s="1778"/>
      <c r="D7" s="3275"/>
      <c r="E7" s="1861"/>
      <c r="F7" s="1861"/>
      <c r="G7" s="1861"/>
      <c r="H7" s="1861"/>
      <c r="I7" s="1861"/>
      <c r="J7" s="1861"/>
      <c r="K7" s="1861"/>
      <c r="L7" s="1861"/>
      <c r="M7" s="1861"/>
      <c r="N7" s="1861"/>
      <c r="O7" s="1861"/>
      <c r="P7" s="1861"/>
      <c r="Q7" s="1861"/>
      <c r="R7" s="1861"/>
      <c r="S7" s="1861"/>
      <c r="T7" s="1861"/>
      <c r="U7" s="1861"/>
      <c r="V7" s="1861"/>
      <c r="W7" s="1861"/>
      <c r="X7" s="1861"/>
      <c r="Y7" s="1861"/>
      <c r="Z7" s="1861"/>
      <c r="AA7" s="1861"/>
      <c r="AB7" s="1861"/>
      <c r="AC7" s="1861"/>
      <c r="AD7" s="1861"/>
      <c r="AE7" s="1861"/>
      <c r="AF7" s="1861"/>
      <c r="AG7" s="1861"/>
      <c r="AH7" s="1861"/>
      <c r="AI7" s="1861"/>
      <c r="AJ7" s="1861"/>
      <c r="AK7" s="1861"/>
      <c r="AL7" s="1861"/>
      <c r="AM7" s="1862"/>
    </row>
    <row r="8" spans="2:40" s="59" customFormat="1" ht="18" customHeight="1">
      <c r="B8" s="2675" t="s">
        <v>2719</v>
      </c>
      <c r="C8" s="1778"/>
      <c r="D8" s="3275"/>
      <c r="E8" s="1861"/>
      <c r="F8" s="1861"/>
      <c r="G8" s="1861"/>
      <c r="H8" s="1861"/>
      <c r="I8" s="1861"/>
      <c r="J8" s="1861"/>
      <c r="K8" s="1861"/>
      <c r="L8" s="1861"/>
      <c r="M8" s="1861"/>
      <c r="N8" s="1861"/>
      <c r="O8" s="1861"/>
      <c r="P8" s="1861"/>
      <c r="Q8" s="1861"/>
      <c r="R8" s="1861"/>
      <c r="S8" s="1861"/>
      <c r="T8" s="1861"/>
      <c r="U8" s="1861"/>
      <c r="V8" s="1861"/>
      <c r="W8" s="1861"/>
      <c r="X8" s="1861"/>
      <c r="Y8" s="1861"/>
      <c r="Z8" s="1861"/>
      <c r="AA8" s="1861"/>
      <c r="AB8" s="1861"/>
      <c r="AC8" s="1861"/>
      <c r="AD8" s="1861"/>
      <c r="AE8" s="1861"/>
      <c r="AF8" s="1861"/>
      <c r="AG8" s="1861"/>
      <c r="AH8" s="1861"/>
      <c r="AI8" s="1861"/>
      <c r="AJ8" s="1861"/>
      <c r="AK8" s="1861"/>
      <c r="AL8" s="1861"/>
      <c r="AM8" s="1862"/>
    </row>
    <row r="9" spans="2:40" s="59" customFormat="1" ht="18" customHeight="1">
      <c r="B9" s="2675" t="s">
        <v>3064</v>
      </c>
      <c r="C9" s="1778"/>
      <c r="D9" s="3275"/>
      <c r="E9" s="1861"/>
      <c r="F9" s="1861"/>
      <c r="G9" s="1861"/>
      <c r="H9" s="1861"/>
      <c r="I9" s="1861"/>
      <c r="J9" s="1861"/>
      <c r="K9" s="1861"/>
      <c r="L9" s="1861"/>
      <c r="M9" s="1861"/>
      <c r="N9" s="1861"/>
      <c r="O9" s="1861"/>
      <c r="P9" s="1861"/>
      <c r="Q9" s="1861"/>
      <c r="R9" s="1861"/>
      <c r="S9" s="1861"/>
      <c r="T9" s="1861"/>
      <c r="U9" s="1861"/>
      <c r="V9" s="1861"/>
      <c r="W9" s="1861"/>
      <c r="X9" s="1861"/>
      <c r="Y9" s="1861"/>
      <c r="Z9" s="1861"/>
      <c r="AA9" s="1861"/>
      <c r="AB9" s="1861"/>
      <c r="AC9" s="1861"/>
      <c r="AD9" s="1861"/>
      <c r="AE9" s="1861"/>
      <c r="AF9" s="1861"/>
      <c r="AG9" s="1861"/>
      <c r="AH9" s="1861"/>
      <c r="AI9" s="1861"/>
      <c r="AJ9" s="1861"/>
      <c r="AK9" s="1861"/>
      <c r="AL9" s="1861"/>
      <c r="AM9" s="1862"/>
    </row>
    <row r="10" spans="2:40" s="59" customFormat="1" ht="18" customHeight="1">
      <c r="B10" s="2675" t="s">
        <v>3065</v>
      </c>
      <c r="C10" s="1778"/>
      <c r="D10" s="3275"/>
      <c r="E10" s="1861"/>
      <c r="F10" s="1861"/>
      <c r="G10" s="1861"/>
      <c r="H10" s="1861"/>
      <c r="I10" s="1861"/>
      <c r="J10" s="1861"/>
      <c r="K10" s="1861"/>
      <c r="L10" s="1861"/>
      <c r="M10" s="1861"/>
      <c r="N10" s="1861"/>
      <c r="O10" s="1861"/>
      <c r="P10" s="1861"/>
      <c r="Q10" s="1861"/>
      <c r="R10" s="1861"/>
      <c r="S10" s="1861"/>
      <c r="T10" s="1861"/>
      <c r="U10" s="1861"/>
      <c r="V10" s="1861"/>
      <c r="W10" s="1861"/>
      <c r="X10" s="1861"/>
      <c r="Y10" s="1861"/>
      <c r="Z10" s="1861"/>
      <c r="AA10" s="1861"/>
      <c r="AB10" s="1861"/>
      <c r="AC10" s="1861"/>
      <c r="AD10" s="1861"/>
      <c r="AE10" s="1861"/>
      <c r="AF10" s="1861"/>
      <c r="AG10" s="1861"/>
      <c r="AH10" s="1861"/>
      <c r="AI10" s="1861"/>
      <c r="AJ10" s="1861"/>
      <c r="AK10" s="1861"/>
      <c r="AL10" s="1861"/>
      <c r="AM10" s="1862"/>
    </row>
    <row r="11" spans="2:40" s="59" customFormat="1" ht="18" customHeight="1">
      <c r="B11" s="2675" t="s">
        <v>3066</v>
      </c>
      <c r="C11" s="1778"/>
      <c r="D11" s="3275"/>
      <c r="E11" s="1861"/>
      <c r="F11" s="1861"/>
      <c r="G11" s="1861"/>
      <c r="H11" s="1861"/>
      <c r="I11" s="1861"/>
      <c r="J11" s="1861"/>
      <c r="K11" s="1861"/>
      <c r="L11" s="1861"/>
      <c r="M11" s="1861"/>
      <c r="N11" s="1861"/>
      <c r="O11" s="1861"/>
      <c r="P11" s="1861"/>
      <c r="Q11" s="1861"/>
      <c r="R11" s="1861"/>
      <c r="S11" s="1861"/>
      <c r="T11" s="1861"/>
      <c r="U11" s="1861"/>
      <c r="V11" s="1861"/>
      <c r="W11" s="1861"/>
      <c r="X11" s="1861"/>
      <c r="Y11" s="1861"/>
      <c r="Z11" s="1861"/>
      <c r="AA11" s="1861"/>
      <c r="AB11" s="1861"/>
      <c r="AC11" s="1861"/>
      <c r="AD11" s="1861"/>
      <c r="AE11" s="1861"/>
      <c r="AF11" s="1861"/>
      <c r="AG11" s="1861"/>
      <c r="AH11" s="1861"/>
      <c r="AI11" s="1861"/>
      <c r="AJ11" s="1861"/>
      <c r="AK11" s="1861"/>
      <c r="AL11" s="1861"/>
      <c r="AM11" s="1862"/>
    </row>
    <row r="12" spans="2:40" s="59" customFormat="1" ht="18" customHeight="1"/>
    <row r="13" spans="2:40" s="59" customFormat="1" ht="18" customHeight="1">
      <c r="B13" s="3284" t="s">
        <v>3067</v>
      </c>
      <c r="C13" s="1777"/>
      <c r="D13" s="1777"/>
      <c r="E13" s="1777"/>
      <c r="F13" s="1777"/>
      <c r="G13" s="1777"/>
      <c r="H13" s="1777"/>
      <c r="I13" s="1777"/>
      <c r="J13" s="1777"/>
      <c r="K13" s="1777"/>
      <c r="L13" s="1777"/>
      <c r="M13" s="1777"/>
      <c r="N13" s="1777"/>
      <c r="O13" s="1777"/>
      <c r="P13" s="1777"/>
      <c r="Q13" s="1777"/>
      <c r="R13" s="1777"/>
      <c r="S13" s="1777"/>
      <c r="T13" s="1777"/>
      <c r="U13" s="1777"/>
      <c r="V13" s="1778"/>
      <c r="W13" s="3287"/>
      <c r="X13" s="1861"/>
      <c r="Y13" s="1861"/>
      <c r="Z13" s="1861"/>
      <c r="AA13" s="1861"/>
      <c r="AB13" s="1861"/>
      <c r="AC13" s="1861"/>
      <c r="AD13" s="1861"/>
      <c r="AE13" s="1861"/>
      <c r="AF13" s="1861"/>
      <c r="AG13" s="1861"/>
      <c r="AH13" s="1861"/>
      <c r="AI13" s="1861"/>
      <c r="AJ13" s="1861"/>
      <c r="AK13" s="1861"/>
      <c r="AL13" s="1861"/>
      <c r="AM13" s="1862"/>
    </row>
    <row r="14" spans="2:40" s="59" customFormat="1" ht="18" customHeight="1">
      <c r="B14" s="3299" t="s">
        <v>3068</v>
      </c>
      <c r="C14" s="1777"/>
      <c r="D14" s="1777"/>
      <c r="E14" s="1777"/>
      <c r="F14" s="1777"/>
      <c r="G14" s="1777"/>
      <c r="H14" s="1777"/>
      <c r="I14" s="1777"/>
      <c r="J14" s="1777"/>
      <c r="K14" s="1777"/>
      <c r="L14" s="1777"/>
      <c r="M14" s="1777"/>
      <c r="N14" s="1777"/>
      <c r="O14" s="1777"/>
      <c r="P14" s="1777"/>
      <c r="Q14" s="1777"/>
      <c r="R14" s="1777"/>
      <c r="S14" s="1777"/>
      <c r="T14" s="1777"/>
      <c r="U14" s="1777"/>
      <c r="V14" s="1777"/>
      <c r="W14" s="1777"/>
      <c r="X14" s="1777"/>
      <c r="Y14" s="1777"/>
      <c r="Z14" s="1777"/>
      <c r="AA14" s="1777"/>
      <c r="AB14" s="1777"/>
      <c r="AC14" s="1777"/>
      <c r="AD14" s="1777"/>
      <c r="AE14" s="1777"/>
      <c r="AF14" s="1777"/>
      <c r="AG14" s="1777"/>
      <c r="AH14" s="1777"/>
      <c r="AI14" s="1777"/>
      <c r="AJ14" s="1777"/>
      <c r="AK14" s="1777"/>
      <c r="AL14" s="1777"/>
      <c r="AM14" s="1778"/>
    </row>
    <row r="15" spans="2:40" s="85" customFormat="1" ht="80.849999999999994" customHeight="1">
      <c r="B15" s="3292" t="s">
        <v>3069</v>
      </c>
      <c r="C15" s="1777"/>
      <c r="D15" s="1777"/>
      <c r="E15" s="1777"/>
      <c r="F15" s="1777"/>
      <c r="G15" s="1777"/>
      <c r="H15" s="1777"/>
      <c r="I15" s="1777"/>
      <c r="J15" s="1777"/>
      <c r="K15" s="1777"/>
      <c r="L15" s="1777"/>
      <c r="M15" s="1777"/>
      <c r="N15" s="1777"/>
      <c r="O15" s="1777"/>
      <c r="P15" s="1777"/>
      <c r="Q15" s="1777"/>
      <c r="R15" s="1777"/>
      <c r="S15" s="1777"/>
      <c r="T15" s="1777"/>
      <c r="U15" s="1777"/>
      <c r="V15" s="1777"/>
      <c r="W15" s="1777"/>
      <c r="X15" s="1777"/>
      <c r="Y15" s="1777"/>
      <c r="Z15" s="1777"/>
      <c r="AA15" s="1777"/>
      <c r="AB15" s="1777"/>
      <c r="AC15" s="1777"/>
      <c r="AD15" s="1777"/>
      <c r="AE15" s="1777"/>
      <c r="AF15" s="1777"/>
      <c r="AG15" s="1777"/>
      <c r="AH15" s="1777"/>
      <c r="AI15" s="1777"/>
      <c r="AJ15" s="1777"/>
      <c r="AK15" s="1777"/>
      <c r="AL15" s="1777"/>
      <c r="AM15" s="1778"/>
      <c r="AN15" s="59"/>
    </row>
    <row r="16" spans="2:40" s="85" customFormat="1" ht="69" customHeight="1">
      <c r="B16" s="3291" t="s">
        <v>3070</v>
      </c>
      <c r="C16" s="1777"/>
      <c r="D16" s="1777"/>
      <c r="E16" s="1777"/>
      <c r="F16" s="1777"/>
      <c r="G16" s="1777"/>
      <c r="H16" s="1777"/>
      <c r="I16" s="1777"/>
      <c r="J16" s="1777"/>
      <c r="K16" s="1777"/>
      <c r="L16" s="1777"/>
      <c r="M16" s="1777"/>
      <c r="N16" s="1777"/>
      <c r="O16" s="1777"/>
      <c r="P16" s="1778"/>
      <c r="Q16" s="3280" t="s">
        <v>3071</v>
      </c>
      <c r="R16" s="1778"/>
      <c r="S16" s="3280" t="s">
        <v>3072</v>
      </c>
      <c r="T16" s="1778"/>
      <c r="U16" s="3293" t="s">
        <v>3073</v>
      </c>
      <c r="V16" s="1777"/>
      <c r="W16" s="1777"/>
      <c r="X16" s="3280" t="s">
        <v>3074</v>
      </c>
      <c r="Y16" s="1777"/>
      <c r="Z16" s="1777"/>
      <c r="AA16" s="1777"/>
      <c r="AB16" s="1777"/>
      <c r="AC16" s="1777"/>
      <c r="AD16" s="1777"/>
      <c r="AE16" s="1778"/>
      <c r="AF16" s="3298" t="s">
        <v>3075</v>
      </c>
      <c r="AG16" s="1778"/>
      <c r="AH16" s="3280" t="s">
        <v>3076</v>
      </c>
      <c r="AI16" s="1777"/>
      <c r="AJ16" s="1778"/>
      <c r="AK16" s="3280" t="s">
        <v>3077</v>
      </c>
      <c r="AL16" s="1777"/>
      <c r="AM16" s="1778"/>
    </row>
    <row r="17" spans="2:39" s="56" customFormat="1" ht="36" customHeight="1">
      <c r="B17" s="1626">
        <v>1</v>
      </c>
      <c r="C17" s="3277"/>
      <c r="D17" s="1861"/>
      <c r="E17" s="1861"/>
      <c r="F17" s="1861"/>
      <c r="G17" s="1861"/>
      <c r="H17" s="1861"/>
      <c r="I17" s="1861"/>
      <c r="J17" s="1861"/>
      <c r="K17" s="1861"/>
      <c r="L17" s="1861"/>
      <c r="M17" s="1861"/>
      <c r="N17" s="1861"/>
      <c r="O17" s="1861"/>
      <c r="P17" s="1862"/>
      <c r="Q17" s="1911"/>
      <c r="R17" s="1862"/>
      <c r="S17" s="1911"/>
      <c r="T17" s="1862"/>
      <c r="U17" s="3285"/>
      <c r="V17" s="1861"/>
      <c r="W17" s="1862"/>
      <c r="X17" s="3282"/>
      <c r="Y17" s="1861"/>
      <c r="Z17" s="1861"/>
      <c r="AA17" s="1861"/>
      <c r="AB17" s="1861"/>
      <c r="AC17" s="1861"/>
      <c r="AD17" s="1861"/>
      <c r="AE17" s="1862"/>
      <c r="AF17" s="2092"/>
      <c r="AG17" s="1862"/>
      <c r="AH17" s="3279"/>
      <c r="AI17" s="1861"/>
      <c r="AJ17" s="1862"/>
      <c r="AK17" s="3279"/>
      <c r="AL17" s="1861"/>
      <c r="AM17" s="1862"/>
    </row>
    <row r="18" spans="2:39" s="56" customFormat="1" ht="36" customHeight="1">
      <c r="B18" s="1626">
        <v>2</v>
      </c>
      <c r="C18" s="3281"/>
      <c r="D18" s="1861"/>
      <c r="E18" s="1861"/>
      <c r="F18" s="1861"/>
      <c r="G18" s="1861"/>
      <c r="H18" s="1861"/>
      <c r="I18" s="1861"/>
      <c r="J18" s="1861"/>
      <c r="K18" s="1861"/>
      <c r="L18" s="1861"/>
      <c r="M18" s="1861"/>
      <c r="N18" s="1861"/>
      <c r="O18" s="1861"/>
      <c r="P18" s="1862"/>
      <c r="Q18" s="1911"/>
      <c r="R18" s="1862"/>
      <c r="S18" s="1911"/>
      <c r="T18" s="1862"/>
      <c r="U18" s="3285"/>
      <c r="V18" s="1861"/>
      <c r="W18" s="1862"/>
      <c r="X18" s="3282"/>
      <c r="Y18" s="1861"/>
      <c r="Z18" s="1861"/>
      <c r="AA18" s="1861"/>
      <c r="AB18" s="1861"/>
      <c r="AC18" s="1861"/>
      <c r="AD18" s="1861"/>
      <c r="AE18" s="1862"/>
      <c r="AF18" s="2092"/>
      <c r="AG18" s="1862"/>
      <c r="AH18" s="3279"/>
      <c r="AI18" s="1861"/>
      <c r="AJ18" s="1862"/>
      <c r="AK18" s="3279"/>
      <c r="AL18" s="1861"/>
      <c r="AM18" s="1862"/>
    </row>
    <row r="19" spans="2:39" s="56" customFormat="1" ht="36" customHeight="1">
      <c r="B19" s="1626">
        <v>3</v>
      </c>
      <c r="C19" s="3281"/>
      <c r="D19" s="1861"/>
      <c r="E19" s="1861"/>
      <c r="F19" s="1861"/>
      <c r="G19" s="1861"/>
      <c r="H19" s="1861"/>
      <c r="I19" s="1861"/>
      <c r="J19" s="1861"/>
      <c r="K19" s="1861"/>
      <c r="L19" s="1861"/>
      <c r="M19" s="1861"/>
      <c r="N19" s="1861"/>
      <c r="O19" s="1861"/>
      <c r="P19" s="1862"/>
      <c r="Q19" s="1911"/>
      <c r="R19" s="1862"/>
      <c r="S19" s="1911"/>
      <c r="T19" s="1862"/>
      <c r="U19" s="3285"/>
      <c r="V19" s="1861"/>
      <c r="W19" s="1862"/>
      <c r="X19" s="3282"/>
      <c r="Y19" s="1861"/>
      <c r="Z19" s="1861"/>
      <c r="AA19" s="1861"/>
      <c r="AB19" s="1861"/>
      <c r="AC19" s="1861"/>
      <c r="AD19" s="1861"/>
      <c r="AE19" s="1862"/>
      <c r="AF19" s="2092"/>
      <c r="AG19" s="1862"/>
      <c r="AH19" s="3279"/>
      <c r="AI19" s="1861"/>
      <c r="AJ19" s="1862"/>
      <c r="AK19" s="3279"/>
      <c r="AL19" s="1861"/>
      <c r="AM19" s="1862"/>
    </row>
    <row r="20" spans="2:39" s="56" customFormat="1" ht="36" customHeight="1">
      <c r="B20" s="2268" t="s">
        <v>558</v>
      </c>
      <c r="C20" s="1777"/>
      <c r="D20" s="1778"/>
      <c r="E20" s="1882" t="str">
        <f>'Document Checklist-Full List'!$E$153</f>
        <v>64. Sponsor/Applicant SOQ</v>
      </c>
      <c r="F20" s="1777"/>
      <c r="G20" s="1777"/>
      <c r="H20" s="1777"/>
      <c r="I20" s="1777"/>
      <c r="J20" s="1777"/>
      <c r="K20" s="1777"/>
      <c r="L20" s="1777"/>
      <c r="M20" s="1778"/>
      <c r="N20" s="3278" t="str">
        <f>'Document Checklist-Full List'!$N$153</f>
        <v>Statement of Qualifications regarding owning and managing Special Needs/Supportive Housing Projects. Include list of Projects.</v>
      </c>
      <c r="O20" s="1777"/>
      <c r="P20" s="1777"/>
      <c r="Q20" s="1777"/>
      <c r="R20" s="1777"/>
      <c r="S20" s="1777"/>
      <c r="T20" s="1777"/>
      <c r="U20" s="1777"/>
      <c r="V20" s="1777"/>
      <c r="W20" s="1777"/>
      <c r="X20" s="1777"/>
      <c r="Y20" s="1777"/>
      <c r="Z20" s="1777"/>
      <c r="AA20" s="1777"/>
      <c r="AB20" s="1777"/>
      <c r="AC20" s="1777"/>
      <c r="AD20" s="1777"/>
      <c r="AE20" s="1778"/>
      <c r="AF20" s="3294" t="s">
        <v>559</v>
      </c>
      <c r="AG20" s="1777"/>
      <c r="AH20" s="1777"/>
      <c r="AI20" s="1777"/>
      <c r="AJ20" s="1777"/>
      <c r="AK20" s="1778"/>
      <c r="AL20" s="3289"/>
      <c r="AM20" s="1862"/>
    </row>
    <row r="21" spans="2:39" s="55" customFormat="1" ht="73.349999999999994" customHeight="1">
      <c r="B21" s="3276" t="s">
        <v>3078</v>
      </c>
      <c r="C21" s="1777"/>
      <c r="D21" s="1777"/>
      <c r="E21" s="1777"/>
      <c r="F21" s="1777"/>
      <c r="G21" s="1777"/>
      <c r="H21" s="1777"/>
      <c r="I21" s="1777"/>
      <c r="J21" s="1777"/>
      <c r="K21" s="1777"/>
      <c r="L21" s="1777"/>
      <c r="M21" s="1777"/>
      <c r="N21" s="1777"/>
      <c r="O21" s="1777"/>
      <c r="P21" s="1777"/>
      <c r="Q21" s="1777"/>
      <c r="R21" s="1777"/>
      <c r="S21" s="1777"/>
      <c r="T21" s="1777"/>
      <c r="U21" s="1777"/>
      <c r="V21" s="1777"/>
      <c r="W21" s="1777"/>
      <c r="X21" s="1777"/>
      <c r="Y21" s="1777"/>
      <c r="Z21" s="1777"/>
      <c r="AA21" s="1777"/>
      <c r="AB21" s="1777"/>
      <c r="AC21" s="1777"/>
      <c r="AD21" s="1777"/>
      <c r="AE21" s="1777"/>
      <c r="AF21" s="1777"/>
      <c r="AG21" s="1777"/>
      <c r="AH21" s="1777"/>
      <c r="AI21" s="1778"/>
      <c r="AJ21" s="3286" t="s">
        <v>3079</v>
      </c>
      <c r="AK21" s="1778"/>
      <c r="AL21" s="3296">
        <f>SUM($AJ$23:$AM$25)</f>
        <v>0</v>
      </c>
      <c r="AM21" s="1778"/>
    </row>
    <row r="22" spans="2:39" s="84" customFormat="1" ht="68.099999999999994" customHeight="1">
      <c r="B22" s="3291" t="s">
        <v>3070</v>
      </c>
      <c r="C22" s="1777"/>
      <c r="D22" s="1777"/>
      <c r="E22" s="1777"/>
      <c r="F22" s="1777"/>
      <c r="G22" s="1777"/>
      <c r="H22" s="1777"/>
      <c r="I22" s="1777"/>
      <c r="J22" s="1777"/>
      <c r="K22" s="1777"/>
      <c r="L22" s="1777"/>
      <c r="M22" s="1777"/>
      <c r="N22" s="1777"/>
      <c r="O22" s="1777"/>
      <c r="P22" s="1778"/>
      <c r="Q22" s="3280" t="s">
        <v>3071</v>
      </c>
      <c r="R22" s="1778"/>
      <c r="S22" s="3280" t="s">
        <v>3080</v>
      </c>
      <c r="T22" s="1778"/>
      <c r="U22" s="3291" t="s">
        <v>3073</v>
      </c>
      <c r="V22" s="1777"/>
      <c r="W22" s="1778"/>
      <c r="X22" s="3290" t="s">
        <v>3074</v>
      </c>
      <c r="Y22" s="1777"/>
      <c r="Z22" s="1777"/>
      <c r="AA22" s="1777"/>
      <c r="AB22" s="1777"/>
      <c r="AC22" s="1777"/>
      <c r="AD22" s="1777"/>
      <c r="AE22" s="1777"/>
      <c r="AF22" s="1777"/>
      <c r="AG22" s="3280" t="s">
        <v>3081</v>
      </c>
      <c r="AH22" s="1777"/>
      <c r="AI22" s="1778"/>
      <c r="AJ22" s="3280" t="s">
        <v>3082</v>
      </c>
      <c r="AK22" s="1777"/>
      <c r="AL22" s="1777"/>
      <c r="AM22" s="1778"/>
    </row>
    <row r="23" spans="2:39" ht="36" customHeight="1">
      <c r="B23" s="1739">
        <v>1</v>
      </c>
      <c r="C23" s="3281"/>
      <c r="D23" s="1861"/>
      <c r="E23" s="1861"/>
      <c r="F23" s="1861"/>
      <c r="G23" s="1861"/>
      <c r="H23" s="1861"/>
      <c r="I23" s="1861"/>
      <c r="J23" s="1861"/>
      <c r="K23" s="1861"/>
      <c r="L23" s="1861"/>
      <c r="M23" s="1861"/>
      <c r="N23" s="1861"/>
      <c r="O23" s="1861"/>
      <c r="P23" s="1862"/>
      <c r="Q23" s="1911"/>
      <c r="R23" s="1862"/>
      <c r="S23" s="1911"/>
      <c r="T23" s="1862"/>
      <c r="U23" s="3283"/>
      <c r="V23" s="1861"/>
      <c r="W23" s="1862"/>
      <c r="X23" s="3283"/>
      <c r="Y23" s="1861"/>
      <c r="Z23" s="1861"/>
      <c r="AA23" s="1861"/>
      <c r="AB23" s="1861"/>
      <c r="AC23" s="1861"/>
      <c r="AD23" s="1861"/>
      <c r="AE23" s="1861"/>
      <c r="AF23" s="1862"/>
      <c r="AG23" s="3283"/>
      <c r="AH23" s="1861"/>
      <c r="AI23" s="1862"/>
      <c r="AJ23" s="1911"/>
      <c r="AK23" s="1861"/>
      <c r="AL23" s="1861"/>
      <c r="AM23" s="1862"/>
    </row>
    <row r="24" spans="2:39" ht="36" customHeight="1">
      <c r="B24" s="1626">
        <v>2</v>
      </c>
      <c r="C24" s="3281"/>
      <c r="D24" s="1861"/>
      <c r="E24" s="1861"/>
      <c r="F24" s="1861"/>
      <c r="G24" s="1861"/>
      <c r="H24" s="1861"/>
      <c r="I24" s="1861"/>
      <c r="J24" s="1861"/>
      <c r="K24" s="1861"/>
      <c r="L24" s="1861"/>
      <c r="M24" s="1861"/>
      <c r="N24" s="1861"/>
      <c r="O24" s="1861"/>
      <c r="P24" s="1862"/>
      <c r="Q24" s="1911"/>
      <c r="R24" s="1862"/>
      <c r="S24" s="1911"/>
      <c r="T24" s="1862"/>
      <c r="U24" s="3283"/>
      <c r="V24" s="1861"/>
      <c r="W24" s="1862"/>
      <c r="X24" s="3283"/>
      <c r="Y24" s="1861"/>
      <c r="Z24" s="1861"/>
      <c r="AA24" s="1861"/>
      <c r="AB24" s="1861"/>
      <c r="AC24" s="1861"/>
      <c r="AD24" s="1861"/>
      <c r="AE24" s="1861"/>
      <c r="AF24" s="1862"/>
      <c r="AG24" s="3283"/>
      <c r="AH24" s="1861"/>
      <c r="AI24" s="1862"/>
      <c r="AJ24" s="3279"/>
      <c r="AK24" s="1861"/>
      <c r="AL24" s="1861"/>
      <c r="AM24" s="1862"/>
    </row>
    <row r="25" spans="2:39" ht="36" customHeight="1">
      <c r="B25" s="1626">
        <v>3</v>
      </c>
      <c r="C25" s="3281"/>
      <c r="D25" s="1861"/>
      <c r="E25" s="1861"/>
      <c r="F25" s="1861"/>
      <c r="G25" s="1861"/>
      <c r="H25" s="1861"/>
      <c r="I25" s="1861"/>
      <c r="J25" s="1861"/>
      <c r="K25" s="1861"/>
      <c r="L25" s="1861"/>
      <c r="M25" s="1861"/>
      <c r="N25" s="1861"/>
      <c r="O25" s="1861"/>
      <c r="P25" s="1862"/>
      <c r="Q25" s="1911"/>
      <c r="R25" s="1862"/>
      <c r="S25" s="1911"/>
      <c r="T25" s="1862"/>
      <c r="U25" s="3283"/>
      <c r="V25" s="1861"/>
      <c r="W25" s="1862"/>
      <c r="X25" s="3283"/>
      <c r="Y25" s="1861"/>
      <c r="Z25" s="1861"/>
      <c r="AA25" s="1861"/>
      <c r="AB25" s="1861"/>
      <c r="AC25" s="1861"/>
      <c r="AD25" s="1861"/>
      <c r="AE25" s="1861"/>
      <c r="AF25" s="1862"/>
      <c r="AG25" s="3283"/>
      <c r="AH25" s="1861"/>
      <c r="AI25" s="1862"/>
      <c r="AJ25" s="3279"/>
      <c r="AK25" s="1861"/>
      <c r="AL25" s="1861"/>
      <c r="AM25" s="1862"/>
    </row>
    <row r="26" spans="2:39" s="56" customFormat="1" ht="36" customHeight="1">
      <c r="B26" s="2268" t="s">
        <v>558</v>
      </c>
      <c r="C26" s="1777"/>
      <c r="D26" s="1778"/>
      <c r="E26" s="1882" t="str">
        <f>'Document Checklist-Full List'!$E$154</f>
        <v>65. Property Management SOQ</v>
      </c>
      <c r="F26" s="1777"/>
      <c r="G26" s="1777"/>
      <c r="H26" s="1777"/>
      <c r="I26" s="1777"/>
      <c r="J26" s="1777"/>
      <c r="K26" s="1777"/>
      <c r="L26" s="1777"/>
      <c r="M26" s="1778"/>
      <c r="N26" s="3278" t="str">
        <f>'Document Checklist-Full List'!$N$154</f>
        <v>Property Management Statement of Qualifications regarding owning and managing Special Needs/Supportive Housing Projects. Include list of Projects.</v>
      </c>
      <c r="O26" s="1777"/>
      <c r="P26" s="1777"/>
      <c r="Q26" s="1777"/>
      <c r="R26" s="1777"/>
      <c r="S26" s="1777"/>
      <c r="T26" s="1777"/>
      <c r="U26" s="1777"/>
      <c r="V26" s="1777"/>
      <c r="W26" s="1777"/>
      <c r="X26" s="1777"/>
      <c r="Y26" s="1777"/>
      <c r="Z26" s="1777"/>
      <c r="AA26" s="1777"/>
      <c r="AB26" s="1777"/>
      <c r="AC26" s="1777"/>
      <c r="AD26" s="1777"/>
      <c r="AE26" s="1778"/>
      <c r="AF26" s="3294" t="s">
        <v>559</v>
      </c>
      <c r="AG26" s="1777"/>
      <c r="AH26" s="1777"/>
      <c r="AI26" s="1777"/>
      <c r="AJ26" s="1777"/>
      <c r="AK26" s="1778"/>
      <c r="AL26" s="3289"/>
      <c r="AM26" s="1862"/>
    </row>
    <row r="27" spans="2:39" ht="229.35" customHeight="1">
      <c r="B27" s="3292" t="s">
        <v>3083</v>
      </c>
      <c r="C27" s="1777"/>
      <c r="D27" s="1777"/>
      <c r="E27" s="1777"/>
      <c r="F27" s="1777"/>
      <c r="G27" s="1777"/>
      <c r="H27" s="1777"/>
      <c r="I27" s="1777"/>
      <c r="J27" s="1777"/>
      <c r="K27" s="1777"/>
      <c r="L27" s="1777"/>
      <c r="M27" s="1777"/>
      <c r="N27" s="1777"/>
      <c r="O27" s="1777"/>
      <c r="P27" s="1777"/>
      <c r="Q27" s="1777"/>
      <c r="R27" s="1777"/>
      <c r="S27" s="1777"/>
      <c r="T27" s="1777"/>
      <c r="U27" s="1777"/>
      <c r="V27" s="1777"/>
      <c r="W27" s="1777"/>
      <c r="X27" s="1777"/>
      <c r="Y27" s="1777"/>
      <c r="Z27" s="1777"/>
      <c r="AA27" s="1777"/>
      <c r="AB27" s="1777"/>
      <c r="AC27" s="1777"/>
      <c r="AD27" s="1777"/>
      <c r="AE27" s="1777"/>
      <c r="AF27" s="1777"/>
      <c r="AG27" s="1777"/>
      <c r="AH27" s="1777"/>
      <c r="AI27" s="1778"/>
      <c r="AJ27" s="3286" t="s">
        <v>3079</v>
      </c>
      <c r="AK27" s="1778"/>
      <c r="AL27" s="3296">
        <f>SUM($AK$29:$AM$32)</f>
        <v>0</v>
      </c>
      <c r="AM27" s="1778"/>
    </row>
    <row r="28" spans="2:39" ht="63" customHeight="1">
      <c r="B28" s="3280" t="s">
        <v>3084</v>
      </c>
      <c r="C28" s="1777"/>
      <c r="D28" s="1777"/>
      <c r="E28" s="1777"/>
      <c r="F28" s="1777"/>
      <c r="G28" s="1777"/>
      <c r="H28" s="1777"/>
      <c r="I28" s="1777"/>
      <c r="J28" s="1777"/>
      <c r="K28" s="1777"/>
      <c r="L28" s="1777"/>
      <c r="M28" s="1777"/>
      <c r="N28" s="1777"/>
      <c r="O28" s="1777"/>
      <c r="P28" s="1778"/>
      <c r="Q28" s="3280" t="s">
        <v>3071</v>
      </c>
      <c r="R28" s="1778"/>
      <c r="S28" s="3280" t="s">
        <v>3080</v>
      </c>
      <c r="T28" s="1778"/>
      <c r="U28" s="3291" t="s">
        <v>3073</v>
      </c>
      <c r="V28" s="1777"/>
      <c r="W28" s="1777"/>
      <c r="X28" s="1778"/>
      <c r="Y28" s="3280" t="s">
        <v>3085</v>
      </c>
      <c r="Z28" s="1777"/>
      <c r="AA28" s="1777"/>
      <c r="AB28" s="1777"/>
      <c r="AC28" s="1777"/>
      <c r="AD28" s="1777"/>
      <c r="AE28" s="1777"/>
      <c r="AF28" s="1777"/>
      <c r="AG28" s="1778"/>
      <c r="AH28" s="3280" t="s">
        <v>3086</v>
      </c>
      <c r="AI28" s="1777"/>
      <c r="AJ28" s="1778"/>
      <c r="AK28" s="3280" t="s">
        <v>3087</v>
      </c>
      <c r="AL28" s="1777"/>
      <c r="AM28" s="1778"/>
    </row>
    <row r="29" spans="2:39" ht="18" customHeight="1">
      <c r="B29" s="1626">
        <v>1</v>
      </c>
      <c r="C29" s="3297"/>
      <c r="D29" s="1861"/>
      <c r="E29" s="1861"/>
      <c r="F29" s="1861"/>
      <c r="G29" s="1861"/>
      <c r="H29" s="1861"/>
      <c r="I29" s="1861"/>
      <c r="J29" s="1861"/>
      <c r="K29" s="1861"/>
      <c r="L29" s="1861"/>
      <c r="M29" s="1861"/>
      <c r="N29" s="1861"/>
      <c r="O29" s="1861"/>
      <c r="P29" s="1862"/>
      <c r="Q29" s="1911"/>
      <c r="R29" s="1862"/>
      <c r="S29" s="1911"/>
      <c r="T29" s="1862"/>
      <c r="U29" s="3283"/>
      <c r="V29" s="1861"/>
      <c r="W29" s="1861"/>
      <c r="X29" s="1862"/>
      <c r="Y29" s="3279"/>
      <c r="Z29" s="1861"/>
      <c r="AA29" s="1861"/>
      <c r="AB29" s="1861"/>
      <c r="AC29" s="1861"/>
      <c r="AD29" s="1861"/>
      <c r="AE29" s="1861"/>
      <c r="AF29" s="1861"/>
      <c r="AG29" s="1862"/>
      <c r="AH29" s="3279"/>
      <c r="AI29" s="1861"/>
      <c r="AJ29" s="1862"/>
      <c r="AK29" s="3288"/>
      <c r="AL29" s="1861"/>
      <c r="AM29" s="1862"/>
    </row>
    <row r="30" spans="2:39" ht="18" customHeight="1">
      <c r="B30" s="1626">
        <v>2</v>
      </c>
      <c r="C30" s="3297"/>
      <c r="D30" s="1861"/>
      <c r="E30" s="1861"/>
      <c r="F30" s="1861"/>
      <c r="G30" s="1861"/>
      <c r="H30" s="1861"/>
      <c r="I30" s="1861"/>
      <c r="J30" s="1861"/>
      <c r="K30" s="1861"/>
      <c r="L30" s="1861"/>
      <c r="M30" s="1861"/>
      <c r="N30" s="1861"/>
      <c r="O30" s="1861"/>
      <c r="P30" s="1862"/>
      <c r="Q30" s="1911"/>
      <c r="R30" s="1862"/>
      <c r="S30" s="1911"/>
      <c r="T30" s="1862"/>
      <c r="U30" s="3283"/>
      <c r="V30" s="1861"/>
      <c r="W30" s="1861"/>
      <c r="X30" s="1862"/>
      <c r="Y30" s="3279"/>
      <c r="Z30" s="1861"/>
      <c r="AA30" s="1861"/>
      <c r="AB30" s="1861"/>
      <c r="AC30" s="1861"/>
      <c r="AD30" s="1861"/>
      <c r="AE30" s="1861"/>
      <c r="AF30" s="1861"/>
      <c r="AG30" s="1862"/>
      <c r="AH30" s="3279"/>
      <c r="AI30" s="1861"/>
      <c r="AJ30" s="1862"/>
      <c r="AK30" s="3288"/>
      <c r="AL30" s="1861"/>
      <c r="AM30" s="1862"/>
    </row>
    <row r="31" spans="2:39" ht="18" customHeight="1">
      <c r="B31" s="1626">
        <v>3</v>
      </c>
      <c r="C31" s="3297"/>
      <c r="D31" s="1861"/>
      <c r="E31" s="1861"/>
      <c r="F31" s="1861"/>
      <c r="G31" s="1861"/>
      <c r="H31" s="1861"/>
      <c r="I31" s="1861"/>
      <c r="J31" s="1861"/>
      <c r="K31" s="1861"/>
      <c r="L31" s="1861"/>
      <c r="M31" s="1861"/>
      <c r="N31" s="1861"/>
      <c r="O31" s="1861"/>
      <c r="P31" s="1862"/>
      <c r="Q31" s="1911"/>
      <c r="R31" s="1862"/>
      <c r="S31" s="1911"/>
      <c r="T31" s="1862"/>
      <c r="U31" s="3283"/>
      <c r="V31" s="1861"/>
      <c r="W31" s="1861"/>
      <c r="X31" s="1862"/>
      <c r="Y31" s="3279"/>
      <c r="Z31" s="1861"/>
      <c r="AA31" s="1861"/>
      <c r="AB31" s="1861"/>
      <c r="AC31" s="1861"/>
      <c r="AD31" s="1861"/>
      <c r="AE31" s="1861"/>
      <c r="AF31" s="1861"/>
      <c r="AG31" s="1862"/>
      <c r="AH31" s="3279"/>
      <c r="AI31" s="1861"/>
      <c r="AJ31" s="1862"/>
      <c r="AK31" s="3288"/>
      <c r="AL31" s="1861"/>
      <c r="AM31" s="1862"/>
    </row>
    <row r="32" spans="2:39" ht="18" customHeight="1">
      <c r="B32" s="1626">
        <v>4</v>
      </c>
      <c r="C32" s="3297"/>
      <c r="D32" s="1861"/>
      <c r="E32" s="1861"/>
      <c r="F32" s="1861"/>
      <c r="G32" s="1861"/>
      <c r="H32" s="1861"/>
      <c r="I32" s="1861"/>
      <c r="J32" s="1861"/>
      <c r="K32" s="1861"/>
      <c r="L32" s="1861"/>
      <c r="M32" s="1861"/>
      <c r="N32" s="1861"/>
      <c r="O32" s="1861"/>
      <c r="P32" s="1862"/>
      <c r="Q32" s="1911"/>
      <c r="R32" s="1862"/>
      <c r="S32" s="1911"/>
      <c r="T32" s="1862"/>
      <c r="U32" s="3283"/>
      <c r="V32" s="1861"/>
      <c r="W32" s="1861"/>
      <c r="X32" s="1862"/>
      <c r="Y32" s="3279"/>
      <c r="Z32" s="1861"/>
      <c r="AA32" s="1861"/>
      <c r="AB32" s="1861"/>
      <c r="AC32" s="1861"/>
      <c r="AD32" s="1861"/>
      <c r="AE32" s="1861"/>
      <c r="AF32" s="1861"/>
      <c r="AG32" s="1862"/>
      <c r="AH32" s="3279"/>
      <c r="AI32" s="1861"/>
      <c r="AJ32" s="1862"/>
      <c r="AK32" s="3288"/>
      <c r="AL32" s="1861"/>
      <c r="AM32" s="1862"/>
    </row>
    <row r="33" spans="2:39" s="56" customFormat="1" ht="36" customHeight="1">
      <c r="B33" s="2268" t="s">
        <v>558</v>
      </c>
      <c r="C33" s="1777"/>
      <c r="D33" s="1778"/>
      <c r="E33" s="1882" t="str">
        <f>'Document Checklist-Full List'!$E$155</f>
        <v>66. LSP SOQ</v>
      </c>
      <c r="F33" s="1777"/>
      <c r="G33" s="1777"/>
      <c r="H33" s="1777"/>
      <c r="I33" s="1777"/>
      <c r="J33" s="1777"/>
      <c r="K33" s="1777"/>
      <c r="L33" s="1777"/>
      <c r="M33" s="1778"/>
      <c r="N33" s="3278" t="str">
        <f>'Document Checklist-Full List'!$N$155</f>
        <v>Special Needs/Supportive Housing - Lead Service Provider Statement of Qualifications. Include company and resumes of Principals.</v>
      </c>
      <c r="O33" s="1777"/>
      <c r="P33" s="1777"/>
      <c r="Q33" s="1777"/>
      <c r="R33" s="1777"/>
      <c r="S33" s="1777"/>
      <c r="T33" s="1777"/>
      <c r="U33" s="1777"/>
      <c r="V33" s="1777"/>
      <c r="W33" s="1777"/>
      <c r="X33" s="1777"/>
      <c r="Y33" s="1777"/>
      <c r="Z33" s="1777"/>
      <c r="AA33" s="1777"/>
      <c r="AB33" s="1777"/>
      <c r="AC33" s="1777"/>
      <c r="AD33" s="1777"/>
      <c r="AE33" s="1778"/>
      <c r="AF33" s="3294" t="s">
        <v>559</v>
      </c>
      <c r="AG33" s="1777"/>
      <c r="AH33" s="1777"/>
      <c r="AI33" s="1777"/>
      <c r="AJ33" s="1777"/>
      <c r="AK33" s="1778"/>
      <c r="AL33" s="3289"/>
      <c r="AM33" s="1862"/>
    </row>
    <row r="34" spans="2:39" s="56" customFormat="1" ht="72" customHeight="1">
      <c r="B34" s="2268" t="s">
        <v>558</v>
      </c>
      <c r="C34" s="1777"/>
      <c r="D34" s="1778"/>
      <c r="E34" s="1882" t="str">
        <f>'Document Checklist-Full List'!$E$156</f>
        <v>67. LSP Exp Contracts</v>
      </c>
      <c r="F34" s="1777"/>
      <c r="G34" s="1777"/>
      <c r="H34" s="1777"/>
      <c r="I34" s="1777"/>
      <c r="J34" s="1777"/>
      <c r="K34" s="1777"/>
      <c r="L34" s="1777"/>
      <c r="M34" s="1778"/>
      <c r="N34" s="3278" t="str">
        <f>'Document Checklist-Full List'!$N$156</f>
        <v>Executed contracts must be provided for experience to count. Provide only these pages of the contract: page(s) identifying the Project name, scope of work; term of the contract or agreement; and execution page(s) showing all signatures of all parties to the contracts.</v>
      </c>
      <c r="O34" s="1777"/>
      <c r="P34" s="1777"/>
      <c r="Q34" s="1777"/>
      <c r="R34" s="1777"/>
      <c r="S34" s="1777"/>
      <c r="T34" s="1777"/>
      <c r="U34" s="1777"/>
      <c r="V34" s="1777"/>
      <c r="W34" s="1777"/>
      <c r="X34" s="1777"/>
      <c r="Y34" s="1777"/>
      <c r="Z34" s="1777"/>
      <c r="AA34" s="1777"/>
      <c r="AB34" s="1777"/>
      <c r="AC34" s="1777"/>
      <c r="AD34" s="1777"/>
      <c r="AE34" s="1778"/>
      <c r="AF34" s="3294" t="s">
        <v>559</v>
      </c>
      <c r="AG34" s="1777"/>
      <c r="AH34" s="1777"/>
      <c r="AI34" s="1777"/>
      <c r="AJ34" s="1777"/>
      <c r="AK34" s="1778"/>
      <c r="AL34" s="3289"/>
      <c r="AM34" s="1862"/>
    </row>
    <row r="36" spans="2:39" ht="18" customHeight="1">
      <c r="B36" s="2529" t="s">
        <v>461</v>
      </c>
      <c r="C36" s="3295"/>
      <c r="D36" s="3295"/>
      <c r="E36" s="3295"/>
      <c r="F36" s="3295"/>
      <c r="G36" s="3295"/>
      <c r="H36" s="3295"/>
      <c r="I36" s="3295"/>
      <c r="J36" s="3295"/>
      <c r="K36" s="3295"/>
      <c r="L36" s="3295"/>
      <c r="M36" s="3295"/>
      <c r="N36" s="3295"/>
      <c r="O36" s="3295"/>
      <c r="P36" s="3295"/>
      <c r="Q36" s="3295"/>
      <c r="R36" s="3295"/>
      <c r="S36" s="3295"/>
      <c r="T36" s="3295"/>
      <c r="U36" s="3295"/>
      <c r="V36" s="3295"/>
      <c r="W36" s="3295"/>
      <c r="X36" s="3295"/>
      <c r="Y36" s="3295"/>
      <c r="Z36" s="3295"/>
      <c r="AA36" s="3295"/>
      <c r="AB36" s="3295"/>
      <c r="AC36" s="3295"/>
      <c r="AD36" s="3295"/>
      <c r="AE36" s="3295"/>
      <c r="AF36" s="3295"/>
      <c r="AG36" s="3295"/>
      <c r="AH36" s="3295"/>
      <c r="AI36" s="3295"/>
      <c r="AJ36" s="3295"/>
      <c r="AK36" s="3295"/>
      <c r="AL36" s="3295"/>
      <c r="AM36" s="3295"/>
    </row>
  </sheetData>
  <sheetProtection algorithmName="SHA-512" hashValue="qWZaGMbemKEPMutemb8ikTuQNKpeeavnpCsX51IBqHEWwxd7CTj97taZOXrkqVKU61HIGHBwOTZcVIeulIaoVQ==" saltValue="vgQ8BfEwdK0rioJyl0VwIA==" spinCount="100000" sheet="1" objects="1" scenarios="1"/>
  <mergeCells count="142">
    <mergeCell ref="AL34:AM34"/>
    <mergeCell ref="C30:P30"/>
    <mergeCell ref="U29:X29"/>
    <mergeCell ref="B4:AM4"/>
    <mergeCell ref="E34:M34"/>
    <mergeCell ref="B34:D34"/>
    <mergeCell ref="U31:X31"/>
    <mergeCell ref="D7:AM7"/>
    <mergeCell ref="U18:W18"/>
    <mergeCell ref="B20:D20"/>
    <mergeCell ref="AG24:AI24"/>
    <mergeCell ref="AL21:AM21"/>
    <mergeCell ref="S19:T19"/>
    <mergeCell ref="AH28:AJ28"/>
    <mergeCell ref="D8:AM8"/>
    <mergeCell ref="B27:AI27"/>
    <mergeCell ref="AK17:AM17"/>
    <mergeCell ref="C23:P23"/>
    <mergeCell ref="N26:AE26"/>
    <mergeCell ref="Q30:R30"/>
    <mergeCell ref="AF34:AK34"/>
    <mergeCell ref="S30:T30"/>
    <mergeCell ref="AG25:AI25"/>
    <mergeCell ref="C32:P32"/>
    <mergeCell ref="B36:AM36"/>
    <mergeCell ref="D6:AM6"/>
    <mergeCell ref="AJ27:AK27"/>
    <mergeCell ref="AL27:AM27"/>
    <mergeCell ref="B11:C11"/>
    <mergeCell ref="Q29:R29"/>
    <mergeCell ref="Q23:R23"/>
    <mergeCell ref="C29:P29"/>
    <mergeCell ref="AK31:AM31"/>
    <mergeCell ref="AF16:AG16"/>
    <mergeCell ref="S23:T23"/>
    <mergeCell ref="E26:M26"/>
    <mergeCell ref="AF26:AK26"/>
    <mergeCell ref="Q31:R31"/>
    <mergeCell ref="AH16:AJ16"/>
    <mergeCell ref="C31:P31"/>
    <mergeCell ref="AG23:AI23"/>
    <mergeCell ref="B14:AM14"/>
    <mergeCell ref="AK32:AM32"/>
    <mergeCell ref="S24:T24"/>
    <mergeCell ref="U32:X32"/>
    <mergeCell ref="B6:C6"/>
    <mergeCell ref="AL20:AM20"/>
    <mergeCell ref="AF33:AK33"/>
    <mergeCell ref="AK18:AM18"/>
    <mergeCell ref="D10:AM10"/>
    <mergeCell ref="Y30:AG30"/>
    <mergeCell ref="E20:M20"/>
    <mergeCell ref="AH29:AJ29"/>
    <mergeCell ref="U16:W16"/>
    <mergeCell ref="U25:W25"/>
    <mergeCell ref="Y29:AG29"/>
    <mergeCell ref="B28:P28"/>
    <mergeCell ref="AF20:AK20"/>
    <mergeCell ref="AJ22:AM22"/>
    <mergeCell ref="Y28:AG28"/>
    <mergeCell ref="Q19:R19"/>
    <mergeCell ref="Q17:R17"/>
    <mergeCell ref="AK19:AM19"/>
    <mergeCell ref="B22:P22"/>
    <mergeCell ref="AK28:AM28"/>
    <mergeCell ref="U17:W17"/>
    <mergeCell ref="U28:X28"/>
    <mergeCell ref="S22:T22"/>
    <mergeCell ref="C18:P18"/>
    <mergeCell ref="AK30:AM30"/>
    <mergeCell ref="B2:AM2"/>
    <mergeCell ref="U23:W23"/>
    <mergeCell ref="AJ23:AM23"/>
    <mergeCell ref="D9:AM9"/>
    <mergeCell ref="AL33:AM33"/>
    <mergeCell ref="X22:AF22"/>
    <mergeCell ref="U22:W22"/>
    <mergeCell ref="B9:C9"/>
    <mergeCell ref="AF17:AG17"/>
    <mergeCell ref="B16:P16"/>
    <mergeCell ref="E33:M33"/>
    <mergeCell ref="B5:C5"/>
    <mergeCell ref="Q32:R32"/>
    <mergeCell ref="S32:T32"/>
    <mergeCell ref="AH17:AJ17"/>
    <mergeCell ref="AF19:AG19"/>
    <mergeCell ref="Q16:R16"/>
    <mergeCell ref="B15:AM15"/>
    <mergeCell ref="S16:T16"/>
    <mergeCell ref="Q25:R25"/>
    <mergeCell ref="AH19:AJ19"/>
    <mergeCell ref="S25:T25"/>
    <mergeCell ref="Q24:R24"/>
    <mergeCell ref="Q18:R18"/>
    <mergeCell ref="B33:D33"/>
    <mergeCell ref="N34:AE34"/>
    <mergeCell ref="X25:AF25"/>
    <mergeCell ref="AH32:AJ32"/>
    <mergeCell ref="U19:W19"/>
    <mergeCell ref="U30:X30"/>
    <mergeCell ref="B10:C10"/>
    <mergeCell ref="Y32:AG32"/>
    <mergeCell ref="B26:D26"/>
    <mergeCell ref="Q22:R22"/>
    <mergeCell ref="S31:T31"/>
    <mergeCell ref="AJ21:AK21"/>
    <mergeCell ref="W13:AM13"/>
    <mergeCell ref="C24:P24"/>
    <mergeCell ref="Q28:R28"/>
    <mergeCell ref="N33:AE33"/>
    <mergeCell ref="AH31:AJ31"/>
    <mergeCell ref="D11:AM11"/>
    <mergeCell ref="Y31:AG31"/>
    <mergeCell ref="X17:AE17"/>
    <mergeCell ref="AK29:AM29"/>
    <mergeCell ref="AK16:AM16"/>
    <mergeCell ref="AL26:AM26"/>
    <mergeCell ref="AH30:AJ30"/>
    <mergeCell ref="D5:AM5"/>
    <mergeCell ref="B21:AI21"/>
    <mergeCell ref="C17:P17"/>
    <mergeCell ref="N20:AE20"/>
    <mergeCell ref="S29:T29"/>
    <mergeCell ref="AH18:AJ18"/>
    <mergeCell ref="AG22:AI22"/>
    <mergeCell ref="C19:P19"/>
    <mergeCell ref="AJ24:AM24"/>
    <mergeCell ref="B8:C8"/>
    <mergeCell ref="X18:AE18"/>
    <mergeCell ref="B7:C7"/>
    <mergeCell ref="X19:AE19"/>
    <mergeCell ref="C25:P25"/>
    <mergeCell ref="S28:T28"/>
    <mergeCell ref="S18:T18"/>
    <mergeCell ref="AJ25:AM25"/>
    <mergeCell ref="X24:AF24"/>
    <mergeCell ref="B13:V13"/>
    <mergeCell ref="S17:T17"/>
    <mergeCell ref="X16:AE16"/>
    <mergeCell ref="U24:W24"/>
    <mergeCell ref="AF18:AG18"/>
    <mergeCell ref="X23:AF23"/>
  </mergeCells>
  <conditionalFormatting sqref="AL20">
    <cfRule type="cellIs" dxfId="855" priority="15" operator="equal">
      <formula>"No"</formula>
    </cfRule>
    <cfRule type="cellIs" dxfId="854" priority="16" operator="equal">
      <formula>"No"</formula>
    </cfRule>
  </conditionalFormatting>
  <conditionalFormatting sqref="AL26">
    <cfRule type="cellIs" dxfId="853" priority="13" operator="equal">
      <formula>"No"</formula>
    </cfRule>
    <cfRule type="cellIs" dxfId="852" priority="14" operator="equal">
      <formula>"No"</formula>
    </cfRule>
  </conditionalFormatting>
  <conditionalFormatting sqref="AL33">
    <cfRule type="cellIs" dxfId="851" priority="11" operator="equal">
      <formula>"No"</formula>
    </cfRule>
    <cfRule type="cellIs" dxfId="850" priority="12" operator="equal">
      <formula>"No"</formula>
    </cfRule>
  </conditionalFormatting>
  <conditionalFormatting sqref="AL34">
    <cfRule type="cellIs" dxfId="849" priority="9" operator="equal">
      <formula>"No"</formula>
    </cfRule>
    <cfRule type="cellIs" dxfId="848" priority="10" operator="equal">
      <formula>"No"</formula>
    </cfRule>
  </conditionalFormatting>
  <conditionalFormatting sqref="AL21:AM21">
    <cfRule type="expression" dxfId="847" priority="8">
      <formula>$AL$21&lt;3</formula>
    </cfRule>
  </conditionalFormatting>
  <conditionalFormatting sqref="AL27:AM27">
    <cfRule type="expression" dxfId="846" priority="4">
      <formula>IF(AND(IsVhhp,$AL$27&lt;4),TRUE,$AL$27&lt;3)</formula>
    </cfRule>
  </conditionalFormatting>
  <conditionalFormatting sqref="C17:C19">
    <cfRule type="expression" dxfId="845" priority="3">
      <formula>#REF!=1</formula>
    </cfRule>
  </conditionalFormatting>
  <conditionalFormatting sqref="C23:C25">
    <cfRule type="expression" dxfId="844" priority="2">
      <formula>#REF!=1</formula>
    </cfRule>
  </conditionalFormatting>
  <conditionalFormatting sqref="Y29:Y32">
    <cfRule type="cellIs" dxfId="843" priority="1" operator="equal">
      <formula>"No"</formula>
    </cfRule>
  </conditionalFormatting>
  <dataValidations count="6">
    <dataValidation type="list" allowBlank="1" showInputMessage="1" showErrorMessage="1" sqref="Y29:Y32" xr:uid="{00000000-0002-0000-1B00-000000000000}">
      <formula1>"Yes,No"</formula1>
    </dataValidation>
    <dataValidation type="list" allowBlank="1" showInputMessage="1" showErrorMessage="1" sqref="AL20 AL26 AL33:AL34" xr:uid="{00000000-0002-0000-1B00-000001000000}">
      <formula1>"Yes, No"</formula1>
    </dataValidation>
    <dataValidation type="list" allowBlank="1" showInputMessage="1" showErrorMessage="1" sqref="AF17:AG19 AG23:AI25" xr:uid="{00000000-0002-0000-1B00-000002000000}">
      <formula1>"Yes, No, N/A"</formula1>
    </dataValidation>
    <dataValidation type="list" allowBlank="1" showInputMessage="1" showErrorMessage="1" sqref="AH17:AJ17 AH18:AH19" xr:uid="{00000000-0002-0000-1B00-000003000000}">
      <formula1>"Owned,Operated, Owned &amp; Operated"</formula1>
    </dataValidation>
    <dataValidation type="list" allowBlank="1" showInputMessage="1" showErrorMessage="1" sqref="X17:X19" xr:uid="{00000000-0002-0000-1B00-000004000000}">
      <formula1>"Yes,No, N/A"</formula1>
    </dataValidation>
    <dataValidation type="list" allowBlank="1" showInputMessage="1" showErrorMessage="1" sqref="X23:X25" xr:uid="{00000000-0002-0000-1B00-000005000000}">
      <formula1>"Yes,No,N/A"</formula1>
    </dataValidation>
  </dataValidations>
  <printOptions horizontalCentered="1"/>
  <pageMargins left="0" right="0.25" top="0" bottom="0" header="0.25" footer="0.25"/>
  <pageSetup scale="65" orientation="portrait" r:id="rId1"/>
  <headerFooter>
    <oddFooter>&amp;L&amp;F&amp;C&amp;P of &amp;N&amp;R &amp;A</oddFooter>
  </headerFooter>
  <legacy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S5SupportiveServicesVerif">
    <tabColor rgb="FF7030A0"/>
  </sheetPr>
  <dimension ref="B2:AM28"/>
  <sheetViews>
    <sheetView showGridLines="0" showRowColHeaders="0" zoomScale="90" zoomScaleNormal="90" zoomScaleSheetLayoutView="100" workbookViewId="0"/>
  </sheetViews>
  <sheetFormatPr defaultColWidth="9.28515625" defaultRowHeight="18" customHeight="1"/>
  <cols>
    <col min="1" max="1" width="8.7109375" style="125" customWidth="1"/>
    <col min="2" max="39" width="4.28515625" style="125" customWidth="1"/>
    <col min="40" max="40" width="9.28515625" style="125" customWidth="1"/>
    <col min="41" max="16384" width="9.28515625" style="125"/>
  </cols>
  <sheetData>
    <row r="2" spans="2:39" ht="24" customHeight="1">
      <c r="B2" s="3304" t="s">
        <v>3088</v>
      </c>
      <c r="C2" s="3301"/>
      <c r="D2" s="3301"/>
      <c r="E2" s="3301"/>
      <c r="F2" s="3301"/>
      <c r="G2" s="3301"/>
      <c r="H2" s="3301"/>
      <c r="I2" s="3301"/>
      <c r="J2" s="3301"/>
      <c r="K2" s="3301"/>
      <c r="L2" s="3301"/>
      <c r="M2" s="3301"/>
      <c r="N2" s="3301"/>
      <c r="O2" s="3301"/>
      <c r="P2" s="3301"/>
      <c r="Q2" s="3301"/>
      <c r="R2" s="3301"/>
      <c r="S2" s="3301"/>
      <c r="T2" s="3301"/>
      <c r="U2" s="3301"/>
      <c r="V2" s="3301"/>
      <c r="W2" s="3301"/>
      <c r="X2" s="3301"/>
      <c r="Y2" s="3301"/>
      <c r="Z2" s="3301"/>
      <c r="AA2" s="3301"/>
      <c r="AB2" s="3301"/>
      <c r="AC2" s="3301"/>
      <c r="AD2" s="3301"/>
      <c r="AE2" s="3301"/>
      <c r="AF2" s="3301"/>
      <c r="AG2" s="3301"/>
      <c r="AH2" s="3301"/>
      <c r="AI2" s="3301"/>
      <c r="AJ2" s="3301"/>
      <c r="AK2" s="3301"/>
      <c r="AL2" s="3301"/>
      <c r="AM2" s="3301"/>
    </row>
    <row r="3" spans="2:39" ht="18" customHeight="1">
      <c r="B3" s="3305" t="s">
        <v>3089</v>
      </c>
      <c r="C3" s="3301"/>
      <c r="D3" s="3301"/>
      <c r="E3" s="3301"/>
      <c r="F3" s="3301"/>
      <c r="G3" s="3301"/>
      <c r="H3" s="3301"/>
      <c r="I3" s="3301"/>
      <c r="J3" s="3301"/>
      <c r="K3" s="3301"/>
      <c r="L3" s="3301"/>
      <c r="M3" s="3301"/>
      <c r="N3" s="3301"/>
      <c r="O3" s="3301"/>
      <c r="P3" s="3301"/>
      <c r="Q3" s="3301"/>
      <c r="R3" s="3301"/>
      <c r="S3" s="3301"/>
      <c r="T3" s="3301"/>
      <c r="U3" s="3301"/>
      <c r="V3" s="3301"/>
      <c r="W3" s="3301"/>
      <c r="X3" s="3301"/>
      <c r="Y3" s="3301"/>
      <c r="Z3" s="3301"/>
      <c r="AA3" s="3301"/>
      <c r="AB3" s="3301"/>
      <c r="AC3" s="3301"/>
      <c r="AD3" s="3301"/>
      <c r="AE3" s="3301"/>
      <c r="AF3" s="3301"/>
      <c r="AG3" s="3301"/>
      <c r="AH3" s="3301"/>
      <c r="AI3" s="3301"/>
      <c r="AJ3" s="3301"/>
      <c r="AK3" s="3301"/>
      <c r="AL3" s="3301"/>
      <c r="AM3" s="3301"/>
    </row>
    <row r="4" spans="2:39" ht="72" customHeight="1">
      <c r="B4" s="3301" t="s">
        <v>3090</v>
      </c>
      <c r="C4" s="3301"/>
      <c r="D4" s="3301"/>
      <c r="E4" s="3301"/>
      <c r="F4" s="3301"/>
      <c r="G4" s="3301"/>
      <c r="H4" s="3301"/>
      <c r="I4" s="3301"/>
      <c r="J4" s="3301"/>
      <c r="K4" s="3301"/>
      <c r="L4" s="3301"/>
      <c r="M4" s="3301"/>
      <c r="N4" s="3301"/>
      <c r="O4" s="3301"/>
      <c r="P4" s="3301"/>
      <c r="Q4" s="3301"/>
      <c r="R4" s="3301"/>
      <c r="S4" s="3301"/>
      <c r="T4" s="3301"/>
      <c r="U4" s="3301"/>
      <c r="V4" s="3301"/>
      <c r="W4" s="3301"/>
      <c r="X4" s="3301"/>
      <c r="Y4" s="3301"/>
      <c r="Z4" s="3301"/>
      <c r="AA4" s="3301"/>
      <c r="AB4" s="3301"/>
      <c r="AC4" s="3301"/>
      <c r="AD4" s="3301"/>
      <c r="AE4" s="3301"/>
      <c r="AF4" s="3301"/>
      <c r="AG4" s="3301"/>
      <c r="AH4" s="3301"/>
      <c r="AI4" s="3301"/>
      <c r="AJ4" s="3301"/>
      <c r="AK4" s="3301"/>
      <c r="AL4" s="3301"/>
      <c r="AM4" s="3301"/>
    </row>
    <row r="5" spans="2:39" s="482" customFormat="1" ht="36" customHeight="1">
      <c r="B5" s="3043" t="s">
        <v>3091</v>
      </c>
      <c r="C5" s="3043"/>
      <c r="D5" s="3043"/>
      <c r="E5" s="3043"/>
      <c r="F5" s="3043"/>
      <c r="G5" s="3043"/>
      <c r="H5" s="3043"/>
      <c r="I5" s="3043"/>
      <c r="J5" s="3043"/>
      <c r="K5" s="3043"/>
      <c r="L5" s="3043"/>
      <c r="M5" s="3043"/>
      <c r="N5" s="3043"/>
      <c r="O5" s="3043"/>
      <c r="P5" s="3043"/>
      <c r="Q5" s="3043"/>
      <c r="R5" s="3043"/>
      <c r="S5" s="3043"/>
      <c r="T5" s="3043"/>
      <c r="U5" s="3043"/>
      <c r="V5" s="3043"/>
      <c r="W5" s="3043"/>
      <c r="X5" s="3043"/>
      <c r="Y5" s="3043"/>
      <c r="Z5" s="3043"/>
      <c r="AA5" s="3043"/>
      <c r="AB5" s="3043"/>
      <c r="AC5" s="3043"/>
      <c r="AD5" s="3043"/>
      <c r="AE5" s="3043"/>
      <c r="AF5" s="3043"/>
      <c r="AG5" s="3043"/>
      <c r="AH5" s="3043"/>
      <c r="AI5" s="3043"/>
      <c r="AJ5" s="3043"/>
      <c r="AK5" s="3043"/>
      <c r="AL5" s="3043"/>
      <c r="AM5" s="3043"/>
    </row>
    <row r="6" spans="2:39" ht="18" customHeight="1">
      <c r="B6" s="3303" t="s">
        <v>3092</v>
      </c>
      <c r="C6" s="3301"/>
      <c r="D6" s="3301"/>
      <c r="E6" s="3301"/>
      <c r="F6" s="3301"/>
      <c r="G6" s="3301"/>
      <c r="H6" s="3301"/>
      <c r="I6" s="3301"/>
      <c r="J6" s="3301"/>
      <c r="K6" s="3301"/>
      <c r="L6" s="3302"/>
      <c r="M6" s="1861"/>
      <c r="N6" s="1861"/>
      <c r="O6" s="1861"/>
      <c r="P6" s="1861"/>
      <c r="Q6" s="1861"/>
      <c r="R6" s="1861"/>
      <c r="S6" s="1861"/>
      <c r="T6" s="1861"/>
      <c r="U6" s="1861"/>
      <c r="V6" s="1861"/>
      <c r="W6" s="1861"/>
      <c r="X6" s="1861"/>
      <c r="Y6" s="1861"/>
      <c r="Z6" s="1861"/>
      <c r="AA6" s="1861"/>
      <c r="AB6" s="1861"/>
      <c r="AC6" s="1861"/>
      <c r="AD6" s="1861"/>
      <c r="AE6" s="1861"/>
      <c r="AF6" s="1861"/>
      <c r="AG6" s="1861"/>
      <c r="AH6" s="1861"/>
      <c r="AI6" s="1861"/>
      <c r="AJ6" s="1861"/>
      <c r="AK6" s="1861"/>
      <c r="AL6" s="1861"/>
      <c r="AM6" s="1862"/>
    </row>
    <row r="7" spans="2:39" ht="18" customHeight="1">
      <c r="B7" s="3303" t="s">
        <v>3093</v>
      </c>
      <c r="C7" s="3301"/>
      <c r="D7" s="3301"/>
      <c r="E7" s="3301"/>
      <c r="F7" s="3301"/>
      <c r="G7" s="3301"/>
      <c r="H7" s="3301"/>
      <c r="I7" s="3301"/>
      <c r="J7" s="3301"/>
      <c r="K7" s="3301"/>
      <c r="L7" s="3302"/>
      <c r="M7" s="1861"/>
      <c r="N7" s="1861"/>
      <c r="O7" s="1861"/>
      <c r="P7" s="1861"/>
      <c r="Q7" s="1861"/>
      <c r="R7" s="1861"/>
      <c r="S7" s="1861"/>
      <c r="T7" s="1861"/>
      <c r="U7" s="1861"/>
      <c r="V7" s="1861"/>
      <c r="W7" s="1861"/>
      <c r="X7" s="1861"/>
      <c r="Y7" s="1861"/>
      <c r="Z7" s="1861"/>
      <c r="AA7" s="1861"/>
      <c r="AB7" s="1861"/>
      <c r="AC7" s="1861"/>
      <c r="AD7" s="1861"/>
      <c r="AE7" s="1861"/>
      <c r="AF7" s="1861"/>
      <c r="AG7" s="1861"/>
      <c r="AH7" s="1861"/>
      <c r="AI7" s="1861"/>
      <c r="AJ7" s="1861"/>
      <c r="AK7" s="1861"/>
      <c r="AL7" s="1861"/>
      <c r="AM7" s="1862"/>
    </row>
    <row r="8" spans="2:39" ht="18" customHeight="1">
      <c r="B8" s="3303" t="s">
        <v>1300</v>
      </c>
      <c r="C8" s="3301"/>
      <c r="D8" s="3301"/>
      <c r="E8" s="3301"/>
      <c r="F8" s="3301"/>
      <c r="G8" s="3301"/>
      <c r="H8" s="3301"/>
      <c r="I8" s="3301"/>
      <c r="J8" s="3301"/>
      <c r="K8" s="3301"/>
      <c r="L8" s="3302"/>
      <c r="M8" s="1861"/>
      <c r="N8" s="1861"/>
      <c r="O8" s="1861"/>
      <c r="P8" s="1861"/>
      <c r="Q8" s="1861"/>
      <c r="R8" s="1861"/>
      <c r="S8" s="1861"/>
      <c r="T8" s="1861"/>
      <c r="U8" s="1861"/>
      <c r="V8" s="1861"/>
      <c r="W8" s="1861"/>
      <c r="X8" s="1861"/>
      <c r="Y8" s="1861"/>
      <c r="Z8" s="1861"/>
      <c r="AA8" s="1861"/>
      <c r="AB8" s="1861"/>
      <c r="AC8" s="1861"/>
      <c r="AD8" s="1861"/>
      <c r="AE8" s="1861"/>
      <c r="AF8" s="1861"/>
      <c r="AG8" s="1861"/>
      <c r="AH8" s="1861"/>
      <c r="AI8" s="1861"/>
      <c r="AJ8" s="1861"/>
      <c r="AK8" s="1861"/>
      <c r="AL8" s="1861"/>
      <c r="AM8" s="1862"/>
    </row>
    <row r="9" spans="2:39" ht="18" customHeight="1">
      <c r="B9" s="3303" t="s">
        <v>2280</v>
      </c>
      <c r="C9" s="3301"/>
      <c r="D9" s="3301"/>
      <c r="E9" s="3301"/>
      <c r="F9" s="3301"/>
      <c r="G9" s="3301"/>
      <c r="H9" s="3301"/>
      <c r="I9" s="3301"/>
      <c r="J9" s="3301"/>
      <c r="K9" s="3301"/>
      <c r="L9" s="3302"/>
      <c r="M9" s="1861"/>
      <c r="N9" s="1861"/>
      <c r="O9" s="1861"/>
      <c r="P9" s="1861"/>
      <c r="Q9" s="1861"/>
      <c r="R9" s="1861"/>
      <c r="S9" s="1861"/>
      <c r="T9" s="1861"/>
      <c r="U9" s="1861"/>
      <c r="V9" s="1861"/>
      <c r="W9" s="1861"/>
      <c r="X9" s="1861"/>
      <c r="Y9" s="1861"/>
      <c r="Z9" s="1861"/>
      <c r="AA9" s="1861"/>
      <c r="AB9" s="1861"/>
      <c r="AC9" s="1861"/>
      <c r="AD9" s="1861"/>
      <c r="AE9" s="1861"/>
      <c r="AF9" s="1861"/>
      <c r="AG9" s="1861"/>
      <c r="AH9" s="1861"/>
      <c r="AI9" s="1861"/>
      <c r="AJ9" s="1861"/>
      <c r="AK9" s="1861"/>
      <c r="AL9" s="1861"/>
      <c r="AM9" s="1862"/>
    </row>
    <row r="10" spans="2:39" ht="18" customHeight="1">
      <c r="B10" s="3303" t="s">
        <v>2281</v>
      </c>
      <c r="C10" s="3301"/>
      <c r="D10" s="3301"/>
      <c r="E10" s="3301"/>
      <c r="F10" s="3301"/>
      <c r="G10" s="3301"/>
      <c r="H10" s="3301"/>
      <c r="I10" s="3301"/>
      <c r="J10" s="3301"/>
      <c r="K10" s="3301"/>
      <c r="L10" s="3302"/>
      <c r="M10" s="1861"/>
      <c r="N10" s="1861"/>
      <c r="O10" s="1861"/>
      <c r="P10" s="1861"/>
      <c r="Q10" s="1861"/>
      <c r="R10" s="1861"/>
      <c r="S10" s="1861"/>
      <c r="T10" s="1861"/>
      <c r="U10" s="1861"/>
      <c r="V10" s="1861"/>
      <c r="W10" s="1861"/>
      <c r="X10" s="1861"/>
      <c r="Y10" s="1861"/>
      <c r="Z10" s="1861"/>
      <c r="AA10" s="1861"/>
      <c r="AB10" s="1861"/>
      <c r="AC10" s="1861"/>
      <c r="AD10" s="1861"/>
      <c r="AE10" s="1861"/>
      <c r="AF10" s="1861"/>
      <c r="AG10" s="1861"/>
      <c r="AH10" s="1861"/>
      <c r="AI10" s="1861"/>
      <c r="AJ10" s="1861"/>
      <c r="AK10" s="1861"/>
      <c r="AL10" s="1861"/>
      <c r="AM10" s="1862"/>
    </row>
    <row r="11" spans="2:39" ht="18" customHeight="1">
      <c r="B11" s="3303" t="s">
        <v>2282</v>
      </c>
      <c r="C11" s="3301"/>
      <c r="D11" s="3301"/>
      <c r="E11" s="3301"/>
      <c r="F11" s="3301"/>
      <c r="G11" s="3301"/>
      <c r="H11" s="3301"/>
      <c r="I11" s="3301"/>
      <c r="J11" s="3301"/>
      <c r="K11" s="3301"/>
      <c r="L11" s="3302"/>
      <c r="M11" s="1861"/>
      <c r="N11" s="1861"/>
      <c r="O11" s="1861"/>
      <c r="P11" s="1861"/>
      <c r="Q11" s="1861"/>
      <c r="R11" s="1861"/>
      <c r="S11" s="1861"/>
      <c r="T11" s="1861"/>
      <c r="U11" s="1861"/>
      <c r="V11" s="1861"/>
      <c r="W11" s="1861"/>
      <c r="X11" s="1861"/>
      <c r="Y11" s="1861"/>
      <c r="Z11" s="1861"/>
      <c r="AA11" s="1861"/>
      <c r="AB11" s="1861"/>
      <c r="AC11" s="1861"/>
      <c r="AD11" s="1861"/>
      <c r="AE11" s="1861"/>
      <c r="AF11" s="1861"/>
      <c r="AG11" s="1861"/>
      <c r="AH11" s="1861"/>
      <c r="AI11" s="1861"/>
      <c r="AJ11" s="1861"/>
      <c r="AK11" s="1861"/>
      <c r="AL11" s="1861"/>
      <c r="AM11" s="1862"/>
    </row>
    <row r="12" spans="2:39" ht="18" customHeight="1">
      <c r="B12" s="3303" t="s">
        <v>3094</v>
      </c>
      <c r="C12" s="3301"/>
      <c r="D12" s="3301"/>
      <c r="E12" s="3301"/>
      <c r="F12" s="3301"/>
      <c r="G12" s="3301"/>
      <c r="H12" s="3301"/>
      <c r="I12" s="3301"/>
      <c r="J12" s="3301"/>
      <c r="K12" s="3301"/>
      <c r="L12" s="3302"/>
      <c r="M12" s="1861"/>
      <c r="N12" s="1861"/>
      <c r="O12" s="1861"/>
      <c r="P12" s="1861"/>
      <c r="Q12" s="1861"/>
      <c r="R12" s="1861"/>
      <c r="S12" s="1861"/>
      <c r="T12" s="1861"/>
      <c r="U12" s="1861"/>
      <c r="V12" s="1861"/>
      <c r="W12" s="1861"/>
      <c r="X12" s="1861"/>
      <c r="Y12" s="1861"/>
      <c r="Z12" s="1861"/>
      <c r="AA12" s="1861"/>
      <c r="AB12" s="1861"/>
      <c r="AC12" s="1861"/>
      <c r="AD12" s="1861"/>
      <c r="AE12" s="1861"/>
      <c r="AF12" s="1861"/>
      <c r="AG12" s="1861"/>
      <c r="AH12" s="1861"/>
      <c r="AI12" s="1861"/>
      <c r="AJ12" s="1861"/>
      <c r="AK12" s="1861"/>
      <c r="AL12" s="1861"/>
      <c r="AM12" s="1862"/>
    </row>
    <row r="13" spans="2:39" ht="18" customHeight="1">
      <c r="B13" s="3303" t="s">
        <v>2284</v>
      </c>
      <c r="C13" s="3301"/>
      <c r="D13" s="3301"/>
      <c r="E13" s="3301"/>
      <c r="F13" s="3301"/>
      <c r="G13" s="3301"/>
      <c r="H13" s="3301"/>
      <c r="I13" s="3301"/>
      <c r="J13" s="3301"/>
      <c r="K13" s="3301"/>
      <c r="L13" s="3302"/>
      <c r="M13" s="1861"/>
      <c r="N13" s="1861"/>
      <c r="O13" s="1861"/>
      <c r="P13" s="1861"/>
      <c r="Q13" s="1861"/>
      <c r="R13" s="1861"/>
      <c r="S13" s="1861"/>
      <c r="T13" s="1861"/>
      <c r="U13" s="1861"/>
      <c r="V13" s="1861"/>
      <c r="W13" s="1861"/>
      <c r="X13" s="1861"/>
      <c r="Y13" s="1861"/>
      <c r="Z13" s="1861"/>
      <c r="AA13" s="1861"/>
      <c r="AB13" s="1861"/>
      <c r="AC13" s="1861"/>
      <c r="AD13" s="1861"/>
      <c r="AE13" s="1861"/>
      <c r="AF13" s="1861"/>
      <c r="AG13" s="1861"/>
      <c r="AH13" s="1861"/>
      <c r="AI13" s="1861"/>
      <c r="AJ13" s="1861"/>
      <c r="AK13" s="1861"/>
      <c r="AL13" s="1861"/>
      <c r="AM13" s="1862"/>
    </row>
    <row r="14" spans="2:39" ht="90" customHeight="1">
      <c r="B14" s="2432" t="s">
        <v>3095</v>
      </c>
      <c r="C14" s="1877"/>
      <c r="D14" s="1877"/>
      <c r="E14" s="1877"/>
      <c r="F14" s="1877"/>
      <c r="G14" s="1877"/>
      <c r="H14" s="1877"/>
      <c r="I14" s="1877"/>
      <c r="J14" s="1877"/>
      <c r="K14" s="1877"/>
      <c r="L14" s="1877"/>
      <c r="M14" s="1877"/>
      <c r="N14" s="1877"/>
      <c r="O14" s="1877"/>
      <c r="P14" s="1877"/>
      <c r="Q14" s="1877"/>
      <c r="R14" s="1877"/>
      <c r="S14" s="1877"/>
      <c r="T14" s="1877"/>
      <c r="U14" s="1877"/>
      <c r="V14" s="1877"/>
      <c r="W14" s="1877"/>
      <c r="X14" s="1877"/>
      <c r="Y14" s="1877"/>
      <c r="Z14" s="1877"/>
      <c r="AA14" s="1877"/>
      <c r="AB14" s="1877"/>
      <c r="AC14" s="1877"/>
      <c r="AD14" s="1877"/>
      <c r="AE14" s="1877"/>
      <c r="AF14" s="1877"/>
      <c r="AG14" s="1877"/>
      <c r="AH14" s="1877"/>
      <c r="AI14" s="1877"/>
      <c r="AJ14" s="1877"/>
      <c r="AK14" s="1877"/>
      <c r="AL14" s="1877"/>
      <c r="AM14" s="1877"/>
    </row>
    <row r="15" spans="2:39" ht="90" customHeight="1">
      <c r="B15" s="2445"/>
      <c r="C15" s="1861"/>
      <c r="D15" s="1861"/>
      <c r="E15" s="1861"/>
      <c r="F15" s="1861"/>
      <c r="G15" s="1861"/>
      <c r="H15" s="1861"/>
      <c r="I15" s="1861"/>
      <c r="J15" s="1861"/>
      <c r="K15" s="1861"/>
      <c r="L15" s="1861"/>
      <c r="M15" s="1861"/>
      <c r="N15" s="1861"/>
      <c r="O15" s="1861"/>
      <c r="P15" s="1861"/>
      <c r="Q15" s="1861"/>
      <c r="R15" s="1861"/>
      <c r="S15" s="1861"/>
      <c r="T15" s="1861"/>
      <c r="U15" s="1861"/>
      <c r="V15" s="1861"/>
      <c r="W15" s="1861"/>
      <c r="X15" s="1861"/>
      <c r="Y15" s="1861"/>
      <c r="Z15" s="1861"/>
      <c r="AA15" s="1861"/>
      <c r="AB15" s="1861"/>
      <c r="AC15" s="1861"/>
      <c r="AD15" s="1861"/>
      <c r="AE15" s="1861"/>
      <c r="AF15" s="1861"/>
      <c r="AG15" s="1861"/>
      <c r="AH15" s="1861"/>
      <c r="AI15" s="1861"/>
      <c r="AJ15" s="1861"/>
      <c r="AK15" s="1861"/>
      <c r="AL15" s="1861"/>
      <c r="AM15" s="1862"/>
    </row>
    <row r="17" spans="2:39" ht="18" customHeight="1">
      <c r="B17" s="3301" t="s">
        <v>3096</v>
      </c>
      <c r="C17" s="3301"/>
      <c r="D17" s="3301"/>
      <c r="E17" s="3301"/>
      <c r="F17" s="3301"/>
      <c r="G17" s="3301"/>
      <c r="H17" s="3301"/>
      <c r="I17" s="3301"/>
      <c r="J17" s="3301"/>
      <c r="K17" s="3301"/>
      <c r="L17" s="3301"/>
      <c r="M17" s="3301"/>
      <c r="N17" s="3301"/>
      <c r="O17" s="3301"/>
      <c r="P17" s="3301"/>
      <c r="Q17" s="3301"/>
      <c r="R17" s="3301"/>
      <c r="S17" s="3301"/>
      <c r="T17" s="3301"/>
      <c r="U17" s="3301"/>
      <c r="V17" s="3301"/>
      <c r="W17" s="3301"/>
      <c r="X17" s="3301"/>
      <c r="Y17" s="3301"/>
      <c r="Z17" s="3301"/>
      <c r="AA17" s="3301"/>
      <c r="AB17" s="3301"/>
      <c r="AC17" s="3301"/>
      <c r="AD17" s="3301"/>
      <c r="AE17" s="3301"/>
      <c r="AF17" s="3301"/>
      <c r="AG17" s="3301"/>
      <c r="AH17" s="3301"/>
      <c r="AI17" s="3301"/>
      <c r="AJ17" s="3301"/>
      <c r="AK17" s="3301"/>
      <c r="AL17" s="2585"/>
      <c r="AM17" s="1862"/>
    </row>
    <row r="18" spans="2:39" ht="18" customHeight="1">
      <c r="B18" s="3301" t="s">
        <v>3097</v>
      </c>
      <c r="C18" s="3301"/>
      <c r="D18" s="3301"/>
      <c r="E18" s="3301"/>
      <c r="F18" s="3301"/>
      <c r="G18" s="3301"/>
      <c r="H18" s="3301"/>
      <c r="I18" s="3301"/>
      <c r="J18" s="3301"/>
      <c r="K18" s="3301"/>
      <c r="L18" s="3301"/>
      <c r="M18" s="3301"/>
      <c r="N18" s="3301"/>
      <c r="O18" s="3301"/>
      <c r="P18" s="3301"/>
      <c r="Q18" s="3301"/>
      <c r="R18" s="3301"/>
      <c r="S18" s="3301"/>
      <c r="T18" s="3301"/>
      <c r="U18" s="3301"/>
      <c r="V18" s="3301"/>
      <c r="W18" s="3301"/>
      <c r="X18" s="3301"/>
      <c r="Y18" s="3301"/>
      <c r="Z18" s="3301"/>
      <c r="AA18" s="3301"/>
      <c r="AB18" s="3301"/>
      <c r="AC18" s="3301"/>
      <c r="AD18" s="3301"/>
      <c r="AE18" s="3301"/>
      <c r="AF18" s="3301"/>
      <c r="AG18" s="3301"/>
      <c r="AH18" s="3301"/>
      <c r="AI18" s="3301"/>
      <c r="AJ18" s="3301"/>
      <c r="AK18" s="3301"/>
      <c r="AL18" s="2585"/>
      <c r="AM18" s="1862"/>
    </row>
    <row r="19" spans="2:39" ht="18" customHeight="1">
      <c r="B19" s="3301" t="s">
        <v>3098</v>
      </c>
      <c r="C19" s="3301"/>
      <c r="D19" s="3301"/>
      <c r="E19" s="3301"/>
      <c r="F19" s="3301"/>
      <c r="G19" s="3301"/>
      <c r="H19" s="3301"/>
      <c r="I19" s="3301"/>
      <c r="J19" s="3301"/>
      <c r="K19" s="3301"/>
      <c r="L19" s="3301"/>
      <c r="M19" s="3301"/>
      <c r="N19" s="3301"/>
      <c r="O19" s="3301"/>
      <c r="P19" s="3301"/>
      <c r="Q19" s="3301"/>
      <c r="R19" s="3301"/>
      <c r="S19" s="3301"/>
      <c r="T19" s="3301"/>
      <c r="U19" s="3301"/>
      <c r="V19" s="3301"/>
      <c r="W19" s="3301"/>
      <c r="X19" s="3301"/>
      <c r="Y19" s="3301"/>
      <c r="Z19" s="3301"/>
      <c r="AA19" s="3301"/>
      <c r="AB19" s="3301"/>
      <c r="AC19" s="3301"/>
      <c r="AD19" s="3301"/>
      <c r="AE19" s="3301"/>
      <c r="AF19" s="3301"/>
      <c r="AG19" s="3301"/>
      <c r="AH19" s="3301"/>
      <c r="AI19" s="3301"/>
      <c r="AJ19" s="3301"/>
      <c r="AK19" s="3301"/>
      <c r="AL19" s="2585"/>
      <c r="AM19" s="1862"/>
    </row>
    <row r="20" spans="2:39" ht="18" customHeight="1">
      <c r="B20" s="3303" t="s">
        <v>3099</v>
      </c>
      <c r="C20" s="3301"/>
      <c r="D20" s="3301"/>
      <c r="E20" s="3301"/>
      <c r="F20" s="3306"/>
      <c r="G20" s="1861"/>
      <c r="H20" s="1861"/>
      <c r="I20" s="1861"/>
      <c r="J20" s="1861"/>
      <c r="K20" s="1862"/>
      <c r="L20" s="3307"/>
      <c r="M20" s="1877"/>
      <c r="N20" s="1877"/>
      <c r="O20" s="1877"/>
      <c r="P20" s="1877"/>
      <c r="Q20" s="1877"/>
      <c r="R20" s="1877"/>
      <c r="S20" s="1877"/>
      <c r="T20" s="1877"/>
      <c r="U20" s="1877"/>
      <c r="V20" s="1877"/>
      <c r="W20" s="1877"/>
      <c r="X20" s="1877"/>
      <c r="Y20" s="1877"/>
      <c r="Z20" s="1877"/>
      <c r="AA20" s="1877"/>
      <c r="AB20" s="1877"/>
      <c r="AC20" s="1877"/>
      <c r="AD20" s="1877"/>
      <c r="AE20" s="1877"/>
      <c r="AF20" s="1877"/>
      <c r="AG20" s="1877"/>
      <c r="AH20" s="1877"/>
      <c r="AI20" s="1877"/>
      <c r="AJ20" s="1877"/>
      <c r="AK20" s="1877"/>
      <c r="AL20" s="1877"/>
      <c r="AM20" s="1877"/>
    </row>
    <row r="21" spans="2:39" ht="18" customHeight="1">
      <c r="B21" s="3303" t="s">
        <v>3100</v>
      </c>
      <c r="C21" s="3301"/>
      <c r="D21" s="3301"/>
      <c r="E21" s="3301"/>
      <c r="F21" s="3301"/>
      <c r="G21" s="3301"/>
      <c r="H21" s="3301"/>
      <c r="I21" s="3301"/>
      <c r="J21" s="3301"/>
      <c r="K21" s="3301"/>
      <c r="L21" s="3302"/>
      <c r="M21" s="1861"/>
      <c r="N21" s="1861"/>
      <c r="O21" s="1861"/>
      <c r="P21" s="1861"/>
      <c r="Q21" s="1861"/>
      <c r="R21" s="1861"/>
      <c r="S21" s="1861"/>
      <c r="T21" s="1861"/>
      <c r="U21" s="1861"/>
      <c r="V21" s="1861"/>
      <c r="W21" s="1861"/>
      <c r="X21" s="1861"/>
      <c r="Y21" s="1861"/>
      <c r="Z21" s="1861"/>
      <c r="AA21" s="1861"/>
      <c r="AB21" s="1861"/>
      <c r="AC21" s="1861"/>
      <c r="AD21" s="1861"/>
      <c r="AE21" s="1861"/>
      <c r="AF21" s="1861"/>
      <c r="AG21" s="1861"/>
      <c r="AH21" s="1861"/>
      <c r="AI21" s="1861"/>
      <c r="AJ21" s="1861"/>
      <c r="AK21" s="1861"/>
      <c r="AL21" s="1861"/>
      <c r="AM21" s="1862"/>
    </row>
    <row r="22" spans="2:39" ht="36" customHeight="1">
      <c r="B22" s="3303" t="s">
        <v>2294</v>
      </c>
      <c r="C22" s="3301"/>
      <c r="D22" s="3301"/>
      <c r="E22" s="3301"/>
      <c r="F22" s="3301"/>
      <c r="G22" s="3301"/>
      <c r="H22" s="3301"/>
      <c r="I22" s="3301"/>
      <c r="J22" s="3301"/>
      <c r="K22" s="3301"/>
      <c r="L22" s="3302"/>
      <c r="M22" s="1861"/>
      <c r="N22" s="1861"/>
      <c r="O22" s="1861"/>
      <c r="P22" s="1861"/>
      <c r="Q22" s="1861"/>
      <c r="R22" s="1861"/>
      <c r="S22" s="1861"/>
      <c r="T22" s="1861"/>
      <c r="U22" s="1861"/>
      <c r="V22" s="1861"/>
      <c r="W22" s="1861"/>
      <c r="X22" s="1861"/>
      <c r="Y22" s="1861"/>
      <c r="Z22" s="1861"/>
      <c r="AA22" s="1861"/>
      <c r="AB22" s="1861"/>
      <c r="AC22" s="1861"/>
      <c r="AD22" s="1861"/>
      <c r="AE22" s="1861"/>
      <c r="AF22" s="1861"/>
      <c r="AG22" s="1861"/>
      <c r="AH22" s="1861"/>
      <c r="AI22" s="1861"/>
      <c r="AJ22" s="1861"/>
      <c r="AK22" s="1861"/>
      <c r="AL22" s="1861"/>
      <c r="AM22" s="1862"/>
    </row>
    <row r="23" spans="2:39" ht="18" customHeight="1">
      <c r="B23" s="3303" t="s">
        <v>2296</v>
      </c>
      <c r="C23" s="3301"/>
      <c r="D23" s="3301"/>
      <c r="E23" s="3301"/>
      <c r="F23" s="3301"/>
      <c r="G23" s="3301"/>
      <c r="H23" s="3301"/>
      <c r="I23" s="3301"/>
      <c r="J23" s="3301"/>
      <c r="K23" s="3301"/>
      <c r="L23" s="3302"/>
      <c r="M23" s="1861"/>
      <c r="N23" s="1861"/>
      <c r="O23" s="1861"/>
      <c r="P23" s="1861"/>
      <c r="Q23" s="1861"/>
      <c r="R23" s="1861"/>
      <c r="S23" s="1861"/>
      <c r="T23" s="1861"/>
      <c r="U23" s="1861"/>
      <c r="V23" s="1861"/>
      <c r="W23" s="1861"/>
      <c r="X23" s="1861"/>
      <c r="Y23" s="1861"/>
      <c r="Z23" s="1861"/>
      <c r="AA23" s="1861"/>
      <c r="AB23" s="1861"/>
      <c r="AC23" s="1861"/>
      <c r="AD23" s="1861"/>
      <c r="AE23" s="1861"/>
      <c r="AF23" s="1861"/>
      <c r="AG23" s="1861"/>
      <c r="AH23" s="1861"/>
      <c r="AI23" s="1861"/>
      <c r="AJ23" s="1861"/>
      <c r="AK23" s="1861"/>
      <c r="AL23" s="1861"/>
      <c r="AM23" s="1862"/>
    </row>
    <row r="24" spans="2:39" ht="18" customHeight="1">
      <c r="B24" s="3303" t="s">
        <v>3101</v>
      </c>
      <c r="C24" s="3301"/>
      <c r="D24" s="3301"/>
      <c r="E24" s="3301"/>
      <c r="F24" s="3301"/>
      <c r="G24" s="3301"/>
      <c r="H24" s="3301"/>
      <c r="I24" s="3301"/>
      <c r="J24" s="3301"/>
      <c r="K24" s="3301"/>
      <c r="L24" s="3302"/>
      <c r="M24" s="1861"/>
      <c r="N24" s="1861"/>
      <c r="O24" s="1861"/>
      <c r="P24" s="1861"/>
      <c r="Q24" s="1861"/>
      <c r="R24" s="1861"/>
      <c r="S24" s="1861"/>
      <c r="T24" s="1861"/>
      <c r="U24" s="1861"/>
      <c r="V24" s="1861"/>
      <c r="W24" s="1861"/>
      <c r="X24" s="1861"/>
      <c r="Y24" s="1861"/>
      <c r="Z24" s="1861"/>
      <c r="AA24" s="1861"/>
      <c r="AB24" s="1861"/>
      <c r="AC24" s="1861"/>
      <c r="AD24" s="1861"/>
      <c r="AE24" s="1861"/>
      <c r="AF24" s="1861"/>
      <c r="AG24" s="1861"/>
      <c r="AH24" s="1861"/>
      <c r="AI24" s="1861"/>
      <c r="AJ24" s="1861"/>
      <c r="AK24" s="1861"/>
      <c r="AL24" s="1861"/>
      <c r="AM24" s="1862"/>
    </row>
    <row r="25" spans="2:39" ht="18" customHeight="1">
      <c r="B25" s="3303" t="s">
        <v>3102</v>
      </c>
      <c r="C25" s="3301"/>
      <c r="D25" s="3301"/>
      <c r="E25" s="3301"/>
      <c r="F25" s="3301"/>
      <c r="G25" s="3301"/>
      <c r="H25" s="3301"/>
      <c r="I25" s="3301"/>
      <c r="J25" s="3301"/>
      <c r="K25" s="3301"/>
      <c r="L25" s="3302"/>
      <c r="M25" s="1861"/>
      <c r="N25" s="1861"/>
      <c r="O25" s="1861"/>
      <c r="P25" s="1861"/>
      <c r="Q25" s="1861"/>
      <c r="R25" s="1861"/>
      <c r="S25" s="1861"/>
      <c r="T25" s="1861"/>
      <c r="U25" s="1861"/>
      <c r="V25" s="1861"/>
      <c r="W25" s="1861"/>
      <c r="X25" s="1861"/>
      <c r="Y25" s="1861"/>
      <c r="Z25" s="1861"/>
      <c r="AA25" s="1861"/>
      <c r="AB25" s="1861"/>
      <c r="AC25" s="1861"/>
      <c r="AD25" s="1861"/>
      <c r="AE25" s="1861"/>
      <c r="AF25" s="1861"/>
      <c r="AG25" s="1861"/>
      <c r="AH25" s="1861"/>
      <c r="AI25" s="1861"/>
      <c r="AJ25" s="1861"/>
      <c r="AK25" s="1861"/>
      <c r="AL25" s="1861"/>
      <c r="AM25" s="1862"/>
    </row>
    <row r="26" spans="2:39" ht="18" customHeight="1">
      <c r="B26" s="3303" t="s">
        <v>3103</v>
      </c>
      <c r="C26" s="3301"/>
      <c r="D26" s="3301"/>
      <c r="E26" s="3301"/>
      <c r="F26" s="3301"/>
      <c r="G26" s="3301"/>
      <c r="H26" s="3301"/>
      <c r="I26" s="3301"/>
      <c r="J26" s="3301"/>
      <c r="K26" s="3301"/>
      <c r="L26" s="3302"/>
      <c r="M26" s="1861"/>
      <c r="N26" s="1861"/>
      <c r="O26" s="1861"/>
      <c r="P26" s="1861"/>
      <c r="Q26" s="1861"/>
      <c r="R26" s="1861"/>
      <c r="S26" s="1861"/>
      <c r="T26" s="1861"/>
      <c r="U26" s="1861"/>
      <c r="V26" s="1861"/>
      <c r="W26" s="1861"/>
      <c r="X26" s="1861"/>
      <c r="Y26" s="1861"/>
      <c r="Z26" s="1861"/>
      <c r="AA26" s="1861"/>
      <c r="AB26" s="1861"/>
      <c r="AC26" s="1861"/>
      <c r="AD26" s="1861"/>
      <c r="AE26" s="1861"/>
      <c r="AF26" s="1861"/>
      <c r="AG26" s="1861"/>
      <c r="AH26" s="1861"/>
      <c r="AI26" s="1861"/>
      <c r="AJ26" s="1861"/>
      <c r="AK26" s="1861"/>
      <c r="AL26" s="1861"/>
      <c r="AM26" s="1862"/>
    </row>
    <row r="28" spans="2:39" ht="18" customHeight="1">
      <c r="B28" s="1791" t="s">
        <v>461</v>
      </c>
      <c r="C28" s="3301"/>
      <c r="D28" s="3301"/>
      <c r="E28" s="3301"/>
      <c r="F28" s="3301"/>
      <c r="G28" s="3301"/>
      <c r="H28" s="3301"/>
      <c r="I28" s="3301"/>
      <c r="J28" s="3301"/>
      <c r="K28" s="3301"/>
      <c r="L28" s="3301"/>
      <c r="M28" s="3301"/>
      <c r="N28" s="3301"/>
      <c r="O28" s="3301"/>
      <c r="P28" s="3301"/>
      <c r="Q28" s="3301"/>
      <c r="R28" s="3301"/>
      <c r="S28" s="3301"/>
      <c r="T28" s="3301"/>
      <c r="U28" s="3301"/>
      <c r="V28" s="3301"/>
      <c r="W28" s="3301"/>
      <c r="X28" s="3301"/>
      <c r="Y28" s="3301"/>
      <c r="Z28" s="3301"/>
      <c r="AA28" s="3301"/>
      <c r="AB28" s="3301"/>
      <c r="AC28" s="3301"/>
      <c r="AD28" s="3301"/>
      <c r="AE28" s="3301"/>
      <c r="AF28" s="3301"/>
      <c r="AG28" s="3301"/>
      <c r="AH28" s="3301"/>
      <c r="AI28" s="3301"/>
      <c r="AJ28" s="3301"/>
      <c r="AK28" s="3301"/>
      <c r="AL28" s="3301"/>
      <c r="AM28" s="3301"/>
    </row>
  </sheetData>
  <sheetProtection algorithmName="SHA-512" hashValue="VaITePoiO1aMomO37MVXOiiEBNL4rjSKd+0sOFFiq9ZA8bKuW3KnxSyhkfWQbLasuNCkKa3lqOcaj0QZfK88KQ==" saltValue="oc9HHQelZB54mG+jMQKzzA==" spinCount="100000" sheet="1" objects="1" scenarios="1"/>
  <mergeCells count="44">
    <mergeCell ref="B4:AM4"/>
    <mergeCell ref="B20:E20"/>
    <mergeCell ref="L22:AM22"/>
    <mergeCell ref="L9:AM9"/>
    <mergeCell ref="L21:AM21"/>
    <mergeCell ref="B15:AM15"/>
    <mergeCell ref="F20:K20"/>
    <mergeCell ref="L20:AM20"/>
    <mergeCell ref="B5:AM5"/>
    <mergeCell ref="B18:AK18"/>
    <mergeCell ref="L10:AM10"/>
    <mergeCell ref="B9:K9"/>
    <mergeCell ref="L11:AM11"/>
    <mergeCell ref="B7:K7"/>
    <mergeCell ref="L6:AM6"/>
    <mergeCell ref="B2:AM2"/>
    <mergeCell ref="L7:AM7"/>
    <mergeCell ref="B22:K22"/>
    <mergeCell ref="AL18:AM18"/>
    <mergeCell ref="B14:AM14"/>
    <mergeCell ref="B21:K21"/>
    <mergeCell ref="B12:K12"/>
    <mergeCell ref="L13:AM13"/>
    <mergeCell ref="B11:K11"/>
    <mergeCell ref="AL17:AM17"/>
    <mergeCell ref="L12:AM12"/>
    <mergeCell ref="B8:K8"/>
    <mergeCell ref="B6:K6"/>
    <mergeCell ref="L8:AM8"/>
    <mergeCell ref="B10:K10"/>
    <mergeCell ref="B3:AM3"/>
    <mergeCell ref="B28:AM28"/>
    <mergeCell ref="L24:AM24"/>
    <mergeCell ref="B13:K13"/>
    <mergeCell ref="AL19:AM19"/>
    <mergeCell ref="L23:AM23"/>
    <mergeCell ref="L26:AM26"/>
    <mergeCell ref="B17:AK17"/>
    <mergeCell ref="B26:K26"/>
    <mergeCell ref="B25:K25"/>
    <mergeCell ref="B19:AK19"/>
    <mergeCell ref="B23:K23"/>
    <mergeCell ref="L25:AM25"/>
    <mergeCell ref="B24:K24"/>
  </mergeCells>
  <conditionalFormatting sqref="AL17:AM19">
    <cfRule type="cellIs" dxfId="842" priority="1" operator="equal">
      <formula>"No"</formula>
    </cfRule>
  </conditionalFormatting>
  <dataValidations count="1">
    <dataValidation type="list" allowBlank="1" showInputMessage="1" showErrorMessage="1" sqref="AL17:AM19" xr:uid="{00000000-0002-0000-1C00-000000000000}">
      <formula1>"Yes,No"</formula1>
    </dataValidation>
  </dataValidations>
  <printOptions horizontalCentered="1"/>
  <pageMargins left="0" right="0.25" top="0" bottom="0" header="0.25" footer="0.25"/>
  <pageSetup scale="65" orientation="portrait" r:id="rId1"/>
  <headerFooter>
    <oddFooter>&amp;L&amp;F&amp;C&amp;P of &amp;N&amp;R &amp;A</oddFooter>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FWHGThresholdRequirements">
    <tabColor rgb="FF7030A0"/>
  </sheetPr>
  <dimension ref="A2:AT170"/>
  <sheetViews>
    <sheetView showGridLines="0" topLeftCell="A5" zoomScaleNormal="100" workbookViewId="0">
      <selection activeCell="A12" sqref="A12:XFD12"/>
    </sheetView>
  </sheetViews>
  <sheetFormatPr defaultColWidth="4.28515625" defaultRowHeight="18" customHeight="1"/>
  <cols>
    <col min="1" max="1" width="8.7109375" style="15" customWidth="1"/>
    <col min="2" max="40" width="4.28515625" style="15" customWidth="1"/>
    <col min="41" max="43" width="4.28515625" style="15" hidden="1" customWidth="1"/>
    <col min="44" max="51" width="4.28515625" style="15" customWidth="1"/>
    <col min="52" max="16384" width="4.28515625" style="15"/>
  </cols>
  <sheetData>
    <row r="2" spans="2:39" ht="18" customHeight="1">
      <c r="B2" s="3000" t="s">
        <v>418</v>
      </c>
      <c r="C2" s="1877"/>
      <c r="D2" s="1877"/>
      <c r="E2" s="1877"/>
      <c r="F2" s="1877"/>
      <c r="G2" s="1877"/>
      <c r="H2" s="1877"/>
      <c r="I2" s="1877"/>
      <c r="J2" s="1877"/>
      <c r="K2" s="1877"/>
      <c r="L2" s="1877"/>
      <c r="M2" s="1877"/>
      <c r="N2" s="1877"/>
      <c r="O2" s="1877"/>
      <c r="P2" s="1877"/>
      <c r="Q2" s="1877"/>
      <c r="R2" s="1877"/>
      <c r="S2" s="1877"/>
      <c r="T2" s="1877"/>
      <c r="U2" s="1877"/>
      <c r="V2" s="1877"/>
      <c r="W2" s="1877"/>
      <c r="X2" s="1877"/>
      <c r="Y2" s="1877"/>
      <c r="Z2" s="1877"/>
      <c r="AA2" s="1877"/>
      <c r="AB2" s="1877"/>
      <c r="AC2" s="1877"/>
      <c r="AD2" s="1877"/>
      <c r="AE2" s="1877"/>
      <c r="AF2" s="1877"/>
      <c r="AG2" s="1877"/>
      <c r="AH2" s="1877"/>
      <c r="AI2" s="1877"/>
      <c r="AJ2" s="1877"/>
      <c r="AK2" s="1877"/>
      <c r="AL2" s="1877"/>
      <c r="AM2" s="1877"/>
    </row>
    <row r="4" spans="2:39" ht="81" customHeight="1">
      <c r="B4" s="1802" t="s">
        <v>1964</v>
      </c>
      <c r="C4" s="1798"/>
      <c r="D4" s="1798"/>
      <c r="E4" s="1798"/>
      <c r="F4" s="1798"/>
      <c r="G4" s="1798"/>
      <c r="H4" s="1798"/>
      <c r="I4" s="1798"/>
      <c r="J4" s="1798"/>
      <c r="K4" s="1798"/>
      <c r="L4" s="1798"/>
      <c r="M4" s="1798"/>
      <c r="N4" s="1798"/>
      <c r="O4" s="1798"/>
      <c r="P4" s="1798"/>
      <c r="Q4" s="1798"/>
      <c r="R4" s="1798"/>
      <c r="S4" s="1798"/>
      <c r="T4" s="1798"/>
      <c r="U4" s="1798"/>
      <c r="V4" s="1798"/>
      <c r="W4" s="1798"/>
      <c r="X4" s="1798"/>
      <c r="Y4" s="1798"/>
      <c r="Z4" s="1798"/>
      <c r="AA4" s="1798"/>
      <c r="AB4" s="1798"/>
      <c r="AC4" s="1798"/>
      <c r="AD4" s="1798"/>
      <c r="AE4" s="1798"/>
      <c r="AF4" s="1798"/>
      <c r="AG4" s="1798"/>
      <c r="AH4" s="1798"/>
      <c r="AI4" s="1798"/>
      <c r="AJ4" s="1798"/>
      <c r="AK4" s="1798"/>
      <c r="AL4" s="1798"/>
      <c r="AM4" s="1798"/>
    </row>
    <row r="5" spans="2:39" ht="36" customHeight="1" thickBot="1">
      <c r="B5" s="3007" t="s">
        <v>3104</v>
      </c>
      <c r="C5" s="1796"/>
      <c r="D5" s="1796"/>
      <c r="E5" s="2988" t="s">
        <v>3105</v>
      </c>
      <c r="F5" s="1796"/>
      <c r="G5" s="1796"/>
      <c r="H5" s="1796"/>
      <c r="I5" s="1796"/>
      <c r="J5" s="1796"/>
      <c r="K5" s="1796"/>
      <c r="L5" s="1796"/>
      <c r="M5" s="1796"/>
      <c r="N5" s="1796"/>
      <c r="O5" s="1796"/>
      <c r="P5" s="1796"/>
      <c r="Q5" s="1796"/>
      <c r="R5" s="1796"/>
      <c r="S5" s="1796"/>
      <c r="T5" s="1796"/>
      <c r="U5" s="1796"/>
      <c r="V5" s="1796"/>
      <c r="W5" s="1796"/>
      <c r="X5" s="1796"/>
      <c r="Y5" s="1796"/>
      <c r="Z5" s="1796"/>
      <c r="AA5" s="1796"/>
      <c r="AB5" s="1796"/>
      <c r="AC5" s="1796"/>
      <c r="AD5" s="1796"/>
      <c r="AE5" s="1796"/>
      <c r="AF5" s="1796"/>
      <c r="AG5" s="1796"/>
      <c r="AH5" s="1796"/>
      <c r="AI5" s="1796"/>
      <c r="AJ5" s="1796"/>
      <c r="AK5" s="1796"/>
      <c r="AL5" s="1796"/>
      <c r="AM5" s="1796"/>
    </row>
    <row r="7" spans="2:39" ht="18" customHeight="1">
      <c r="B7" s="244" t="s">
        <v>608</v>
      </c>
      <c r="C7" s="2180" t="s">
        <v>3106</v>
      </c>
      <c r="D7" s="1798"/>
      <c r="E7" s="1798"/>
      <c r="F7" s="1798"/>
      <c r="G7" s="1798"/>
      <c r="H7" s="1798"/>
      <c r="I7" s="1798"/>
      <c r="J7" s="1798"/>
      <c r="K7" s="1798"/>
      <c r="L7" s="1798"/>
      <c r="M7" s="1798"/>
      <c r="N7" s="1798"/>
      <c r="O7" s="1798"/>
      <c r="P7" s="1798"/>
      <c r="Q7" s="1798"/>
      <c r="R7" s="1798"/>
      <c r="S7" s="1798"/>
      <c r="T7" s="1798"/>
      <c r="U7" s="1798"/>
      <c r="V7" s="1798"/>
      <c r="W7" s="1798"/>
      <c r="X7" s="1798"/>
      <c r="Y7" s="1798"/>
      <c r="Z7" s="1798"/>
      <c r="AA7" s="1798"/>
      <c r="AB7" s="1798"/>
      <c r="AC7" s="1798"/>
      <c r="AD7" s="1798"/>
      <c r="AE7" s="1798"/>
      <c r="AF7" s="1798"/>
      <c r="AG7" s="1798"/>
      <c r="AH7" s="1798"/>
      <c r="AI7" s="1798"/>
      <c r="AJ7" s="1798"/>
      <c r="AK7" s="1798"/>
      <c r="AL7" s="1911"/>
      <c r="AM7" s="1862"/>
    </row>
    <row r="8" spans="2:39" ht="18" customHeight="1">
      <c r="C8" s="3207" t="s">
        <v>3107</v>
      </c>
      <c r="D8" s="1798"/>
      <c r="E8" s="1798"/>
      <c r="F8" s="1798"/>
      <c r="G8" s="1798"/>
      <c r="H8" s="1798"/>
      <c r="I8" s="1798"/>
      <c r="J8" s="1798"/>
      <c r="K8" s="1798"/>
      <c r="L8" s="1798"/>
      <c r="M8" s="1798"/>
      <c r="N8" s="1798"/>
      <c r="O8" s="1798"/>
      <c r="P8" s="1798"/>
      <c r="Q8" s="1798"/>
      <c r="R8" s="1798"/>
      <c r="S8" s="1798"/>
      <c r="T8" s="1798"/>
      <c r="U8" s="1798"/>
      <c r="V8" s="1798"/>
      <c r="W8" s="1798"/>
      <c r="X8" s="1798"/>
      <c r="Y8" s="1798"/>
      <c r="Z8" s="1798"/>
      <c r="AA8" s="1798"/>
      <c r="AB8" s="1798"/>
      <c r="AC8" s="1798"/>
      <c r="AD8" s="1798"/>
      <c r="AE8" s="1798"/>
      <c r="AF8" s="1798"/>
      <c r="AG8" s="1798"/>
      <c r="AH8" s="1798"/>
      <c r="AI8" s="1798"/>
      <c r="AJ8" s="1798"/>
      <c r="AK8" s="1798"/>
    </row>
    <row r="9" spans="2:39" ht="18" customHeight="1">
      <c r="C9" s="265" t="s">
        <v>608</v>
      </c>
      <c r="D9" s="2993" t="str">
        <f>IF(AND(IsSerna,vmProjectDevType&gt;0),"P","O")</f>
        <v>O</v>
      </c>
      <c r="E9" s="1798"/>
      <c r="F9" s="476"/>
    </row>
    <row r="10" spans="2:39" ht="18" customHeight="1">
      <c r="C10" s="476"/>
      <c r="D10" s="270" t="s">
        <v>613</v>
      </c>
      <c r="E10" s="2993" t="str">
        <f>IF(AND(IsSerna,TotalUnits&gt;=5),"P","O")</f>
        <v>O</v>
      </c>
      <c r="F10" s="1798"/>
    </row>
    <row r="11" spans="2:39" ht="18" customHeight="1">
      <c r="C11" s="265" t="s">
        <v>611</v>
      </c>
      <c r="D11" s="2993" t="str">
        <f>IF(AND(IsSerna,'Project Overview'!$AL$154="Yes"),"P","O")</f>
        <v>O</v>
      </c>
      <c r="E11" s="1798"/>
      <c r="F11" s="476"/>
    </row>
    <row r="12" spans="2:39" ht="18" customHeight="1">
      <c r="C12" s="265" t="s">
        <v>619</v>
      </c>
      <c r="D12" s="2993" t="e">
        <f>IF(AND(IsSerna,'Project Overview'!#REF!="Yes"),"P","O")</f>
        <v>#REF!</v>
      </c>
      <c r="E12" s="1798"/>
      <c r="F12" s="476"/>
    </row>
    <row r="13" spans="2:39" ht="18" customHeight="1">
      <c r="C13" s="265" t="s">
        <v>623</v>
      </c>
      <c r="D13" s="2993" t="str">
        <f>IF(AND(IsSerna,'Project Overview'!$AL$524="Yes",OR(AL14="Yes",AL15="Yes",AL16="Yes",AL17="Yes")),"P","O")</f>
        <v>O</v>
      </c>
      <c r="E13" s="1798"/>
      <c r="F13" s="476"/>
    </row>
    <row r="14" spans="2:39" ht="36" hidden="1" customHeight="1">
      <c r="D14" s="1802" t="s">
        <v>1969</v>
      </c>
      <c r="E14" s="1798"/>
      <c r="F14" s="1798"/>
      <c r="G14" s="1798"/>
      <c r="H14" s="1798"/>
      <c r="I14" s="1798"/>
      <c r="J14" s="1798"/>
      <c r="K14" s="1798"/>
      <c r="L14" s="1798"/>
      <c r="M14" s="1798"/>
      <c r="N14" s="1798"/>
      <c r="O14" s="1798"/>
      <c r="P14" s="1798"/>
      <c r="Q14" s="1798"/>
      <c r="R14" s="1798"/>
      <c r="S14" s="1798"/>
      <c r="T14" s="1798"/>
      <c r="U14" s="1798"/>
      <c r="V14" s="1798"/>
      <c r="W14" s="1798"/>
      <c r="X14" s="1798"/>
      <c r="Y14" s="1798"/>
      <c r="Z14" s="1798"/>
      <c r="AA14" s="1798"/>
      <c r="AB14" s="1798"/>
      <c r="AC14" s="1798"/>
      <c r="AD14" s="1798"/>
      <c r="AE14" s="1798"/>
      <c r="AF14" s="1798"/>
      <c r="AG14" s="1798"/>
      <c r="AH14" s="1798"/>
      <c r="AI14" s="1798"/>
      <c r="AJ14" s="1798"/>
      <c r="AK14" s="1798"/>
      <c r="AL14" s="1911"/>
      <c r="AM14" s="1862"/>
    </row>
    <row r="15" spans="2:39" ht="36" hidden="1" customHeight="1">
      <c r="D15" s="1802" t="s">
        <v>3108</v>
      </c>
      <c r="E15" s="1798"/>
      <c r="F15" s="1798"/>
      <c r="G15" s="1798"/>
      <c r="H15" s="1798"/>
      <c r="I15" s="1798"/>
      <c r="J15" s="1798"/>
      <c r="K15" s="1798"/>
      <c r="L15" s="1798"/>
      <c r="M15" s="1798"/>
      <c r="N15" s="1798"/>
      <c r="O15" s="1798"/>
      <c r="P15" s="1798"/>
      <c r="Q15" s="1798"/>
      <c r="R15" s="1798"/>
      <c r="S15" s="1798"/>
      <c r="T15" s="1798"/>
      <c r="U15" s="1798"/>
      <c r="V15" s="1798"/>
      <c r="W15" s="1798"/>
      <c r="X15" s="1798"/>
      <c r="Y15" s="1798"/>
      <c r="Z15" s="1798"/>
      <c r="AA15" s="1798"/>
      <c r="AB15" s="1798"/>
      <c r="AC15" s="1798"/>
      <c r="AD15" s="1798"/>
      <c r="AE15" s="1798"/>
      <c r="AF15" s="1798"/>
      <c r="AG15" s="1798"/>
      <c r="AH15" s="1798"/>
      <c r="AI15" s="1798"/>
      <c r="AJ15" s="1798"/>
      <c r="AK15" s="1798"/>
      <c r="AL15" s="1911"/>
      <c r="AM15" s="1862"/>
    </row>
    <row r="16" spans="2:39" ht="36" hidden="1" customHeight="1">
      <c r="D16" s="1802" t="s">
        <v>1971</v>
      </c>
      <c r="E16" s="1798"/>
      <c r="F16" s="1798"/>
      <c r="G16" s="1798"/>
      <c r="H16" s="1798"/>
      <c r="I16" s="1798"/>
      <c r="J16" s="1798"/>
      <c r="K16" s="1798"/>
      <c r="L16" s="1798"/>
      <c r="M16" s="1798"/>
      <c r="N16" s="1798"/>
      <c r="O16" s="1798"/>
      <c r="P16" s="1798"/>
      <c r="Q16" s="1798"/>
      <c r="R16" s="1798"/>
      <c r="S16" s="1798"/>
      <c r="T16" s="1798"/>
      <c r="U16" s="1798"/>
      <c r="V16" s="1798"/>
      <c r="W16" s="1798"/>
      <c r="X16" s="1798"/>
      <c r="Y16" s="1798"/>
      <c r="Z16" s="1798"/>
      <c r="AA16" s="1798"/>
      <c r="AB16" s="1798"/>
      <c r="AC16" s="1798"/>
      <c r="AD16" s="1798"/>
      <c r="AE16" s="1798"/>
      <c r="AF16" s="1798"/>
      <c r="AG16" s="1798"/>
      <c r="AH16" s="1798"/>
      <c r="AI16" s="1798"/>
      <c r="AJ16" s="1798"/>
      <c r="AK16" s="1798"/>
      <c r="AL16" s="1911"/>
      <c r="AM16" s="1862"/>
    </row>
    <row r="17" spans="1:42" ht="18" hidden="1" customHeight="1">
      <c r="D17" s="1802" t="s">
        <v>3109</v>
      </c>
      <c r="E17" s="1798"/>
      <c r="F17" s="1798"/>
      <c r="G17" s="1798"/>
      <c r="H17" s="1798"/>
      <c r="I17" s="1798"/>
      <c r="J17" s="1798"/>
      <c r="K17" s="1798"/>
      <c r="L17" s="1798"/>
      <c r="M17" s="1798"/>
      <c r="N17" s="1798"/>
      <c r="O17" s="1798"/>
      <c r="P17" s="1798"/>
      <c r="Q17" s="1798"/>
      <c r="R17" s="1798"/>
      <c r="S17" s="1798"/>
      <c r="T17" s="1798"/>
      <c r="U17" s="1798"/>
      <c r="V17" s="1798"/>
      <c r="W17" s="1798"/>
      <c r="X17" s="1798"/>
      <c r="Y17" s="1798"/>
      <c r="Z17" s="1798"/>
      <c r="AA17" s="1798"/>
      <c r="AB17" s="1798"/>
      <c r="AC17" s="1798"/>
      <c r="AD17" s="1798"/>
      <c r="AE17" s="1798"/>
      <c r="AF17" s="1798"/>
      <c r="AG17" s="1798"/>
      <c r="AH17" s="1798"/>
      <c r="AI17" s="1798"/>
      <c r="AJ17" s="1798"/>
      <c r="AK17" s="1798"/>
      <c r="AL17" s="1911"/>
      <c r="AM17" s="1862"/>
    </row>
    <row r="18" spans="1:42" ht="18" customHeight="1">
      <c r="C18" s="265" t="s">
        <v>627</v>
      </c>
      <c r="D18" s="2180" t="s">
        <v>3110</v>
      </c>
      <c r="E18" s="1798"/>
      <c r="F18" s="1798"/>
      <c r="G18" s="1798"/>
      <c r="H18" s="1798"/>
      <c r="I18" s="1798"/>
      <c r="J18" s="1798"/>
      <c r="K18" s="1798"/>
      <c r="L18" s="1798"/>
      <c r="M18" s="1798"/>
      <c r="N18" s="1798"/>
      <c r="O18" s="1798"/>
      <c r="P18" s="1798"/>
      <c r="Q18" s="1798"/>
      <c r="R18" s="1798"/>
      <c r="S18" s="1798"/>
      <c r="T18" s="1798"/>
      <c r="U18" s="1798"/>
      <c r="V18" s="1798"/>
      <c r="W18" s="1798"/>
      <c r="X18" s="1798"/>
      <c r="Y18" s="1798"/>
      <c r="Z18" s="1798"/>
      <c r="AA18" s="1798"/>
      <c r="AB18" s="1798"/>
      <c r="AC18" s="1798"/>
      <c r="AD18" s="1798"/>
      <c r="AE18" s="1798"/>
      <c r="AF18" s="1798"/>
      <c r="AG18" s="1798"/>
      <c r="AH18" s="1798"/>
      <c r="AI18" s="1798"/>
      <c r="AJ18" s="1798"/>
      <c r="AK18" s="1798"/>
    </row>
    <row r="19" spans="1:42" ht="18" customHeight="1">
      <c r="D19" s="270" t="s">
        <v>613</v>
      </c>
      <c r="E19" s="2993" t="str">
        <f>IF(AND(IsSerna,'Unit Mix'!$F$8&gt;0,'Unit Mix'!$AA$8&gt;0),"P","O")</f>
        <v>O</v>
      </c>
      <c r="F19" s="1798"/>
      <c r="G19" s="58"/>
      <c r="H19" s="58"/>
      <c r="I19" s="58"/>
      <c r="J19" s="58"/>
      <c r="K19" s="58"/>
      <c r="L19" s="58"/>
      <c r="M19" s="58"/>
      <c r="N19" s="58"/>
      <c r="O19" s="58"/>
      <c r="P19" s="58"/>
      <c r="Q19" s="58"/>
      <c r="R19" s="58"/>
      <c r="S19" s="58"/>
      <c r="T19" s="58"/>
      <c r="U19" s="58"/>
      <c r="V19" s="58"/>
      <c r="W19" s="58"/>
      <c r="X19" s="58"/>
      <c r="Y19" s="58"/>
      <c r="Z19" s="58"/>
      <c r="AA19" s="58"/>
      <c r="AB19" s="58"/>
      <c r="AC19" s="58"/>
      <c r="AD19" s="58"/>
      <c r="AE19" s="58"/>
      <c r="AF19" s="58"/>
      <c r="AG19" s="58"/>
      <c r="AH19" s="58"/>
      <c r="AI19" s="58"/>
      <c r="AJ19" s="58"/>
      <c r="AK19" s="58"/>
    </row>
    <row r="20" spans="1:42" ht="63" customHeight="1">
      <c r="A20" s="16"/>
      <c r="E20" s="270" t="s">
        <v>1989</v>
      </c>
      <c r="F20" s="1802" t="s">
        <v>3111</v>
      </c>
      <c r="G20" s="1798"/>
      <c r="H20" s="1798"/>
      <c r="I20" s="1798"/>
      <c r="J20" s="1798"/>
      <c r="K20" s="1798"/>
      <c r="L20" s="1798"/>
      <c r="M20" s="1798"/>
      <c r="N20" s="1798"/>
      <c r="O20" s="1798"/>
      <c r="P20" s="1798"/>
      <c r="Q20" s="1798"/>
      <c r="R20" s="1798"/>
      <c r="S20" s="1798"/>
      <c r="T20" s="1798"/>
      <c r="U20" s="1798"/>
      <c r="V20" s="1798"/>
      <c r="W20" s="1798"/>
      <c r="X20" s="1798"/>
      <c r="Y20" s="1798"/>
      <c r="Z20" s="1798"/>
      <c r="AA20" s="1798"/>
      <c r="AB20" s="1798"/>
      <c r="AC20" s="1798"/>
      <c r="AD20" s="1798"/>
      <c r="AE20" s="1798"/>
      <c r="AF20" s="1798"/>
      <c r="AG20" s="1798"/>
      <c r="AH20" s="1798"/>
      <c r="AI20" s="1798"/>
      <c r="AJ20" s="1798"/>
      <c r="AK20" s="1798"/>
    </row>
    <row r="21" spans="1:42" ht="18" customHeight="1">
      <c r="F21" s="2180" t="s">
        <v>3112</v>
      </c>
      <c r="G21" s="1798"/>
      <c r="H21" s="1798"/>
      <c r="I21" s="1798"/>
      <c r="J21" s="1798"/>
      <c r="K21" s="1798"/>
      <c r="L21" s="3312">
        <f>IFERROR('Max Loan and Grant Amounts'!$N$38/'Max Loan and Grant Amounts'!$AJ$61,0)</f>
        <v>0</v>
      </c>
      <c r="M21" s="1778"/>
      <c r="N21" s="1930" t="s">
        <v>3113</v>
      </c>
      <c r="O21" s="1798"/>
      <c r="P21" s="1798"/>
      <c r="Q21" s="1798"/>
      <c r="R21" s="1798"/>
      <c r="S21" s="1798"/>
      <c r="T21" s="1798"/>
      <c r="U21" s="1798"/>
    </row>
    <row r="22" spans="1:42" ht="36" customHeight="1">
      <c r="F22" s="1802" t="s">
        <v>3114</v>
      </c>
      <c r="G22" s="1798"/>
      <c r="H22" s="1798"/>
      <c r="I22" s="1798"/>
      <c r="J22" s="1798"/>
      <c r="K22" s="1798"/>
      <c r="L22" s="1798"/>
      <c r="M22" s="1798"/>
      <c r="N22" s="1798"/>
      <c r="O22" s="1798"/>
      <c r="P22" s="1798"/>
      <c r="Q22" s="1798"/>
      <c r="R22" s="1798"/>
      <c r="S22" s="1798"/>
      <c r="T22" s="1798"/>
      <c r="U22" s="1798"/>
      <c r="V22" s="1798"/>
      <c r="W22" s="1798"/>
      <c r="X22" s="1798"/>
      <c r="Y22" s="1798"/>
      <c r="Z22" s="1798"/>
      <c r="AA22" s="1798"/>
      <c r="AB22" s="1798"/>
      <c r="AC22" s="1798"/>
      <c r="AD22" s="1798"/>
      <c r="AE22" s="1798"/>
      <c r="AF22" s="1798"/>
      <c r="AG22" s="1798"/>
      <c r="AH22" s="1798"/>
      <c r="AI22" s="1798"/>
      <c r="AJ22" s="1798"/>
      <c r="AK22" s="1798"/>
      <c r="AL22" s="3311">
        <f>IFERROR(IF($L$21&gt;=25%,"N/A",('Unit Mix'!$AA$8/'Unit Mix'!$D$8)&gt;=(ROUNDDOWN($L$21,2)*2)),0)</f>
        <v>0</v>
      </c>
      <c r="AM22" s="1778"/>
    </row>
    <row r="23" spans="1:42" ht="63" customHeight="1">
      <c r="E23" s="270" t="s">
        <v>1990</v>
      </c>
      <c r="F23" s="1802" t="s">
        <v>3115</v>
      </c>
      <c r="G23" s="1798"/>
      <c r="H23" s="1798"/>
      <c r="I23" s="1798"/>
      <c r="J23" s="1798"/>
      <c r="K23" s="1798"/>
      <c r="L23" s="1798"/>
      <c r="M23" s="1798"/>
      <c r="N23" s="1798"/>
      <c r="O23" s="1798"/>
      <c r="P23" s="1798"/>
      <c r="Q23" s="1798"/>
      <c r="R23" s="1798"/>
      <c r="S23" s="1798"/>
      <c r="T23" s="1798"/>
      <c r="U23" s="1798"/>
      <c r="V23" s="1798"/>
      <c r="W23" s="1798"/>
      <c r="X23" s="1798"/>
      <c r="Y23" s="1798"/>
      <c r="Z23" s="1798"/>
      <c r="AA23" s="1798"/>
      <c r="AB23" s="1798"/>
      <c r="AC23" s="1798"/>
      <c r="AD23" s="1798"/>
      <c r="AE23" s="1798"/>
      <c r="AF23" s="1798"/>
      <c r="AG23" s="1798"/>
      <c r="AH23" s="1798"/>
      <c r="AI23" s="1798"/>
      <c r="AJ23" s="1798"/>
      <c r="AK23" s="1798"/>
      <c r="AO23" s="16"/>
      <c r="AP23" s="476"/>
    </row>
    <row r="24" spans="1:42" ht="18" customHeight="1">
      <c r="F24" s="1802" t="s">
        <v>3116</v>
      </c>
      <c r="G24" s="1798"/>
      <c r="H24" s="1798"/>
      <c r="I24" s="1798"/>
      <c r="J24" s="1798"/>
      <c r="K24" s="1798"/>
      <c r="L24" s="1798"/>
      <c r="M24" s="1798"/>
      <c r="N24" s="1798"/>
      <c r="O24" s="1798"/>
      <c r="P24" s="1798"/>
      <c r="Q24" s="1798"/>
      <c r="R24" s="1798"/>
      <c r="S24" s="1798"/>
      <c r="T24" s="1798"/>
      <c r="U24" s="1798"/>
      <c r="V24" s="1798"/>
      <c r="W24" s="1798"/>
      <c r="X24" s="1798"/>
      <c r="Y24" s="1798"/>
      <c r="Z24" s="1798"/>
      <c r="AA24" s="1798"/>
      <c r="AB24" s="1798"/>
      <c r="AC24" s="1798"/>
      <c r="AD24" s="1798"/>
      <c r="AE24" s="1798"/>
      <c r="AF24" s="1798"/>
      <c r="AG24" s="1798"/>
      <c r="AH24" s="1798"/>
      <c r="AI24" s="1798"/>
      <c r="AJ24" s="1798"/>
      <c r="AK24" s="1798"/>
      <c r="AL24" s="1973" t="b">
        <f>$L$21&gt;=25%</f>
        <v>0</v>
      </c>
      <c r="AM24" s="1778"/>
      <c r="AO24" s="16"/>
      <c r="AP24" s="476"/>
    </row>
    <row r="25" spans="1:42" ht="36" customHeight="1">
      <c r="F25" s="1802" t="s">
        <v>3117</v>
      </c>
      <c r="G25" s="1798"/>
      <c r="H25" s="1798"/>
      <c r="I25" s="1798"/>
      <c r="J25" s="1798"/>
      <c r="K25" s="1798"/>
      <c r="L25" s="1798"/>
      <c r="M25" s="1798"/>
      <c r="N25" s="1798"/>
      <c r="O25" s="1798"/>
      <c r="P25" s="1798"/>
      <c r="Q25" s="1798"/>
      <c r="R25" s="1798"/>
      <c r="S25" s="1798"/>
      <c r="T25" s="1798"/>
      <c r="U25" s="1798"/>
      <c r="V25" s="1798"/>
      <c r="W25" s="1798"/>
      <c r="X25" s="1798"/>
      <c r="Y25" s="1798"/>
      <c r="Z25" s="1798"/>
      <c r="AA25" s="1798"/>
      <c r="AB25" s="1798"/>
      <c r="AC25" s="1798"/>
      <c r="AD25" s="1798"/>
      <c r="AE25" s="1798"/>
      <c r="AF25" s="1798"/>
      <c r="AG25" s="1798"/>
      <c r="AH25" s="1798"/>
      <c r="AI25" s="1798"/>
      <c r="AJ25" s="1798"/>
      <c r="AK25" s="1798"/>
      <c r="AL25" s="1973" t="b">
        <f>IF($L$21&gt;=25%,('Unit Mix'!$AA$8/'Unit Mix'!$D$8)&gt;=(ROUNDDOWN($L$21,2)))</f>
        <v>0</v>
      </c>
      <c r="AM25" s="1778"/>
      <c r="AP25" s="58"/>
    </row>
    <row r="26" spans="1:42" ht="54" customHeight="1">
      <c r="E26" s="270" t="s">
        <v>1996</v>
      </c>
      <c r="F26" s="1802" t="s">
        <v>3118</v>
      </c>
      <c r="G26" s="1798"/>
      <c r="H26" s="1798"/>
      <c r="I26" s="1798"/>
      <c r="J26" s="1798"/>
      <c r="K26" s="1798"/>
      <c r="L26" s="1798"/>
      <c r="M26" s="1798"/>
      <c r="N26" s="1798"/>
      <c r="O26" s="1798"/>
      <c r="P26" s="1798"/>
      <c r="Q26" s="1798"/>
      <c r="R26" s="1798"/>
      <c r="S26" s="1798"/>
      <c r="T26" s="1798"/>
      <c r="U26" s="1798"/>
      <c r="V26" s="1798"/>
      <c r="W26" s="1798"/>
      <c r="X26" s="1798"/>
      <c r="Y26" s="1798"/>
      <c r="Z26" s="1798"/>
      <c r="AA26" s="1798"/>
      <c r="AB26" s="1798"/>
      <c r="AC26" s="1798"/>
      <c r="AD26" s="1798"/>
      <c r="AE26" s="1798"/>
      <c r="AF26" s="1798"/>
      <c r="AG26" s="1798"/>
      <c r="AH26" s="1798"/>
      <c r="AI26" s="1798"/>
      <c r="AJ26" s="1798"/>
      <c r="AK26" s="1798"/>
    </row>
    <row r="27" spans="1:42" ht="18" customHeight="1">
      <c r="F27" s="1802" t="s">
        <v>3119</v>
      </c>
      <c r="G27" s="1798"/>
      <c r="H27" s="1798"/>
      <c r="I27" s="1798"/>
      <c r="J27" s="1798"/>
      <c r="K27" s="1798"/>
      <c r="L27" s="1798"/>
      <c r="M27" s="1798"/>
      <c r="N27" s="1798"/>
      <c r="O27" s="1798"/>
      <c r="P27" s="1798"/>
      <c r="Q27" s="1798"/>
      <c r="R27" s="1798"/>
      <c r="S27" s="1798"/>
      <c r="T27" s="1798"/>
      <c r="U27" s="1798"/>
      <c r="V27" s="1798"/>
      <c r="W27" s="1798"/>
      <c r="X27" s="1798"/>
      <c r="Y27" s="1798"/>
      <c r="Z27" s="1798"/>
      <c r="AA27" s="1798"/>
      <c r="AB27" s="1798"/>
      <c r="AC27" s="1798"/>
      <c r="AD27" s="1798"/>
      <c r="AE27" s="1798"/>
      <c r="AF27" s="1798"/>
      <c r="AG27" s="1798"/>
      <c r="AH27" s="1798"/>
      <c r="AI27" s="1798"/>
      <c r="AJ27" s="1798"/>
      <c r="AK27" s="1798"/>
      <c r="AL27" s="2993" t="str">
        <f>IFERROR(IF(AND(IsSerna,R28/'Unit Mix'!F8&gt;=10%),"P","O"),"")</f>
        <v/>
      </c>
      <c r="AM27" s="1798"/>
    </row>
    <row r="28" spans="1:42" ht="18" customHeight="1">
      <c r="F28" s="2180" t="s">
        <v>3120</v>
      </c>
      <c r="G28" s="1798"/>
      <c r="H28" s="1798"/>
      <c r="I28" s="1798"/>
      <c r="J28" s="1798"/>
      <c r="K28" s="1798"/>
      <c r="L28" s="1798"/>
      <c r="M28" s="1798"/>
      <c r="N28" s="1798"/>
      <c r="O28" s="1798"/>
      <c r="P28" s="1798"/>
      <c r="Q28" s="1798"/>
      <c r="R28" s="1973">
        <f>SUMIFS(UnitsTbl[HCD Program2],UnitsTbl[Restricted Income Level],15%)+SUMIFS(UnitsTbl[HCD Program2],UnitsTbl[Restricted Income Level],20%)+SUMIFS(UnitsTbl[HCD Program2],UnitsTbl[Restricted Income Level],25%)+SUMIFS(UnitsTbl[HCD Program2],UnitsTbl[Restricted Income Level],30%)</f>
        <v>0</v>
      </c>
      <c r="S28" s="1778"/>
      <c r="T28" s="58"/>
    </row>
    <row r="29" spans="1:42" ht="18" customHeight="1">
      <c r="F29" s="2180" t="s">
        <v>3121</v>
      </c>
      <c r="G29" s="1798"/>
      <c r="H29" s="1798"/>
      <c r="I29" s="1798"/>
      <c r="J29" s="1798"/>
      <c r="K29" s="1798"/>
      <c r="L29" s="1798"/>
      <c r="M29" s="1798"/>
      <c r="N29" s="1798"/>
      <c r="O29" s="1798"/>
      <c r="P29" s="1798"/>
      <c r="Q29" s="1798"/>
      <c r="R29" s="1798"/>
      <c r="S29" s="1798"/>
      <c r="T29" s="1798"/>
      <c r="U29" s="1798"/>
      <c r="V29" s="1798"/>
      <c r="W29" s="1798"/>
      <c r="X29" s="1798"/>
      <c r="Y29" s="1798"/>
      <c r="Z29" s="1798"/>
      <c r="AA29" s="1798"/>
      <c r="AB29" s="1798"/>
      <c r="AC29" s="1798"/>
      <c r="AD29" s="1798"/>
      <c r="AE29" s="1798"/>
      <c r="AF29" s="1798"/>
      <c r="AG29" s="1798"/>
      <c r="AH29" s="1798"/>
      <c r="AI29" s="1798"/>
      <c r="AJ29" s="1798"/>
      <c r="AK29" s="1798"/>
      <c r="AL29" s="1911"/>
      <c r="AM29" s="1862"/>
    </row>
    <row r="30" spans="1:42" ht="18" customHeight="1">
      <c r="F30" s="1802" t="s">
        <v>3122</v>
      </c>
      <c r="G30" s="1798"/>
      <c r="H30" s="1798"/>
      <c r="I30" s="1798"/>
      <c r="J30" s="1798"/>
      <c r="K30" s="1798"/>
      <c r="L30" s="1798"/>
      <c r="M30" s="1798"/>
      <c r="N30" s="1798"/>
      <c r="O30" s="1798"/>
      <c r="P30" s="1798"/>
      <c r="Q30" s="1798"/>
      <c r="R30" s="1798"/>
      <c r="S30" s="1798"/>
      <c r="T30" s="1798"/>
      <c r="U30" s="1798"/>
      <c r="V30" s="1798"/>
      <c r="W30" s="1798"/>
      <c r="X30" s="1798"/>
      <c r="Y30" s="1798"/>
      <c r="Z30" s="1798"/>
      <c r="AA30" s="1798"/>
      <c r="AB30" s="1798"/>
      <c r="AC30" s="1798"/>
      <c r="AD30" s="1798"/>
      <c r="AE30" s="1798"/>
      <c r="AF30" s="1798"/>
      <c r="AG30" s="1798"/>
      <c r="AH30" s="1798"/>
      <c r="AI30" s="1798"/>
      <c r="AJ30" s="1798"/>
      <c r="AK30" s="1798"/>
    </row>
    <row r="31" spans="1:42" ht="18" customHeight="1">
      <c r="F31" s="2180" t="s">
        <v>3123</v>
      </c>
      <c r="G31" s="1798"/>
      <c r="H31" s="1798"/>
      <c r="I31" s="1798"/>
      <c r="J31" s="1798"/>
      <c r="K31" s="1798"/>
      <c r="L31" s="1798"/>
      <c r="M31" s="1798"/>
      <c r="N31" s="1798"/>
      <c r="O31" s="1798"/>
      <c r="P31" s="1798"/>
      <c r="Q31" s="1798"/>
      <c r="R31" s="1798"/>
      <c r="S31" s="1798"/>
      <c r="T31" s="1798"/>
      <c r="U31" s="1798"/>
      <c r="V31" s="1798"/>
      <c r="W31" s="1798"/>
      <c r="X31" s="1973">
        <f>SUMIFS(UnitsTbl[HCD Program2],UnitsTbl[Restricted Income Level],35%)+SUMIFS(UnitsTbl[HCD Program2],UnitsTbl[Restricted Income Level],40%)+SUMIFS(UnitsTbl[HCD Program2],UnitsTbl[Restricted Income Level],45%)+SUMIFS(UnitsTbl[HCD Program2],UnitsTbl[Restricted Income Level],50%)+SUMIFS(UnitsTbl[HCD Program2],UnitsTbl[Restricted Income Level],55%)+SUMIFS(UnitsTbl[HCD Program2],UnitsTbl[Restricted Income Level],60%)+SUMIFS(UnitsTbl[HCD Program2],UnitsTbl[Restricted Income Level],65%)+SUMIFS(UnitsTbl[HCD Program2],UnitsTbl[Restricted Income Level],70%)+SUMIFS(UnitsTbl[HCD Program2],UnitsTbl[Restricted Income Level],75%)+SUMIFS(UnitsTbl[HCD Program2],UnitsTbl[Restricted Income Level],80%)</f>
        <v>0</v>
      </c>
      <c r="Y31" s="1778"/>
    </row>
    <row r="32" spans="1:42" ht="18" customHeight="1">
      <c r="D32" s="270" t="s">
        <v>615</v>
      </c>
      <c r="E32" s="2180" t="s">
        <v>3124</v>
      </c>
      <c r="F32" s="1798"/>
      <c r="G32" s="1798"/>
      <c r="H32" s="1798"/>
      <c r="I32" s="1798"/>
      <c r="J32" s="1798"/>
      <c r="K32" s="1798"/>
      <c r="L32" s="1798"/>
      <c r="M32" s="1798"/>
      <c r="N32" s="1798"/>
      <c r="O32" s="1798"/>
      <c r="P32" s="1798"/>
      <c r="Q32" s="1798"/>
      <c r="R32" s="1798"/>
      <c r="S32" s="1798"/>
      <c r="T32" s="1798"/>
      <c r="U32" s="1798"/>
      <c r="V32" s="1798"/>
      <c r="W32" s="1798"/>
      <c r="X32" s="1798"/>
      <c r="Y32" s="1798"/>
      <c r="Z32" s="1798"/>
      <c r="AA32" s="1798"/>
      <c r="AB32" s="1798"/>
      <c r="AC32" s="1798"/>
      <c r="AD32" s="1798"/>
      <c r="AE32" s="1798"/>
      <c r="AF32" s="1798"/>
      <c r="AG32" s="1798"/>
      <c r="AH32" s="1798"/>
      <c r="AI32" s="1798"/>
      <c r="AJ32" s="1798"/>
      <c r="AK32" s="1798"/>
    </row>
    <row r="33" spans="2:41" ht="55.5" customHeight="1">
      <c r="E33" s="1802" t="s">
        <v>3125</v>
      </c>
      <c r="F33" s="1798"/>
      <c r="G33" s="1798"/>
      <c r="H33" s="1798"/>
      <c r="I33" s="1798"/>
      <c r="J33" s="1798"/>
      <c r="K33" s="1798"/>
      <c r="L33" s="1798"/>
      <c r="M33" s="1798"/>
      <c r="N33" s="1798"/>
      <c r="O33" s="1798"/>
      <c r="P33" s="1798"/>
      <c r="Q33" s="1798"/>
      <c r="R33" s="1798"/>
      <c r="S33" s="1798"/>
      <c r="T33" s="1798"/>
      <c r="U33" s="1798"/>
      <c r="V33" s="1798"/>
      <c r="W33" s="1798"/>
      <c r="X33" s="1798"/>
      <c r="Y33" s="1798"/>
      <c r="Z33" s="1798"/>
      <c r="AA33" s="1798"/>
      <c r="AB33" s="1798"/>
      <c r="AC33" s="1798"/>
      <c r="AD33" s="1798"/>
      <c r="AE33" s="1798"/>
      <c r="AF33" s="1798"/>
      <c r="AG33" s="1798"/>
      <c r="AH33" s="1798"/>
      <c r="AI33" s="1798"/>
      <c r="AJ33" s="1798"/>
      <c r="AK33" s="1798"/>
    </row>
    <row r="34" spans="2:41" ht="18" customHeight="1">
      <c r="E34" s="2996" t="s">
        <v>3126</v>
      </c>
      <c r="F34" s="1798"/>
      <c r="G34" s="1798"/>
      <c r="H34" s="1798"/>
      <c r="I34" s="1798"/>
      <c r="J34" s="1798"/>
      <c r="K34" s="1798"/>
      <c r="L34" s="1798"/>
      <c r="M34" s="1798"/>
      <c r="N34" s="1798"/>
      <c r="O34" s="1798"/>
      <c r="P34" s="1798"/>
      <c r="Q34" s="1798"/>
      <c r="R34" s="1798"/>
      <c r="S34" s="1798"/>
      <c r="T34" s="1798"/>
      <c r="U34" s="1798"/>
      <c r="V34" s="1798"/>
      <c r="W34" s="1798"/>
      <c r="X34" s="1798"/>
      <c r="Y34" s="1798"/>
      <c r="Z34" s="1798"/>
      <c r="AA34" s="1798"/>
      <c r="AB34" s="1798"/>
      <c r="AC34" s="1798"/>
      <c r="AD34" s="1798"/>
      <c r="AE34" s="1798"/>
      <c r="AF34" s="1798"/>
      <c r="AG34" s="1798"/>
      <c r="AH34" s="1798"/>
      <c r="AI34" s="1798"/>
      <c r="AJ34" s="1798"/>
      <c r="AK34" s="1889"/>
      <c r="AL34" s="1911"/>
      <c r="AM34" s="1862"/>
    </row>
    <row r="35" spans="2:41" ht="36" customHeight="1">
      <c r="D35" s="270" t="s">
        <v>617</v>
      </c>
      <c r="E35" s="2989" t="s">
        <v>3127</v>
      </c>
      <c r="F35" s="1798"/>
      <c r="G35" s="1798"/>
      <c r="H35" s="1798"/>
      <c r="I35" s="1798"/>
      <c r="J35" s="1798"/>
      <c r="K35" s="1798"/>
      <c r="L35" s="1798"/>
      <c r="M35" s="1798"/>
      <c r="N35" s="1798"/>
      <c r="O35" s="1798"/>
      <c r="P35" s="1798"/>
      <c r="Q35" s="1798"/>
      <c r="R35" s="1798"/>
      <c r="S35" s="1798"/>
      <c r="T35" s="1798"/>
      <c r="U35" s="1798"/>
      <c r="V35" s="1798"/>
      <c r="W35" s="1798"/>
      <c r="X35" s="1798"/>
      <c r="Y35" s="1798"/>
      <c r="Z35" s="1798"/>
      <c r="AA35" s="1798"/>
      <c r="AB35" s="1798"/>
      <c r="AC35" s="1798"/>
      <c r="AD35" s="1798"/>
      <c r="AE35" s="1798"/>
      <c r="AF35" s="1798"/>
      <c r="AG35" s="1798"/>
      <c r="AH35" s="1798"/>
      <c r="AI35" s="1798"/>
      <c r="AJ35" s="1798"/>
      <c r="AK35" s="1889"/>
      <c r="AL35" s="1911"/>
      <c r="AM35" s="1862"/>
      <c r="AO35" s="16"/>
    </row>
    <row r="36" spans="2:41" ht="36" customHeight="1">
      <c r="D36" s="270" t="s">
        <v>634</v>
      </c>
      <c r="E36" s="2989" t="s">
        <v>3128</v>
      </c>
      <c r="F36" s="1798"/>
      <c r="G36" s="1798"/>
      <c r="H36" s="1798"/>
      <c r="I36" s="1798"/>
      <c r="J36" s="1798"/>
      <c r="K36" s="1798"/>
      <c r="L36" s="1798"/>
      <c r="M36" s="1798"/>
      <c r="N36" s="1798"/>
      <c r="O36" s="1798"/>
      <c r="P36" s="1798"/>
      <c r="Q36" s="1798"/>
      <c r="R36" s="1798"/>
      <c r="S36" s="1798"/>
      <c r="T36" s="1798"/>
      <c r="U36" s="1798"/>
      <c r="V36" s="1798"/>
      <c r="W36" s="1798"/>
      <c r="X36" s="1798"/>
      <c r="Y36" s="1798"/>
      <c r="Z36" s="1798"/>
      <c r="AA36" s="1798"/>
      <c r="AB36" s="1798"/>
      <c r="AC36" s="1798"/>
      <c r="AD36" s="1798"/>
      <c r="AE36" s="1798"/>
      <c r="AF36" s="1798"/>
      <c r="AG36" s="1798"/>
      <c r="AH36" s="1798"/>
      <c r="AI36" s="1798"/>
      <c r="AJ36" s="1798"/>
      <c r="AK36" s="1889"/>
      <c r="AL36" s="1911"/>
      <c r="AM36" s="1862"/>
    </row>
    <row r="37" spans="2:41" ht="18" hidden="1" customHeight="1">
      <c r="C37" s="265" t="s">
        <v>629</v>
      </c>
      <c r="D37" s="1802" t="s">
        <v>2018</v>
      </c>
      <c r="E37" s="1798"/>
      <c r="F37" s="1798"/>
      <c r="G37" s="1798"/>
      <c r="H37" s="1798"/>
      <c r="I37" s="1798"/>
      <c r="J37" s="1798"/>
      <c r="K37" s="1798"/>
      <c r="L37" s="1798"/>
      <c r="M37" s="1798"/>
      <c r="N37" s="1798"/>
      <c r="O37" s="1798"/>
      <c r="P37" s="1798"/>
      <c r="Q37" s="1798"/>
      <c r="R37" s="1798"/>
      <c r="S37" s="1798"/>
      <c r="T37" s="1798"/>
      <c r="U37" s="1798"/>
      <c r="V37" s="1798"/>
      <c r="W37" s="1798"/>
      <c r="X37" s="1798"/>
      <c r="Y37" s="1798"/>
      <c r="Z37" s="1798"/>
      <c r="AA37" s="1798"/>
      <c r="AB37" s="1798"/>
      <c r="AC37" s="1798"/>
      <c r="AD37" s="1798"/>
      <c r="AE37" s="1798"/>
      <c r="AF37" s="1798"/>
      <c r="AG37" s="1798"/>
      <c r="AH37" s="1798"/>
      <c r="AI37" s="1798"/>
      <c r="AJ37" s="1798"/>
      <c r="AK37" s="136"/>
      <c r="AL37" s="136"/>
      <c r="AM37" s="136"/>
    </row>
    <row r="38" spans="2:41" ht="18" hidden="1" customHeight="1">
      <c r="C38" s="136"/>
      <c r="D38" s="267" t="s">
        <v>613</v>
      </c>
      <c r="E38" s="2993" t="str">
        <f>IF(AND(IsSerna,vmTribalEntity="Yes",'Project Overview'!AL89="Yes",'Project Overview'!$X$90="Fee land"),"P","O")</f>
        <v>O</v>
      </c>
      <c r="F38" s="1798"/>
      <c r="G38" s="472"/>
      <c r="H38" s="136"/>
      <c r="I38" s="136"/>
      <c r="J38" s="136"/>
      <c r="K38" s="136"/>
      <c r="L38" s="136"/>
      <c r="M38" s="136"/>
      <c r="N38" s="136"/>
      <c r="O38" s="136"/>
      <c r="P38" s="136"/>
      <c r="Q38" s="136"/>
      <c r="R38" s="136"/>
      <c r="S38" s="136"/>
      <c r="T38" s="136"/>
      <c r="U38" s="136"/>
      <c r="V38" s="136"/>
      <c r="W38" s="136"/>
      <c r="X38" s="136"/>
      <c r="Y38" s="136"/>
      <c r="Z38" s="136"/>
      <c r="AA38" s="136"/>
      <c r="AB38" s="136"/>
      <c r="AC38" s="136"/>
      <c r="AD38" s="136"/>
      <c r="AE38" s="136"/>
      <c r="AF38" s="136"/>
      <c r="AG38" s="136"/>
      <c r="AH38" s="136"/>
      <c r="AI38" s="136"/>
      <c r="AJ38" s="136"/>
      <c r="AK38" s="136"/>
      <c r="AL38" s="136"/>
      <c r="AM38" s="136"/>
    </row>
    <row r="39" spans="2:41" ht="18" hidden="1" customHeight="1">
      <c r="C39" s="136"/>
      <c r="D39" s="267" t="s">
        <v>615</v>
      </c>
      <c r="E39" s="2993" t="str">
        <f>IF(AND(IsSerna,'Project Overview'!$AL$91="Yes"),"P","O")</f>
        <v>O</v>
      </c>
      <c r="F39" s="1798"/>
      <c r="G39" s="472"/>
      <c r="H39" s="382"/>
      <c r="I39" s="382"/>
      <c r="J39" s="382"/>
      <c r="K39" s="382"/>
      <c r="L39" s="382"/>
      <c r="M39" s="382"/>
      <c r="N39" s="382"/>
      <c r="O39" s="382"/>
      <c r="P39" s="382"/>
      <c r="Q39" s="382"/>
      <c r="R39" s="382"/>
      <c r="S39" s="382"/>
      <c r="T39" s="382"/>
      <c r="U39" s="382"/>
      <c r="V39" s="382"/>
      <c r="W39" s="382"/>
      <c r="X39" s="382"/>
      <c r="Y39" s="382"/>
      <c r="Z39" s="382"/>
      <c r="AA39" s="382"/>
      <c r="AB39" s="382"/>
      <c r="AC39" s="382"/>
      <c r="AD39" s="382"/>
      <c r="AE39" s="382"/>
      <c r="AF39" s="382"/>
      <c r="AG39" s="382"/>
      <c r="AH39" s="382"/>
      <c r="AI39" s="382"/>
      <c r="AJ39" s="136"/>
      <c r="AK39" s="136"/>
      <c r="AL39" s="382"/>
      <c r="AM39" s="382"/>
    </row>
    <row r="40" spans="2:41" ht="18" customHeight="1">
      <c r="C40" s="265" t="s">
        <v>1974</v>
      </c>
      <c r="D40" s="2180" t="s">
        <v>3129</v>
      </c>
      <c r="E40" s="1798"/>
      <c r="F40" s="1798"/>
      <c r="G40" s="1798"/>
      <c r="H40" s="1798"/>
      <c r="I40" s="1798"/>
      <c r="J40" s="1798"/>
      <c r="K40" s="1798"/>
      <c r="L40" s="1798"/>
      <c r="M40" s="1798"/>
      <c r="N40" s="1798"/>
      <c r="O40" s="1798"/>
      <c r="P40" s="1798"/>
      <c r="Q40" s="1798"/>
      <c r="R40" s="1798"/>
      <c r="S40" s="1798"/>
      <c r="T40" s="1798"/>
      <c r="U40" s="1798"/>
      <c r="V40" s="1798"/>
      <c r="W40" s="1798"/>
      <c r="X40" s="1798"/>
      <c r="Y40" s="1798"/>
      <c r="Z40" s="1798"/>
      <c r="AA40" s="1798"/>
      <c r="AB40" s="1798"/>
      <c r="AC40" s="1798"/>
      <c r="AD40" s="1798"/>
      <c r="AE40" s="1798"/>
      <c r="AF40" s="1798"/>
      <c r="AG40" s="1798"/>
      <c r="AH40" s="1798"/>
      <c r="AI40" s="1798"/>
      <c r="AJ40" s="1798"/>
      <c r="AK40" s="1798"/>
      <c r="AL40" s="136"/>
      <c r="AM40" s="136"/>
    </row>
    <row r="41" spans="2:41" ht="18" customHeight="1">
      <c r="C41" s="136"/>
      <c r="D41" s="267" t="s">
        <v>613</v>
      </c>
      <c r="E41" s="58" t="s">
        <v>3130</v>
      </c>
      <c r="F41" s="58"/>
      <c r="G41" s="58"/>
      <c r="H41" s="58"/>
      <c r="I41" s="58"/>
      <c r="J41" s="58"/>
      <c r="K41" s="58"/>
      <c r="L41" s="58"/>
      <c r="M41" s="58"/>
      <c r="N41" s="58"/>
      <c r="O41" s="58"/>
      <c r="P41" s="58"/>
      <c r="Q41" s="58"/>
      <c r="R41" s="58"/>
      <c r="S41" s="58"/>
      <c r="T41" s="58"/>
      <c r="U41" s="58"/>
      <c r="V41" s="58"/>
      <c r="W41" s="58"/>
      <c r="X41" s="58"/>
      <c r="Y41" s="58"/>
      <c r="Z41" s="58"/>
      <c r="AA41" s="58"/>
      <c r="AB41" s="58"/>
      <c r="AC41" s="58"/>
      <c r="AD41" s="58"/>
      <c r="AE41" s="58"/>
      <c r="AF41" s="58"/>
      <c r="AG41" s="58"/>
      <c r="AH41" s="58"/>
      <c r="AI41" s="58"/>
      <c r="AJ41" s="58"/>
      <c r="AK41" s="58"/>
      <c r="AL41" s="136"/>
      <c r="AM41" s="136"/>
    </row>
    <row r="42" spans="2:41" ht="54" customHeight="1">
      <c r="C42" s="136"/>
      <c r="E42" s="267" t="s">
        <v>1989</v>
      </c>
      <c r="F42" s="1802" t="s">
        <v>3131</v>
      </c>
      <c r="G42" s="1798"/>
      <c r="H42" s="1798"/>
      <c r="I42" s="1798"/>
      <c r="J42" s="1798"/>
      <c r="K42" s="1798"/>
      <c r="L42" s="1798"/>
      <c r="M42" s="1798"/>
      <c r="N42" s="1798"/>
      <c r="O42" s="1798"/>
      <c r="P42" s="1798"/>
      <c r="Q42" s="1798"/>
      <c r="R42" s="1798"/>
      <c r="S42" s="1798"/>
      <c r="T42" s="1798"/>
      <c r="U42" s="1798"/>
      <c r="V42" s="1798"/>
      <c r="W42" s="1798"/>
      <c r="X42" s="1798"/>
      <c r="Y42" s="1798"/>
      <c r="Z42" s="1798"/>
      <c r="AA42" s="1798"/>
      <c r="AB42" s="1798"/>
      <c r="AC42" s="1798"/>
      <c r="AD42" s="1798"/>
      <c r="AE42" s="1798"/>
      <c r="AF42" s="1798"/>
      <c r="AG42" s="1798"/>
      <c r="AH42" s="1798"/>
      <c r="AI42" s="1798"/>
      <c r="AJ42" s="3309" t="s">
        <v>3132</v>
      </c>
      <c r="AK42" s="1889"/>
      <c r="AL42" s="1911"/>
      <c r="AM42" s="1862"/>
    </row>
    <row r="43" spans="2:41" ht="18" customHeight="1">
      <c r="E43" s="267" t="s">
        <v>1990</v>
      </c>
      <c r="F43" s="2996" t="s">
        <v>3133</v>
      </c>
      <c r="G43" s="1798"/>
      <c r="H43" s="1798"/>
      <c r="I43" s="1798"/>
      <c r="J43" s="1798"/>
      <c r="K43" s="1798"/>
      <c r="L43" s="1798"/>
      <c r="M43" s="1798"/>
      <c r="N43" s="1798"/>
      <c r="O43" s="1798"/>
      <c r="P43" s="1798"/>
      <c r="Q43" s="1798"/>
      <c r="R43" s="1798"/>
      <c r="S43" s="1798"/>
      <c r="T43" s="1798"/>
      <c r="U43" s="1798"/>
      <c r="V43" s="1798"/>
      <c r="W43" s="1798"/>
      <c r="X43" s="1798"/>
      <c r="Y43" s="1798"/>
      <c r="Z43" s="1798"/>
      <c r="AA43" s="1798"/>
      <c r="AB43" s="1798"/>
      <c r="AC43" s="1798"/>
      <c r="AD43" s="1798"/>
      <c r="AE43" s="1798"/>
      <c r="AF43" s="1798"/>
      <c r="AG43" s="1798"/>
      <c r="AH43" s="1798"/>
      <c r="AI43" s="1798"/>
      <c r="AJ43" s="1798"/>
      <c r="AK43" s="1889"/>
      <c r="AL43" s="1911"/>
      <c r="AM43" s="1862"/>
    </row>
    <row r="44" spans="2:41" ht="18" customHeight="1">
      <c r="D44" s="267" t="s">
        <v>615</v>
      </c>
      <c r="E44" s="1802" t="s">
        <v>2775</v>
      </c>
      <c r="F44" s="1798"/>
      <c r="G44" s="1798"/>
      <c r="H44" s="1798"/>
      <c r="I44" s="1798"/>
      <c r="J44" s="1798"/>
      <c r="K44" s="1798"/>
      <c r="L44" s="1798"/>
      <c r="M44" s="1798"/>
      <c r="N44" s="1798"/>
      <c r="O44" s="1798"/>
      <c r="P44" s="1798"/>
      <c r="Q44" s="1798"/>
      <c r="R44" s="1798"/>
      <c r="S44" s="1798"/>
      <c r="T44" s="1798"/>
      <c r="U44" s="1798"/>
      <c r="V44" s="1798"/>
      <c r="W44" s="1798"/>
      <c r="X44" s="1798"/>
      <c r="Y44" s="1798"/>
      <c r="Z44" s="1798"/>
      <c r="AA44" s="1798"/>
      <c r="AB44" s="1798"/>
      <c r="AC44" s="1798"/>
      <c r="AD44" s="1798"/>
      <c r="AE44" s="1798"/>
      <c r="AF44" s="1798"/>
      <c r="AG44" s="1798"/>
      <c r="AH44" s="1798"/>
      <c r="AI44" s="1798"/>
      <c r="AJ44" s="1798"/>
      <c r="AK44" s="1798"/>
      <c r="AL44" s="1911"/>
      <c r="AM44" s="1862"/>
    </row>
    <row r="45" spans="2:41" ht="36" customHeight="1">
      <c r="D45" s="267" t="s">
        <v>617</v>
      </c>
      <c r="E45" s="1802" t="s">
        <v>2776</v>
      </c>
      <c r="F45" s="1798"/>
      <c r="G45" s="1798"/>
      <c r="H45" s="1798"/>
      <c r="I45" s="1798"/>
      <c r="J45" s="1798"/>
      <c r="K45" s="1798"/>
      <c r="L45" s="1798"/>
      <c r="M45" s="1798"/>
      <c r="N45" s="1798"/>
      <c r="O45" s="1798"/>
      <c r="P45" s="1798"/>
      <c r="Q45" s="1798"/>
      <c r="R45" s="1798"/>
      <c r="S45" s="1798"/>
      <c r="T45" s="1798"/>
      <c r="U45" s="1798"/>
      <c r="V45" s="1798"/>
      <c r="W45" s="1798"/>
      <c r="X45" s="1798"/>
      <c r="Y45" s="1798"/>
      <c r="Z45" s="1798"/>
      <c r="AA45" s="1798"/>
      <c r="AB45" s="1798"/>
      <c r="AC45" s="1798"/>
      <c r="AD45" s="1798"/>
      <c r="AE45" s="1798"/>
      <c r="AF45" s="1798"/>
      <c r="AG45" s="1798"/>
      <c r="AH45" s="1798"/>
      <c r="AI45" s="1798"/>
      <c r="AJ45" s="1798"/>
      <c r="AK45" s="1798"/>
      <c r="AL45" s="1911"/>
      <c r="AM45" s="1862"/>
    </row>
    <row r="46" spans="2:41" ht="36" customHeight="1">
      <c r="C46" s="265" t="s">
        <v>1977</v>
      </c>
      <c r="D46" s="1806" t="s">
        <v>2777</v>
      </c>
      <c r="E46" s="1798"/>
      <c r="F46" s="1798"/>
      <c r="G46" s="1798"/>
      <c r="H46" s="1798"/>
      <c r="I46" s="1798"/>
      <c r="J46" s="1798"/>
      <c r="K46" s="1798"/>
      <c r="L46" s="1798"/>
      <c r="M46" s="1798"/>
      <c r="N46" s="1798"/>
      <c r="O46" s="1798"/>
      <c r="P46" s="1798"/>
      <c r="Q46" s="1798"/>
      <c r="R46" s="1798"/>
      <c r="S46" s="1798"/>
      <c r="T46" s="1798"/>
      <c r="U46" s="1798"/>
      <c r="V46" s="1798"/>
      <c r="W46" s="1798"/>
      <c r="X46" s="1798"/>
      <c r="Y46" s="1798"/>
      <c r="Z46" s="1798"/>
      <c r="AA46" s="1798"/>
      <c r="AB46" s="1798"/>
      <c r="AC46" s="1798"/>
      <c r="AD46" s="1798"/>
      <c r="AE46" s="1798"/>
      <c r="AF46" s="1798"/>
      <c r="AG46" s="1798"/>
      <c r="AH46" s="1798"/>
      <c r="AI46" s="1798"/>
      <c r="AJ46" s="1798"/>
      <c r="AK46" s="1798"/>
      <c r="AL46" s="1911"/>
      <c r="AM46" s="1862"/>
    </row>
    <row r="47" spans="2:41" ht="18" customHeight="1">
      <c r="C47" s="265" t="s">
        <v>648</v>
      </c>
      <c r="D47" s="2993" t="str">
        <f>IF(AND(IsSerna,'Project Overview'!$AL$156="Yes"),"P","O")</f>
        <v>O</v>
      </c>
      <c r="E47" s="1798"/>
      <c r="F47" s="382"/>
      <c r="G47" s="382"/>
      <c r="H47" s="382"/>
      <c r="I47" s="382"/>
      <c r="J47" s="382"/>
      <c r="K47" s="382"/>
      <c r="L47" s="382"/>
      <c r="M47" s="382"/>
      <c r="N47" s="382"/>
      <c r="O47" s="382"/>
      <c r="P47" s="382"/>
      <c r="Q47" s="382"/>
      <c r="R47" s="382"/>
      <c r="S47" s="382"/>
      <c r="T47" s="382"/>
      <c r="U47" s="382"/>
      <c r="V47" s="382"/>
      <c r="W47" s="382"/>
      <c r="X47" s="382"/>
      <c r="Y47" s="382"/>
      <c r="Z47" s="382"/>
      <c r="AA47" s="382"/>
      <c r="AB47" s="382"/>
      <c r="AC47" s="382"/>
      <c r="AD47" s="382"/>
      <c r="AE47" s="382"/>
      <c r="AF47" s="382"/>
      <c r="AG47" s="382"/>
      <c r="AH47" s="382"/>
      <c r="AI47" s="382"/>
      <c r="AJ47" s="382"/>
      <c r="AK47" s="382"/>
      <c r="AL47" s="382"/>
      <c r="AM47" s="382"/>
    </row>
    <row r="48" spans="2:41" ht="18" customHeight="1">
      <c r="B48" s="2180" t="s">
        <v>1954</v>
      </c>
      <c r="C48" s="1798"/>
      <c r="D48" s="1798"/>
      <c r="E48" s="1798"/>
      <c r="F48" s="1798"/>
      <c r="G48" s="1798"/>
      <c r="H48" s="476"/>
      <c r="I48" s="476"/>
      <c r="J48" s="476"/>
      <c r="K48" s="476"/>
      <c r="L48" s="476"/>
      <c r="M48" s="476"/>
      <c r="N48" s="476"/>
      <c r="O48" s="476"/>
      <c r="P48" s="476"/>
      <c r="Q48" s="476"/>
      <c r="R48" s="476"/>
      <c r="S48" s="476"/>
      <c r="T48" s="476"/>
      <c r="U48" s="476"/>
      <c r="V48" s="476"/>
      <c r="W48" s="476"/>
      <c r="X48" s="476"/>
      <c r="Y48" s="476"/>
      <c r="Z48" s="476"/>
      <c r="AA48" s="476"/>
      <c r="AB48" s="476"/>
      <c r="AC48" s="476"/>
      <c r="AD48" s="476"/>
      <c r="AE48" s="476"/>
      <c r="AF48" s="476"/>
      <c r="AG48" s="476"/>
      <c r="AH48" s="476"/>
      <c r="AI48" s="476"/>
      <c r="AJ48" s="476"/>
      <c r="AK48" s="476"/>
      <c r="AL48" s="476"/>
      <c r="AM48" s="476"/>
    </row>
    <row r="49" spans="2:42" ht="81.75" customHeight="1">
      <c r="B49" s="2003"/>
      <c r="C49" s="1861"/>
      <c r="D49" s="1861"/>
      <c r="E49" s="1861"/>
      <c r="F49" s="1861"/>
      <c r="G49" s="1861"/>
      <c r="H49" s="1861"/>
      <c r="I49" s="1861"/>
      <c r="J49" s="1861"/>
      <c r="K49" s="1861"/>
      <c r="L49" s="1861"/>
      <c r="M49" s="1861"/>
      <c r="N49" s="1861"/>
      <c r="O49" s="1861"/>
      <c r="P49" s="1861"/>
      <c r="Q49" s="1861"/>
      <c r="R49" s="1861"/>
      <c r="S49" s="1861"/>
      <c r="T49" s="1861"/>
      <c r="U49" s="1861"/>
      <c r="V49" s="1861"/>
      <c r="W49" s="1861"/>
      <c r="X49" s="1861"/>
      <c r="Y49" s="1861"/>
      <c r="Z49" s="1861"/>
      <c r="AA49" s="1861"/>
      <c r="AB49" s="1861"/>
      <c r="AC49" s="1861"/>
      <c r="AD49" s="1861"/>
      <c r="AE49" s="1861"/>
      <c r="AF49" s="1861"/>
      <c r="AG49" s="1861"/>
      <c r="AH49" s="1861"/>
      <c r="AI49" s="1861"/>
      <c r="AJ49" s="1861"/>
      <c r="AK49" s="1861"/>
      <c r="AL49" s="1861"/>
      <c r="AM49" s="1862"/>
    </row>
    <row r="51" spans="2:42" ht="18" customHeight="1">
      <c r="B51" s="244" t="s">
        <v>611</v>
      </c>
      <c r="C51" s="2180" t="s">
        <v>2028</v>
      </c>
      <c r="D51" s="1798"/>
      <c r="E51" s="1798"/>
      <c r="F51" s="1798"/>
      <c r="G51" s="1798"/>
      <c r="H51" s="1798"/>
      <c r="I51" s="1798"/>
      <c r="J51" s="1798"/>
      <c r="K51" s="1798"/>
      <c r="L51" s="1798"/>
      <c r="M51" s="1798"/>
      <c r="N51" s="1798"/>
      <c r="O51" s="1798"/>
      <c r="P51" s="1798"/>
      <c r="Q51" s="1798"/>
      <c r="R51" s="1798"/>
      <c r="S51" s="1798"/>
      <c r="T51" s="1798"/>
      <c r="U51" s="1798"/>
      <c r="V51" s="1798"/>
      <c r="W51" s="1798"/>
      <c r="X51" s="1798"/>
      <c r="Y51" s="1798"/>
      <c r="Z51" s="1798"/>
      <c r="AA51" s="1798"/>
      <c r="AB51" s="1798"/>
      <c r="AC51" s="1798"/>
      <c r="AD51" s="1798"/>
      <c r="AE51" s="1798"/>
      <c r="AF51" s="1798"/>
      <c r="AG51" s="1798"/>
      <c r="AH51" s="1798"/>
      <c r="AI51" s="1798"/>
      <c r="AJ51" s="1798"/>
      <c r="AK51" s="1798"/>
      <c r="AL51" s="1798"/>
      <c r="AM51" s="1798"/>
    </row>
    <row r="52" spans="2:42" ht="18" customHeight="1">
      <c r="B52" s="244"/>
      <c r="C52" s="3207" t="s">
        <v>2029</v>
      </c>
      <c r="D52" s="1798"/>
      <c r="E52" s="1798"/>
      <c r="F52" s="1798"/>
      <c r="G52" s="1798"/>
      <c r="H52" s="1798"/>
      <c r="I52" s="1798"/>
      <c r="J52" s="1798"/>
      <c r="K52" s="1798"/>
      <c r="L52" s="1798"/>
      <c r="M52" s="1798"/>
      <c r="N52" s="1798"/>
      <c r="O52" s="1798"/>
      <c r="P52" s="1798"/>
      <c r="Q52" s="1798"/>
      <c r="R52" s="1798"/>
      <c r="S52" s="1798"/>
      <c r="T52" s="1798"/>
      <c r="U52" s="1798"/>
      <c r="V52" s="1798"/>
      <c r="W52" s="1798"/>
      <c r="X52" s="1798"/>
      <c r="Y52" s="1798"/>
      <c r="Z52" s="1798"/>
      <c r="AA52" s="1798"/>
      <c r="AB52" s="1798"/>
      <c r="AC52" s="1798"/>
      <c r="AD52" s="1798"/>
      <c r="AE52" s="1798"/>
      <c r="AF52" s="1798"/>
      <c r="AG52" s="1798"/>
      <c r="AH52" s="1798"/>
      <c r="AI52" s="1798"/>
      <c r="AJ52" s="1798"/>
      <c r="AK52" s="1798"/>
    </row>
    <row r="53" spans="2:42" ht="36" customHeight="1">
      <c r="C53" s="264" t="s">
        <v>608</v>
      </c>
      <c r="D53" s="1802" t="s">
        <v>3134</v>
      </c>
      <c r="E53" s="1798"/>
      <c r="F53" s="1798"/>
      <c r="G53" s="1798"/>
      <c r="H53" s="1798"/>
      <c r="I53" s="1798"/>
      <c r="J53" s="1798"/>
      <c r="K53" s="1798"/>
      <c r="L53" s="1798"/>
      <c r="M53" s="1798"/>
      <c r="N53" s="1798"/>
      <c r="O53" s="1798"/>
      <c r="P53" s="1798"/>
      <c r="Q53" s="1798"/>
      <c r="R53" s="1798"/>
      <c r="S53" s="1798"/>
      <c r="T53" s="1798"/>
      <c r="U53" s="1798"/>
      <c r="V53" s="1798"/>
      <c r="W53" s="1798"/>
      <c r="X53" s="1798"/>
      <c r="Y53" s="1798"/>
      <c r="Z53" s="1798"/>
      <c r="AA53" s="1798"/>
      <c r="AB53" s="1798"/>
      <c r="AC53" s="1798"/>
      <c r="AD53" s="1798"/>
      <c r="AE53" s="1798"/>
      <c r="AF53" s="1798"/>
      <c r="AG53" s="1798"/>
      <c r="AH53" s="1798"/>
      <c r="AI53" s="1798"/>
      <c r="AJ53" s="1798"/>
      <c r="AK53" s="1798"/>
    </row>
    <row r="54" spans="2:42" ht="35.25" customHeight="1">
      <c r="C54" s="264" t="s">
        <v>611</v>
      </c>
      <c r="D54" s="1802" t="s">
        <v>3135</v>
      </c>
      <c r="E54" s="1798"/>
      <c r="F54" s="1798"/>
      <c r="G54" s="1798"/>
      <c r="H54" s="1798"/>
      <c r="I54" s="1798"/>
      <c r="J54" s="1798"/>
      <c r="K54" s="1798"/>
      <c r="L54" s="1798"/>
      <c r="M54" s="1798"/>
      <c r="N54" s="1798"/>
      <c r="O54" s="1798"/>
      <c r="P54" s="1798"/>
      <c r="Q54" s="1798"/>
      <c r="R54" s="1798"/>
      <c r="S54" s="1798"/>
      <c r="T54" s="1798"/>
      <c r="U54" s="1798"/>
      <c r="V54" s="1798"/>
      <c r="W54" s="1798"/>
      <c r="X54" s="1798"/>
      <c r="Y54" s="1798"/>
      <c r="Z54" s="1798"/>
      <c r="AA54" s="1798"/>
      <c r="AB54" s="1798"/>
      <c r="AC54" s="1798"/>
      <c r="AD54" s="1798"/>
      <c r="AE54" s="1798"/>
      <c r="AF54" s="1798"/>
      <c r="AG54" s="1798"/>
      <c r="AH54" s="1798"/>
      <c r="AI54" s="1798"/>
      <c r="AJ54" s="1798"/>
      <c r="AK54" s="1798"/>
      <c r="AL54" s="58"/>
    </row>
    <row r="55" spans="2:42" ht="36" customHeight="1">
      <c r="D55" s="267" t="s">
        <v>613</v>
      </c>
      <c r="E55" s="1802" t="s">
        <v>3136</v>
      </c>
      <c r="F55" s="1798"/>
      <c r="G55" s="1798"/>
      <c r="H55" s="1798"/>
      <c r="I55" s="1798"/>
      <c r="J55" s="1798"/>
      <c r="K55" s="1798"/>
      <c r="L55" s="1798"/>
      <c r="M55" s="1798"/>
      <c r="N55" s="1798"/>
      <c r="O55" s="1798"/>
      <c r="P55" s="1798"/>
      <c r="Q55" s="1798"/>
      <c r="R55" s="1798"/>
      <c r="S55" s="1798"/>
      <c r="T55" s="1798"/>
      <c r="U55" s="1798"/>
      <c r="V55" s="1798"/>
      <c r="W55" s="1798"/>
      <c r="X55" s="1798"/>
      <c r="Y55" s="1798"/>
      <c r="Z55" s="1798"/>
      <c r="AA55" s="1798"/>
      <c r="AB55" s="1798"/>
      <c r="AC55" s="1798"/>
      <c r="AD55" s="1798"/>
      <c r="AE55" s="1798"/>
      <c r="AF55" s="1798"/>
      <c r="AG55" s="1798"/>
      <c r="AH55" s="1798"/>
      <c r="AI55" s="1798"/>
      <c r="AJ55" s="1798"/>
      <c r="AK55" s="1798"/>
      <c r="AL55" s="58"/>
    </row>
    <row r="56" spans="2:42" ht="18" customHeight="1">
      <c r="E56" s="2996" t="s">
        <v>3137</v>
      </c>
      <c r="F56" s="1798"/>
      <c r="G56" s="1798"/>
      <c r="H56" s="1798"/>
      <c r="I56" s="1798"/>
      <c r="J56" s="1798"/>
      <c r="K56" s="1798"/>
      <c r="L56" s="1798"/>
      <c r="M56" s="1798"/>
      <c r="N56" s="1798"/>
      <c r="O56" s="1798"/>
      <c r="P56" s="1798"/>
      <c r="Q56" s="1798"/>
      <c r="R56" s="1798"/>
      <c r="S56" s="1798"/>
      <c r="T56" s="1798"/>
      <c r="U56" s="1798"/>
      <c r="V56" s="1798"/>
      <c r="W56" s="1798"/>
      <c r="X56" s="1798"/>
      <c r="Y56" s="1798"/>
      <c r="Z56" s="1798"/>
      <c r="AA56" s="1798"/>
      <c r="AB56" s="1798"/>
      <c r="AC56" s="1798"/>
      <c r="AD56" s="1798"/>
      <c r="AE56" s="1798"/>
      <c r="AF56" s="1798"/>
      <c r="AG56" s="1798"/>
      <c r="AH56" s="1798"/>
      <c r="AI56" s="1798"/>
      <c r="AJ56" s="1798"/>
      <c r="AK56" s="1889"/>
      <c r="AL56" s="1911"/>
      <c r="AM56" s="1862"/>
    </row>
    <row r="57" spans="2:42" ht="18" customHeight="1">
      <c r="B57" s="244"/>
      <c r="C57" s="264" t="s">
        <v>619</v>
      </c>
      <c r="D57" s="2993" t="str">
        <f>IF(AND(IsSerna,'Project Overview'!$AL$271="Yes"),"P","O")</f>
        <v>O</v>
      </c>
      <c r="E57" s="1798"/>
      <c r="F57" s="382"/>
      <c r="G57" s="382"/>
      <c r="H57" s="382"/>
      <c r="I57" s="382"/>
      <c r="J57" s="382"/>
      <c r="K57" s="382"/>
      <c r="L57" s="382"/>
      <c r="M57" s="382"/>
      <c r="N57" s="382"/>
      <c r="O57" s="382"/>
      <c r="P57" s="382"/>
      <c r="Q57" s="382"/>
      <c r="R57" s="382"/>
      <c r="S57" s="382"/>
      <c r="T57" s="382"/>
      <c r="U57" s="382"/>
      <c r="V57" s="382"/>
      <c r="W57" s="382"/>
      <c r="X57" s="382"/>
      <c r="Y57" s="382"/>
      <c r="Z57" s="382"/>
      <c r="AA57" s="382"/>
      <c r="AB57" s="382"/>
      <c r="AC57" s="382"/>
      <c r="AD57" s="382"/>
      <c r="AE57" s="382"/>
      <c r="AF57" s="382"/>
      <c r="AG57" s="382"/>
      <c r="AH57" s="382"/>
      <c r="AI57" s="382"/>
      <c r="AJ57" s="382"/>
      <c r="AK57" s="382"/>
      <c r="AL57" s="476"/>
      <c r="AM57" s="476"/>
    </row>
    <row r="58" spans="2:42" ht="18" customHeight="1">
      <c r="B58" s="244"/>
      <c r="C58" s="264" t="s">
        <v>623</v>
      </c>
      <c r="D58" s="2993" t="str">
        <f>IF(AND(IsSerna,OR('Project Overview'!$AL$258="Yes",'Project Overview'!$AL$259="Yes",'Project Overview'!$AL$261="Yes")),"P","O")</f>
        <v>O</v>
      </c>
      <c r="E58" s="1798"/>
      <c r="F58" s="382"/>
      <c r="G58" s="382"/>
      <c r="H58" s="382"/>
      <c r="I58" s="382"/>
      <c r="J58" s="382"/>
      <c r="K58" s="382"/>
      <c r="L58" s="382"/>
      <c r="M58" s="382"/>
      <c r="N58" s="382"/>
      <c r="O58" s="382"/>
      <c r="P58" s="382"/>
      <c r="Q58" s="382"/>
      <c r="R58" s="382"/>
      <c r="S58" s="382"/>
      <c r="T58" s="382"/>
      <c r="U58" s="382"/>
      <c r="V58" s="382"/>
      <c r="W58" s="382"/>
      <c r="X58" s="382"/>
      <c r="Y58" s="382"/>
      <c r="Z58" s="382"/>
      <c r="AA58" s="382"/>
      <c r="AB58" s="382"/>
      <c r="AC58" s="382"/>
      <c r="AD58" s="382"/>
      <c r="AE58" s="382"/>
      <c r="AF58" s="382"/>
      <c r="AG58" s="382"/>
      <c r="AH58" s="382"/>
      <c r="AI58" s="382"/>
      <c r="AJ58" s="382"/>
      <c r="AK58" s="382"/>
      <c r="AL58" s="476"/>
      <c r="AM58" s="476"/>
    </row>
    <row r="59" spans="2:42" ht="18" customHeight="1">
      <c r="D59" s="2996" t="s">
        <v>2781</v>
      </c>
      <c r="E59" s="1798"/>
      <c r="F59" s="1798"/>
      <c r="G59" s="1798"/>
      <c r="H59" s="1798"/>
      <c r="I59" s="1798"/>
      <c r="J59" s="1798"/>
      <c r="K59" s="1798"/>
      <c r="L59" s="1798"/>
      <c r="M59" s="1798"/>
      <c r="N59" s="1798"/>
      <c r="O59" s="1798"/>
      <c r="P59" s="1798"/>
      <c r="Q59" s="1798"/>
      <c r="R59" s="1798"/>
      <c r="S59" s="1889"/>
      <c r="T59" s="1873"/>
      <c r="U59" s="1862"/>
      <c r="W59" s="2996" t="s">
        <v>2782</v>
      </c>
      <c r="X59" s="1798"/>
      <c r="Y59" s="1798"/>
      <c r="Z59" s="1889"/>
      <c r="AA59" s="1941"/>
      <c r="AB59" s="1861"/>
      <c r="AC59" s="1861"/>
      <c r="AD59" s="1861"/>
      <c r="AE59" s="1861"/>
      <c r="AF59" s="1861"/>
      <c r="AG59" s="1861"/>
      <c r="AH59" s="1861"/>
      <c r="AI59" s="1862"/>
      <c r="AL59" s="3204" t="b">
        <f>IFERROR(IF(TotalUnits/T59&gt;200%,TRUE,FALSE),FALSE)</f>
        <v>0</v>
      </c>
      <c r="AM59" s="1778"/>
    </row>
    <row r="60" spans="2:42" s="58" customFormat="1" ht="36" customHeight="1">
      <c r="D60" s="1802" t="s">
        <v>2783</v>
      </c>
      <c r="E60" s="1945"/>
      <c r="F60" s="1945"/>
      <c r="G60" s="1945"/>
      <c r="H60" s="1945"/>
      <c r="I60" s="1945"/>
      <c r="J60" s="1945"/>
      <c r="K60" s="1945"/>
      <c r="L60" s="1945"/>
      <c r="M60" s="1945"/>
      <c r="N60" s="1945"/>
      <c r="O60" s="1945"/>
      <c r="P60" s="1945"/>
      <c r="Q60" s="1945"/>
      <c r="R60" s="1945"/>
      <c r="S60" s="1945"/>
      <c r="T60" s="1945"/>
      <c r="U60" s="1945"/>
      <c r="V60" s="1945"/>
      <c r="W60" s="1945"/>
      <c r="X60" s="1945"/>
      <c r="Y60" s="1945"/>
      <c r="Z60" s="1945"/>
      <c r="AA60" s="1945"/>
      <c r="AB60" s="1945"/>
      <c r="AC60" s="1945"/>
      <c r="AD60" s="1945"/>
      <c r="AE60" s="1945"/>
      <c r="AF60" s="1945"/>
      <c r="AG60" s="1945"/>
      <c r="AH60" s="1945"/>
      <c r="AI60" s="1945"/>
      <c r="AJ60" s="1945"/>
      <c r="AK60" s="1945"/>
      <c r="AP60"/>
    </row>
    <row r="61" spans="2:42" s="58" customFormat="1" ht="36" customHeight="1">
      <c r="B61" s="2268" t="s">
        <v>558</v>
      </c>
      <c r="C61" s="1777"/>
      <c r="D61" s="1778"/>
      <c r="E61" s="2179" t="str">
        <f>'Document Checklist-Full List'!$E$211</f>
        <v>109. Farmworker Housing Experience</v>
      </c>
      <c r="F61" s="1777"/>
      <c r="G61" s="1777"/>
      <c r="H61" s="1777"/>
      <c r="I61" s="1777"/>
      <c r="J61" s="1777"/>
      <c r="K61" s="1777"/>
      <c r="L61" s="1777"/>
      <c r="M61" s="1778"/>
      <c r="N61" s="2179" t="str">
        <f>'Document Checklist-Full List'!$N$211</f>
        <v>Provide documentation verifying experience with occupancy restrictions for agricultural households.</v>
      </c>
      <c r="O61" s="1777"/>
      <c r="P61" s="1777"/>
      <c r="Q61" s="1777"/>
      <c r="R61" s="1777"/>
      <c r="S61" s="1777"/>
      <c r="T61" s="1777"/>
      <c r="U61" s="1777"/>
      <c r="V61" s="1777"/>
      <c r="W61" s="1777"/>
      <c r="X61" s="1777"/>
      <c r="Y61" s="1777"/>
      <c r="Z61" s="1777"/>
      <c r="AA61" s="1777"/>
      <c r="AB61" s="1777"/>
      <c r="AC61" s="1777"/>
      <c r="AD61" s="1777"/>
      <c r="AE61" s="1778"/>
      <c r="AF61" s="1886" t="s">
        <v>559</v>
      </c>
      <c r="AG61" s="1777"/>
      <c r="AH61" s="1777"/>
      <c r="AI61" s="1777"/>
      <c r="AJ61" s="1777"/>
      <c r="AK61" s="1778"/>
      <c r="AL61" s="1911"/>
      <c r="AM61" s="1862"/>
    </row>
    <row r="62" spans="2:42" s="635" customFormat="1" ht="18" hidden="1" customHeight="1">
      <c r="C62" s="267" t="s">
        <v>627</v>
      </c>
      <c r="D62" s="2993" t="e">
        <f>IF(AND(IsSerna,'Project Overview'!#REF!="Yes"),"P","O")</f>
        <v>#REF!</v>
      </c>
      <c r="E62" s="3310"/>
      <c r="F62" s="525"/>
      <c r="G62" s="525"/>
      <c r="H62" s="525"/>
      <c r="I62" s="525"/>
      <c r="J62" s="525"/>
      <c r="K62" s="525"/>
      <c r="L62" s="525"/>
      <c r="M62" s="525"/>
      <c r="N62" s="525"/>
      <c r="O62" s="525"/>
      <c r="P62" s="525"/>
      <c r="Q62" s="525"/>
      <c r="R62" s="525"/>
      <c r="S62" s="525"/>
      <c r="T62" s="525"/>
      <c r="U62" s="525"/>
      <c r="V62" s="525"/>
      <c r="W62" s="525"/>
      <c r="X62" s="525"/>
      <c r="Y62" s="525"/>
      <c r="Z62" s="525"/>
      <c r="AA62" s="525"/>
      <c r="AB62" s="525"/>
      <c r="AC62" s="525"/>
      <c r="AD62" s="525"/>
      <c r="AE62" s="525"/>
      <c r="AF62" s="525"/>
      <c r="AG62" s="525"/>
      <c r="AH62" s="525"/>
      <c r="AI62" s="525"/>
      <c r="AJ62" s="525"/>
      <c r="AK62" s="525"/>
    </row>
    <row r="63" spans="2:42" ht="18" customHeight="1">
      <c r="B63" s="426"/>
      <c r="C63" s="264" t="s">
        <v>629</v>
      </c>
      <c r="D63" s="2993" t="str">
        <f>IF(AND(IsSerna,'Project Overview'!$AL$253="Yes"),"P","O")</f>
        <v>O</v>
      </c>
      <c r="E63" s="1798"/>
      <c r="F63" s="382"/>
      <c r="G63" s="382"/>
      <c r="H63" s="382"/>
      <c r="I63" s="382"/>
      <c r="J63" s="382"/>
      <c r="K63" s="382"/>
      <c r="L63" s="382"/>
      <c r="M63" s="382"/>
      <c r="N63" s="382"/>
      <c r="O63" s="382"/>
      <c r="P63" s="382"/>
      <c r="Q63" s="382"/>
      <c r="R63" s="382"/>
      <c r="S63" s="382"/>
      <c r="T63" s="382"/>
      <c r="U63" s="382"/>
      <c r="V63" s="382"/>
      <c r="W63" s="382"/>
      <c r="X63" s="382"/>
      <c r="Y63" s="382"/>
      <c r="Z63" s="382"/>
      <c r="AA63" s="382"/>
      <c r="AB63" s="382"/>
      <c r="AC63" s="382"/>
      <c r="AD63" s="382"/>
      <c r="AE63" s="382"/>
      <c r="AF63" s="382"/>
      <c r="AG63" s="382"/>
      <c r="AH63" s="382"/>
      <c r="AI63" s="382"/>
      <c r="AJ63" s="382"/>
      <c r="AK63" s="382"/>
      <c r="AL63" s="58"/>
      <c r="AM63" s="476"/>
    </row>
    <row r="64" spans="2:42" ht="174" customHeight="1">
      <c r="C64" s="264" t="s">
        <v>1974</v>
      </c>
      <c r="D64" s="1802" t="s">
        <v>3138</v>
      </c>
      <c r="E64" s="1798"/>
      <c r="F64" s="1798"/>
      <c r="G64" s="1798"/>
      <c r="H64" s="1798"/>
      <c r="I64" s="1798"/>
      <c r="J64" s="1798"/>
      <c r="K64" s="1798"/>
      <c r="L64" s="1798"/>
      <c r="M64" s="1798"/>
      <c r="N64" s="1798"/>
      <c r="O64" s="1798"/>
      <c r="P64" s="1798"/>
      <c r="Q64" s="1798"/>
      <c r="R64" s="1798"/>
      <c r="S64" s="1798"/>
      <c r="T64" s="1798"/>
      <c r="U64" s="1798"/>
      <c r="V64" s="1798"/>
      <c r="W64" s="1798"/>
      <c r="X64" s="1798"/>
      <c r="Y64" s="1798"/>
      <c r="Z64" s="1798"/>
      <c r="AA64" s="1798"/>
      <c r="AB64" s="1798"/>
      <c r="AC64" s="1798"/>
      <c r="AD64" s="1798"/>
      <c r="AE64" s="1798"/>
      <c r="AF64" s="1798"/>
      <c r="AG64" s="1798"/>
      <c r="AH64" s="1798"/>
      <c r="AI64" s="1798"/>
      <c r="AJ64" s="1798"/>
      <c r="AK64" s="1798"/>
      <c r="AL64" s="58"/>
      <c r="AM64" s="476"/>
    </row>
    <row r="65" spans="2:39" ht="36" customHeight="1">
      <c r="C65" s="426"/>
      <c r="D65" s="1802" t="s">
        <v>2788</v>
      </c>
      <c r="E65" s="1798"/>
      <c r="F65" s="1798"/>
      <c r="G65" s="1798"/>
      <c r="H65" s="1798"/>
      <c r="I65" s="1798"/>
      <c r="J65" s="1798"/>
      <c r="K65" s="1798"/>
      <c r="L65" s="1798"/>
      <c r="M65" s="1798"/>
      <c r="N65" s="1798"/>
      <c r="O65" s="1798"/>
      <c r="P65" s="1798"/>
      <c r="Q65" s="1798"/>
      <c r="R65" s="1798"/>
      <c r="S65" s="1798"/>
      <c r="T65" s="1798"/>
      <c r="U65" s="1798"/>
      <c r="V65" s="1798"/>
      <c r="W65" s="1798"/>
      <c r="X65" s="1798"/>
      <c r="Y65" s="1798"/>
      <c r="Z65" s="1798"/>
      <c r="AA65" s="1798"/>
      <c r="AB65" s="1798"/>
      <c r="AC65" s="1798"/>
      <c r="AD65" s="1798"/>
      <c r="AE65" s="1798"/>
      <c r="AF65" s="1798"/>
      <c r="AG65" s="1798"/>
      <c r="AH65" s="1798"/>
      <c r="AI65" s="1798"/>
      <c r="AJ65" s="1798"/>
      <c r="AK65" s="1798"/>
      <c r="AL65" s="1911"/>
      <c r="AM65" s="1862"/>
    </row>
    <row r="66" spans="2:39" ht="18" customHeight="1">
      <c r="B66" s="1891" t="s">
        <v>2174</v>
      </c>
      <c r="C66" s="1877"/>
      <c r="D66" s="1877"/>
      <c r="E66" s="1877"/>
      <c r="F66" s="1877"/>
      <c r="G66" s="1877"/>
      <c r="H66" s="1877"/>
      <c r="I66" s="1877"/>
      <c r="J66" s="1877"/>
      <c r="K66" s="1877"/>
      <c r="L66" s="1877"/>
      <c r="M66" s="1877"/>
      <c r="N66" s="1877"/>
      <c r="O66" s="1877"/>
      <c r="P66" s="1877"/>
      <c r="Q66" s="1877"/>
      <c r="R66" s="1877"/>
      <c r="S66" s="1877"/>
      <c r="T66" s="1877"/>
      <c r="U66" s="1877"/>
      <c r="V66" s="1877"/>
      <c r="W66" s="1877"/>
      <c r="X66" s="1877"/>
      <c r="Y66" s="1877"/>
      <c r="Z66" s="1877"/>
      <c r="AA66" s="1877"/>
      <c r="AB66" s="1877"/>
      <c r="AC66" s="1877"/>
      <c r="AD66" s="1877"/>
      <c r="AE66" s="1877"/>
      <c r="AF66" s="1877"/>
      <c r="AG66" s="1877"/>
      <c r="AH66" s="1877"/>
      <c r="AI66" s="1877"/>
      <c r="AJ66" s="1877"/>
      <c r="AK66" s="1877"/>
      <c r="AL66" s="1877"/>
      <c r="AM66" s="1877"/>
    </row>
    <row r="67" spans="2:39" ht="124.5" customHeight="1">
      <c r="B67" s="1874"/>
      <c r="C67" s="1869"/>
      <c r="D67" s="1869"/>
      <c r="E67" s="1869"/>
      <c r="F67" s="1869"/>
      <c r="G67" s="1869"/>
      <c r="H67" s="1869"/>
      <c r="I67" s="1869"/>
      <c r="J67" s="1869"/>
      <c r="K67" s="1869"/>
      <c r="L67" s="1869"/>
      <c r="M67" s="1869"/>
      <c r="N67" s="1869"/>
      <c r="O67" s="1869"/>
      <c r="P67" s="1869"/>
      <c r="Q67" s="1869"/>
      <c r="R67" s="1869"/>
      <c r="S67" s="1869"/>
      <c r="T67" s="1869"/>
      <c r="U67" s="1869"/>
      <c r="V67" s="1869"/>
      <c r="W67" s="1869"/>
      <c r="X67" s="1869"/>
      <c r="Y67" s="1869"/>
      <c r="Z67" s="1869"/>
      <c r="AA67" s="1869"/>
      <c r="AB67" s="1869"/>
      <c r="AC67" s="1869"/>
      <c r="AD67" s="1869"/>
      <c r="AE67" s="1869"/>
      <c r="AF67" s="1869"/>
      <c r="AG67" s="1869"/>
      <c r="AH67" s="1869"/>
      <c r="AI67" s="1869"/>
      <c r="AJ67" s="1869"/>
      <c r="AK67" s="1869"/>
      <c r="AL67" s="1869"/>
      <c r="AM67" s="1870"/>
    </row>
    <row r="68" spans="2:39" ht="18" customHeight="1">
      <c r="B68" s="2180" t="s">
        <v>1954</v>
      </c>
      <c r="C68" s="1798"/>
      <c r="D68" s="1798"/>
      <c r="E68" s="1798"/>
      <c r="F68" s="1798"/>
      <c r="G68" s="1798"/>
      <c r="H68" s="476"/>
      <c r="I68" s="476"/>
      <c r="J68" s="476"/>
      <c r="K68" s="476"/>
      <c r="L68" s="476"/>
      <c r="M68" s="476"/>
      <c r="N68" s="476"/>
      <c r="O68" s="476"/>
      <c r="P68" s="476"/>
      <c r="Q68" s="476"/>
      <c r="R68" s="476"/>
      <c r="S68" s="476"/>
      <c r="T68" s="476"/>
      <c r="U68" s="476"/>
      <c r="V68" s="476"/>
      <c r="W68" s="476"/>
      <c r="X68" s="476"/>
      <c r="Y68" s="476"/>
      <c r="Z68" s="476"/>
      <c r="AA68" s="476"/>
      <c r="AB68" s="476"/>
      <c r="AC68" s="476"/>
      <c r="AD68" s="476"/>
      <c r="AE68" s="476"/>
      <c r="AF68" s="476"/>
      <c r="AG68" s="476"/>
      <c r="AH68" s="476"/>
      <c r="AI68" s="476"/>
      <c r="AJ68" s="476"/>
      <c r="AK68" s="476"/>
      <c r="AL68" s="476"/>
      <c r="AM68" s="476"/>
    </row>
    <row r="69" spans="2:39" ht="80.25" customHeight="1">
      <c r="B69" s="2003"/>
      <c r="C69" s="1861"/>
      <c r="D69" s="1861"/>
      <c r="E69" s="1861"/>
      <c r="F69" s="1861"/>
      <c r="G69" s="1861"/>
      <c r="H69" s="1861"/>
      <c r="I69" s="1861"/>
      <c r="J69" s="1861"/>
      <c r="K69" s="1861"/>
      <c r="L69" s="1861"/>
      <c r="M69" s="1861"/>
      <c r="N69" s="1861"/>
      <c r="O69" s="1861"/>
      <c r="P69" s="1861"/>
      <c r="Q69" s="1861"/>
      <c r="R69" s="1861"/>
      <c r="S69" s="1861"/>
      <c r="T69" s="1861"/>
      <c r="U69" s="1861"/>
      <c r="V69" s="1861"/>
      <c r="W69" s="1861"/>
      <c r="X69" s="1861"/>
      <c r="Y69" s="1861"/>
      <c r="Z69" s="1861"/>
      <c r="AA69" s="1861"/>
      <c r="AB69" s="1861"/>
      <c r="AC69" s="1861"/>
      <c r="AD69" s="1861"/>
      <c r="AE69" s="1861"/>
      <c r="AF69" s="1861"/>
      <c r="AG69" s="1861"/>
      <c r="AH69" s="1861"/>
      <c r="AI69" s="1861"/>
      <c r="AJ69" s="1861"/>
      <c r="AK69" s="1861"/>
      <c r="AL69" s="1861"/>
      <c r="AM69" s="1862"/>
    </row>
    <row r="70" spans="2:39" ht="18" customHeight="1">
      <c r="C70" s="1798"/>
      <c r="D70" s="1798"/>
      <c r="E70" s="1798"/>
      <c r="F70" s="1798"/>
      <c r="G70" s="1798"/>
      <c r="H70" s="1798"/>
      <c r="I70" s="1798"/>
      <c r="J70" s="1798"/>
      <c r="K70" s="1798"/>
      <c r="L70" s="1798"/>
      <c r="M70" s="1798"/>
      <c r="N70" s="1798"/>
      <c r="O70" s="1798"/>
      <c r="P70" s="1798"/>
      <c r="Q70" s="1798"/>
      <c r="R70" s="1798"/>
      <c r="S70" s="1798"/>
      <c r="T70" s="1798"/>
      <c r="U70" s="1798"/>
      <c r="V70" s="1798"/>
      <c r="W70" s="1798"/>
      <c r="X70" s="1798"/>
      <c r="Y70" s="1798"/>
      <c r="Z70" s="1798"/>
      <c r="AA70" s="1798"/>
      <c r="AB70" s="1798"/>
      <c r="AC70" s="1798"/>
      <c r="AD70" s="1798"/>
      <c r="AE70" s="1798"/>
      <c r="AF70" s="1798"/>
      <c r="AG70" s="1798"/>
      <c r="AH70" s="1798"/>
      <c r="AI70" s="1798"/>
      <c r="AJ70" s="1798"/>
      <c r="AK70" s="1798"/>
      <c r="AL70" s="1798"/>
      <c r="AM70" s="1798"/>
    </row>
    <row r="71" spans="2:39" ht="18" customHeight="1">
      <c r="B71" s="244" t="s">
        <v>619</v>
      </c>
      <c r="C71" s="2180" t="s">
        <v>3139</v>
      </c>
      <c r="D71" s="1798"/>
      <c r="E71" s="1798"/>
      <c r="F71" s="1798"/>
      <c r="G71" s="1798"/>
      <c r="H71" s="1798"/>
      <c r="I71" s="1798"/>
      <c r="J71" s="1798"/>
      <c r="K71" s="1798"/>
      <c r="L71" s="1798"/>
      <c r="M71" s="1798"/>
      <c r="N71" s="1798"/>
      <c r="O71" s="1798"/>
      <c r="P71" s="1798"/>
      <c r="Q71" s="1798"/>
      <c r="R71" s="1798"/>
      <c r="S71" s="1798"/>
      <c r="T71" s="1798"/>
      <c r="U71" s="1798"/>
      <c r="V71" s="1798"/>
      <c r="W71" s="1798"/>
      <c r="X71" s="1798"/>
      <c r="Y71" s="1798"/>
      <c r="Z71" s="1798"/>
      <c r="AA71" s="1798"/>
      <c r="AB71" s="1798"/>
      <c r="AC71" s="1798"/>
      <c r="AD71" s="1798"/>
      <c r="AE71" s="1798"/>
      <c r="AF71" s="1798"/>
      <c r="AG71" s="1798"/>
      <c r="AH71" s="1798"/>
      <c r="AI71" s="1798"/>
      <c r="AJ71" s="1798"/>
      <c r="AK71" s="1798"/>
      <c r="AL71" s="1798"/>
      <c r="AM71" s="1798"/>
    </row>
    <row r="72" spans="2:39" ht="18" customHeight="1">
      <c r="C72" s="3207" t="s">
        <v>3140</v>
      </c>
      <c r="D72" s="1798"/>
      <c r="E72" s="1798"/>
      <c r="F72" s="1798"/>
      <c r="G72" s="1798"/>
      <c r="H72" s="1798"/>
      <c r="I72" s="1798"/>
      <c r="J72" s="1798"/>
      <c r="K72" s="1798"/>
      <c r="L72" s="1798"/>
      <c r="M72" s="1798"/>
      <c r="N72" s="1798"/>
      <c r="O72" s="1798"/>
      <c r="P72" s="1798"/>
      <c r="Q72" s="1798"/>
      <c r="R72" s="1798"/>
      <c r="S72" s="1798"/>
      <c r="T72" s="1798"/>
      <c r="U72" s="1798"/>
      <c r="V72" s="1798"/>
      <c r="W72" s="1798"/>
      <c r="X72" s="1798"/>
      <c r="Y72" s="1798"/>
      <c r="Z72" s="1798"/>
      <c r="AA72" s="1798"/>
      <c r="AB72" s="1798"/>
      <c r="AC72" s="1798"/>
      <c r="AD72" s="1798"/>
      <c r="AE72" s="1798"/>
      <c r="AF72" s="1798"/>
      <c r="AG72" s="1798"/>
      <c r="AH72" s="1798"/>
      <c r="AI72" s="1798"/>
      <c r="AJ72" s="1798"/>
      <c r="AK72" s="1798"/>
    </row>
    <row r="73" spans="2:39" ht="54" customHeight="1">
      <c r="C73" s="1802" t="s">
        <v>2057</v>
      </c>
      <c r="D73" s="1798"/>
      <c r="E73" s="1798"/>
      <c r="F73" s="1798"/>
      <c r="G73" s="1798"/>
      <c r="H73" s="1798"/>
      <c r="I73" s="1798"/>
      <c r="J73" s="1798"/>
      <c r="K73" s="1798"/>
      <c r="L73" s="1798"/>
      <c r="M73" s="1798"/>
      <c r="N73" s="1798"/>
      <c r="O73" s="1798"/>
      <c r="P73" s="1798"/>
      <c r="Q73" s="1798"/>
      <c r="R73" s="1798"/>
      <c r="S73" s="1798"/>
      <c r="T73" s="1798"/>
      <c r="U73" s="1798"/>
      <c r="V73" s="1798"/>
      <c r="W73" s="1798"/>
      <c r="X73" s="1798"/>
      <c r="Y73" s="1798"/>
      <c r="Z73" s="1798"/>
      <c r="AA73" s="1798"/>
      <c r="AB73" s="1798"/>
      <c r="AC73" s="1798"/>
      <c r="AD73" s="1798"/>
      <c r="AE73" s="1798"/>
      <c r="AF73" s="1798"/>
      <c r="AG73" s="1798"/>
      <c r="AH73" s="1798"/>
      <c r="AI73" s="1798"/>
      <c r="AJ73" s="1798"/>
      <c r="AK73" s="1798"/>
    </row>
    <row r="74" spans="2:39" ht="18" customHeight="1">
      <c r="B74" s="136"/>
      <c r="C74" s="265" t="s">
        <v>608</v>
      </c>
      <c r="D74" s="2180" t="s">
        <v>3141</v>
      </c>
      <c r="E74" s="1798"/>
      <c r="F74" s="1798"/>
      <c r="G74" s="1798"/>
      <c r="H74" s="1798"/>
      <c r="I74" s="1798"/>
      <c r="J74" s="1798"/>
      <c r="K74" s="1798"/>
      <c r="L74" s="1798"/>
      <c r="M74" s="1798"/>
      <c r="N74" s="1798"/>
      <c r="O74" s="1798"/>
      <c r="P74" s="1798"/>
      <c r="Q74" s="1798"/>
      <c r="R74" s="1798"/>
      <c r="S74" s="1798"/>
      <c r="T74" s="1798"/>
      <c r="U74" s="1798"/>
      <c r="V74" s="1798"/>
      <c r="W74" s="1798"/>
      <c r="X74" s="1798"/>
      <c r="Y74" s="1798"/>
      <c r="Z74" s="1798"/>
      <c r="AA74" s="1798"/>
      <c r="AB74" s="1798"/>
      <c r="AC74" s="1798"/>
      <c r="AD74" s="1798"/>
      <c r="AE74" s="1798"/>
      <c r="AF74" s="1798"/>
      <c r="AG74" s="1798"/>
      <c r="AH74" s="1798"/>
      <c r="AI74" s="1798"/>
      <c r="AJ74" s="1798"/>
      <c r="AK74" s="1798"/>
      <c r="AL74" s="1911"/>
      <c r="AM74" s="1862"/>
    </row>
    <row r="75" spans="2:39" ht="18" customHeight="1">
      <c r="B75" s="136"/>
      <c r="C75" s="265" t="s">
        <v>611</v>
      </c>
      <c r="D75" s="2995" t="s">
        <v>3142</v>
      </c>
      <c r="E75" s="1798"/>
      <c r="F75" s="1798"/>
      <c r="G75" s="1798"/>
      <c r="H75" s="1798"/>
      <c r="I75" s="1798"/>
      <c r="J75" s="1798"/>
      <c r="K75" s="1798"/>
      <c r="L75" s="1798"/>
      <c r="M75" s="1798"/>
      <c r="N75" s="1798"/>
      <c r="O75" s="1798"/>
      <c r="P75" s="1798"/>
      <c r="Q75" s="1798"/>
      <c r="R75" s="1798"/>
      <c r="S75" s="1798"/>
      <c r="T75" s="1798"/>
      <c r="U75" s="1798"/>
      <c r="V75" s="1798"/>
      <c r="W75" s="1798"/>
      <c r="X75" s="1798"/>
      <c r="Y75" s="1798"/>
      <c r="Z75" s="1798"/>
      <c r="AA75" s="1798"/>
      <c r="AB75" s="1798"/>
      <c r="AC75" s="1798"/>
      <c r="AD75" s="1798"/>
      <c r="AE75" s="1798"/>
      <c r="AF75" s="1798"/>
      <c r="AG75" s="1798"/>
      <c r="AH75" s="1798"/>
      <c r="AI75" s="1798"/>
      <c r="AJ75" s="1798"/>
      <c r="AK75" s="1798"/>
      <c r="AL75" s="1911"/>
      <c r="AM75" s="1862"/>
    </row>
    <row r="76" spans="2:39" ht="54" customHeight="1">
      <c r="B76" s="136"/>
      <c r="C76" s="265" t="s">
        <v>619</v>
      </c>
      <c r="D76" s="2525" t="s">
        <v>3143</v>
      </c>
      <c r="E76" s="1798"/>
      <c r="F76" s="1798"/>
      <c r="G76" s="1798"/>
      <c r="H76" s="1798"/>
      <c r="I76" s="1798"/>
      <c r="J76" s="1798"/>
      <c r="K76" s="1798"/>
      <c r="L76" s="1798"/>
      <c r="M76" s="1798"/>
      <c r="N76" s="1798"/>
      <c r="O76" s="1798"/>
      <c r="P76" s="1798"/>
      <c r="Q76" s="1798"/>
      <c r="R76" s="1798"/>
      <c r="S76" s="1798"/>
      <c r="T76" s="1798"/>
      <c r="U76" s="1798"/>
      <c r="V76" s="1798"/>
      <c r="W76" s="1798"/>
      <c r="X76" s="1798"/>
      <c r="Y76" s="1798"/>
      <c r="Z76" s="1798"/>
      <c r="AA76" s="1798"/>
      <c r="AB76" s="1798"/>
      <c r="AC76" s="1798"/>
      <c r="AD76" s="1798"/>
      <c r="AE76" s="1798"/>
      <c r="AF76" s="1798"/>
      <c r="AG76" s="1798"/>
      <c r="AH76" s="1798"/>
      <c r="AI76" s="1798"/>
      <c r="AJ76" s="1798"/>
      <c r="AK76" s="1798"/>
      <c r="AL76" s="1911"/>
      <c r="AM76" s="1862"/>
    </row>
    <row r="77" spans="2:39" ht="18" customHeight="1">
      <c r="B77" s="136"/>
      <c r="C77" s="265" t="s">
        <v>623</v>
      </c>
      <c r="D77" s="2995" t="s">
        <v>3144</v>
      </c>
      <c r="E77" s="1798"/>
      <c r="F77" s="1798"/>
      <c r="G77" s="1798"/>
      <c r="H77" s="1798"/>
      <c r="I77" s="1798"/>
      <c r="J77" s="1798"/>
      <c r="K77" s="1798"/>
      <c r="L77" s="1798"/>
      <c r="M77" s="1798"/>
      <c r="N77" s="1798"/>
      <c r="O77" s="1798"/>
      <c r="P77" s="1798"/>
      <c r="Q77" s="1798"/>
      <c r="R77" s="1798"/>
      <c r="S77" s="1798"/>
      <c r="T77" s="1798"/>
      <c r="U77" s="1798"/>
      <c r="V77" s="1798"/>
      <c r="W77" s="1798"/>
      <c r="X77" s="1798"/>
      <c r="Y77" s="1798"/>
      <c r="Z77" s="1798"/>
      <c r="AA77" s="1798"/>
      <c r="AB77" s="1798"/>
      <c r="AC77" s="1798"/>
      <c r="AD77" s="1798"/>
      <c r="AE77" s="1798"/>
      <c r="AF77" s="1798"/>
      <c r="AG77" s="1798"/>
      <c r="AH77" s="1798"/>
      <c r="AI77" s="1798"/>
      <c r="AJ77" s="1798"/>
      <c r="AK77" s="1798"/>
      <c r="AL77" s="1911"/>
      <c r="AM77" s="1862"/>
    </row>
    <row r="78" spans="2:39" ht="18" customHeight="1">
      <c r="B78" s="2180" t="s">
        <v>1954</v>
      </c>
      <c r="C78" s="1798"/>
      <c r="D78" s="1798"/>
      <c r="E78" s="1798"/>
      <c r="F78" s="1798"/>
      <c r="G78" s="1798"/>
      <c r="H78" s="476"/>
      <c r="I78" s="476"/>
      <c r="J78" s="476"/>
      <c r="K78" s="476"/>
      <c r="L78" s="476"/>
      <c r="M78" s="476"/>
      <c r="N78" s="476"/>
      <c r="O78" s="476"/>
      <c r="P78" s="476"/>
      <c r="Q78" s="476"/>
      <c r="R78" s="476"/>
      <c r="S78" s="476"/>
      <c r="T78" s="476"/>
      <c r="U78" s="476"/>
      <c r="V78" s="476"/>
      <c r="W78" s="476"/>
      <c r="X78" s="476"/>
      <c r="Y78" s="476"/>
      <c r="Z78" s="476"/>
      <c r="AA78" s="476"/>
      <c r="AB78" s="476"/>
      <c r="AC78" s="476"/>
      <c r="AD78" s="476"/>
      <c r="AE78" s="476"/>
      <c r="AF78" s="476"/>
      <c r="AG78" s="476"/>
      <c r="AH78" s="476"/>
      <c r="AI78" s="476"/>
      <c r="AJ78" s="476"/>
      <c r="AK78" s="476"/>
      <c r="AL78" s="476"/>
      <c r="AM78" s="476"/>
    </row>
    <row r="79" spans="2:39" ht="81" customHeight="1">
      <c r="B79" s="2003"/>
      <c r="C79" s="1861"/>
      <c r="D79" s="1861"/>
      <c r="E79" s="1861"/>
      <c r="F79" s="1861"/>
      <c r="G79" s="1861"/>
      <c r="H79" s="1861"/>
      <c r="I79" s="1861"/>
      <c r="J79" s="1861"/>
      <c r="K79" s="1861"/>
      <c r="L79" s="1861"/>
      <c r="M79" s="1861"/>
      <c r="N79" s="1861"/>
      <c r="O79" s="1861"/>
      <c r="P79" s="1861"/>
      <c r="Q79" s="1861"/>
      <c r="R79" s="1861"/>
      <c r="S79" s="1861"/>
      <c r="T79" s="1861"/>
      <c r="U79" s="1861"/>
      <c r="V79" s="1861"/>
      <c r="W79" s="1861"/>
      <c r="X79" s="1861"/>
      <c r="Y79" s="1861"/>
      <c r="Z79" s="1861"/>
      <c r="AA79" s="1861"/>
      <c r="AB79" s="1861"/>
      <c r="AC79" s="1861"/>
      <c r="AD79" s="1861"/>
      <c r="AE79" s="1861"/>
      <c r="AF79" s="1861"/>
      <c r="AG79" s="1861"/>
      <c r="AH79" s="1861"/>
      <c r="AI79" s="1861"/>
      <c r="AJ79" s="1861"/>
      <c r="AK79" s="1861"/>
      <c r="AL79" s="1861"/>
      <c r="AM79" s="1862"/>
    </row>
    <row r="81" spans="2:39" ht="18" customHeight="1">
      <c r="B81" s="244" t="s">
        <v>623</v>
      </c>
      <c r="C81" s="2180" t="s">
        <v>3145</v>
      </c>
      <c r="D81" s="1798"/>
      <c r="E81" s="1798"/>
      <c r="F81" s="1798"/>
      <c r="G81" s="1798"/>
      <c r="H81" s="1798"/>
      <c r="I81" s="1798"/>
      <c r="J81" s="1798"/>
      <c r="K81" s="1798"/>
      <c r="L81" s="1798"/>
      <c r="M81" s="1798"/>
      <c r="N81" s="1798"/>
      <c r="O81" s="1798"/>
      <c r="P81" s="1798"/>
      <c r="Q81" s="1798"/>
      <c r="R81" s="1798"/>
      <c r="S81" s="1798"/>
      <c r="T81" s="1798"/>
      <c r="U81" s="1798"/>
      <c r="V81" s="1798"/>
      <c r="W81" s="1798"/>
      <c r="X81" s="1798"/>
      <c r="Y81" s="1798"/>
      <c r="Z81" s="1798"/>
      <c r="AA81" s="1798"/>
      <c r="AB81" s="1798"/>
      <c r="AC81" s="1798"/>
      <c r="AD81" s="1798"/>
      <c r="AE81" s="1798"/>
      <c r="AF81" s="1798"/>
      <c r="AG81" s="1798"/>
      <c r="AH81" s="1798"/>
      <c r="AI81" s="1798"/>
      <c r="AJ81" s="1798"/>
      <c r="AK81" s="1798"/>
      <c r="AL81" s="1798"/>
      <c r="AM81" s="1798"/>
    </row>
    <row r="82" spans="2:39" ht="18" customHeight="1">
      <c r="C82" s="3207" t="s">
        <v>2064</v>
      </c>
      <c r="D82" s="1798"/>
      <c r="E82" s="1798"/>
      <c r="F82" s="1798"/>
      <c r="G82" s="1798"/>
      <c r="H82" s="1798"/>
      <c r="I82" s="1798"/>
      <c r="J82" s="1798"/>
      <c r="K82" s="1798"/>
      <c r="L82" s="1798"/>
      <c r="M82" s="1798"/>
      <c r="N82" s="1798"/>
      <c r="O82" s="1798"/>
      <c r="P82" s="1798"/>
      <c r="Q82" s="1798"/>
      <c r="R82" s="1798"/>
      <c r="S82" s="1798"/>
      <c r="T82" s="1798"/>
      <c r="U82" s="1798"/>
      <c r="V82" s="1798"/>
      <c r="W82" s="1798"/>
      <c r="X82" s="1798"/>
      <c r="Y82" s="1798"/>
      <c r="Z82" s="1798"/>
      <c r="AA82" s="1798"/>
      <c r="AB82" s="1798"/>
      <c r="AC82" s="1798"/>
      <c r="AD82" s="1798"/>
      <c r="AE82" s="1798"/>
      <c r="AF82" s="1798"/>
      <c r="AG82" s="1798"/>
      <c r="AH82" s="1798"/>
      <c r="AI82" s="1798"/>
      <c r="AJ82" s="1798"/>
      <c r="AK82" s="1798"/>
    </row>
    <row r="83" spans="2:39" ht="18" customHeight="1">
      <c r="C83" s="264" t="s">
        <v>608</v>
      </c>
      <c r="D83" s="2180" t="s">
        <v>2065</v>
      </c>
      <c r="E83" s="1798"/>
      <c r="F83" s="1798"/>
      <c r="G83" s="1798"/>
      <c r="H83" s="1798"/>
      <c r="I83" s="1798"/>
      <c r="J83" s="1798"/>
      <c r="K83" s="1798"/>
      <c r="L83" s="1798"/>
      <c r="M83" s="1798"/>
      <c r="N83" s="1798"/>
      <c r="O83" s="1798"/>
      <c r="P83" s="1798"/>
      <c r="Q83" s="1798"/>
      <c r="R83" s="1798"/>
      <c r="S83" s="1798"/>
      <c r="T83" s="58"/>
      <c r="U83" s="58"/>
      <c r="V83" s="58"/>
      <c r="W83" s="58"/>
      <c r="X83" s="58"/>
      <c r="Y83" s="58"/>
      <c r="Z83" s="58"/>
      <c r="AA83" s="58"/>
      <c r="AB83" s="58"/>
      <c r="AC83" s="58"/>
      <c r="AD83" s="58"/>
      <c r="AE83" s="58"/>
      <c r="AF83" s="58"/>
      <c r="AG83" s="58"/>
      <c r="AH83" s="58"/>
      <c r="AI83" s="58"/>
      <c r="AJ83" s="58"/>
      <c r="AK83" s="58"/>
      <c r="AL83" s="1911"/>
      <c r="AM83" s="1862"/>
    </row>
    <row r="84" spans="2:39" ht="18" customHeight="1">
      <c r="B84" s="426"/>
      <c r="C84" s="264" t="s">
        <v>611</v>
      </c>
      <c r="D84" s="2180" t="s">
        <v>2066</v>
      </c>
      <c r="E84" s="1798"/>
      <c r="F84" s="1798"/>
      <c r="G84" s="1798"/>
      <c r="H84" s="1798"/>
      <c r="I84" s="1798"/>
      <c r="J84" s="1798"/>
      <c r="K84" s="1798"/>
      <c r="L84" s="1798"/>
      <c r="M84" s="1798"/>
      <c r="N84" s="1798"/>
      <c r="O84" s="1798"/>
      <c r="P84" s="1798"/>
      <c r="Q84" s="1798"/>
      <c r="R84" s="1798"/>
      <c r="S84" s="1798"/>
      <c r="T84" s="1798"/>
      <c r="U84" s="1798"/>
      <c r="V84" s="1798"/>
      <c r="W84" s="1798"/>
      <c r="X84" s="1798"/>
      <c r="Y84" s="1798"/>
      <c r="Z84" s="1798"/>
      <c r="AA84" s="1798"/>
      <c r="AB84" s="1798"/>
      <c r="AC84" s="1798"/>
      <c r="AD84" s="1798"/>
      <c r="AE84" s="1798"/>
      <c r="AF84" s="1798"/>
      <c r="AG84" s="1798"/>
      <c r="AH84" s="1798"/>
      <c r="AI84" s="1798"/>
      <c r="AJ84" s="1798"/>
      <c r="AK84" s="1798"/>
    </row>
    <row r="85" spans="2:39" ht="18" customHeight="1">
      <c r="B85" s="426"/>
      <c r="C85" s="426"/>
      <c r="D85" s="267" t="s">
        <v>613</v>
      </c>
      <c r="E85" s="2180" t="s">
        <v>3146</v>
      </c>
      <c r="F85" s="1798"/>
      <c r="G85" s="1798"/>
      <c r="H85" s="1798"/>
      <c r="I85" s="1798"/>
      <c r="J85" s="1798"/>
      <c r="K85" s="1798"/>
      <c r="L85" s="1798"/>
      <c r="M85" s="1798"/>
      <c r="N85" s="1798"/>
      <c r="O85" s="1798"/>
      <c r="P85" s="1798"/>
      <c r="Q85" s="1798"/>
      <c r="R85" s="1798"/>
      <c r="S85" s="1798"/>
      <c r="T85" s="1798"/>
      <c r="U85" s="1798"/>
      <c r="V85" s="1798"/>
      <c r="W85" s="1798"/>
      <c r="X85" s="1798"/>
      <c r="Y85" s="1798"/>
      <c r="Z85" s="1798"/>
      <c r="AA85" s="1798"/>
      <c r="AB85" s="1798"/>
      <c r="AC85" s="1798"/>
      <c r="AD85" s="1798"/>
      <c r="AE85" s="1798"/>
      <c r="AF85" s="1798"/>
      <c r="AG85" s="1798"/>
      <c r="AH85" s="476"/>
      <c r="AI85" s="476"/>
      <c r="AJ85" s="476"/>
      <c r="AK85" s="476"/>
      <c r="AL85" s="1911"/>
      <c r="AM85" s="1862"/>
    </row>
    <row r="86" spans="2:39" ht="18" customHeight="1">
      <c r="E86" s="267" t="s">
        <v>1989</v>
      </c>
      <c r="F86" s="1802" t="s">
        <v>2798</v>
      </c>
      <c r="G86" s="1798"/>
      <c r="H86" s="1798"/>
      <c r="I86" s="1798"/>
      <c r="J86" s="1798"/>
      <c r="K86" s="1798"/>
      <c r="L86" s="1798"/>
      <c r="M86" s="1798"/>
      <c r="N86" s="1798"/>
      <c r="O86" s="1798"/>
      <c r="P86" s="1798"/>
      <c r="Q86" s="1798"/>
      <c r="R86" s="1798"/>
      <c r="S86" s="1798"/>
      <c r="T86" s="1798"/>
      <c r="U86" s="1798"/>
      <c r="V86" s="1798"/>
      <c r="W86" s="1798"/>
      <c r="X86" s="1798"/>
      <c r="Y86" s="1798"/>
      <c r="Z86" s="1798"/>
      <c r="AA86" s="1798"/>
      <c r="AB86" s="1798"/>
      <c r="AC86" s="1798"/>
      <c r="AD86" s="1798"/>
      <c r="AE86" s="1798"/>
      <c r="AF86" s="1798"/>
      <c r="AG86" s="1798"/>
      <c r="AH86" s="1798"/>
      <c r="AI86" s="1798"/>
      <c r="AJ86" s="1798"/>
      <c r="AK86" s="1798"/>
    </row>
    <row r="87" spans="2:39" ht="18" customHeight="1">
      <c r="B87" s="426"/>
      <c r="C87" s="426"/>
      <c r="D87" s="267" t="s">
        <v>615</v>
      </c>
      <c r="E87" s="1802" t="s">
        <v>3147</v>
      </c>
      <c r="F87" s="1798"/>
      <c r="G87" s="1798"/>
      <c r="H87" s="1798"/>
      <c r="I87" s="1798"/>
      <c r="J87" s="1798"/>
      <c r="K87" s="1798"/>
      <c r="L87" s="1798"/>
      <c r="M87" s="1798"/>
      <c r="N87" s="1798"/>
      <c r="O87" s="1798"/>
      <c r="P87" s="1798"/>
      <c r="Q87" s="1798"/>
      <c r="R87" s="1798"/>
      <c r="S87" s="1798"/>
      <c r="T87" s="1798"/>
      <c r="U87" s="1798"/>
      <c r="V87" s="1798"/>
      <c r="W87" s="1798"/>
      <c r="X87" s="1798"/>
      <c r="Y87" s="1798"/>
      <c r="Z87" s="1798"/>
      <c r="AA87" s="1798"/>
      <c r="AB87" s="1798"/>
      <c r="AC87" s="1798"/>
      <c r="AD87" s="1798"/>
      <c r="AE87" s="1798"/>
      <c r="AF87" s="1798"/>
      <c r="AG87" s="1798"/>
      <c r="AH87" s="1798"/>
      <c r="AI87" s="1798"/>
      <c r="AJ87" s="1798"/>
      <c r="AK87" s="1798"/>
      <c r="AL87" s="1911"/>
      <c r="AM87" s="1862"/>
    </row>
    <row r="88" spans="2:39" ht="54" customHeight="1">
      <c r="B88" s="426"/>
      <c r="C88" s="426"/>
      <c r="D88" s="267"/>
      <c r="E88" s="267" t="s">
        <v>1989</v>
      </c>
      <c r="F88" s="1802" t="s">
        <v>2800</v>
      </c>
      <c r="G88" s="1798"/>
      <c r="H88" s="1798"/>
      <c r="I88" s="1798"/>
      <c r="J88" s="1798"/>
      <c r="K88" s="1798"/>
      <c r="L88" s="1798"/>
      <c r="M88" s="1798"/>
      <c r="N88" s="1798"/>
      <c r="O88" s="1798"/>
      <c r="P88" s="1798"/>
      <c r="Q88" s="1798"/>
      <c r="R88" s="1798"/>
      <c r="S88" s="1798"/>
      <c r="T88" s="1798"/>
      <c r="U88" s="1798"/>
      <c r="V88" s="1798"/>
      <c r="W88" s="1798"/>
      <c r="X88" s="1798"/>
      <c r="Y88" s="1798"/>
      <c r="Z88" s="1798"/>
      <c r="AA88" s="1798"/>
      <c r="AB88" s="1798"/>
      <c r="AC88" s="1798"/>
      <c r="AD88" s="1798"/>
      <c r="AE88" s="1798"/>
      <c r="AF88" s="1798"/>
      <c r="AG88" s="1798"/>
      <c r="AH88" s="1798"/>
      <c r="AI88" s="1798"/>
      <c r="AJ88" s="1798"/>
      <c r="AK88" s="1798"/>
      <c r="AL88" s="382"/>
      <c r="AM88" s="382"/>
    </row>
    <row r="89" spans="2:39" ht="18" customHeight="1">
      <c r="B89" s="426"/>
      <c r="C89" s="426"/>
      <c r="D89" s="267" t="s">
        <v>617</v>
      </c>
      <c r="E89" s="1802" t="s">
        <v>2070</v>
      </c>
      <c r="F89" s="1798"/>
      <c r="G89" s="1798"/>
      <c r="H89" s="1798"/>
      <c r="I89" s="1798"/>
      <c r="J89" s="1798"/>
      <c r="K89" s="1798"/>
      <c r="L89" s="1798"/>
      <c r="M89" s="1798"/>
      <c r="N89" s="1798"/>
      <c r="O89" s="1798"/>
      <c r="P89" s="1798"/>
      <c r="Q89" s="1798"/>
      <c r="R89" s="1798"/>
      <c r="S89" s="1798"/>
      <c r="T89" s="1798"/>
      <c r="U89" s="1798"/>
      <c r="V89" s="1798"/>
      <c r="W89" s="1798"/>
      <c r="X89" s="1798"/>
      <c r="Y89" s="1798"/>
      <c r="Z89" s="1798"/>
      <c r="AA89" s="1798"/>
      <c r="AB89" s="1798"/>
      <c r="AC89" s="1798"/>
      <c r="AD89" s="1798"/>
      <c r="AE89" s="1798"/>
      <c r="AF89" s="1798"/>
      <c r="AG89" s="1798"/>
      <c r="AH89" s="1798"/>
      <c r="AI89" s="1798"/>
      <c r="AJ89" s="1798"/>
      <c r="AK89" s="1798"/>
      <c r="AL89" s="1911"/>
      <c r="AM89" s="1862"/>
    </row>
    <row r="90" spans="2:39" ht="36" customHeight="1">
      <c r="E90" s="1802" t="s">
        <v>3148</v>
      </c>
      <c r="F90" s="1798"/>
      <c r="G90" s="1798"/>
      <c r="H90" s="1798"/>
      <c r="I90" s="1798"/>
      <c r="J90" s="1798"/>
      <c r="K90" s="1798"/>
      <c r="L90" s="1798"/>
      <c r="M90" s="1798"/>
      <c r="N90" s="1798"/>
      <c r="O90" s="1798"/>
      <c r="P90" s="1798"/>
      <c r="Q90" s="1798"/>
      <c r="R90" s="1798"/>
      <c r="S90" s="1798"/>
      <c r="T90" s="1798"/>
      <c r="U90" s="1798"/>
      <c r="V90" s="1798"/>
      <c r="W90" s="1798"/>
      <c r="X90" s="1798"/>
      <c r="Y90" s="1798"/>
      <c r="Z90" s="1798"/>
      <c r="AA90" s="1798"/>
      <c r="AB90" s="1798"/>
      <c r="AC90" s="1798"/>
      <c r="AD90" s="1798"/>
      <c r="AE90" s="1798"/>
      <c r="AF90" s="1798"/>
      <c r="AG90" s="1798"/>
      <c r="AH90" s="1798"/>
      <c r="AI90" s="1798"/>
      <c r="AJ90" s="1798"/>
      <c r="AK90" s="1798"/>
    </row>
    <row r="91" spans="2:39" ht="36" customHeight="1">
      <c r="D91" s="58"/>
      <c r="E91" s="1802" t="s">
        <v>2802</v>
      </c>
      <c r="F91" s="1798"/>
      <c r="G91" s="1798"/>
      <c r="H91" s="1798"/>
      <c r="I91" s="1798"/>
      <c r="J91" s="1798"/>
      <c r="K91" s="1798"/>
      <c r="L91" s="1798"/>
      <c r="M91" s="1798"/>
      <c r="N91" s="1798"/>
      <c r="O91" s="1798"/>
      <c r="P91" s="1798"/>
      <c r="Q91" s="1798"/>
      <c r="R91" s="1798"/>
      <c r="S91" s="1798"/>
      <c r="T91" s="1798"/>
      <c r="U91" s="1798"/>
      <c r="V91" s="1798"/>
      <c r="W91" s="1798"/>
      <c r="X91" s="1798"/>
      <c r="Y91" s="1798"/>
      <c r="Z91" s="1798"/>
      <c r="AA91" s="1798"/>
      <c r="AB91" s="1798"/>
      <c r="AC91" s="1798"/>
      <c r="AD91" s="1798"/>
      <c r="AE91" s="1798"/>
      <c r="AF91" s="1798"/>
      <c r="AG91" s="1798"/>
      <c r="AH91" s="1798"/>
      <c r="AI91" s="1798"/>
      <c r="AJ91" s="1798"/>
      <c r="AK91" s="1798"/>
      <c r="AL91" s="58"/>
      <c r="AM91" s="58"/>
    </row>
    <row r="92" spans="2:39" ht="18" customHeight="1">
      <c r="B92" s="58"/>
      <c r="C92" s="58"/>
      <c r="D92" s="58"/>
      <c r="E92" s="3202" t="s">
        <v>2803</v>
      </c>
      <c r="F92" s="1877"/>
      <c r="G92" s="1877"/>
      <c r="H92" s="1877"/>
      <c r="I92" s="1877"/>
      <c r="J92" s="1877"/>
      <c r="K92" s="1877"/>
      <c r="L92" s="1877"/>
      <c r="M92" s="1877"/>
      <c r="N92" s="1877"/>
      <c r="O92" s="1877"/>
      <c r="P92" s="1877"/>
      <c r="Q92" s="1877"/>
      <c r="R92" s="1877"/>
      <c r="S92" s="1877"/>
      <c r="T92" s="1877"/>
      <c r="U92" s="1877"/>
      <c r="V92" s="1877"/>
      <c r="W92" s="1877"/>
      <c r="X92" s="1877"/>
      <c r="Y92" s="1877"/>
      <c r="Z92" s="1877"/>
      <c r="AA92" s="3308" t="s">
        <v>2804</v>
      </c>
      <c r="AB92" s="1877"/>
      <c r="AC92" s="382"/>
      <c r="AD92" s="382"/>
      <c r="AE92" s="382"/>
      <c r="AF92" s="382"/>
      <c r="AG92" s="382"/>
      <c r="AH92" s="382"/>
      <c r="AI92" s="382"/>
      <c r="AJ92" s="382"/>
      <c r="AK92" s="382"/>
      <c r="AL92" s="58"/>
      <c r="AM92" s="58"/>
    </row>
    <row r="93" spans="2:39" ht="54" customHeight="1">
      <c r="B93" s="2268" t="s">
        <v>558</v>
      </c>
      <c r="C93" s="1777"/>
      <c r="D93" s="1778"/>
      <c r="E93" s="2179" t="str">
        <f>'Document Checklist-Full List'!$E$212</f>
        <v>110. "Entity Name" - Resolution</v>
      </c>
      <c r="F93" s="1777"/>
      <c r="G93" s="1777"/>
      <c r="H93" s="1777"/>
      <c r="I93" s="1777"/>
      <c r="J93" s="1777"/>
      <c r="K93" s="1777"/>
      <c r="L93" s="1777"/>
      <c r="M93" s="1778"/>
      <c r="N93" s="2179" t="str">
        <f>'Document Checklist-Full List'!$N$212</f>
        <v xml:space="preserve">Resolutions may be submitted with this application but are not required at the time of application. Resolutions must be submitted within sixty calendar days of a conditional award notification. </v>
      </c>
      <c r="O93" s="1777"/>
      <c r="P93" s="1777"/>
      <c r="Q93" s="1777"/>
      <c r="R93" s="1777"/>
      <c r="S93" s="1777"/>
      <c r="T93" s="1777"/>
      <c r="U93" s="1777"/>
      <c r="V93" s="1777"/>
      <c r="W93" s="1777"/>
      <c r="X93" s="1777"/>
      <c r="Y93" s="1777"/>
      <c r="Z93" s="1777"/>
      <c r="AA93" s="1777"/>
      <c r="AB93" s="1777"/>
      <c r="AC93" s="1777"/>
      <c r="AD93" s="1777"/>
      <c r="AE93" s="1778"/>
      <c r="AF93" s="1886" t="s">
        <v>559</v>
      </c>
      <c r="AG93" s="1777"/>
      <c r="AH93" s="1777"/>
      <c r="AI93" s="1777"/>
      <c r="AJ93" s="1777"/>
      <c r="AK93" s="1778"/>
      <c r="AL93" s="1911"/>
      <c r="AM93" s="1862"/>
    </row>
    <row r="94" spans="2:39" ht="18" customHeight="1">
      <c r="D94" s="267" t="s">
        <v>634</v>
      </c>
      <c r="E94" s="2993" t="str">
        <f>IF('Project Overview'!$AL$361="Yes","P","O")</f>
        <v>O</v>
      </c>
      <c r="F94" s="1798"/>
      <c r="G94" s="1407"/>
      <c r="H94" s="1407"/>
      <c r="I94" s="1407"/>
      <c r="J94" s="1407"/>
      <c r="K94" s="1407"/>
      <c r="L94" s="1407"/>
      <c r="M94" s="1407"/>
      <c r="N94" s="1407"/>
      <c r="O94" s="1407"/>
      <c r="P94" s="1407"/>
      <c r="Q94" s="1407"/>
      <c r="R94" s="1407"/>
      <c r="S94" s="1407"/>
      <c r="T94" s="1407"/>
      <c r="U94" s="1407"/>
      <c r="V94" s="1407"/>
      <c r="W94" s="1407"/>
      <c r="X94" s="1407"/>
      <c r="Y94" s="1407"/>
      <c r="Z94" s="1407"/>
      <c r="AA94" s="1407"/>
      <c r="AB94" s="1407"/>
      <c r="AC94" s="1407"/>
      <c r="AD94" s="1407"/>
      <c r="AE94" s="1407"/>
      <c r="AF94" s="1407"/>
      <c r="AG94" s="1407"/>
      <c r="AH94" s="1407"/>
      <c r="AI94" s="1407"/>
      <c r="AJ94" s="1407"/>
      <c r="AK94" s="1407"/>
    </row>
    <row r="95" spans="2:39" ht="36" customHeight="1">
      <c r="D95" s="267" t="s">
        <v>1820</v>
      </c>
      <c r="E95" s="1802" t="s">
        <v>2805</v>
      </c>
      <c r="F95" s="1798"/>
      <c r="G95" s="1798"/>
      <c r="H95" s="1798"/>
      <c r="I95" s="1798"/>
      <c r="J95" s="1798"/>
      <c r="K95" s="1798"/>
      <c r="L95" s="1798"/>
      <c r="M95" s="1798"/>
      <c r="N95" s="1798"/>
      <c r="O95" s="1798"/>
      <c r="P95" s="1798"/>
      <c r="Q95" s="1798"/>
      <c r="R95" s="1798"/>
      <c r="S95" s="1798"/>
      <c r="T95" s="1798"/>
      <c r="U95" s="1798"/>
      <c r="V95" s="1798"/>
      <c r="W95" s="1798"/>
      <c r="X95" s="1798"/>
      <c r="Y95" s="1798"/>
      <c r="Z95" s="1798"/>
      <c r="AA95" s="1798"/>
      <c r="AB95" s="1798"/>
      <c r="AC95" s="1798"/>
      <c r="AD95" s="1798"/>
      <c r="AE95" s="1798"/>
      <c r="AF95" s="1798"/>
      <c r="AG95" s="1798"/>
      <c r="AH95" s="1798"/>
      <c r="AI95" s="1798"/>
      <c r="AJ95" s="1798"/>
      <c r="AK95" s="1798"/>
    </row>
    <row r="96" spans="2:39" ht="36" customHeight="1">
      <c r="B96" s="2268" t="s">
        <v>558</v>
      </c>
      <c r="C96" s="1777"/>
      <c r="D96" s="1778"/>
      <c r="E96" s="2179" t="s">
        <v>3149</v>
      </c>
      <c r="F96" s="1777"/>
      <c r="G96" s="1777"/>
      <c r="H96" s="1777"/>
      <c r="I96" s="1777"/>
      <c r="J96" s="1777"/>
      <c r="K96" s="1777"/>
      <c r="L96" s="1777"/>
      <c r="M96" s="1778"/>
      <c r="N96" s="2179" t="s">
        <v>3150</v>
      </c>
      <c r="O96" s="1777"/>
      <c r="P96" s="1777"/>
      <c r="Q96" s="1777"/>
      <c r="R96" s="1777"/>
      <c r="S96" s="1777"/>
      <c r="T96" s="1777"/>
      <c r="U96" s="1777"/>
      <c r="V96" s="1777"/>
      <c r="W96" s="1777"/>
      <c r="X96" s="1777"/>
      <c r="Y96" s="1777"/>
      <c r="Z96" s="1777"/>
      <c r="AA96" s="1777"/>
      <c r="AB96" s="1777"/>
      <c r="AC96" s="1777"/>
      <c r="AD96" s="1777"/>
      <c r="AE96" s="1778"/>
      <c r="AF96" s="1886" t="s">
        <v>559</v>
      </c>
      <c r="AG96" s="1777"/>
      <c r="AH96" s="1777"/>
      <c r="AI96" s="1777"/>
      <c r="AJ96" s="1777"/>
      <c r="AK96" s="1778"/>
      <c r="AL96" s="1911"/>
      <c r="AM96" s="1862"/>
    </row>
    <row r="97" spans="2:39" ht="36" customHeight="1">
      <c r="E97" s="1802" t="s">
        <v>2806</v>
      </c>
      <c r="F97" s="1798"/>
      <c r="G97" s="1798"/>
      <c r="H97" s="1798"/>
      <c r="I97" s="1798"/>
      <c r="J97" s="1798"/>
      <c r="K97" s="1798"/>
      <c r="L97" s="1798"/>
      <c r="M97" s="1798"/>
      <c r="N97" s="1798"/>
      <c r="O97" s="1798"/>
      <c r="P97" s="1798"/>
      <c r="Q97" s="1798"/>
      <c r="R97" s="1798"/>
      <c r="S97" s="1798"/>
      <c r="T97" s="1798"/>
      <c r="U97" s="1798"/>
      <c r="V97" s="1798"/>
      <c r="W97" s="1798"/>
      <c r="X97" s="1798"/>
      <c r="Y97" s="1798"/>
      <c r="Z97" s="1798"/>
      <c r="AA97" s="1798"/>
      <c r="AB97" s="1798"/>
      <c r="AC97" s="1798"/>
      <c r="AD97" s="1798"/>
      <c r="AE97" s="1798"/>
      <c r="AF97" s="1798"/>
      <c r="AG97" s="1798"/>
      <c r="AH97" s="1798"/>
      <c r="AI97" s="1798"/>
      <c r="AJ97" s="1798"/>
      <c r="AK97" s="1798"/>
    </row>
    <row r="99" spans="2:39" ht="18" customHeight="1">
      <c r="B99" s="426"/>
      <c r="C99" s="267" t="s">
        <v>619</v>
      </c>
      <c r="D99" s="2989" t="s">
        <v>3151</v>
      </c>
      <c r="E99" s="1798"/>
      <c r="F99" s="1798"/>
      <c r="G99" s="1798"/>
      <c r="H99" s="1798"/>
      <c r="I99" s="1798"/>
      <c r="J99" s="1798"/>
      <c r="K99" s="1798"/>
      <c r="L99" s="1798"/>
      <c r="M99" s="1798"/>
      <c r="N99" s="1798"/>
      <c r="O99" s="1798"/>
      <c r="P99" s="1798"/>
      <c r="Q99" s="1798"/>
      <c r="R99" s="1798"/>
      <c r="S99" s="1798"/>
      <c r="T99" s="1798"/>
      <c r="U99" s="1798"/>
      <c r="V99" s="1798"/>
      <c r="W99" s="1798"/>
      <c r="X99" s="1798"/>
      <c r="Y99" s="1798"/>
      <c r="Z99" s="1798"/>
      <c r="AA99" s="1798"/>
      <c r="AB99" s="1798"/>
      <c r="AC99" s="1798"/>
      <c r="AD99" s="1798"/>
      <c r="AE99" s="1798"/>
      <c r="AF99" s="1798"/>
      <c r="AG99" s="1798"/>
      <c r="AH99" s="1798"/>
      <c r="AI99" s="1798"/>
      <c r="AJ99" s="1798"/>
      <c r="AK99" s="1889"/>
      <c r="AL99" s="1911"/>
      <c r="AM99" s="1862"/>
    </row>
    <row r="100" spans="2:39" ht="63" customHeight="1">
      <c r="B100" s="426"/>
      <c r="C100" s="264" t="s">
        <v>623</v>
      </c>
      <c r="D100" s="2080" t="s">
        <v>2080</v>
      </c>
      <c r="E100" s="1798"/>
      <c r="F100" s="1798"/>
      <c r="G100" s="1798"/>
      <c r="H100" s="1798"/>
      <c r="I100" s="1798"/>
      <c r="J100" s="1798"/>
      <c r="K100" s="1798"/>
      <c r="L100" s="1798"/>
      <c r="M100" s="1798"/>
      <c r="N100" s="1798"/>
      <c r="O100" s="1798"/>
      <c r="P100" s="1798"/>
      <c r="Q100" s="1798"/>
      <c r="R100" s="1798"/>
      <c r="S100" s="1798"/>
      <c r="T100" s="1798"/>
      <c r="U100" s="1798"/>
      <c r="V100" s="1798"/>
      <c r="W100" s="1798"/>
      <c r="X100" s="1798"/>
      <c r="Y100" s="1798"/>
      <c r="Z100" s="1798"/>
      <c r="AA100" s="1798"/>
      <c r="AB100" s="1798"/>
      <c r="AC100" s="1798"/>
      <c r="AD100" s="1798"/>
      <c r="AE100" s="1798"/>
      <c r="AF100" s="1798"/>
      <c r="AG100" s="1798"/>
      <c r="AH100" s="1798"/>
      <c r="AI100" s="1798"/>
      <c r="AJ100" s="1798"/>
      <c r="AK100" s="1798"/>
      <c r="AL100" s="1911"/>
      <c r="AM100" s="1862"/>
    </row>
    <row r="101" spans="2:39" ht="36" customHeight="1">
      <c r="C101" s="264" t="s">
        <v>627</v>
      </c>
      <c r="D101" s="1802" t="s">
        <v>3152</v>
      </c>
      <c r="E101" s="1798"/>
      <c r="F101" s="1798"/>
      <c r="G101" s="1798"/>
      <c r="H101" s="1798"/>
      <c r="I101" s="1798"/>
      <c r="J101" s="1798"/>
      <c r="K101" s="1798"/>
      <c r="L101" s="1798"/>
      <c r="M101" s="1798"/>
      <c r="N101" s="1798"/>
      <c r="O101" s="1798"/>
      <c r="P101" s="1798"/>
      <c r="Q101" s="1798"/>
      <c r="R101" s="1798"/>
      <c r="S101" s="1798"/>
      <c r="T101" s="1798"/>
      <c r="U101" s="1798"/>
      <c r="V101" s="1798"/>
      <c r="W101" s="1798"/>
      <c r="X101" s="1798"/>
      <c r="Y101" s="1798"/>
      <c r="Z101" s="1798"/>
      <c r="AA101" s="1798"/>
      <c r="AB101" s="1798"/>
      <c r="AC101" s="1798"/>
      <c r="AD101" s="1798"/>
      <c r="AE101" s="1798"/>
      <c r="AF101" s="1798"/>
      <c r="AG101" s="1798"/>
      <c r="AH101" s="1798"/>
      <c r="AI101" s="1798"/>
      <c r="AJ101" s="1798"/>
      <c r="AK101" s="1798"/>
    </row>
    <row r="102" spans="2:39" ht="18" customHeight="1">
      <c r="B102" s="58"/>
      <c r="C102" s="264"/>
      <c r="D102" s="1802" t="s">
        <v>2809</v>
      </c>
      <c r="E102" s="1798"/>
      <c r="F102" s="1798"/>
      <c r="G102" s="1798"/>
      <c r="H102" s="1798"/>
      <c r="I102" s="1798"/>
      <c r="J102" s="1798"/>
      <c r="K102" s="1798"/>
      <c r="L102" s="1798"/>
      <c r="M102" s="1798"/>
      <c r="N102" s="1798"/>
      <c r="O102" s="1798"/>
      <c r="P102" s="1798"/>
      <c r="Q102" s="1798"/>
      <c r="R102" s="1798"/>
      <c r="S102" s="1798"/>
      <c r="T102" s="1798"/>
      <c r="U102" s="1798"/>
      <c r="V102" s="1798"/>
      <c r="W102" s="1798"/>
      <c r="X102" s="1798"/>
      <c r="Y102" s="1798"/>
      <c r="Z102" s="1798"/>
      <c r="AA102" s="1798"/>
      <c r="AB102" s="1798"/>
      <c r="AC102" s="1798"/>
      <c r="AD102" s="1798"/>
      <c r="AE102" s="1798"/>
      <c r="AF102" s="1798"/>
      <c r="AG102" s="1798"/>
      <c r="AH102" s="1798"/>
      <c r="AI102" s="1798"/>
      <c r="AJ102" s="1798"/>
      <c r="AK102" s="1798"/>
      <c r="AL102" s="1911"/>
      <c r="AM102" s="1862"/>
    </row>
    <row r="103" spans="2:39" ht="35.25" hidden="1" customHeight="1">
      <c r="B103" s="58"/>
      <c r="C103" s="264"/>
      <c r="D103" s="1802" t="s">
        <v>2083</v>
      </c>
      <c r="E103" s="1798"/>
      <c r="F103" s="1798"/>
      <c r="G103" s="1798"/>
      <c r="H103" s="1798"/>
      <c r="I103" s="1798"/>
      <c r="J103" s="1798"/>
      <c r="K103" s="1798"/>
      <c r="L103" s="1798"/>
      <c r="M103" s="1798"/>
      <c r="N103" s="1798"/>
      <c r="O103" s="1798"/>
      <c r="P103" s="1798"/>
      <c r="Q103" s="1798"/>
      <c r="R103" s="1798"/>
      <c r="S103" s="1798"/>
      <c r="T103" s="1798"/>
      <c r="U103" s="1798"/>
      <c r="V103" s="1798"/>
      <c r="W103" s="1798"/>
      <c r="X103" s="1798"/>
      <c r="Y103" s="1798"/>
      <c r="Z103" s="1798"/>
      <c r="AA103" s="1798"/>
      <c r="AB103" s="1798"/>
      <c r="AC103" s="1798"/>
      <c r="AD103" s="1798"/>
      <c r="AE103" s="1798"/>
      <c r="AF103" s="1798"/>
      <c r="AG103" s="1798"/>
      <c r="AH103" s="1798"/>
      <c r="AI103" s="1798"/>
      <c r="AJ103" s="1798"/>
      <c r="AK103" s="1798"/>
      <c r="AL103" s="1911"/>
      <c r="AM103" s="1862"/>
    </row>
    <row r="104" spans="2:39" ht="18" customHeight="1">
      <c r="B104" s="2180" t="s">
        <v>1954</v>
      </c>
      <c r="C104" s="1798"/>
      <c r="D104" s="1798"/>
      <c r="E104" s="1798"/>
      <c r="F104" s="1798"/>
      <c r="G104" s="1798"/>
      <c r="H104" s="476"/>
      <c r="I104" s="476"/>
      <c r="J104" s="476"/>
      <c r="K104" s="476"/>
      <c r="L104" s="476"/>
      <c r="M104" s="476"/>
      <c r="N104" s="476"/>
      <c r="O104" s="476"/>
      <c r="P104" s="476"/>
      <c r="Q104" s="476"/>
      <c r="R104" s="476"/>
      <c r="S104" s="476"/>
      <c r="T104" s="476"/>
      <c r="U104" s="476"/>
      <c r="V104" s="476"/>
      <c r="W104" s="476"/>
      <c r="X104" s="476"/>
      <c r="Y104" s="476"/>
      <c r="Z104" s="476"/>
      <c r="AA104" s="476"/>
      <c r="AB104" s="476"/>
      <c r="AC104" s="476"/>
      <c r="AD104" s="476"/>
      <c r="AE104" s="476"/>
      <c r="AF104" s="476"/>
      <c r="AG104" s="476"/>
      <c r="AH104" s="476"/>
      <c r="AI104" s="476"/>
      <c r="AJ104" s="476"/>
      <c r="AK104" s="476"/>
      <c r="AL104" s="476"/>
      <c r="AM104" s="476"/>
    </row>
    <row r="105" spans="2:39" ht="81" customHeight="1">
      <c r="B105" s="2003"/>
      <c r="C105" s="1861"/>
      <c r="D105" s="1861"/>
      <c r="E105" s="1861"/>
      <c r="F105" s="1861"/>
      <c r="G105" s="1861"/>
      <c r="H105" s="1861"/>
      <c r="I105" s="1861"/>
      <c r="J105" s="1861"/>
      <c r="K105" s="1861"/>
      <c r="L105" s="1861"/>
      <c r="M105" s="1861"/>
      <c r="N105" s="1861"/>
      <c r="O105" s="1861"/>
      <c r="P105" s="1861"/>
      <c r="Q105" s="1861"/>
      <c r="R105" s="1861"/>
      <c r="S105" s="1861"/>
      <c r="T105" s="1861"/>
      <c r="U105" s="1861"/>
      <c r="V105" s="1861"/>
      <c r="W105" s="1861"/>
      <c r="X105" s="1861"/>
      <c r="Y105" s="1861"/>
      <c r="Z105" s="1861"/>
      <c r="AA105" s="1861"/>
      <c r="AB105" s="1861"/>
      <c r="AC105" s="1861"/>
      <c r="AD105" s="1861"/>
      <c r="AE105" s="1861"/>
      <c r="AF105" s="1861"/>
      <c r="AG105" s="1861"/>
      <c r="AH105" s="1861"/>
      <c r="AI105" s="1861"/>
      <c r="AJ105" s="1861"/>
      <c r="AK105" s="1861"/>
      <c r="AL105" s="1861"/>
      <c r="AM105" s="1862"/>
    </row>
    <row r="107" spans="2:39" ht="18" customHeight="1">
      <c r="B107" s="244" t="s">
        <v>627</v>
      </c>
      <c r="C107" s="2993" t="str">
        <f>IF(AND(IsSerna,Scoring!AK3&gt;=80),"P","O")</f>
        <v>O</v>
      </c>
      <c r="D107" s="1798"/>
    </row>
    <row r="108" spans="2:39" ht="54" customHeight="1">
      <c r="B108" s="244" t="s">
        <v>629</v>
      </c>
      <c r="C108" s="2989" t="s">
        <v>3153</v>
      </c>
      <c r="D108" s="1798"/>
      <c r="E108" s="1798"/>
      <c r="F108" s="1798"/>
      <c r="G108" s="1798"/>
      <c r="H108" s="1798"/>
      <c r="I108" s="1798"/>
      <c r="J108" s="1798"/>
      <c r="K108" s="1798"/>
      <c r="L108" s="1798"/>
      <c r="M108" s="1798"/>
      <c r="N108" s="1798"/>
      <c r="O108" s="1798"/>
      <c r="P108" s="1798"/>
      <c r="Q108" s="1798"/>
      <c r="R108" s="1798"/>
      <c r="S108" s="1798"/>
      <c r="T108" s="1798"/>
      <c r="U108" s="1798"/>
      <c r="V108" s="1798"/>
      <c r="W108" s="1798"/>
      <c r="X108" s="1798"/>
      <c r="Y108" s="1798"/>
      <c r="Z108" s="1798"/>
      <c r="AA108" s="1798"/>
      <c r="AB108" s="1798"/>
      <c r="AC108" s="1798"/>
      <c r="AD108" s="1798"/>
      <c r="AE108" s="1798"/>
      <c r="AF108" s="1798"/>
      <c r="AG108" s="1798"/>
      <c r="AH108" s="1798"/>
      <c r="AI108" s="1798"/>
      <c r="AJ108" s="1798"/>
      <c r="AK108" s="1889"/>
      <c r="AL108" s="1911"/>
      <c r="AM108" s="1862"/>
    </row>
    <row r="109" spans="2:39" ht="80.099999999999994" customHeight="1">
      <c r="B109" s="244" t="s">
        <v>1974</v>
      </c>
      <c r="C109" s="1802" t="s">
        <v>3154</v>
      </c>
      <c r="D109" s="1798"/>
      <c r="E109" s="1798"/>
      <c r="F109" s="1798"/>
      <c r="G109" s="1798"/>
      <c r="H109" s="1798"/>
      <c r="I109" s="1798"/>
      <c r="J109" s="1798"/>
      <c r="K109" s="1798"/>
      <c r="L109" s="1798"/>
      <c r="M109" s="1798"/>
      <c r="N109" s="1798"/>
      <c r="O109" s="1798"/>
      <c r="P109" s="1798"/>
      <c r="Q109" s="1798"/>
      <c r="R109" s="1798"/>
      <c r="S109" s="1798"/>
      <c r="T109" s="1798"/>
      <c r="U109" s="1798"/>
      <c r="V109" s="1798"/>
      <c r="W109" s="1798"/>
      <c r="X109" s="1798"/>
      <c r="Y109" s="1798"/>
      <c r="Z109" s="1798"/>
      <c r="AA109" s="1798"/>
      <c r="AB109" s="1798"/>
      <c r="AC109" s="1798"/>
      <c r="AD109" s="1798"/>
      <c r="AE109" s="1798"/>
      <c r="AF109" s="1798"/>
      <c r="AG109" s="1798"/>
      <c r="AH109" s="1798"/>
      <c r="AI109" s="1798"/>
      <c r="AJ109" s="1798"/>
      <c r="AK109" s="1798"/>
      <c r="AL109" s="1911"/>
      <c r="AM109" s="1862"/>
    </row>
    <row r="110" spans="2:39" ht="18" customHeight="1">
      <c r="C110" s="571" t="s">
        <v>613</v>
      </c>
      <c r="D110" s="1802" t="s">
        <v>2811</v>
      </c>
      <c r="E110" s="1798"/>
      <c r="F110" s="1798"/>
      <c r="G110" s="1798"/>
      <c r="H110" s="1798"/>
      <c r="I110" s="1798"/>
      <c r="J110" s="1798"/>
      <c r="K110" s="1798"/>
      <c r="L110" s="1798"/>
      <c r="M110" s="1798"/>
      <c r="N110" s="1798"/>
      <c r="O110" s="1798"/>
      <c r="P110" s="1798"/>
      <c r="Q110" s="1798"/>
      <c r="R110" s="1798"/>
      <c r="S110" s="1798"/>
      <c r="T110" s="1798"/>
      <c r="U110" s="1798"/>
      <c r="V110" s="1798"/>
      <c r="W110" s="1798"/>
      <c r="X110" s="1798"/>
      <c r="Y110" s="1798"/>
      <c r="Z110" s="1798"/>
      <c r="AA110" s="1798"/>
      <c r="AB110" s="1798"/>
      <c r="AC110" s="1798"/>
      <c r="AD110" s="1798"/>
      <c r="AE110" s="1798"/>
      <c r="AF110" s="1798"/>
      <c r="AG110" s="1798"/>
      <c r="AH110" s="1798"/>
      <c r="AI110" s="1798"/>
      <c r="AJ110" s="1798"/>
      <c r="AK110" s="1798"/>
    </row>
    <row r="111" spans="2:39" ht="36" customHeight="1">
      <c r="C111" s="571" t="s">
        <v>615</v>
      </c>
      <c r="D111" s="1802" t="s">
        <v>2812</v>
      </c>
      <c r="E111" s="1798"/>
      <c r="F111" s="1798"/>
      <c r="G111" s="1798"/>
      <c r="H111" s="1798"/>
      <c r="I111" s="1798"/>
      <c r="J111" s="1798"/>
      <c r="K111" s="1798"/>
      <c r="L111" s="1798"/>
      <c r="M111" s="1798"/>
      <c r="N111" s="1798"/>
      <c r="O111" s="1798"/>
      <c r="P111" s="1798"/>
      <c r="Q111" s="1798"/>
      <c r="R111" s="1798"/>
      <c r="S111" s="1798"/>
      <c r="T111" s="1798"/>
      <c r="U111" s="1798"/>
      <c r="V111" s="1798"/>
      <c r="W111" s="1798"/>
      <c r="X111" s="1798"/>
      <c r="Y111" s="1798"/>
      <c r="Z111" s="1798"/>
      <c r="AA111" s="1798"/>
      <c r="AB111" s="1798"/>
      <c r="AC111" s="1798"/>
      <c r="AD111" s="1798"/>
      <c r="AE111" s="1798"/>
      <c r="AF111" s="1798"/>
      <c r="AG111" s="1798"/>
      <c r="AH111" s="1798"/>
      <c r="AI111" s="1798"/>
      <c r="AJ111" s="1798"/>
      <c r="AK111" s="1798"/>
    </row>
    <row r="112" spans="2:39" ht="36" customHeight="1">
      <c r="C112" s="571" t="s">
        <v>617</v>
      </c>
      <c r="D112" s="1802" t="s">
        <v>2813</v>
      </c>
      <c r="E112" s="1798"/>
      <c r="F112" s="1798"/>
      <c r="G112" s="1798"/>
      <c r="H112" s="1798"/>
      <c r="I112" s="1798"/>
      <c r="J112" s="1798"/>
      <c r="K112" s="1798"/>
      <c r="L112" s="1798"/>
      <c r="M112" s="1798"/>
      <c r="N112" s="1798"/>
      <c r="O112" s="1798"/>
      <c r="P112" s="1798"/>
      <c r="Q112" s="1798"/>
      <c r="R112" s="1798"/>
      <c r="S112" s="1798"/>
      <c r="T112" s="1798"/>
      <c r="U112" s="1798"/>
      <c r="V112" s="1798"/>
      <c r="W112" s="1798"/>
      <c r="X112" s="1798"/>
      <c r="Y112" s="1798"/>
      <c r="Z112" s="1798"/>
      <c r="AA112" s="1798"/>
      <c r="AB112" s="1798"/>
      <c r="AC112" s="1798"/>
      <c r="AD112" s="1798"/>
      <c r="AE112" s="1798"/>
      <c r="AF112" s="1798"/>
      <c r="AG112" s="1798"/>
      <c r="AH112" s="1798"/>
      <c r="AI112" s="1798"/>
      <c r="AJ112" s="1798"/>
      <c r="AK112" s="1798"/>
    </row>
    <row r="113" spans="2:46" ht="18" customHeight="1">
      <c r="B113" s="640"/>
      <c r="C113" s="640"/>
      <c r="D113" s="2180" t="s">
        <v>2814</v>
      </c>
      <c r="E113" s="1798"/>
      <c r="F113" s="1798"/>
      <c r="G113" s="1798"/>
      <c r="H113" s="1798"/>
      <c r="I113" s="1798"/>
      <c r="J113" s="1798"/>
      <c r="K113" s="1798"/>
      <c r="L113" s="1798"/>
      <c r="M113" s="1798"/>
      <c r="N113" s="1798"/>
      <c r="O113" s="1798"/>
      <c r="P113" s="1798"/>
      <c r="Q113" s="1798"/>
      <c r="R113" s="1798"/>
      <c r="S113" s="1798"/>
      <c r="T113" s="1798"/>
      <c r="U113" s="1798"/>
      <c r="V113" s="1798"/>
      <c r="W113" s="1798"/>
      <c r="X113" s="1798"/>
      <c r="Y113" s="1798"/>
      <c r="Z113" s="1798"/>
      <c r="AA113" s="1798"/>
      <c r="AB113" s="1798"/>
      <c r="AC113" s="1798"/>
      <c r="AD113" s="1798"/>
      <c r="AE113" s="1798"/>
      <c r="AF113" s="1798"/>
      <c r="AG113" s="1798"/>
      <c r="AH113" s="1798"/>
      <c r="AI113" s="1798"/>
      <c r="AJ113" s="1798"/>
      <c r="AK113" s="1798"/>
      <c r="AL113" s="1911"/>
      <c r="AM113" s="1862"/>
    </row>
    <row r="114" spans="2:46" ht="54" hidden="1" customHeight="1">
      <c r="B114" s="2268" t="s">
        <v>558</v>
      </c>
      <c r="C114" s="1777"/>
      <c r="D114" s="1778"/>
      <c r="E114" s="2179" t="str">
        <f>'Document Checklist-Full List'!$E$214</f>
        <v>112. Proposed Rents - Needs</v>
      </c>
      <c r="F114" s="1777"/>
      <c r="G114" s="1777"/>
      <c r="H114" s="1777"/>
      <c r="I114" s="1777"/>
      <c r="J114" s="1777"/>
      <c r="K114" s="1777"/>
      <c r="L114" s="1777"/>
      <c r="M114" s="1778"/>
      <c r="N114" s="2179" t="str">
        <f>'Document Checklist-Full List'!$N$214</f>
        <v>Third-party documentation of anticipated public cash assistance payment levels shall be provided in the application which supports the need for the proposed rents.</v>
      </c>
      <c r="O114" s="1777"/>
      <c r="P114" s="1777"/>
      <c r="Q114" s="1777"/>
      <c r="R114" s="1777"/>
      <c r="S114" s="1777"/>
      <c r="T114" s="1777"/>
      <c r="U114" s="1777"/>
      <c r="V114" s="1777"/>
      <c r="W114" s="1777"/>
      <c r="X114" s="1777"/>
      <c r="Y114" s="1777"/>
      <c r="Z114" s="1777"/>
      <c r="AA114" s="1777"/>
      <c r="AB114" s="1777"/>
      <c r="AC114" s="1777"/>
      <c r="AD114" s="1777"/>
      <c r="AE114" s="1778"/>
      <c r="AF114" s="1886" t="s">
        <v>559</v>
      </c>
      <c r="AG114" s="1777"/>
      <c r="AH114" s="1777"/>
      <c r="AI114" s="1777"/>
      <c r="AJ114" s="1777"/>
      <c r="AK114" s="1778"/>
      <c r="AL114" s="1911"/>
      <c r="AM114" s="1862"/>
    </row>
    <row r="115" spans="2:46" ht="18" customHeight="1">
      <c r="B115" s="244" t="s">
        <v>1977</v>
      </c>
      <c r="C115" s="2993" t="str">
        <f>IF(AND(IsSerna,'Project Overview'!$AL$499="Yes"),"P","O")</f>
        <v>O</v>
      </c>
      <c r="D115" s="1798"/>
    </row>
    <row r="116" spans="2:46" ht="18" customHeight="1">
      <c r="B116" s="244" t="s">
        <v>648</v>
      </c>
      <c r="C116" s="2993" t="str">
        <f>IF(AND(IsSerna,'Project Overview'!$AL$505="Yes"),"P","O")</f>
        <v>O</v>
      </c>
      <c r="D116" s="1798"/>
    </row>
    <row r="117" spans="2:46" ht="36" customHeight="1">
      <c r="B117" s="244" t="s">
        <v>1980</v>
      </c>
      <c r="C117" s="1802" t="s">
        <v>2086</v>
      </c>
      <c r="D117" s="1798"/>
      <c r="E117" s="1798"/>
      <c r="F117" s="1798"/>
      <c r="G117" s="1798"/>
      <c r="H117" s="1798"/>
      <c r="I117" s="1798"/>
      <c r="J117" s="1798"/>
      <c r="K117" s="1798"/>
      <c r="L117" s="1798"/>
      <c r="M117" s="1798"/>
      <c r="N117" s="1798"/>
      <c r="O117" s="1798"/>
      <c r="P117" s="1798"/>
      <c r="Q117" s="1798"/>
      <c r="R117" s="1798"/>
      <c r="S117" s="1798"/>
      <c r="T117" s="1798"/>
      <c r="U117" s="1798"/>
      <c r="V117" s="1798"/>
      <c r="W117" s="1798"/>
      <c r="X117" s="1798"/>
      <c r="Y117" s="1798"/>
      <c r="Z117" s="1798"/>
      <c r="AA117" s="1798"/>
      <c r="AB117" s="1798"/>
      <c r="AC117" s="1798"/>
      <c r="AD117" s="1798"/>
      <c r="AE117" s="1798"/>
      <c r="AF117" s="1798"/>
      <c r="AG117" s="1798"/>
      <c r="AH117" s="1798"/>
      <c r="AI117" s="1798"/>
      <c r="AJ117" s="1798"/>
      <c r="AK117" s="1798"/>
      <c r="AL117" s="1911"/>
      <c r="AM117" s="1862"/>
    </row>
    <row r="118" spans="2:46" ht="18" customHeight="1">
      <c r="B118" s="244" t="s">
        <v>1985</v>
      </c>
      <c r="C118" s="2993" t="str">
        <f>IF(AND(IsSerna,'Project Overview'!$AL$152="Yes"),"P","O")</f>
        <v>O</v>
      </c>
      <c r="D118" s="1798"/>
    </row>
    <row r="119" spans="2:46" ht="54" customHeight="1">
      <c r="B119" s="244" t="s">
        <v>1987</v>
      </c>
      <c r="C119" s="1802" t="s">
        <v>3155</v>
      </c>
      <c r="D119" s="1798"/>
      <c r="E119" s="1798"/>
      <c r="F119" s="1798"/>
      <c r="G119" s="1798"/>
      <c r="H119" s="1798"/>
      <c r="I119" s="1798"/>
      <c r="J119" s="1798"/>
      <c r="K119" s="1798"/>
      <c r="L119" s="1798"/>
      <c r="M119" s="1798"/>
      <c r="N119" s="1798"/>
      <c r="O119" s="1798"/>
      <c r="P119" s="1798"/>
      <c r="Q119" s="1798"/>
      <c r="R119" s="1798"/>
      <c r="S119" s="1798"/>
      <c r="T119" s="1798"/>
      <c r="U119" s="1798"/>
      <c r="V119" s="1798"/>
      <c r="W119" s="1798"/>
      <c r="X119" s="1798"/>
      <c r="Y119" s="1798"/>
      <c r="Z119" s="1798"/>
      <c r="AA119" s="1798"/>
      <c r="AB119" s="1798"/>
      <c r="AC119" s="1798"/>
      <c r="AD119" s="1798"/>
      <c r="AE119" s="1798"/>
      <c r="AF119" s="1798"/>
      <c r="AG119" s="1798"/>
      <c r="AH119" s="1798"/>
      <c r="AI119" s="1798"/>
      <c r="AJ119" s="1798"/>
      <c r="AK119" s="1798"/>
      <c r="AL119" s="1911"/>
      <c r="AM119" s="1862"/>
    </row>
    <row r="120" spans="2:46" ht="18" customHeight="1">
      <c r="B120" s="244" t="s">
        <v>2001</v>
      </c>
      <c r="C120" s="2993" t="str">
        <f>IFERROR(IF('Unit Mix'!$AA$7&gt;=25%,"P","O"),"O")</f>
        <v>O</v>
      </c>
      <c r="D120" s="1798"/>
    </row>
    <row r="121" spans="2:46" ht="54" customHeight="1" thickBot="1">
      <c r="B121" s="244" t="s">
        <v>2005</v>
      </c>
      <c r="C121" s="1802" t="s">
        <v>3156</v>
      </c>
      <c r="D121" s="1798"/>
      <c r="E121" s="1798"/>
      <c r="F121" s="1798"/>
      <c r="G121" s="1798"/>
      <c r="H121" s="1798"/>
      <c r="I121" s="1798"/>
      <c r="J121" s="1798"/>
      <c r="K121" s="1798"/>
      <c r="L121" s="1798"/>
      <c r="M121" s="1798"/>
      <c r="N121" s="1798"/>
      <c r="O121" s="1798"/>
      <c r="P121" s="1798"/>
      <c r="Q121" s="1798"/>
      <c r="R121" s="1798"/>
      <c r="S121" s="1798"/>
      <c r="T121" s="1798"/>
      <c r="U121" s="1798"/>
      <c r="V121" s="1798"/>
      <c r="W121" s="1798"/>
      <c r="X121" s="1798"/>
      <c r="Y121" s="1798"/>
      <c r="Z121" s="1798"/>
      <c r="AA121" s="1798"/>
      <c r="AB121" s="1798"/>
      <c r="AC121" s="1798"/>
      <c r="AD121" s="1798"/>
      <c r="AE121" s="1798"/>
      <c r="AF121" s="1798"/>
      <c r="AG121" s="1798"/>
      <c r="AH121" s="1798"/>
      <c r="AI121" s="1798"/>
      <c r="AJ121" s="1798"/>
      <c r="AK121" s="1798"/>
      <c r="AL121" s="1911"/>
      <c r="AM121" s="1862"/>
    </row>
    <row r="122" spans="2:46" s="476" customFormat="1" ht="30" customHeight="1" thickTop="1" thickBot="1">
      <c r="B122" s="244" t="s">
        <v>2007</v>
      </c>
      <c r="C122" s="1802" t="s">
        <v>2816</v>
      </c>
      <c r="D122" s="2180"/>
      <c r="E122" s="2180"/>
      <c r="F122" s="2180"/>
      <c r="G122" s="2180"/>
      <c r="H122" s="2180"/>
      <c r="I122" s="2180"/>
      <c r="J122" s="2180"/>
      <c r="K122" s="2180"/>
      <c r="L122" s="2180"/>
      <c r="M122" s="2180"/>
      <c r="N122" s="2180"/>
      <c r="O122" s="2180"/>
      <c r="P122" s="2180"/>
      <c r="Q122" s="2180"/>
      <c r="R122" s="2180"/>
      <c r="S122" s="2180"/>
      <c r="T122" s="2180"/>
      <c r="U122" s="2180"/>
      <c r="V122" s="2180"/>
      <c r="W122" s="2180"/>
      <c r="X122" s="2180"/>
      <c r="Y122" s="2180"/>
      <c r="Z122" s="2180"/>
      <c r="AA122" s="2180"/>
      <c r="AB122" s="2180"/>
      <c r="AC122" s="2180"/>
      <c r="AD122" s="2180"/>
      <c r="AE122" s="2180"/>
      <c r="AF122" s="2180"/>
      <c r="AG122" s="2180"/>
      <c r="AH122" s="2180"/>
      <c r="AI122" s="2180"/>
      <c r="AJ122" s="2180"/>
      <c r="AK122" s="2180"/>
      <c r="AL122" s="1911"/>
      <c r="AM122" s="1862"/>
      <c r="AQ122" s="592"/>
      <c r="AR122" s="592"/>
      <c r="AS122" s="592"/>
      <c r="AT122" s="592"/>
    </row>
    <row r="123" spans="2:46" s="58" customFormat="1" ht="77.25" customHeight="1" thickTop="1" thickBot="1">
      <c r="B123" s="2268" t="s">
        <v>558</v>
      </c>
      <c r="C123" s="1777"/>
      <c r="D123" s="1778"/>
      <c r="E123" s="2179" t="str">
        <f>'Document Checklist-Full List'!$E$215</f>
        <v>113. Service Amenity List</v>
      </c>
      <c r="F123" s="1777"/>
      <c r="G123" s="1777"/>
      <c r="H123" s="1777"/>
      <c r="I123" s="1777"/>
      <c r="J123" s="1777"/>
      <c r="K123" s="1777"/>
      <c r="L123" s="1777"/>
      <c r="M123" s="1778"/>
      <c r="N123" s="2179" t="str">
        <f>'Document Checklist-Full List'!$N$215</f>
        <v xml:space="preserve">Projects that do not include Special Needs Units shall provide service amenities sufficient to achieve a minimum score of 7 points pursuant to TCAC Regulations, as set forth in CCR Title 4 §10325(c)(4)(B)List of service amenities qualifying for TCAC points, include service amenity name, number of service hours, and amount of TCAC points earned. </v>
      </c>
      <c r="O123" s="1777"/>
      <c r="P123" s="1777"/>
      <c r="Q123" s="1777"/>
      <c r="R123" s="1777"/>
      <c r="S123" s="1777"/>
      <c r="T123" s="1777"/>
      <c r="U123" s="1777"/>
      <c r="V123" s="1777"/>
      <c r="W123" s="1777"/>
      <c r="X123" s="1777"/>
      <c r="Y123" s="1777"/>
      <c r="Z123" s="1777"/>
      <c r="AA123" s="1777"/>
      <c r="AB123" s="1777"/>
      <c r="AC123" s="1777"/>
      <c r="AD123" s="1777"/>
      <c r="AE123" s="1778"/>
      <c r="AF123" s="1886" t="s">
        <v>559</v>
      </c>
      <c r="AG123" s="1777"/>
      <c r="AH123" s="1777"/>
      <c r="AI123" s="1777"/>
      <c r="AJ123" s="1777"/>
      <c r="AK123" s="1778"/>
      <c r="AL123" s="1911"/>
      <c r="AM123" s="1862"/>
      <c r="AQ123" s="593"/>
      <c r="AR123" s="593"/>
      <c r="AS123" s="593"/>
      <c r="AT123" s="593"/>
    </row>
    <row r="124" spans="2:46" ht="18" customHeight="1" thickTop="1">
      <c r="B124" s="244" t="s">
        <v>2008</v>
      </c>
      <c r="C124" s="2996" t="s">
        <v>2817</v>
      </c>
      <c r="D124" s="1798"/>
      <c r="E124" s="1798"/>
      <c r="F124" s="1798"/>
      <c r="G124" s="1798"/>
      <c r="H124" s="1798"/>
      <c r="I124" s="1798"/>
      <c r="J124" s="1798"/>
      <c r="K124" s="1798"/>
      <c r="L124" s="1798"/>
      <c r="M124" s="1798"/>
      <c r="N124" s="1798"/>
      <c r="O124" s="1798"/>
      <c r="P124" s="1798"/>
      <c r="Q124" s="1798"/>
      <c r="R124" s="1798"/>
      <c r="S124" s="1798"/>
      <c r="T124" s="1798"/>
      <c r="U124" s="1798"/>
      <c r="V124" s="1798"/>
      <c r="W124" s="1798"/>
      <c r="X124" s="1798"/>
      <c r="Y124" s="1798"/>
      <c r="Z124" s="1798"/>
      <c r="AA124" s="1798"/>
      <c r="AB124" s="1798"/>
      <c r="AC124" s="1798"/>
      <c r="AD124" s="1798"/>
      <c r="AE124" s="1798"/>
      <c r="AF124" s="1798"/>
      <c r="AG124" s="1798"/>
      <c r="AH124" s="1798"/>
      <c r="AI124" s="1798"/>
      <c r="AJ124" s="1798"/>
      <c r="AK124" s="1889"/>
      <c r="AL124" s="1911"/>
      <c r="AM124" s="1862"/>
    </row>
    <row r="125" spans="2:46" ht="36" customHeight="1">
      <c r="B125" s="244" t="s">
        <v>2010</v>
      </c>
      <c r="C125" s="1802" t="s">
        <v>2091</v>
      </c>
      <c r="D125" s="1798"/>
      <c r="E125" s="1798"/>
      <c r="F125" s="1798"/>
      <c r="G125" s="1798"/>
      <c r="H125" s="1798"/>
      <c r="I125" s="1798"/>
      <c r="J125" s="1798"/>
      <c r="K125" s="1798"/>
      <c r="L125" s="1798"/>
      <c r="M125" s="1798"/>
      <c r="N125" s="1798"/>
      <c r="O125" s="1798"/>
      <c r="P125" s="1798"/>
      <c r="Q125" s="1798"/>
      <c r="R125" s="1798"/>
      <c r="S125" s="1798"/>
      <c r="T125" s="1798"/>
      <c r="U125" s="1798"/>
      <c r="V125" s="1798"/>
      <c r="W125" s="1798"/>
      <c r="X125" s="1798"/>
      <c r="Y125" s="1798"/>
      <c r="Z125" s="1798"/>
      <c r="AA125" s="1798"/>
      <c r="AB125" s="1798"/>
      <c r="AC125" s="1798"/>
      <c r="AD125" s="1798"/>
      <c r="AE125" s="1798"/>
      <c r="AF125" s="1798"/>
      <c r="AG125" s="1798"/>
      <c r="AH125" s="1798"/>
      <c r="AI125" s="1798"/>
      <c r="AJ125" s="1798"/>
      <c r="AK125" s="476"/>
      <c r="AL125" s="1911"/>
      <c r="AM125" s="1862"/>
    </row>
    <row r="126" spans="2:46" ht="75.75" customHeight="1">
      <c r="B126" s="244"/>
      <c r="C126" s="269" t="s">
        <v>613</v>
      </c>
      <c r="D126" s="1802" t="s">
        <v>2092</v>
      </c>
      <c r="E126" s="1798"/>
      <c r="F126" s="1798"/>
      <c r="G126" s="1798"/>
      <c r="H126" s="1798"/>
      <c r="I126" s="1798"/>
      <c r="J126" s="1798"/>
      <c r="K126" s="1798"/>
      <c r="L126" s="1798"/>
      <c r="M126" s="1798"/>
      <c r="N126" s="1798"/>
      <c r="O126" s="1798"/>
      <c r="P126" s="1798"/>
      <c r="Q126" s="1798"/>
      <c r="R126" s="1798"/>
      <c r="S126" s="1798"/>
      <c r="T126" s="1798"/>
      <c r="U126" s="1798"/>
      <c r="V126" s="1798"/>
      <c r="W126" s="1798"/>
      <c r="X126" s="1798"/>
      <c r="Y126" s="1798"/>
      <c r="Z126" s="1798"/>
      <c r="AA126" s="1798"/>
      <c r="AB126" s="1798"/>
      <c r="AC126" s="1798"/>
      <c r="AD126" s="1798"/>
      <c r="AE126" s="1798"/>
      <c r="AF126" s="1798"/>
      <c r="AG126" s="1798"/>
      <c r="AH126" s="1798"/>
      <c r="AI126" s="1798"/>
      <c r="AJ126" s="1798"/>
      <c r="AK126" s="1798"/>
      <c r="AL126" s="382"/>
      <c r="AM126" s="382"/>
    </row>
    <row r="127" spans="2:46" ht="78.75" customHeight="1">
      <c r="B127" s="244"/>
      <c r="C127" s="269" t="s">
        <v>615</v>
      </c>
      <c r="D127" s="1802" t="s">
        <v>2818</v>
      </c>
      <c r="E127" s="1798"/>
      <c r="F127" s="1798"/>
      <c r="G127" s="1798"/>
      <c r="H127" s="1798"/>
      <c r="I127" s="1798"/>
      <c r="J127" s="1798"/>
      <c r="K127" s="1798"/>
      <c r="L127" s="1798"/>
      <c r="M127" s="1798"/>
      <c r="N127" s="1798"/>
      <c r="O127" s="1798"/>
      <c r="P127" s="1798"/>
      <c r="Q127" s="1798"/>
      <c r="R127" s="1798"/>
      <c r="S127" s="1798"/>
      <c r="T127" s="1798"/>
      <c r="U127" s="1798"/>
      <c r="V127" s="1798"/>
      <c r="W127" s="1798"/>
      <c r="X127" s="1798"/>
      <c r="Y127" s="1798"/>
      <c r="Z127" s="1798"/>
      <c r="AA127" s="1798"/>
      <c r="AB127" s="1798"/>
      <c r="AC127" s="1798"/>
      <c r="AD127" s="1798"/>
      <c r="AE127" s="1798"/>
      <c r="AF127" s="1798"/>
      <c r="AG127" s="1798"/>
      <c r="AH127" s="1798"/>
      <c r="AI127" s="1798"/>
      <c r="AJ127" s="1798"/>
      <c r="AK127" s="1798"/>
      <c r="AL127" s="382"/>
      <c r="AM127" s="382"/>
    </row>
    <row r="128" spans="2:46" ht="18" customHeight="1">
      <c r="B128" s="244"/>
      <c r="C128" s="269" t="s">
        <v>617</v>
      </c>
      <c r="D128" s="2989" t="s">
        <v>2094</v>
      </c>
      <c r="E128" s="1798"/>
      <c r="F128" s="1798"/>
      <c r="G128" s="1798"/>
      <c r="H128" s="1798"/>
      <c r="I128" s="1798"/>
      <c r="J128" s="1798"/>
      <c r="K128" s="1798"/>
      <c r="L128" s="1798"/>
      <c r="M128" s="1798"/>
      <c r="N128" s="1798"/>
      <c r="O128" s="1798"/>
      <c r="P128" s="1798"/>
      <c r="Q128" s="1798"/>
      <c r="R128" s="1798"/>
      <c r="S128" s="1798"/>
      <c r="T128" s="1798"/>
      <c r="U128" s="1798"/>
      <c r="V128" s="1798"/>
      <c r="W128" s="1798"/>
      <c r="X128" s="1798"/>
      <c r="Y128" s="1798"/>
      <c r="Z128" s="1798"/>
      <c r="AA128" s="1798"/>
      <c r="AB128" s="1798"/>
      <c r="AC128" s="1798"/>
      <c r="AD128" s="1798"/>
      <c r="AE128" s="1798"/>
      <c r="AF128" s="1798"/>
      <c r="AG128" s="1798"/>
      <c r="AH128" s="1798"/>
      <c r="AI128" s="1798"/>
      <c r="AJ128" s="1798"/>
      <c r="AK128" s="1889"/>
      <c r="AL128" s="1911"/>
      <c r="AM128" s="1862"/>
    </row>
    <row r="129" spans="2:39" ht="18" customHeight="1">
      <c r="B129" s="271"/>
      <c r="C129" s="267"/>
      <c r="D129" s="267" t="s">
        <v>1989</v>
      </c>
      <c r="E129" s="1802" t="s">
        <v>2095</v>
      </c>
      <c r="F129" s="1798"/>
      <c r="G129" s="1798"/>
      <c r="H129" s="1798"/>
      <c r="I129" s="1798"/>
      <c r="J129" s="1798"/>
      <c r="K129" s="1798"/>
      <c r="L129" s="1798"/>
      <c r="M129" s="1798"/>
      <c r="N129" s="1798"/>
      <c r="O129" s="1798"/>
      <c r="P129" s="1798"/>
      <c r="Q129" s="1798"/>
      <c r="R129" s="1798"/>
      <c r="S129" s="1798"/>
      <c r="T129" s="1798"/>
      <c r="U129" s="1798"/>
      <c r="V129" s="1798"/>
      <c r="W129" s="1798"/>
      <c r="X129" s="1798"/>
      <c r="Y129" s="1798"/>
      <c r="Z129" s="1798"/>
      <c r="AA129" s="1798"/>
      <c r="AB129" s="1798"/>
      <c r="AC129" s="1798"/>
      <c r="AD129" s="1798"/>
      <c r="AE129" s="1798"/>
      <c r="AF129" s="1798"/>
      <c r="AG129" s="1798"/>
      <c r="AH129" s="1798"/>
      <c r="AI129" s="1798"/>
      <c r="AJ129" s="1798"/>
      <c r="AK129" s="1798"/>
      <c r="AL129" s="476"/>
      <c r="AM129" s="476"/>
    </row>
    <row r="130" spans="2:39" ht="18" customHeight="1">
      <c r="B130" s="271"/>
      <c r="C130" s="267"/>
      <c r="D130" s="267" t="s">
        <v>1990</v>
      </c>
      <c r="E130" s="2180" t="s">
        <v>3157</v>
      </c>
      <c r="F130" s="1798"/>
      <c r="G130" s="1798"/>
      <c r="H130" s="1798"/>
      <c r="I130" s="1798"/>
      <c r="J130" s="1798"/>
      <c r="K130" s="1798"/>
      <c r="L130" s="1798"/>
      <c r="M130" s="1798"/>
      <c r="N130" s="1798"/>
      <c r="O130" s="1798"/>
      <c r="P130" s="1798"/>
      <c r="Q130" s="1798"/>
      <c r="R130" s="1798"/>
      <c r="S130" s="1798"/>
      <c r="T130" s="1798"/>
      <c r="U130" s="1798"/>
      <c r="V130" s="1798"/>
      <c r="W130" s="1798"/>
      <c r="X130" s="1798"/>
      <c r="Y130" s="1798"/>
      <c r="Z130" s="1798"/>
      <c r="AA130" s="1798"/>
      <c r="AB130" s="1798"/>
      <c r="AC130" s="1798"/>
      <c r="AD130" s="1798"/>
      <c r="AE130" s="1798"/>
      <c r="AF130" s="1798"/>
      <c r="AG130" s="1798"/>
      <c r="AH130" s="1798"/>
      <c r="AI130" s="1798"/>
      <c r="AJ130" s="1798"/>
      <c r="AK130" s="1798"/>
      <c r="AL130" s="476"/>
      <c r="AM130" s="476"/>
    </row>
    <row r="131" spans="2:39" ht="81.75" customHeight="1">
      <c r="B131" s="271"/>
      <c r="C131" s="269" t="s">
        <v>634</v>
      </c>
      <c r="D131" s="1802" t="s">
        <v>2097</v>
      </c>
      <c r="E131" s="1798"/>
      <c r="F131" s="1798"/>
      <c r="G131" s="1798"/>
      <c r="H131" s="1798"/>
      <c r="I131" s="1798"/>
      <c r="J131" s="1798"/>
      <c r="K131" s="1798"/>
      <c r="L131" s="1798"/>
      <c r="M131" s="1798"/>
      <c r="N131" s="1798"/>
      <c r="O131" s="1798"/>
      <c r="P131" s="1798"/>
      <c r="Q131" s="1798"/>
      <c r="R131" s="1798"/>
      <c r="S131" s="1798"/>
      <c r="T131" s="1798"/>
      <c r="U131" s="1798"/>
      <c r="V131" s="1798"/>
      <c r="W131" s="1798"/>
      <c r="X131" s="1798"/>
      <c r="Y131" s="1798"/>
      <c r="Z131" s="1798"/>
      <c r="AA131" s="1798"/>
      <c r="AB131" s="1798"/>
      <c r="AC131" s="1798"/>
      <c r="AD131" s="1798"/>
      <c r="AE131" s="1798"/>
      <c r="AF131" s="1798"/>
      <c r="AG131" s="1798"/>
      <c r="AH131" s="1798"/>
      <c r="AI131" s="1798"/>
      <c r="AJ131" s="1798"/>
      <c r="AK131" s="1798"/>
      <c r="AL131" s="1911"/>
      <c r="AM131" s="1862"/>
    </row>
    <row r="132" spans="2:39" ht="18" customHeight="1">
      <c r="B132" s="244" t="s">
        <v>2012</v>
      </c>
      <c r="C132" s="2180" t="s">
        <v>3158</v>
      </c>
      <c r="D132" s="1798"/>
      <c r="E132" s="1798"/>
      <c r="F132" s="1798"/>
      <c r="G132" s="1798"/>
      <c r="H132" s="1798"/>
      <c r="I132" s="1798"/>
      <c r="J132" s="1798"/>
      <c r="K132" s="1798"/>
      <c r="L132" s="1798"/>
      <c r="M132" s="1798"/>
      <c r="N132" s="1798"/>
      <c r="O132" s="1798"/>
      <c r="P132" s="1798"/>
      <c r="Q132" s="1798"/>
      <c r="R132" s="1798"/>
      <c r="S132" s="1798"/>
      <c r="T132" s="1798"/>
      <c r="U132" s="1798"/>
      <c r="V132" s="1798"/>
      <c r="W132" s="1798"/>
      <c r="X132" s="1798"/>
      <c r="Y132" s="1798"/>
      <c r="Z132" s="1798"/>
      <c r="AA132" s="1798"/>
      <c r="AB132" s="1798"/>
      <c r="AC132" s="1798"/>
      <c r="AD132" s="1798"/>
      <c r="AE132" s="1798"/>
      <c r="AF132" s="1798"/>
      <c r="AG132" s="1798"/>
      <c r="AH132" s="1798"/>
      <c r="AI132" s="1798"/>
      <c r="AJ132" s="1798"/>
      <c r="AK132" s="1798"/>
      <c r="AL132" s="1911"/>
      <c r="AM132" s="1862"/>
    </row>
    <row r="133" spans="2:39" ht="54.75" customHeight="1">
      <c r="B133" s="244" t="s">
        <v>2017</v>
      </c>
      <c r="C133" s="1806" t="s">
        <v>3159</v>
      </c>
      <c r="D133" s="1798"/>
      <c r="E133" s="1798"/>
      <c r="F133" s="1798"/>
      <c r="G133" s="1798"/>
      <c r="H133" s="1798"/>
      <c r="I133" s="1798"/>
      <c r="J133" s="1798"/>
      <c r="K133" s="1798"/>
      <c r="L133" s="1798"/>
      <c r="M133" s="1798"/>
      <c r="N133" s="1798"/>
      <c r="O133" s="1798"/>
      <c r="P133" s="1798"/>
      <c r="Q133" s="1798"/>
      <c r="R133" s="1798"/>
      <c r="S133" s="1798"/>
      <c r="T133" s="1798"/>
      <c r="U133" s="1798"/>
      <c r="V133" s="1798"/>
      <c r="W133" s="1798"/>
      <c r="X133" s="1798"/>
      <c r="Y133" s="1798"/>
      <c r="Z133" s="1798"/>
      <c r="AA133" s="1798"/>
      <c r="AB133" s="1798"/>
      <c r="AC133" s="1798"/>
      <c r="AD133" s="1798"/>
      <c r="AE133" s="1798"/>
      <c r="AF133" s="1798"/>
      <c r="AG133" s="1798"/>
      <c r="AH133" s="1798"/>
      <c r="AI133" s="1798"/>
      <c r="AJ133" s="1798"/>
      <c r="AK133" s="1798"/>
      <c r="AL133" s="1911"/>
      <c r="AM133" s="1862"/>
    </row>
    <row r="134" spans="2:39" ht="54" customHeight="1">
      <c r="C134" s="3202" t="s">
        <v>3160</v>
      </c>
      <c r="D134" s="1877"/>
      <c r="E134" s="1877"/>
      <c r="F134" s="1877"/>
      <c r="G134" s="1877"/>
      <c r="H134" s="1877"/>
      <c r="I134" s="1877"/>
      <c r="J134" s="1877"/>
      <c r="K134" s="1877"/>
      <c r="L134" s="1877"/>
      <c r="M134" s="1877"/>
      <c r="N134" s="1877"/>
      <c r="O134" s="1877"/>
      <c r="P134" s="1877"/>
      <c r="Q134" s="1877"/>
      <c r="R134" s="1877"/>
      <c r="S134" s="1877"/>
      <c r="T134" s="1877"/>
      <c r="U134" s="1877"/>
      <c r="V134" s="1877"/>
      <c r="W134" s="1877"/>
      <c r="X134" s="1877"/>
      <c r="Y134" s="1877"/>
      <c r="Z134" s="1877"/>
      <c r="AA134" s="1877"/>
      <c r="AB134" s="1877"/>
      <c r="AC134" s="1877"/>
      <c r="AD134" s="1877"/>
      <c r="AE134" s="1877"/>
      <c r="AF134" s="1877"/>
      <c r="AG134" s="1877"/>
      <c r="AH134" s="1877"/>
      <c r="AI134" s="1877"/>
      <c r="AJ134" s="1877"/>
      <c r="AK134" s="1877"/>
    </row>
    <row r="135" spans="2:39" ht="36" customHeight="1">
      <c r="B135" s="2268" t="s">
        <v>558</v>
      </c>
      <c r="C135" s="1777"/>
      <c r="D135" s="1778"/>
      <c r="E135" s="2179" t="str">
        <f>'Document Checklist-Full List'!$E$216</f>
        <v>114. Preference Policy for Occupancy</v>
      </c>
      <c r="F135" s="1777"/>
      <c r="G135" s="1777"/>
      <c r="H135" s="1777"/>
      <c r="I135" s="1777"/>
      <c r="J135" s="1777"/>
      <c r="K135" s="1777"/>
      <c r="L135" s="1777"/>
      <c r="M135" s="1778"/>
      <c r="N135" s="2179" t="str">
        <f>'Document Checklist-Full List'!$N$216</f>
        <v>Provide a written analysis of how the project complies with all applicable state and federal law with respect to any preference policies for occupancy.</v>
      </c>
      <c r="O135" s="1777"/>
      <c r="P135" s="1777"/>
      <c r="Q135" s="1777"/>
      <c r="R135" s="1777"/>
      <c r="S135" s="1777"/>
      <c r="T135" s="1777"/>
      <c r="U135" s="1777"/>
      <c r="V135" s="1777"/>
      <c r="W135" s="1777"/>
      <c r="X135" s="1777"/>
      <c r="Y135" s="1777"/>
      <c r="Z135" s="1777"/>
      <c r="AA135" s="1777"/>
      <c r="AB135" s="1777"/>
      <c r="AC135" s="1777"/>
      <c r="AD135" s="1777"/>
      <c r="AE135" s="1778"/>
      <c r="AF135" s="1886" t="s">
        <v>559</v>
      </c>
      <c r="AG135" s="1777"/>
      <c r="AH135" s="1777"/>
      <c r="AI135" s="1777"/>
      <c r="AJ135" s="1777"/>
      <c r="AK135" s="1778"/>
      <c r="AL135" s="1911"/>
      <c r="AM135" s="1862"/>
    </row>
    <row r="136" spans="2:39" ht="36" customHeight="1">
      <c r="B136" s="244" t="s">
        <v>651</v>
      </c>
      <c r="C136" s="1977" t="s">
        <v>2822</v>
      </c>
      <c r="D136" s="1953"/>
      <c r="E136" s="1953"/>
      <c r="F136" s="1953"/>
      <c r="G136" s="1953"/>
      <c r="H136" s="1953"/>
      <c r="I136" s="1953"/>
      <c r="J136" s="1953"/>
      <c r="K136" s="1953"/>
      <c r="L136" s="1953"/>
      <c r="M136" s="1953"/>
      <c r="N136" s="1953"/>
      <c r="O136" s="1953"/>
      <c r="P136" s="1953"/>
      <c r="Q136" s="1953"/>
      <c r="R136" s="1953"/>
      <c r="S136" s="1953"/>
      <c r="T136" s="1953"/>
      <c r="U136" s="1953"/>
      <c r="V136" s="1953"/>
      <c r="W136" s="1953"/>
      <c r="X136" s="1953"/>
      <c r="Y136" s="1953"/>
      <c r="Z136" s="1953"/>
      <c r="AA136" s="1953"/>
      <c r="AB136" s="1953"/>
      <c r="AC136" s="1953"/>
      <c r="AD136" s="1953"/>
      <c r="AE136" s="1953"/>
      <c r="AF136" s="1953"/>
      <c r="AG136" s="1953"/>
      <c r="AH136" s="1953"/>
      <c r="AI136" s="1953"/>
      <c r="AJ136" s="1953"/>
      <c r="AK136" s="1953"/>
    </row>
    <row r="137" spans="2:39" ht="18" customHeight="1">
      <c r="C137" s="1802" t="s">
        <v>3161</v>
      </c>
      <c r="D137" s="1798"/>
      <c r="E137" s="1798"/>
      <c r="F137" s="1798"/>
      <c r="G137" s="1798"/>
      <c r="H137" s="1798"/>
      <c r="I137" s="1798"/>
      <c r="J137" s="1798"/>
      <c r="K137" s="1798"/>
      <c r="L137" s="1798"/>
      <c r="M137" s="1798"/>
      <c r="N137" s="1798"/>
      <c r="O137" s="1798"/>
      <c r="P137" s="1798"/>
      <c r="Q137" s="1798"/>
      <c r="R137" s="1798"/>
      <c r="S137" s="1798"/>
      <c r="T137" s="1798"/>
      <c r="U137" s="1798"/>
      <c r="V137" s="1798"/>
      <c r="W137" s="1798"/>
      <c r="X137" s="1798"/>
      <c r="Y137" s="1798"/>
      <c r="Z137" s="1798"/>
      <c r="AA137" s="1798"/>
      <c r="AB137" s="1798"/>
      <c r="AC137" s="1798"/>
      <c r="AD137" s="1798"/>
      <c r="AE137" s="1798"/>
      <c r="AF137" s="1798"/>
      <c r="AG137" s="1798"/>
      <c r="AH137" s="1798"/>
      <c r="AI137" s="1798"/>
      <c r="AJ137" s="1798"/>
      <c r="AK137" s="1798"/>
    </row>
    <row r="139" spans="2:39" ht="18" customHeight="1">
      <c r="B139" s="2180" t="s">
        <v>1954</v>
      </c>
      <c r="C139" s="1798"/>
      <c r="D139" s="1798"/>
      <c r="E139" s="1798"/>
      <c r="F139" s="1798"/>
      <c r="G139" s="1798"/>
      <c r="H139" s="476"/>
      <c r="I139" s="476"/>
      <c r="J139" s="476"/>
      <c r="K139" s="476"/>
      <c r="L139" s="476"/>
      <c r="M139" s="476"/>
      <c r="N139" s="476"/>
      <c r="O139" s="476"/>
      <c r="P139" s="476"/>
      <c r="Q139" s="476"/>
      <c r="R139" s="476"/>
      <c r="S139" s="476"/>
      <c r="T139" s="476"/>
      <c r="U139" s="476"/>
      <c r="V139" s="476"/>
      <c r="W139" s="476"/>
      <c r="X139" s="476"/>
      <c r="Y139" s="476"/>
      <c r="Z139" s="476"/>
      <c r="AA139" s="476"/>
      <c r="AB139" s="476"/>
      <c r="AC139" s="476"/>
      <c r="AD139" s="476"/>
      <c r="AE139" s="476"/>
      <c r="AF139" s="476"/>
      <c r="AG139" s="476"/>
      <c r="AH139" s="476"/>
      <c r="AI139" s="476"/>
      <c r="AJ139" s="476"/>
      <c r="AK139" s="476"/>
      <c r="AL139" s="476"/>
      <c r="AM139" s="476"/>
    </row>
    <row r="140" spans="2:39" ht="112.5" customHeight="1">
      <c r="B140" s="2003"/>
      <c r="C140" s="1861"/>
      <c r="D140" s="1861"/>
      <c r="E140" s="1861"/>
      <c r="F140" s="1861"/>
      <c r="G140" s="1861"/>
      <c r="H140" s="1861"/>
      <c r="I140" s="1861"/>
      <c r="J140" s="1861"/>
      <c r="K140" s="1861"/>
      <c r="L140" s="1861"/>
      <c r="M140" s="1861"/>
      <c r="N140" s="1861"/>
      <c r="O140" s="1861"/>
      <c r="P140" s="1861"/>
      <c r="Q140" s="1861"/>
      <c r="R140" s="1861"/>
      <c r="S140" s="1861"/>
      <c r="T140" s="1861"/>
      <c r="U140" s="1861"/>
      <c r="V140" s="1861"/>
      <c r="W140" s="1861"/>
      <c r="X140" s="1861"/>
      <c r="Y140" s="1861"/>
      <c r="Z140" s="1861"/>
      <c r="AA140" s="1861"/>
      <c r="AB140" s="1861"/>
      <c r="AC140" s="1861"/>
      <c r="AD140" s="1861"/>
      <c r="AE140" s="1861"/>
      <c r="AF140" s="1861"/>
      <c r="AG140" s="1861"/>
      <c r="AH140" s="1861"/>
      <c r="AI140" s="1861"/>
      <c r="AJ140" s="1861"/>
      <c r="AK140" s="1861"/>
      <c r="AL140" s="1861"/>
      <c r="AM140" s="1862"/>
    </row>
    <row r="142" spans="2:39" ht="36" customHeight="1">
      <c r="B142" s="3006" t="s">
        <v>3162</v>
      </c>
      <c r="C142" s="1877"/>
      <c r="D142" s="1877"/>
      <c r="E142" s="1877"/>
      <c r="F142" s="1877"/>
      <c r="G142" s="1877"/>
      <c r="H142" s="1877"/>
      <c r="I142" s="1877"/>
      <c r="J142" s="1877"/>
      <c r="K142" s="1877"/>
      <c r="L142" s="1877"/>
      <c r="M142" s="1877"/>
      <c r="N142" s="1877"/>
      <c r="O142" s="1877"/>
      <c r="P142" s="1877"/>
      <c r="Q142" s="1877"/>
      <c r="R142" s="1877"/>
      <c r="S142" s="1877"/>
      <c r="T142" s="1877"/>
      <c r="U142" s="1877"/>
      <c r="V142" s="1877"/>
      <c r="W142" s="1877"/>
      <c r="X142" s="1877"/>
      <c r="Y142" s="1877"/>
      <c r="Z142" s="1877"/>
      <c r="AA142" s="1877"/>
      <c r="AB142" s="1877"/>
      <c r="AC142" s="1877"/>
      <c r="AD142" s="1877"/>
      <c r="AE142" s="1877"/>
      <c r="AF142" s="1877"/>
      <c r="AG142" s="1877"/>
      <c r="AH142" s="1877"/>
      <c r="AI142" s="1877"/>
      <c r="AJ142" s="1877"/>
      <c r="AK142" s="1877"/>
      <c r="AL142" s="1877"/>
      <c r="AM142" s="1877"/>
    </row>
    <row r="143" spans="2:39" ht="18" customHeight="1">
      <c r="B143" s="1798"/>
      <c r="C143" s="1798"/>
      <c r="D143" s="1798"/>
      <c r="E143" s="1798"/>
      <c r="F143" s="1798"/>
      <c r="G143" s="1798"/>
      <c r="H143" s="1798"/>
      <c r="I143" s="1798"/>
      <c r="J143" s="1798"/>
      <c r="K143" s="1798"/>
      <c r="L143" s="1798"/>
      <c r="M143" s="1798"/>
      <c r="N143" s="1798"/>
      <c r="O143" s="1798"/>
      <c r="P143" s="1798"/>
      <c r="Q143" s="1798"/>
      <c r="R143" s="1798"/>
      <c r="S143" s="1798"/>
    </row>
    <row r="144" spans="2:39" ht="18" customHeight="1">
      <c r="B144" s="2989" t="s">
        <v>3163</v>
      </c>
      <c r="C144" s="1798"/>
      <c r="D144" s="1798"/>
      <c r="E144" s="1798"/>
      <c r="F144" s="1798"/>
      <c r="G144" s="1798"/>
      <c r="H144" s="1798"/>
      <c r="I144" s="1798"/>
      <c r="J144" s="1798"/>
      <c r="K144" s="1798"/>
      <c r="L144" s="1798"/>
      <c r="M144" s="1798"/>
      <c r="N144" s="1798"/>
      <c r="O144" s="1798"/>
      <c r="P144" s="1798"/>
      <c r="Q144" s="1889"/>
      <c r="R144" s="1911"/>
      <c r="S144" s="1862"/>
    </row>
    <row r="145" spans="2:19" ht="18" customHeight="1">
      <c r="B145" s="2989" t="s">
        <v>3164</v>
      </c>
      <c r="C145" s="1798"/>
      <c r="D145" s="1798"/>
      <c r="E145" s="1798"/>
      <c r="F145" s="1798"/>
      <c r="G145" s="1798"/>
      <c r="H145" s="1798"/>
      <c r="I145" s="1798"/>
      <c r="J145" s="1798"/>
      <c r="K145" s="1798"/>
      <c r="L145" s="1798"/>
      <c r="M145" s="1798"/>
      <c r="N145" s="1798"/>
      <c r="O145" s="1798"/>
      <c r="P145" s="1798"/>
      <c r="Q145" s="1889"/>
      <c r="R145" s="1911"/>
      <c r="S145" s="1862"/>
    </row>
    <row r="146" spans="2:19" ht="18" customHeight="1">
      <c r="B146" s="2989" t="s">
        <v>3165</v>
      </c>
      <c r="C146" s="1798"/>
      <c r="D146" s="1798"/>
      <c r="E146" s="1798"/>
      <c r="F146" s="1798"/>
      <c r="G146" s="1798"/>
      <c r="H146" s="1798"/>
      <c r="I146" s="1798"/>
      <c r="J146" s="1798"/>
      <c r="K146" s="1798"/>
      <c r="L146" s="1798"/>
      <c r="M146" s="1798"/>
      <c r="N146" s="1798"/>
      <c r="O146" s="1798"/>
      <c r="P146" s="1798"/>
      <c r="Q146" s="1889"/>
      <c r="R146" s="1911"/>
      <c r="S146" s="1862"/>
    </row>
    <row r="147" spans="2:19" ht="18" customHeight="1">
      <c r="B147" s="2989" t="s">
        <v>3166</v>
      </c>
      <c r="C147" s="1798"/>
      <c r="D147" s="1798"/>
      <c r="E147" s="1798"/>
      <c r="F147" s="1798"/>
      <c r="G147" s="1798"/>
      <c r="H147" s="1798"/>
      <c r="I147" s="1798"/>
      <c r="J147" s="1798"/>
      <c r="K147" s="1798"/>
      <c r="L147" s="1798"/>
      <c r="M147" s="1798"/>
      <c r="N147" s="1798"/>
      <c r="O147" s="1798"/>
      <c r="P147" s="1798"/>
      <c r="Q147" s="1889"/>
      <c r="R147" s="1911"/>
      <c r="S147" s="1862"/>
    </row>
    <row r="148" spans="2:19" ht="18" customHeight="1">
      <c r="B148" s="2989" t="s">
        <v>3167</v>
      </c>
      <c r="C148" s="1798"/>
      <c r="D148" s="1798"/>
      <c r="E148" s="1798"/>
      <c r="F148" s="1798"/>
      <c r="G148" s="1798"/>
      <c r="H148" s="1798"/>
      <c r="I148" s="1798"/>
      <c r="J148" s="1798"/>
      <c r="K148" s="1798"/>
      <c r="L148" s="1798"/>
      <c r="M148" s="1798"/>
      <c r="N148" s="1798"/>
      <c r="O148" s="1798"/>
      <c r="P148" s="1798"/>
      <c r="Q148" s="1889"/>
      <c r="R148" s="1911"/>
      <c r="S148" s="1862"/>
    </row>
    <row r="149" spans="2:19" ht="18" customHeight="1">
      <c r="B149" s="2989" t="s">
        <v>3168</v>
      </c>
      <c r="C149" s="1798"/>
      <c r="D149" s="1798"/>
      <c r="E149" s="1798"/>
      <c r="F149" s="1798"/>
      <c r="G149" s="1798"/>
      <c r="H149" s="1798"/>
      <c r="I149" s="1798"/>
      <c r="J149" s="1798"/>
      <c r="K149" s="1798"/>
      <c r="L149" s="1798"/>
      <c r="M149" s="1798"/>
      <c r="N149" s="1798"/>
      <c r="O149" s="1798"/>
      <c r="P149" s="1798"/>
      <c r="Q149" s="1889"/>
      <c r="R149" s="1911"/>
      <c r="S149" s="1862"/>
    </row>
    <row r="150" spans="2:19" ht="18" customHeight="1">
      <c r="B150" s="2989" t="s">
        <v>3169</v>
      </c>
      <c r="C150" s="1798"/>
      <c r="D150" s="1798"/>
      <c r="E150" s="1798"/>
      <c r="F150" s="1798"/>
      <c r="G150" s="1798"/>
      <c r="H150" s="1798"/>
      <c r="I150" s="1798"/>
      <c r="J150" s="1798"/>
      <c r="K150" s="1798"/>
      <c r="L150" s="1798"/>
      <c r="M150" s="1798"/>
      <c r="N150" s="1798"/>
      <c r="O150" s="1798"/>
      <c r="P150" s="1798"/>
      <c r="Q150" s="1889"/>
      <c r="R150" s="1911"/>
      <c r="S150" s="1862"/>
    </row>
    <row r="151" spans="2:19" ht="18" customHeight="1">
      <c r="B151" s="2989" t="s">
        <v>2132</v>
      </c>
      <c r="C151" s="1798"/>
      <c r="D151" s="1798"/>
      <c r="E151" s="1798"/>
      <c r="F151" s="1798"/>
      <c r="G151" s="1798"/>
      <c r="H151" s="1798"/>
      <c r="I151" s="1798"/>
      <c r="J151" s="1798"/>
      <c r="K151" s="1798"/>
      <c r="L151" s="1798"/>
      <c r="M151" s="1798"/>
      <c r="N151" s="1798"/>
      <c r="O151" s="1798"/>
      <c r="P151" s="1798"/>
      <c r="Q151" s="1889"/>
      <c r="R151" s="1911"/>
      <c r="S151" s="1862"/>
    </row>
    <row r="152" spans="2:19" ht="36" customHeight="1">
      <c r="B152" s="2989" t="s">
        <v>2133</v>
      </c>
      <c r="C152" s="1798"/>
      <c r="D152" s="1798"/>
      <c r="E152" s="1798"/>
      <c r="F152" s="1798"/>
      <c r="G152" s="1798"/>
      <c r="H152" s="1798"/>
      <c r="I152" s="1798"/>
      <c r="J152" s="1798"/>
      <c r="K152" s="1798"/>
      <c r="L152" s="1798"/>
      <c r="M152" s="1798"/>
      <c r="N152" s="1798"/>
      <c r="O152" s="1798"/>
      <c r="P152" s="1798"/>
      <c r="Q152" s="1889"/>
      <c r="R152" s="1911"/>
      <c r="S152" s="1862"/>
    </row>
    <row r="153" spans="2:19" ht="18" customHeight="1">
      <c r="B153" s="2989" t="s">
        <v>2134</v>
      </c>
      <c r="C153" s="1798"/>
      <c r="D153" s="1798"/>
      <c r="E153" s="1798"/>
      <c r="F153" s="1798"/>
      <c r="G153" s="1798"/>
      <c r="H153" s="1798"/>
      <c r="I153" s="1798"/>
      <c r="J153" s="1798"/>
      <c r="K153" s="1798"/>
      <c r="L153" s="1798"/>
      <c r="M153" s="1798"/>
      <c r="N153" s="1798"/>
      <c r="O153" s="1798"/>
      <c r="P153" s="1798"/>
      <c r="Q153" s="1889"/>
      <c r="R153" s="1911"/>
      <c r="S153" s="1862"/>
    </row>
    <row r="154" spans="2:19" ht="18" customHeight="1">
      <c r="B154" s="2989" t="s">
        <v>2135</v>
      </c>
      <c r="C154" s="1798"/>
      <c r="D154" s="1798"/>
      <c r="E154" s="1798"/>
      <c r="F154" s="1798"/>
      <c r="G154" s="1798"/>
      <c r="H154" s="1798"/>
      <c r="I154" s="1798"/>
      <c r="J154" s="1798"/>
      <c r="K154" s="1798"/>
      <c r="L154" s="1798"/>
      <c r="M154" s="1798"/>
      <c r="N154" s="1798"/>
      <c r="O154" s="1798"/>
      <c r="P154" s="1798"/>
      <c r="Q154" s="1889"/>
      <c r="R154" s="1911"/>
      <c r="S154" s="1862"/>
    </row>
    <row r="155" spans="2:19" ht="18" customHeight="1">
      <c r="B155" s="2989" t="s">
        <v>2136</v>
      </c>
      <c r="C155" s="1798"/>
      <c r="D155" s="1798"/>
      <c r="E155" s="1798"/>
      <c r="F155" s="1798"/>
      <c r="G155" s="1798"/>
      <c r="H155" s="1798"/>
      <c r="I155" s="1798"/>
      <c r="J155" s="1798"/>
      <c r="K155" s="1798"/>
      <c r="L155" s="1798"/>
      <c r="M155" s="1798"/>
      <c r="N155" s="1798"/>
      <c r="O155" s="1798"/>
      <c r="P155" s="1798"/>
      <c r="Q155" s="1889"/>
      <c r="R155" s="1911"/>
      <c r="S155" s="1862"/>
    </row>
    <row r="156" spans="2:19" ht="18" customHeight="1">
      <c r="B156" s="2989" t="s">
        <v>2137</v>
      </c>
      <c r="C156" s="1798"/>
      <c r="D156" s="1798"/>
      <c r="E156" s="1798"/>
      <c r="F156" s="1798"/>
      <c r="G156" s="1798"/>
      <c r="H156" s="1798"/>
      <c r="I156" s="1798"/>
      <c r="J156" s="1798"/>
      <c r="K156" s="1798"/>
      <c r="L156" s="1798"/>
      <c r="M156" s="1798"/>
      <c r="N156" s="1798"/>
      <c r="O156" s="1798"/>
      <c r="P156" s="1798"/>
      <c r="Q156" s="1889"/>
      <c r="R156" s="1911"/>
      <c r="S156" s="1862"/>
    </row>
    <row r="157" spans="2:19" ht="18" customHeight="1">
      <c r="B157" s="2989" t="s">
        <v>3170</v>
      </c>
      <c r="C157" s="1798"/>
      <c r="D157" s="1798"/>
      <c r="E157" s="1798"/>
      <c r="F157" s="1798"/>
      <c r="G157" s="1798"/>
      <c r="H157" s="1798"/>
      <c r="I157" s="1798"/>
      <c r="J157" s="1798"/>
      <c r="K157" s="1798"/>
      <c r="L157" s="1798"/>
      <c r="M157" s="1798"/>
      <c r="N157" s="1798"/>
      <c r="O157" s="1798"/>
      <c r="P157" s="1798"/>
      <c r="Q157" s="1889"/>
      <c r="R157" s="1911"/>
      <c r="S157" s="1862"/>
    </row>
    <row r="158" spans="2:19" ht="18" customHeight="1">
      <c r="B158" s="2989" t="s">
        <v>2138</v>
      </c>
      <c r="C158" s="1798"/>
      <c r="D158" s="1798"/>
      <c r="E158" s="1798"/>
      <c r="F158" s="1798"/>
      <c r="G158" s="1798"/>
      <c r="H158" s="1798"/>
      <c r="I158" s="1798"/>
      <c r="J158" s="1798"/>
      <c r="K158" s="1798"/>
      <c r="L158" s="1798"/>
      <c r="M158" s="1798"/>
      <c r="N158" s="1798"/>
      <c r="O158" s="1798"/>
      <c r="P158" s="1798"/>
      <c r="Q158" s="1889"/>
      <c r="R158" s="1911"/>
      <c r="S158" s="1862"/>
    </row>
    <row r="159" spans="2:19" ht="18" customHeight="1">
      <c r="B159" s="2989" t="s">
        <v>2139</v>
      </c>
      <c r="C159" s="1798"/>
      <c r="D159" s="1798"/>
      <c r="E159" s="1798"/>
      <c r="F159" s="1798"/>
      <c r="G159" s="1798"/>
      <c r="H159" s="1798"/>
      <c r="I159" s="1798"/>
      <c r="J159" s="1798"/>
      <c r="K159" s="1798"/>
      <c r="L159" s="1798"/>
      <c r="M159" s="1798"/>
      <c r="N159" s="1798"/>
      <c r="O159" s="1798"/>
      <c r="P159" s="1798"/>
      <c r="Q159" s="1889"/>
      <c r="R159" s="1911"/>
      <c r="S159" s="1862"/>
    </row>
    <row r="160" spans="2:19" ht="18" customHeight="1">
      <c r="B160" s="2989" t="s">
        <v>3171</v>
      </c>
      <c r="C160" s="1798"/>
      <c r="D160" s="1798"/>
      <c r="E160" s="1798"/>
      <c r="F160" s="1798"/>
      <c r="G160" s="1798"/>
      <c r="H160" s="1798"/>
      <c r="I160" s="1798"/>
      <c r="J160" s="1798"/>
      <c r="K160" s="1798"/>
      <c r="L160" s="1798"/>
      <c r="M160" s="1798"/>
      <c r="N160" s="1798"/>
      <c r="O160" s="1798"/>
      <c r="P160" s="1798"/>
      <c r="Q160" s="1889"/>
      <c r="R160" s="1911"/>
      <c r="S160" s="1862"/>
    </row>
    <row r="161" spans="2:39" ht="18" customHeight="1">
      <c r="B161" s="2989" t="s">
        <v>3172</v>
      </c>
      <c r="C161" s="1798"/>
      <c r="D161" s="1798"/>
      <c r="E161" s="1798"/>
      <c r="F161" s="1798"/>
      <c r="G161" s="1798"/>
      <c r="H161" s="1798"/>
      <c r="I161" s="1798"/>
      <c r="J161" s="1798"/>
      <c r="K161" s="1798"/>
      <c r="L161" s="1798"/>
      <c r="M161" s="1798"/>
      <c r="N161" s="1798"/>
      <c r="O161" s="1798"/>
      <c r="P161" s="1798"/>
      <c r="Q161" s="1889"/>
      <c r="R161" s="1911"/>
      <c r="S161" s="1862"/>
    </row>
    <row r="162" spans="2:39" ht="18" customHeight="1">
      <c r="B162" s="2989" t="s">
        <v>3173</v>
      </c>
      <c r="C162" s="1798"/>
      <c r="D162" s="1798"/>
      <c r="E162" s="1798"/>
      <c r="F162" s="1798"/>
      <c r="G162" s="1798"/>
      <c r="H162" s="1798"/>
      <c r="I162" s="1798"/>
      <c r="J162" s="1798"/>
      <c r="K162" s="1798"/>
      <c r="L162" s="1798"/>
      <c r="M162" s="1798"/>
      <c r="N162" s="1798"/>
      <c r="O162" s="1798"/>
      <c r="P162" s="1798"/>
      <c r="Q162" s="1889"/>
      <c r="R162" s="1911"/>
      <c r="S162" s="1862"/>
    </row>
    <row r="163" spans="2:39" ht="18" customHeight="1">
      <c r="B163" s="2989" t="s">
        <v>3174</v>
      </c>
      <c r="C163" s="1798"/>
      <c r="D163" s="1798"/>
      <c r="E163" s="1798"/>
      <c r="F163" s="1798"/>
      <c r="G163" s="1798"/>
      <c r="H163" s="1798"/>
      <c r="I163" s="1798"/>
      <c r="J163" s="1798"/>
      <c r="K163" s="1798"/>
      <c r="L163" s="1798"/>
      <c r="M163" s="1798"/>
      <c r="N163" s="1798"/>
      <c r="O163" s="1798"/>
      <c r="P163" s="1798"/>
      <c r="Q163" s="1889"/>
      <c r="R163" s="1911"/>
      <c r="S163" s="1862"/>
    </row>
    <row r="164" spans="2:39" ht="18" customHeight="1">
      <c r="B164" s="2989" t="s">
        <v>3175</v>
      </c>
      <c r="C164" s="1798"/>
      <c r="D164" s="1798"/>
      <c r="E164" s="1798"/>
      <c r="F164" s="1798"/>
      <c r="G164" s="1798"/>
      <c r="H164" s="1798"/>
      <c r="I164" s="1798"/>
      <c r="J164" s="1798"/>
      <c r="K164" s="1798"/>
      <c r="L164" s="1798"/>
      <c r="M164" s="1798"/>
      <c r="N164" s="1798"/>
      <c r="O164" s="1798"/>
      <c r="P164" s="1798"/>
      <c r="Q164" s="1889"/>
      <c r="R164" s="1911"/>
      <c r="S164" s="1862"/>
    </row>
    <row r="165" spans="2:39" ht="18" customHeight="1">
      <c r="B165" s="2989" t="s">
        <v>3176</v>
      </c>
      <c r="C165" s="1798"/>
      <c r="D165" s="1798"/>
      <c r="E165" s="1798"/>
      <c r="F165" s="1798"/>
      <c r="G165" s="1798"/>
      <c r="H165" s="1798"/>
      <c r="I165" s="1798"/>
      <c r="J165" s="1798"/>
      <c r="K165" s="1798"/>
      <c r="L165" s="1798"/>
      <c r="M165" s="1798"/>
      <c r="N165" s="1798"/>
      <c r="O165" s="1798"/>
      <c r="P165" s="1798"/>
      <c r="Q165" s="1889"/>
      <c r="R165" s="1911"/>
      <c r="S165" s="1862"/>
    </row>
    <row r="167" spans="2:39" ht="18" customHeight="1">
      <c r="B167" s="1798"/>
      <c r="C167" s="1798"/>
      <c r="D167" s="1798"/>
      <c r="E167" s="1798"/>
      <c r="F167" s="1798"/>
    </row>
    <row r="168" spans="2:39" ht="63" customHeight="1">
      <c r="B168" s="2003"/>
      <c r="C168" s="1861"/>
      <c r="D168" s="1861"/>
      <c r="E168" s="1861"/>
      <c r="F168" s="1861"/>
      <c r="G168" s="1861"/>
      <c r="H168" s="1861"/>
      <c r="I168" s="1861"/>
      <c r="J168" s="1861"/>
      <c r="K168" s="1861"/>
      <c r="L168" s="1861"/>
      <c r="M168" s="1861"/>
      <c r="N168" s="1861"/>
      <c r="O168" s="1861"/>
      <c r="P168" s="1861"/>
      <c r="Q168" s="1861"/>
      <c r="R168" s="1861"/>
      <c r="S168" s="1861"/>
      <c r="T168" s="1861"/>
      <c r="U168" s="1861"/>
      <c r="V168" s="1861"/>
      <c r="W168" s="1861"/>
      <c r="X168" s="1861"/>
      <c r="Y168" s="1861"/>
      <c r="Z168" s="1861"/>
      <c r="AA168" s="1861"/>
      <c r="AB168" s="1861"/>
      <c r="AC168" s="1861"/>
      <c r="AD168" s="1861"/>
      <c r="AE168" s="1861"/>
      <c r="AF168" s="1861"/>
      <c r="AG168" s="1861"/>
      <c r="AH168" s="1861"/>
      <c r="AI168" s="1861"/>
      <c r="AJ168" s="1861"/>
      <c r="AK168" s="1861"/>
      <c r="AL168" s="1861"/>
      <c r="AM168" s="1862"/>
    </row>
    <row r="170" spans="2:39" ht="18" customHeight="1">
      <c r="B170" s="1798"/>
      <c r="C170" s="1798"/>
      <c r="D170" s="1798"/>
      <c r="E170" s="1798"/>
      <c r="F170" s="1798"/>
      <c r="G170" s="1798"/>
      <c r="H170" s="1798"/>
      <c r="I170" s="1798"/>
      <c r="J170" s="1798"/>
      <c r="K170" s="1798"/>
      <c r="L170" s="1798"/>
      <c r="M170" s="1798"/>
      <c r="N170" s="1798"/>
      <c r="O170" s="1798"/>
      <c r="P170" s="1798"/>
      <c r="Q170" s="1798"/>
      <c r="R170" s="1798"/>
      <c r="S170" s="1798"/>
      <c r="T170" s="1798"/>
      <c r="U170" s="1798"/>
      <c r="V170" s="1798"/>
      <c r="W170" s="1798"/>
      <c r="X170" s="1798"/>
      <c r="Y170" s="1798"/>
      <c r="Z170" s="1798"/>
      <c r="AA170" s="1798"/>
      <c r="AB170" s="1798"/>
      <c r="AC170" s="1798"/>
      <c r="AD170" s="1798"/>
      <c r="AE170" s="1798"/>
      <c r="AF170" s="1798"/>
      <c r="AG170" s="1798"/>
      <c r="AH170" s="1798"/>
      <c r="AI170" s="1798"/>
      <c r="AJ170" s="1798"/>
      <c r="AK170" s="1798"/>
      <c r="AL170" s="1798"/>
      <c r="AM170" s="1798"/>
    </row>
  </sheetData>
  <sheetProtection algorithmName="SHA-512" hashValue="T4+fWojTQqERAVipzPB8TIK6dzXxKX7U7r+qZrgtu1q+PAntH2fLUQ8LC2v38LexYCgPHfvd0+jBj7UvTSkJxQ==" saltValue="1ooTgOJnYsLWo6PqObO71A==" spinCount="100000" sheet="1" objects="1" scenarios="1"/>
  <mergeCells count="262">
    <mergeCell ref="B4:AM4"/>
    <mergeCell ref="N61:AE61"/>
    <mergeCell ref="AL36:AM36"/>
    <mergeCell ref="F42:AI42"/>
    <mergeCell ref="D18:AK18"/>
    <mergeCell ref="B164:Q164"/>
    <mergeCell ref="C108:AK108"/>
    <mergeCell ref="AL77:AM77"/>
    <mergeCell ref="R149:S149"/>
    <mergeCell ref="D64:AK64"/>
    <mergeCell ref="R158:S158"/>
    <mergeCell ref="AL100:AM100"/>
    <mergeCell ref="D13:E13"/>
    <mergeCell ref="AF114:AK114"/>
    <mergeCell ref="B154:Q154"/>
    <mergeCell ref="D113:AK113"/>
    <mergeCell ref="AF123:AK123"/>
    <mergeCell ref="F30:AK30"/>
    <mergeCell ref="B68:G68"/>
    <mergeCell ref="B139:G139"/>
    <mergeCell ref="E89:AK89"/>
    <mergeCell ref="B156:Q156"/>
    <mergeCell ref="F20:AK20"/>
    <mergeCell ref="C109:AK109"/>
    <mergeCell ref="R159:S159"/>
    <mergeCell ref="AL14:AM14"/>
    <mergeCell ref="D101:AK101"/>
    <mergeCell ref="AL117:AM117"/>
    <mergeCell ref="E56:AK56"/>
    <mergeCell ref="L21:M21"/>
    <mergeCell ref="D77:AK77"/>
    <mergeCell ref="R161:S161"/>
    <mergeCell ref="C70:AK70"/>
    <mergeCell ref="B96:D96"/>
    <mergeCell ref="AL119:AM119"/>
    <mergeCell ref="D126:AK126"/>
    <mergeCell ref="E33:AK33"/>
    <mergeCell ref="AL128:AM128"/>
    <mergeCell ref="D75:AK75"/>
    <mergeCell ref="B158:Q158"/>
    <mergeCell ref="E39:F39"/>
    <mergeCell ref="AL65:AM65"/>
    <mergeCell ref="AL16:AM16"/>
    <mergeCell ref="D14:AK14"/>
    <mergeCell ref="F29:AK29"/>
    <mergeCell ref="F25:AK25"/>
    <mergeCell ref="AL113:AM113"/>
    <mergeCell ref="R157:S157"/>
    <mergeCell ref="R153:S153"/>
    <mergeCell ref="D103:AK103"/>
    <mergeCell ref="E35:AK35"/>
    <mergeCell ref="C51:AM51"/>
    <mergeCell ref="N93:AE93"/>
    <mergeCell ref="AL99:AM99"/>
    <mergeCell ref="D112:AK112"/>
    <mergeCell ref="F88:AK88"/>
    <mergeCell ref="R146:S146"/>
    <mergeCell ref="B78:G78"/>
    <mergeCell ref="D127:AK127"/>
    <mergeCell ref="N96:AE96"/>
    <mergeCell ref="D53:AK53"/>
    <mergeCell ref="D63:E63"/>
    <mergeCell ref="E87:AK87"/>
    <mergeCell ref="C136:AK136"/>
    <mergeCell ref="B143:Q143"/>
    <mergeCell ref="D83:S83"/>
    <mergeCell ref="D102:AK102"/>
    <mergeCell ref="E114:M114"/>
    <mergeCell ref="AL74:AM74"/>
    <mergeCell ref="E44:AK44"/>
    <mergeCell ref="C71:AM71"/>
    <mergeCell ref="C107:D107"/>
    <mergeCell ref="B167:F167"/>
    <mergeCell ref="E38:F38"/>
    <mergeCell ref="AL89:AM89"/>
    <mergeCell ref="D15:AK15"/>
    <mergeCell ref="B160:Q160"/>
    <mergeCell ref="D11:E11"/>
    <mergeCell ref="AL76:AM76"/>
    <mergeCell ref="N21:U21"/>
    <mergeCell ref="AL25:AM25"/>
    <mergeCell ref="B144:Q144"/>
    <mergeCell ref="B153:Q153"/>
    <mergeCell ref="AL75:AM75"/>
    <mergeCell ref="E45:AK45"/>
    <mergeCell ref="B104:G104"/>
    <mergeCell ref="D47:E47"/>
    <mergeCell ref="R152:S152"/>
    <mergeCell ref="B157:Q157"/>
    <mergeCell ref="E123:M123"/>
    <mergeCell ref="E129:AK129"/>
    <mergeCell ref="AL44:AM44"/>
    <mergeCell ref="E85:AG85"/>
    <mergeCell ref="AL22:AM22"/>
    <mergeCell ref="AL122:AM122"/>
    <mergeCell ref="C72:AK72"/>
    <mergeCell ref="R143:S143"/>
    <mergeCell ref="AL29:AM29"/>
    <mergeCell ref="C52:AK52"/>
    <mergeCell ref="B148:Q148"/>
    <mergeCell ref="D76:AK76"/>
    <mergeCell ref="AL109:AM109"/>
    <mergeCell ref="X31:Y31"/>
    <mergeCell ref="E135:M135"/>
    <mergeCell ref="B49:AM49"/>
    <mergeCell ref="C122:AK122"/>
    <mergeCell ref="AA92:AB92"/>
    <mergeCell ref="AL34:AM34"/>
    <mergeCell ref="C116:D116"/>
    <mergeCell ref="AJ42:AK42"/>
    <mergeCell ref="R144:S144"/>
    <mergeCell ref="C133:AK133"/>
    <mergeCell ref="C120:D120"/>
    <mergeCell ref="D99:AK99"/>
    <mergeCell ref="E93:M93"/>
    <mergeCell ref="B135:D135"/>
    <mergeCell ref="D62:E62"/>
    <mergeCell ref="E32:AK32"/>
    <mergeCell ref="B79:AM79"/>
    <mergeCell ref="AL46:AM46"/>
    <mergeCell ref="AL132:AM132"/>
    <mergeCell ref="E97:AK97"/>
    <mergeCell ref="N135:AE135"/>
    <mergeCell ref="F22:AK22"/>
    <mergeCell ref="C7:AK7"/>
    <mergeCell ref="AL27:AM27"/>
    <mergeCell ref="AL15:AM15"/>
    <mergeCell ref="D16:AK16"/>
    <mergeCell ref="R28:S28"/>
    <mergeCell ref="AL7:AM7"/>
    <mergeCell ref="E61:M61"/>
    <mergeCell ref="F31:W31"/>
    <mergeCell ref="AF135:AK135"/>
    <mergeCell ref="B5:D5"/>
    <mergeCell ref="C117:AK117"/>
    <mergeCell ref="AL121:AM121"/>
    <mergeCell ref="B67:AM67"/>
    <mergeCell ref="D65:AK65"/>
    <mergeCell ref="D9:E9"/>
    <mergeCell ref="AL123:AM123"/>
    <mergeCell ref="B69:AM69"/>
    <mergeCell ref="D131:AK131"/>
    <mergeCell ref="B140:AM140"/>
    <mergeCell ref="R154:S154"/>
    <mergeCell ref="B2:AM2"/>
    <mergeCell ref="E36:AK36"/>
    <mergeCell ref="AL42:AM42"/>
    <mergeCell ref="AL43:AM43"/>
    <mergeCell ref="AL17:AM17"/>
    <mergeCell ref="D12:E12"/>
    <mergeCell ref="AL83:AM83"/>
    <mergeCell ref="AL35:AM35"/>
    <mergeCell ref="F27:AK27"/>
    <mergeCell ref="AL85:AM85"/>
    <mergeCell ref="E55:AK55"/>
    <mergeCell ref="D17:AK17"/>
    <mergeCell ref="B142:AM142"/>
    <mergeCell ref="B61:D61"/>
    <mergeCell ref="B146:Q146"/>
    <mergeCell ref="AL59:AM59"/>
    <mergeCell ref="E5:AM5"/>
    <mergeCell ref="E10:F10"/>
    <mergeCell ref="AL108:AM108"/>
    <mergeCell ref="AL61:AM61"/>
    <mergeCell ref="D74:AK74"/>
    <mergeCell ref="AL135:AM135"/>
    <mergeCell ref="B170:AM170"/>
    <mergeCell ref="E91:AK91"/>
    <mergeCell ref="R156:S156"/>
    <mergeCell ref="D128:AK128"/>
    <mergeCell ref="AL93:AM93"/>
    <mergeCell ref="E96:M96"/>
    <mergeCell ref="R165:S165"/>
    <mergeCell ref="AF96:AK96"/>
    <mergeCell ref="B161:Q161"/>
    <mergeCell ref="B152:Q152"/>
    <mergeCell ref="B145:Q145"/>
    <mergeCell ref="C119:AK119"/>
    <mergeCell ref="B168:AM168"/>
    <mergeCell ref="B93:D93"/>
    <mergeCell ref="R151:S151"/>
    <mergeCell ref="B147:Q147"/>
    <mergeCell ref="B162:Q162"/>
    <mergeCell ref="R162:S162"/>
    <mergeCell ref="N123:AE123"/>
    <mergeCell ref="E94:F94"/>
    <mergeCell ref="AL124:AM124"/>
    <mergeCell ref="AF93:AK93"/>
    <mergeCell ref="AL133:AM133"/>
    <mergeCell ref="R150:S150"/>
    <mergeCell ref="B163:Q163"/>
    <mergeCell ref="D57:E57"/>
    <mergeCell ref="F28:Q28"/>
    <mergeCell ref="T59:U59"/>
    <mergeCell ref="E19:F19"/>
    <mergeCell ref="AL45:AM45"/>
    <mergeCell ref="D59:S59"/>
    <mergeCell ref="C125:AJ125"/>
    <mergeCell ref="E95:AK95"/>
    <mergeCell ref="AL125:AM125"/>
    <mergeCell ref="AL103:AM103"/>
    <mergeCell ref="R160:S160"/>
    <mergeCell ref="B105:AM105"/>
    <mergeCell ref="D110:AK110"/>
    <mergeCell ref="C118:D118"/>
    <mergeCell ref="D37:AJ37"/>
    <mergeCell ref="F86:AK86"/>
    <mergeCell ref="D111:AK111"/>
    <mergeCell ref="B151:Q151"/>
    <mergeCell ref="F23:AK23"/>
    <mergeCell ref="R163:S163"/>
    <mergeCell ref="C121:AK121"/>
    <mergeCell ref="D54:AK54"/>
    <mergeCell ref="C73:AK73"/>
    <mergeCell ref="B165:Q165"/>
    <mergeCell ref="F24:AK24"/>
    <mergeCell ref="R145:S145"/>
    <mergeCell ref="D60:AK60"/>
    <mergeCell ref="D100:AK100"/>
    <mergeCell ref="AL56:AM56"/>
    <mergeCell ref="AL87:AM87"/>
    <mergeCell ref="AL96:AM96"/>
    <mergeCell ref="C115:D115"/>
    <mergeCell ref="B149:Q149"/>
    <mergeCell ref="B155:Q155"/>
    <mergeCell ref="C137:AK137"/>
    <mergeCell ref="C124:AK124"/>
    <mergeCell ref="AL102:AM102"/>
    <mergeCell ref="D84:AK84"/>
    <mergeCell ref="F26:AK26"/>
    <mergeCell ref="AL24:AM24"/>
    <mergeCell ref="N114:AE114"/>
    <mergeCell ref="E92:Z92"/>
    <mergeCell ref="D58:E58"/>
    <mergeCell ref="D46:AK46"/>
    <mergeCell ref="R147:S147"/>
    <mergeCell ref="D40:AK40"/>
    <mergeCell ref="AF61:AK61"/>
    <mergeCell ref="R164:S164"/>
    <mergeCell ref="AL131:AM131"/>
    <mergeCell ref="C132:AK132"/>
    <mergeCell ref="R155:S155"/>
    <mergeCell ref="AL114:AM114"/>
    <mergeCell ref="F43:AK43"/>
    <mergeCell ref="C8:AK8"/>
    <mergeCell ref="E130:AK130"/>
    <mergeCell ref="W59:Z59"/>
    <mergeCell ref="B48:G48"/>
    <mergeCell ref="C82:AK82"/>
    <mergeCell ref="F21:K21"/>
    <mergeCell ref="R148:S148"/>
    <mergeCell ref="B150:Q150"/>
    <mergeCell ref="B159:Q159"/>
    <mergeCell ref="C134:AK134"/>
    <mergeCell ref="B114:D114"/>
    <mergeCell ref="B123:D123"/>
    <mergeCell ref="AL70:AM70"/>
    <mergeCell ref="AA59:AI59"/>
    <mergeCell ref="E34:AK34"/>
    <mergeCell ref="E90:AK90"/>
    <mergeCell ref="C81:AM81"/>
    <mergeCell ref="B66:AM66"/>
  </mergeCells>
  <conditionalFormatting sqref="AL42 AL56:AM56 AL85:AM85 AL87:AM87 AL99:AM100">
    <cfRule type="cellIs" dxfId="841" priority="209" operator="equal">
      <formula>"No"</formula>
    </cfRule>
    <cfRule type="cellIs" dxfId="840" priority="210" operator="equal">
      <formula>"Yes"</formula>
    </cfRule>
  </conditionalFormatting>
  <conditionalFormatting sqref="D57">
    <cfRule type="cellIs" dxfId="839" priority="208" operator="equal">
      <formula>"O"</formula>
    </cfRule>
  </conditionalFormatting>
  <conditionalFormatting sqref="D12">
    <cfRule type="cellIs" dxfId="838" priority="194" operator="equal">
      <formula>"O"</formula>
    </cfRule>
  </conditionalFormatting>
  <conditionalFormatting sqref="D11">
    <cfRule type="cellIs" dxfId="837" priority="193" operator="equal">
      <formula>"O"</formula>
    </cfRule>
  </conditionalFormatting>
  <conditionalFormatting sqref="E10">
    <cfRule type="cellIs" dxfId="836" priority="196" operator="equal">
      <formula>"O"</formula>
    </cfRule>
  </conditionalFormatting>
  <conditionalFormatting sqref="D9">
    <cfRule type="cellIs" dxfId="835" priority="195" operator="equal">
      <formula>"O"</formula>
    </cfRule>
  </conditionalFormatting>
  <conditionalFormatting sqref="D13">
    <cfRule type="cellIs" dxfId="834" priority="192" operator="equal">
      <formula>"O"</formula>
    </cfRule>
  </conditionalFormatting>
  <conditionalFormatting sqref="E19">
    <cfRule type="cellIs" dxfId="833" priority="191" operator="equal">
      <formula>"O"</formula>
    </cfRule>
  </conditionalFormatting>
  <conditionalFormatting sqref="AL27">
    <cfRule type="cellIs" dxfId="832" priority="186" operator="equal">
      <formula>"O"</formula>
    </cfRule>
  </conditionalFormatting>
  <conditionalFormatting sqref="AL25">
    <cfRule type="cellIs" dxfId="831" priority="188" operator="equal">
      <formula>"O"</formula>
    </cfRule>
  </conditionalFormatting>
  <conditionalFormatting sqref="AL29:AM29">
    <cfRule type="cellIs" dxfId="830" priority="184" operator="equal">
      <formula>"No"</formula>
    </cfRule>
    <cfRule type="cellIs" dxfId="829" priority="185" operator="equal">
      <formula>"Yes"</formula>
    </cfRule>
  </conditionalFormatting>
  <conditionalFormatting sqref="AL34:AM34">
    <cfRule type="cellIs" dxfId="828" priority="180" operator="equal">
      <formula>"No"</formula>
    </cfRule>
    <cfRule type="cellIs" dxfId="827" priority="181" operator="equal">
      <formula>"Yes"</formula>
    </cfRule>
  </conditionalFormatting>
  <conditionalFormatting sqref="AL35:AM35">
    <cfRule type="cellIs" dxfId="826" priority="178" operator="equal">
      <formula>"No"</formula>
    </cfRule>
    <cfRule type="cellIs" dxfId="825" priority="179" operator="equal">
      <formula>"Yes"</formula>
    </cfRule>
  </conditionalFormatting>
  <conditionalFormatting sqref="AL36:AM36">
    <cfRule type="cellIs" dxfId="824" priority="176" operator="equal">
      <formula>"No"</formula>
    </cfRule>
    <cfRule type="cellIs" dxfId="823" priority="177" operator="equal">
      <formula>"Yes"</formula>
    </cfRule>
  </conditionalFormatting>
  <conditionalFormatting sqref="E38">
    <cfRule type="cellIs" dxfId="822" priority="173" operator="equal">
      <formula>"O"</formula>
    </cfRule>
  </conditionalFormatting>
  <conditionalFormatting sqref="D47">
    <cfRule type="cellIs" dxfId="821" priority="172" operator="equal">
      <formula>"O"</formula>
    </cfRule>
  </conditionalFormatting>
  <conditionalFormatting sqref="AL74:AM76 AL77">
    <cfRule type="cellIs" dxfId="820" priority="163" operator="equal">
      <formula>"No"</formula>
    </cfRule>
    <cfRule type="cellIs" dxfId="819" priority="164" operator="equal">
      <formula>"Yes"</formula>
    </cfRule>
  </conditionalFormatting>
  <conditionalFormatting sqref="AL103:AM103">
    <cfRule type="cellIs" dxfId="818" priority="154" operator="equal">
      <formula>"No"</formula>
    </cfRule>
    <cfRule type="cellIs" dxfId="817" priority="155" operator="equal">
      <formula>"Yes"</formula>
    </cfRule>
  </conditionalFormatting>
  <conditionalFormatting sqref="AL109:AM109">
    <cfRule type="cellIs" dxfId="816" priority="149" operator="equal">
      <formula>"No"</formula>
    </cfRule>
    <cfRule type="cellIs" dxfId="815" priority="150" operator="equal">
      <formula>"Yes"</formula>
    </cfRule>
  </conditionalFormatting>
  <conditionalFormatting sqref="C115">
    <cfRule type="cellIs" dxfId="814" priority="148" operator="equal">
      <formula>"O"</formula>
    </cfRule>
  </conditionalFormatting>
  <conditionalFormatting sqref="AL117:AM117">
    <cfRule type="cellIs" dxfId="813" priority="146" operator="equal">
      <formula>"No"</formula>
    </cfRule>
    <cfRule type="cellIs" dxfId="812" priority="147" operator="equal">
      <formula>"Yes"</formula>
    </cfRule>
  </conditionalFormatting>
  <conditionalFormatting sqref="C118">
    <cfRule type="cellIs" dxfId="811" priority="145" operator="equal">
      <formula>"O"</formula>
    </cfRule>
  </conditionalFormatting>
  <conditionalFormatting sqref="AL124:AM124">
    <cfRule type="cellIs" dxfId="810" priority="143" operator="equal">
      <formula>"No"</formula>
    </cfRule>
    <cfRule type="cellIs" dxfId="809" priority="144" operator="equal">
      <formula>"Yes"</formula>
    </cfRule>
  </conditionalFormatting>
  <conditionalFormatting sqref="R143:S143">
    <cfRule type="cellIs" dxfId="808" priority="137" operator="equal">
      <formula>"No"</formula>
    </cfRule>
    <cfRule type="cellIs" dxfId="807" priority="138" operator="equal">
      <formula>"Yes"</formula>
    </cfRule>
  </conditionalFormatting>
  <conditionalFormatting sqref="AL44:AM44">
    <cfRule type="cellIs" dxfId="806" priority="121" operator="equal">
      <formula>"No"</formula>
    </cfRule>
    <cfRule type="cellIs" dxfId="805" priority="122" operator="equal">
      <formula>"Yes"</formula>
    </cfRule>
  </conditionalFormatting>
  <conditionalFormatting sqref="AL83:AM83">
    <cfRule type="cellIs" dxfId="804" priority="119" operator="equal">
      <formula>"No"</formula>
    </cfRule>
    <cfRule type="cellIs" dxfId="803" priority="120" operator="equal">
      <formula>"Yes"</formula>
    </cfRule>
  </conditionalFormatting>
  <conditionalFormatting sqref="AL7:AM7">
    <cfRule type="cellIs" dxfId="802" priority="94" operator="equal">
      <formula>"No"</formula>
    </cfRule>
    <cfRule type="cellIs" dxfId="801" priority="95" operator="equal">
      <formula>"Yes"</formula>
    </cfRule>
  </conditionalFormatting>
  <conditionalFormatting sqref="AL14:AM14">
    <cfRule type="cellIs" dxfId="800" priority="84" operator="equal">
      <formula>"No"</formula>
    </cfRule>
    <cfRule type="cellIs" dxfId="799" priority="85" operator="equal">
      <formula>"Yes"</formula>
    </cfRule>
  </conditionalFormatting>
  <conditionalFormatting sqref="AL15:AM17">
    <cfRule type="cellIs" dxfId="798" priority="82" operator="equal">
      <formula>"No"</formula>
    </cfRule>
    <cfRule type="cellIs" dxfId="797" priority="83" operator="equal">
      <formula>"Yes"</formula>
    </cfRule>
  </conditionalFormatting>
  <conditionalFormatting sqref="E39">
    <cfRule type="cellIs" dxfId="796" priority="81" operator="equal">
      <formula>"O"</formula>
    </cfRule>
  </conditionalFormatting>
  <conditionalFormatting sqref="AL70:AM70">
    <cfRule type="cellIs" dxfId="795" priority="76" operator="equal">
      <formula>"No"</formula>
    </cfRule>
    <cfRule type="cellIs" dxfId="794" priority="77" operator="equal">
      <formula>"Yes"</formula>
    </cfRule>
  </conditionalFormatting>
  <conditionalFormatting sqref="AL108:AM108">
    <cfRule type="cellIs" dxfId="793" priority="74" operator="equal">
      <formula>"No"</formula>
    </cfRule>
    <cfRule type="cellIs" dxfId="792" priority="75" operator="equal">
      <formula>"Yes"</formula>
    </cfRule>
  </conditionalFormatting>
  <conditionalFormatting sqref="AL45:AM45">
    <cfRule type="cellIs" dxfId="791" priority="78" operator="equal">
      <formula>"No"</formula>
    </cfRule>
    <cfRule type="cellIs" dxfId="790" priority="79" operator="equal">
      <formula>"Yes"</formula>
    </cfRule>
  </conditionalFormatting>
  <conditionalFormatting sqref="D58">
    <cfRule type="cellIs" dxfId="789" priority="69" operator="equal">
      <formula>"O"</formula>
    </cfRule>
  </conditionalFormatting>
  <conditionalFormatting sqref="AL65:AM65">
    <cfRule type="cellIs" dxfId="788" priority="63" operator="equal">
      <formula>"No"</formula>
    </cfRule>
    <cfRule type="cellIs" dxfId="787" priority="64" operator="equal">
      <formula>"Yes"</formula>
    </cfRule>
  </conditionalFormatting>
  <conditionalFormatting sqref="AL43:AM43">
    <cfRule type="cellIs" dxfId="786" priority="59" operator="equal">
      <formula>"No"</formula>
    </cfRule>
    <cfRule type="cellIs" dxfId="785" priority="60" operator="equal">
      <formula>"Yes"</formula>
    </cfRule>
  </conditionalFormatting>
  <conditionalFormatting sqref="AL89:AM89">
    <cfRule type="cellIs" dxfId="784" priority="56" operator="equal">
      <formula>"No"</formula>
    </cfRule>
    <cfRule type="cellIs" dxfId="783" priority="57" operator="equal">
      <formula>"Yes"</formula>
    </cfRule>
  </conditionalFormatting>
  <conditionalFormatting sqref="C116">
    <cfRule type="cellIs" dxfId="782" priority="55" operator="equal">
      <formula>"O"</formula>
    </cfRule>
  </conditionalFormatting>
  <conditionalFormatting sqref="AL119:AM119">
    <cfRule type="cellIs" dxfId="781" priority="53" operator="equal">
      <formula>"No"</formula>
    </cfRule>
    <cfRule type="cellIs" dxfId="780" priority="54" operator="equal">
      <formula>"Yes"</formula>
    </cfRule>
  </conditionalFormatting>
  <conditionalFormatting sqref="C120">
    <cfRule type="cellIs" dxfId="779" priority="52" operator="equal">
      <formula>"O"</formula>
    </cfRule>
  </conditionalFormatting>
  <conditionalFormatting sqref="AL121:AM121">
    <cfRule type="cellIs" dxfId="778" priority="50" operator="equal">
      <formula>"No"</formula>
    </cfRule>
    <cfRule type="cellIs" dxfId="777" priority="51" operator="equal">
      <formula>"Yes"</formula>
    </cfRule>
  </conditionalFormatting>
  <conditionalFormatting sqref="AL125:AM125">
    <cfRule type="cellIs" dxfId="776" priority="48" operator="equal">
      <formula>"No"</formula>
    </cfRule>
    <cfRule type="cellIs" dxfId="775" priority="49" operator="equal">
      <formula>"Yes"</formula>
    </cfRule>
  </conditionalFormatting>
  <conditionalFormatting sqref="AL128:AM128">
    <cfRule type="cellIs" dxfId="774" priority="46" operator="equal">
      <formula>"No"</formula>
    </cfRule>
    <cfRule type="cellIs" dxfId="773" priority="47" operator="equal">
      <formula>"Yes"</formula>
    </cfRule>
  </conditionalFormatting>
  <conditionalFormatting sqref="AL131:AM131">
    <cfRule type="cellIs" dxfId="772" priority="44" operator="equal">
      <formula>"No"</formula>
    </cfRule>
    <cfRule type="cellIs" dxfId="771" priority="45" operator="equal">
      <formula>"Yes"</formula>
    </cfRule>
  </conditionalFormatting>
  <conditionalFormatting sqref="AL132:AM132">
    <cfRule type="cellIs" dxfId="770" priority="42" operator="equal">
      <formula>"No"</formula>
    </cfRule>
    <cfRule type="cellIs" dxfId="769" priority="43" operator="equal">
      <formula>"Yes"</formula>
    </cfRule>
  </conditionalFormatting>
  <conditionalFormatting sqref="AL133:AM133">
    <cfRule type="cellIs" dxfId="768" priority="40" operator="equal">
      <formula>"No"</formula>
    </cfRule>
    <cfRule type="cellIs" dxfId="767" priority="41" operator="equal">
      <formula>"Yes"</formula>
    </cfRule>
  </conditionalFormatting>
  <conditionalFormatting sqref="AL93:AM93">
    <cfRule type="cellIs" dxfId="766" priority="32" operator="equal">
      <formula>"No"</formula>
    </cfRule>
    <cfRule type="cellIs" dxfId="765" priority="33" operator="equal">
      <formula>"Yes"</formula>
    </cfRule>
  </conditionalFormatting>
  <conditionalFormatting sqref="R145:S165">
    <cfRule type="cellIs" dxfId="764" priority="30" operator="equal">
      <formula>"No"</formula>
    </cfRule>
    <cfRule type="cellIs" dxfId="763" priority="31" operator="equal">
      <formula>"Yes"</formula>
    </cfRule>
  </conditionalFormatting>
  <conditionalFormatting sqref="AL61:AM61">
    <cfRule type="cellIs" dxfId="762" priority="28" operator="equal">
      <formula>"No"</formula>
    </cfRule>
    <cfRule type="cellIs" dxfId="761" priority="29" operator="equal">
      <formula>"Yes"</formula>
    </cfRule>
  </conditionalFormatting>
  <conditionalFormatting sqref="AL135:AM135">
    <cfRule type="cellIs" dxfId="760" priority="22" operator="equal">
      <formula>"No"</formula>
    </cfRule>
    <cfRule type="cellIs" dxfId="759" priority="23" operator="equal">
      <formula>"Yes"</formula>
    </cfRule>
  </conditionalFormatting>
  <conditionalFormatting sqref="AL22:AM22">
    <cfRule type="cellIs" dxfId="758" priority="20" operator="equal">
      <formula>FALSE</formula>
    </cfRule>
    <cfRule type="cellIs" dxfId="757" priority="21" operator="equal">
      <formula>TRUE</formula>
    </cfRule>
  </conditionalFormatting>
  <conditionalFormatting sqref="AL46">
    <cfRule type="cellIs" dxfId="756" priority="18" operator="equal">
      <formula>"No"</formula>
    </cfRule>
    <cfRule type="cellIs" dxfId="755" priority="19" operator="equal">
      <formula>"Yes"</formula>
    </cfRule>
  </conditionalFormatting>
  <conditionalFormatting sqref="AL59:AM59">
    <cfRule type="cellIs" dxfId="754" priority="16" operator="equal">
      <formula>FALSE</formula>
    </cfRule>
    <cfRule type="cellIs" dxfId="753" priority="17" operator="equal">
      <formula>TRUE</formula>
    </cfRule>
  </conditionalFormatting>
  <conditionalFormatting sqref="E94">
    <cfRule type="cellIs" dxfId="752" priority="13" operator="equal">
      <formula>"O"</formula>
    </cfRule>
  </conditionalFormatting>
  <conditionalFormatting sqref="AL96:AM96">
    <cfRule type="cellIs" dxfId="751" priority="11" operator="equal">
      <formula>"No"</formula>
    </cfRule>
    <cfRule type="cellIs" dxfId="750" priority="12" operator="equal">
      <formula>"Yes"</formula>
    </cfRule>
  </conditionalFormatting>
  <conditionalFormatting sqref="C107">
    <cfRule type="cellIs" dxfId="749" priority="10" operator="equal">
      <formula>"O"</formula>
    </cfRule>
  </conditionalFormatting>
  <conditionalFormatting sqref="AL122:AM122">
    <cfRule type="cellIs" dxfId="748" priority="8" operator="equal">
      <formula>"No"</formula>
    </cfRule>
    <cfRule type="cellIs" dxfId="747" priority="9" operator="equal">
      <formula>"Yes"</formula>
    </cfRule>
  </conditionalFormatting>
  <conditionalFormatting sqref="AL123:AM123">
    <cfRule type="cellIs" dxfId="746" priority="6" operator="equal">
      <formula>"No"</formula>
    </cfRule>
    <cfRule type="cellIs" dxfId="745" priority="7" operator="equal">
      <formula>"Yes"</formula>
    </cfRule>
  </conditionalFormatting>
  <conditionalFormatting sqref="R144:S144">
    <cfRule type="cellIs" dxfId="744" priority="4" operator="equal">
      <formula>"No"</formula>
    </cfRule>
    <cfRule type="cellIs" dxfId="743" priority="5" operator="equal">
      <formula>"Yes"</formula>
    </cfRule>
  </conditionalFormatting>
  <conditionalFormatting sqref="AL114:AM114">
    <cfRule type="cellIs" dxfId="742" priority="2" operator="equal">
      <formula>"No"</formula>
    </cfRule>
    <cfRule type="cellIs" dxfId="741" priority="3" operator="equal">
      <formula>"Yes"</formula>
    </cfRule>
  </conditionalFormatting>
  <conditionalFormatting sqref="D62:D63">
    <cfRule type="cellIs" dxfId="740" priority="1" operator="equal">
      <formula>"O"</formula>
    </cfRule>
  </conditionalFormatting>
  <dataValidations count="2">
    <dataValidation type="list" allowBlank="1" showInputMessage="1" showErrorMessage="1" sqref="R143:S165 AL7:AM7 AL29:AM29 AL34:AM36 AL42 AL43:AM45 AL46 AL56:AM56 AL61 AL65:AM65 AL70:AM70 AL74:AL77 AL83:AM83 AL85:AM85 AL87:AM87 AL89:AM89 AL93 AL96 AL99:AM100 AL102:AM103 AL108:AM109 AL113:AM113 AL114 AL117:AM117 AL119:AM119 AL121:AM122 AL123 AL124:AM125 AL128:AM128 AL132:AM133 AL135 AM74:AM76" xr:uid="{00000000-0002-0000-1D00-000000000000}">
      <formula1>"Yes,No,N/A"</formula1>
    </dataValidation>
    <dataValidation type="list" allowBlank="1" showInputMessage="1" showErrorMessage="1" sqref="AL14:AM17 AL131:AM131" xr:uid="{00000000-0002-0000-1D00-000001000000}">
      <formula1>"Yes,No"</formula1>
    </dataValidation>
  </dataValidations>
  <hyperlinks>
    <hyperlink ref="AJ42" r:id="rId1" display="https://www.hcd.ca.gov/grants-funding/docs/admin_memo21-06_stacking_prohibition_repeal.pdf" xr:uid="{00000000-0004-0000-1D00-000000000000}"/>
    <hyperlink ref="AA92" r:id="rId2" xr:uid="{00000000-0004-0000-1D00-000001000000}"/>
  </hyperlinks>
  <pageMargins left="0.7" right="0.7" top="0.75" bottom="0.75" header="0.3" footer="0.3"/>
  <pageSetup orientation="portrait" r:id="rId3"/>
  <legacyDrawing r:id="rId4"/>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IIGThresholdRequirements">
    <tabColor rgb="FF7030A0"/>
  </sheetPr>
  <dimension ref="A2:BK172"/>
  <sheetViews>
    <sheetView showGridLines="0" showRowColHeaders="0" zoomScaleNormal="100" workbookViewId="0"/>
  </sheetViews>
  <sheetFormatPr defaultColWidth="4.28515625" defaultRowHeight="18" customHeight="1"/>
  <cols>
    <col min="1" max="1" width="8.7109375" style="476" customWidth="1"/>
    <col min="2" max="39" width="4.28515625" style="476" customWidth="1"/>
    <col min="40" max="40" width="7.7109375" style="476" hidden="1" customWidth="1"/>
    <col min="41" max="41" width="14.28515625" style="476" hidden="1" customWidth="1"/>
    <col min="42" max="51" width="4.28515625" style="476" hidden="1" customWidth="1"/>
    <col min="52" max="61" width="4.28515625" style="476" customWidth="1"/>
    <col min="62" max="16384" width="4.28515625" style="476"/>
  </cols>
  <sheetData>
    <row r="2" spans="2:63" ht="18" customHeight="1">
      <c r="B2" s="3000" t="s">
        <v>420</v>
      </c>
      <c r="C2" s="1877"/>
      <c r="D2" s="1877"/>
      <c r="E2" s="1877"/>
      <c r="F2" s="1877"/>
      <c r="G2" s="1877"/>
      <c r="H2" s="1877"/>
      <c r="I2" s="1877"/>
      <c r="J2" s="1877"/>
      <c r="K2" s="1877"/>
      <c r="L2" s="1877"/>
      <c r="M2" s="1877"/>
      <c r="N2" s="1877"/>
      <c r="O2" s="1877"/>
      <c r="P2" s="1877"/>
      <c r="Q2" s="1877"/>
      <c r="R2" s="1877"/>
      <c r="S2" s="1877"/>
      <c r="T2" s="1877"/>
      <c r="U2" s="1877"/>
      <c r="V2" s="1877"/>
      <c r="W2" s="1877"/>
      <c r="X2" s="1877"/>
      <c r="Y2" s="1877"/>
      <c r="Z2" s="1877"/>
      <c r="AA2" s="1877"/>
      <c r="AB2" s="1877"/>
      <c r="AC2" s="1877"/>
      <c r="AD2" s="1877"/>
      <c r="AE2" s="1877"/>
      <c r="AF2" s="1877"/>
      <c r="AG2" s="1877"/>
      <c r="AH2" s="1877"/>
      <c r="AI2" s="1877"/>
      <c r="AJ2" s="1877"/>
      <c r="AK2" s="1877"/>
      <c r="AL2" s="1877"/>
      <c r="AM2" s="1877"/>
      <c r="AP2" s="58" t="s">
        <v>2715</v>
      </c>
      <c r="AQ2" s="58"/>
      <c r="AR2" s="58"/>
      <c r="AS2" s="58"/>
      <c r="AT2" s="58"/>
      <c r="AU2" s="58"/>
      <c r="AV2" s="58"/>
      <c r="AW2" s="58"/>
      <c r="AX2" s="58"/>
      <c r="AY2" s="58"/>
      <c r="AZ2" s="58"/>
      <c r="BA2" s="58"/>
      <c r="BB2" s="58"/>
      <c r="BC2" s="58"/>
      <c r="BD2" s="58"/>
      <c r="BE2" s="58"/>
      <c r="BF2" s="58"/>
      <c r="BG2" s="58"/>
      <c r="BH2" s="58"/>
      <c r="BI2" s="58"/>
      <c r="BJ2" s="58"/>
      <c r="BK2" s="58"/>
    </row>
    <row r="3" spans="2:63" ht="18" customHeight="1">
      <c r="AP3" s="58" t="s">
        <v>2716</v>
      </c>
      <c r="AQ3" s="58"/>
      <c r="AR3" s="58"/>
      <c r="AS3" s="58"/>
      <c r="AT3" s="58"/>
      <c r="AU3" s="58"/>
      <c r="AV3" s="58"/>
      <c r="AW3" s="58"/>
      <c r="AX3" s="58"/>
      <c r="AY3" s="58"/>
      <c r="AZ3" s="58"/>
      <c r="BA3" s="58"/>
      <c r="BB3" s="58"/>
      <c r="BC3" s="58"/>
      <c r="BD3" s="58"/>
      <c r="BE3" s="58"/>
      <c r="BF3" s="58"/>
      <c r="BG3" s="58"/>
      <c r="BH3" s="58"/>
      <c r="BI3" s="58"/>
      <c r="BJ3" s="58"/>
      <c r="BK3" s="58"/>
    </row>
    <row r="4" spans="2:63" ht="80.25" customHeight="1">
      <c r="B4" s="1802" t="s">
        <v>1964</v>
      </c>
      <c r="C4" s="2180"/>
      <c r="D4" s="2180"/>
      <c r="E4" s="2180"/>
      <c r="F4" s="2180"/>
      <c r="G4" s="2180"/>
      <c r="H4" s="2180"/>
      <c r="I4" s="2180"/>
      <c r="J4" s="2180"/>
      <c r="K4" s="2180"/>
      <c r="L4" s="2180"/>
      <c r="M4" s="2180"/>
      <c r="N4" s="2180"/>
      <c r="O4" s="2180"/>
      <c r="P4" s="2180"/>
      <c r="Q4" s="2180"/>
      <c r="R4" s="2180"/>
      <c r="S4" s="2180"/>
      <c r="T4" s="2180"/>
      <c r="U4" s="2180"/>
      <c r="V4" s="2180"/>
      <c r="W4" s="2180"/>
      <c r="X4" s="2180"/>
      <c r="Y4" s="2180"/>
      <c r="Z4" s="2180"/>
      <c r="AA4" s="2180"/>
      <c r="AB4" s="2180"/>
      <c r="AC4" s="2180"/>
      <c r="AD4" s="2180"/>
      <c r="AE4" s="2180"/>
      <c r="AF4" s="2180"/>
      <c r="AG4" s="2180"/>
      <c r="AH4" s="2180"/>
      <c r="AI4" s="2180"/>
      <c r="AJ4" s="2180"/>
      <c r="AK4" s="2180"/>
      <c r="AL4" s="2180"/>
      <c r="AM4" s="2180"/>
      <c r="AP4" s="58" t="s">
        <v>2718</v>
      </c>
      <c r="AQ4" s="58"/>
      <c r="AR4" s="58"/>
      <c r="AS4" s="58"/>
      <c r="AT4" s="58"/>
      <c r="AU4" s="58"/>
      <c r="AV4" s="58"/>
      <c r="AW4" s="58"/>
      <c r="AX4" s="58"/>
      <c r="AY4" s="58"/>
      <c r="AZ4" s="58"/>
      <c r="BA4" s="58"/>
      <c r="BB4" s="58"/>
      <c r="BC4" s="58"/>
      <c r="BD4" s="58"/>
      <c r="BE4" s="58"/>
      <c r="BF4" s="58"/>
      <c r="BG4" s="58"/>
      <c r="BH4" s="58"/>
      <c r="BI4" s="58"/>
      <c r="BJ4" s="58"/>
      <c r="BK4" s="58"/>
    </row>
    <row r="5" spans="2:63" ht="36" customHeight="1" thickBot="1">
      <c r="B5" s="3007" t="s">
        <v>3177</v>
      </c>
      <c r="C5" s="1796"/>
      <c r="D5" s="1796"/>
      <c r="E5" s="2988" t="s">
        <v>3178</v>
      </c>
      <c r="F5" s="1796"/>
      <c r="G5" s="1796"/>
      <c r="H5" s="1796"/>
      <c r="I5" s="1796"/>
      <c r="J5" s="1796"/>
      <c r="K5" s="1796"/>
      <c r="L5" s="1796"/>
      <c r="M5" s="1796"/>
      <c r="N5" s="1796"/>
      <c r="O5" s="1796"/>
      <c r="P5" s="1796"/>
      <c r="Q5" s="1796"/>
      <c r="R5" s="1796"/>
      <c r="S5" s="1796"/>
      <c r="T5" s="1796"/>
      <c r="U5" s="1796"/>
      <c r="V5" s="1796"/>
      <c r="W5" s="1796"/>
      <c r="X5" s="1796"/>
      <c r="Y5" s="1796"/>
      <c r="Z5" s="1796"/>
      <c r="AA5" s="1796"/>
      <c r="AB5" s="1796"/>
      <c r="AC5" s="1796"/>
      <c r="AD5" s="1796"/>
      <c r="AE5" s="1796"/>
      <c r="AF5" s="1796"/>
      <c r="AG5" s="1796"/>
      <c r="AH5" s="1796"/>
      <c r="AI5" s="1796"/>
      <c r="AJ5" s="1796"/>
      <c r="AK5" s="1796"/>
      <c r="AL5" s="1796"/>
      <c r="AM5" s="1796"/>
      <c r="AP5" s="58" t="s">
        <v>2721</v>
      </c>
      <c r="AQ5" s="58"/>
      <c r="AR5" s="58"/>
      <c r="AS5" s="58"/>
      <c r="AT5" s="58"/>
      <c r="AU5" s="58"/>
      <c r="AV5" s="58"/>
      <c r="AW5" s="58"/>
      <c r="AX5" s="58"/>
      <c r="AY5" s="58"/>
      <c r="AZ5" s="58"/>
      <c r="BA5" s="58"/>
      <c r="BB5" s="58"/>
      <c r="BC5" s="58"/>
      <c r="BD5" s="58"/>
      <c r="BE5" s="58"/>
      <c r="BF5" s="58"/>
      <c r="BG5" s="58"/>
      <c r="BH5" s="58"/>
      <c r="BI5" s="58"/>
      <c r="BJ5" s="58"/>
      <c r="BK5" s="58"/>
    </row>
    <row r="6" spans="2:63" ht="18" customHeight="1">
      <c r="B6" s="790"/>
      <c r="C6" s="790"/>
      <c r="D6" s="790"/>
      <c r="AP6" s="58" t="s">
        <v>2722</v>
      </c>
    </row>
    <row r="7" spans="2:63" ht="18" customHeight="1">
      <c r="B7" s="244" t="s">
        <v>608</v>
      </c>
      <c r="C7" s="2996" t="s">
        <v>3179</v>
      </c>
      <c r="D7" s="2180"/>
      <c r="E7" s="2180"/>
      <c r="F7" s="2180"/>
      <c r="G7" s="2180"/>
      <c r="H7" s="2180"/>
      <c r="I7" s="2180"/>
      <c r="J7" s="2180"/>
      <c r="K7" s="2180"/>
      <c r="L7" s="2180"/>
      <c r="M7" s="2180"/>
      <c r="N7" s="2180"/>
      <c r="O7" s="2180"/>
      <c r="P7" s="2180"/>
      <c r="Q7" s="2180"/>
      <c r="R7" s="2180"/>
      <c r="S7" s="2180"/>
      <c r="T7" s="2180"/>
      <c r="U7" s="2180"/>
      <c r="V7" s="2180"/>
      <c r="W7" s="2180"/>
      <c r="X7" s="2180"/>
      <c r="Y7" s="2180"/>
      <c r="Z7" s="2180"/>
      <c r="AA7" s="2180"/>
      <c r="AB7" s="2180"/>
      <c r="AC7" s="2180"/>
      <c r="AD7" s="2180"/>
      <c r="AE7" s="2180"/>
      <c r="AF7" s="2180"/>
      <c r="AG7" s="2180"/>
      <c r="AH7" s="2180"/>
      <c r="AI7" s="2180"/>
      <c r="AJ7" s="2180"/>
      <c r="AK7" s="1889"/>
      <c r="AL7" s="1911"/>
      <c r="AM7" s="1862"/>
    </row>
    <row r="8" spans="2:63" s="58" customFormat="1" ht="18" customHeight="1">
      <c r="C8" s="2180" t="s">
        <v>3180</v>
      </c>
      <c r="D8" s="1945"/>
      <c r="E8" s="1945"/>
      <c r="F8" s="1945"/>
      <c r="G8" s="1945"/>
      <c r="H8" s="1945"/>
      <c r="I8" s="1945"/>
      <c r="J8" s="1945"/>
      <c r="K8" s="1945"/>
      <c r="L8" s="1945"/>
      <c r="M8" s="1945"/>
      <c r="N8" s="1945"/>
      <c r="O8" s="1945"/>
      <c r="P8" s="1945"/>
      <c r="Q8" s="1945"/>
      <c r="R8" s="1945"/>
      <c r="S8" s="1945"/>
      <c r="T8" s="1945"/>
      <c r="U8" s="1945"/>
      <c r="V8" s="1945"/>
      <c r="W8" s="1945"/>
      <c r="X8" s="1945"/>
      <c r="Y8" s="1945"/>
      <c r="Z8" s="1945"/>
      <c r="AA8" s="1945"/>
      <c r="AB8" s="1945"/>
      <c r="AC8" s="1945"/>
      <c r="AD8" s="1945"/>
      <c r="AE8" s="1945"/>
      <c r="AF8" s="1945"/>
      <c r="AG8" s="1945"/>
      <c r="AH8" s="1945"/>
      <c r="AI8" s="1945"/>
      <c r="AJ8" s="1945"/>
      <c r="AK8" s="1945"/>
    </row>
    <row r="9" spans="2:63" ht="18" customHeight="1">
      <c r="C9" s="264" t="s">
        <v>608</v>
      </c>
      <c r="D9" s="2993" t="str">
        <f>IF(AND(IsIig,'Project Overview'!$AL$33="Yes"),"P","O")</f>
        <v>O</v>
      </c>
      <c r="E9" s="2180"/>
    </row>
    <row r="10" spans="2:63" ht="18" customHeight="1">
      <c r="C10" s="264" t="s">
        <v>611</v>
      </c>
      <c r="D10" s="2180" t="s">
        <v>3181</v>
      </c>
      <c r="E10" s="2180"/>
      <c r="F10" s="2180"/>
      <c r="G10" s="2180"/>
      <c r="H10" s="2180"/>
      <c r="I10" s="2180"/>
      <c r="J10" s="2180"/>
      <c r="K10" s="2180"/>
      <c r="L10" s="2180"/>
      <c r="M10" s="2180"/>
      <c r="N10" s="2180"/>
      <c r="O10" s="2180"/>
      <c r="P10" s="2180"/>
      <c r="Q10" s="2180"/>
      <c r="R10" s="2180"/>
      <c r="S10" s="2180"/>
      <c r="T10" s="2180"/>
      <c r="U10" s="2180"/>
      <c r="V10" s="2180"/>
      <c r="W10" s="2180"/>
      <c r="X10" s="2180"/>
      <c r="Y10" s="2180"/>
      <c r="Z10" s="2180"/>
      <c r="AA10" s="2180"/>
      <c r="AB10" s="2180"/>
      <c r="AC10" s="2180"/>
      <c r="AD10" s="2180"/>
      <c r="AE10" s="2180"/>
      <c r="AF10" s="2180"/>
      <c r="AG10" s="2180"/>
      <c r="AH10" s="2180"/>
      <c r="AI10" s="2180"/>
      <c r="AJ10" s="2180"/>
      <c r="AK10" s="2180"/>
      <c r="AL10" s="2180"/>
    </row>
    <row r="11" spans="2:63" ht="18" customHeight="1">
      <c r="C11" s="264"/>
      <c r="D11" s="267" t="s">
        <v>613</v>
      </c>
      <c r="E11" s="2993" t="str">
        <f>IF(AND(IsIig,vmUrban="Yes",'Project Overview'!$AL$37="Yes"),"P",IF(AND(IsIig,'Project Overview'!$AL$38="Yes"),"P","O"))</f>
        <v>O</v>
      </c>
      <c r="F11" s="2180"/>
    </row>
    <row r="12" spans="2:63" ht="18" customHeight="1">
      <c r="D12" s="267" t="s">
        <v>615</v>
      </c>
      <c r="E12" s="2180" t="s">
        <v>3182</v>
      </c>
      <c r="F12" s="2180"/>
      <c r="G12" s="2180"/>
      <c r="H12" s="2180"/>
      <c r="I12" s="2180"/>
      <c r="J12" s="2180"/>
      <c r="K12" s="2180"/>
      <c r="L12" s="2180"/>
      <c r="M12" s="2180"/>
      <c r="N12" s="2180"/>
      <c r="O12" s="2180"/>
      <c r="P12" s="2180"/>
      <c r="Q12" s="2180"/>
      <c r="R12" s="2180"/>
      <c r="S12" s="2180"/>
      <c r="T12" s="2180"/>
      <c r="U12" s="2180"/>
      <c r="V12" s="2180"/>
      <c r="W12" s="2180"/>
      <c r="X12" s="2180"/>
      <c r="Y12" s="2180"/>
      <c r="Z12" s="2180"/>
      <c r="AA12" s="2180"/>
      <c r="AB12" s="2180"/>
      <c r="AC12" s="2180"/>
      <c r="AD12" s="2180"/>
      <c r="AE12" s="2180"/>
      <c r="AF12" s="2180"/>
      <c r="AG12" s="2180"/>
      <c r="AH12" s="2180"/>
      <c r="AI12" s="2180"/>
      <c r="AJ12" s="2180"/>
      <c r="AK12" s="2180"/>
      <c r="AL12" s="2993" t="str">
        <f>IFERROR(IF(SUMIF(UnitsTbl[Restricted Income Level],"&lt;=60%",UnitsTbl[Total Units])/TotalUnits&gt;=15%,"P","O"),"O")</f>
        <v>O</v>
      </c>
      <c r="AM12" s="2180"/>
    </row>
    <row r="13" spans="2:63" ht="36" customHeight="1">
      <c r="E13" s="264" t="s">
        <v>1989</v>
      </c>
      <c r="F13" s="1802" t="s">
        <v>3183</v>
      </c>
      <c r="G13" s="2180"/>
      <c r="H13" s="2180"/>
      <c r="I13" s="2180"/>
      <c r="J13" s="2180"/>
      <c r="K13" s="2180"/>
      <c r="L13" s="2180"/>
      <c r="M13" s="2180"/>
      <c r="N13" s="2180"/>
      <c r="O13" s="2180"/>
      <c r="P13" s="2180"/>
      <c r="Q13" s="2180"/>
      <c r="R13" s="2180"/>
      <c r="S13" s="2180"/>
      <c r="T13" s="2180"/>
      <c r="U13" s="2180"/>
      <c r="V13" s="2180"/>
      <c r="W13" s="2180"/>
      <c r="X13" s="2180"/>
      <c r="Y13" s="2180"/>
      <c r="Z13" s="2180"/>
      <c r="AA13" s="2180"/>
      <c r="AB13" s="2180"/>
      <c r="AC13" s="2180"/>
      <c r="AD13" s="2180"/>
      <c r="AE13" s="2180"/>
      <c r="AF13" s="2180"/>
      <c r="AG13" s="2180"/>
      <c r="AH13" s="2180"/>
      <c r="AI13" s="2180"/>
      <c r="AJ13" s="2180"/>
      <c r="AK13" s="2180"/>
      <c r="AL13" s="1911"/>
      <c r="AM13" s="1862"/>
      <c r="AO13" s="434"/>
    </row>
    <row r="14" spans="2:63" s="58" customFormat="1" ht="36" customHeight="1">
      <c r="E14" s="264" t="s">
        <v>1990</v>
      </c>
      <c r="F14" s="1802" t="s">
        <v>3184</v>
      </c>
      <c r="G14" s="1945"/>
      <c r="H14" s="1945"/>
      <c r="I14" s="1945"/>
      <c r="J14" s="1945"/>
      <c r="K14" s="1945"/>
      <c r="L14" s="1945"/>
      <c r="M14" s="1945"/>
      <c r="N14" s="1945"/>
      <c r="O14" s="1945"/>
      <c r="P14" s="1945"/>
      <c r="Q14" s="1945"/>
      <c r="R14" s="1945"/>
      <c r="S14" s="1945"/>
      <c r="T14" s="1945"/>
      <c r="U14" s="1945"/>
      <c r="V14" s="1945"/>
      <c r="W14" s="1945"/>
      <c r="X14" s="1945"/>
      <c r="Y14" s="1945"/>
      <c r="Z14" s="1945"/>
      <c r="AA14" s="1945"/>
      <c r="AB14" s="1945"/>
      <c r="AC14" s="1945"/>
      <c r="AD14" s="1945"/>
      <c r="AE14" s="1945"/>
      <c r="AF14" s="1945"/>
      <c r="AG14" s="1945"/>
      <c r="AH14" s="1945"/>
      <c r="AI14" s="1945"/>
      <c r="AJ14" s="1945"/>
      <c r="AK14" s="1945"/>
      <c r="AL14" s="1911"/>
      <c r="AM14" s="1862"/>
    </row>
    <row r="15" spans="2:63" ht="54" customHeight="1">
      <c r="E15" s="264" t="s">
        <v>1996</v>
      </c>
      <c r="F15" s="2989" t="s">
        <v>3185</v>
      </c>
      <c r="G15" s="2180"/>
      <c r="H15" s="2180"/>
      <c r="I15" s="2180"/>
      <c r="J15" s="2180"/>
      <c r="K15" s="2180"/>
      <c r="L15" s="2180"/>
      <c r="M15" s="2180"/>
      <c r="N15" s="2180"/>
      <c r="O15" s="2180"/>
      <c r="P15" s="2180"/>
      <c r="Q15" s="2180"/>
      <c r="R15" s="2180"/>
      <c r="S15" s="2180"/>
      <c r="T15" s="2180"/>
      <c r="U15" s="2180"/>
      <c r="V15" s="2180"/>
      <c r="W15" s="2180"/>
      <c r="X15" s="2180"/>
      <c r="Y15" s="2180"/>
      <c r="Z15" s="2180"/>
      <c r="AA15" s="2180"/>
      <c r="AB15" s="2180"/>
      <c r="AC15" s="2180"/>
      <c r="AD15" s="2180"/>
      <c r="AE15" s="2180"/>
      <c r="AF15" s="2180"/>
      <c r="AG15" s="2180"/>
      <c r="AH15" s="2180"/>
      <c r="AI15" s="2180"/>
      <c r="AJ15" s="2180"/>
      <c r="AK15" s="1889"/>
      <c r="AL15" s="1911"/>
      <c r="AM15" s="1862"/>
    </row>
    <row r="16" spans="2:63" s="58" customFormat="1" ht="18" customHeight="1"/>
    <row r="17" spans="1:41" ht="18" customHeight="1">
      <c r="D17" s="267" t="s">
        <v>617</v>
      </c>
      <c r="E17" s="2993" t="str">
        <f>IF(Scoring!$AL$249="Yes","P","O")</f>
        <v>O</v>
      </c>
      <c r="F17" s="2180"/>
    </row>
    <row r="18" spans="1:41" s="58" customFormat="1" ht="109.5" customHeight="1">
      <c r="E18" s="1802" t="s">
        <v>3186</v>
      </c>
      <c r="F18" s="1945"/>
      <c r="G18" s="1945"/>
      <c r="H18" s="1945"/>
      <c r="I18" s="1945"/>
      <c r="J18" s="1945"/>
      <c r="K18" s="1945"/>
      <c r="L18" s="1945"/>
      <c r="M18" s="1945"/>
      <c r="N18" s="1945"/>
      <c r="O18" s="1945"/>
      <c r="P18" s="1945"/>
      <c r="Q18" s="1945"/>
      <c r="R18" s="1945"/>
      <c r="S18" s="1945"/>
      <c r="T18" s="1945"/>
      <c r="U18" s="1945"/>
      <c r="V18" s="1945"/>
      <c r="W18" s="1945"/>
      <c r="X18" s="1945"/>
      <c r="Y18" s="1945"/>
      <c r="Z18" s="1945"/>
      <c r="AA18" s="1945"/>
      <c r="AB18" s="1945"/>
      <c r="AC18" s="1945"/>
      <c r="AD18" s="1945"/>
      <c r="AE18" s="1945"/>
      <c r="AF18" s="1945"/>
      <c r="AG18" s="1945"/>
      <c r="AH18" s="1945"/>
      <c r="AI18" s="1945"/>
      <c r="AJ18" s="1945"/>
      <c r="AK18" s="1945"/>
    </row>
    <row r="19" spans="1:41" s="58" customFormat="1" ht="18" customHeight="1">
      <c r="E19" s="1802" t="s">
        <v>3187</v>
      </c>
      <c r="F19" s="1945"/>
      <c r="G19" s="1945"/>
      <c r="H19" s="1945"/>
      <c r="I19" s="1945"/>
      <c r="J19" s="1945"/>
      <c r="K19" s="1945"/>
      <c r="L19" s="1945"/>
      <c r="M19" s="1945"/>
      <c r="N19" s="1945"/>
      <c r="O19" s="1945"/>
      <c r="P19" s="1945"/>
      <c r="Q19" s="1945"/>
      <c r="R19" s="1945"/>
      <c r="S19" s="1945"/>
      <c r="T19" s="1945"/>
      <c r="U19" s="1945"/>
      <c r="V19" s="1945"/>
      <c r="W19" s="1945"/>
      <c r="X19" s="1945"/>
      <c r="Y19" s="1945"/>
      <c r="Z19" s="1945"/>
      <c r="AA19" s="1945"/>
      <c r="AB19" s="1945"/>
      <c r="AC19" s="1945"/>
      <c r="AD19" s="1945"/>
      <c r="AE19" s="1945"/>
      <c r="AF19" s="1945"/>
      <c r="AG19" s="1945"/>
      <c r="AH19" s="1945"/>
      <c r="AI19" s="1945"/>
      <c r="AJ19" s="1945"/>
      <c r="AK19" s="1945"/>
      <c r="AL19" s="1911" t="s">
        <v>201</v>
      </c>
      <c r="AM19" s="1862"/>
    </row>
    <row r="20" spans="1:41" s="58" customFormat="1" ht="54" customHeight="1">
      <c r="B20" s="1866" t="s">
        <v>558</v>
      </c>
      <c r="C20" s="1777"/>
      <c r="D20" s="1778"/>
      <c r="E20" s="2991" t="str">
        <f>'Document Checklist-Full List'!$E$160</f>
        <v>69. Net Density Exception</v>
      </c>
      <c r="F20" s="1777"/>
      <c r="G20" s="1777"/>
      <c r="H20" s="1777"/>
      <c r="I20" s="1777"/>
      <c r="J20" s="1777"/>
      <c r="K20" s="1777"/>
      <c r="L20" s="1778"/>
      <c r="M20" s="1885" t="str">
        <f>'Document Checklist-Full List'!$N$160</f>
        <v>The city shall provide information supporting the need for the exception, including, but not limited to, any limitations that the city may encounter in meeting the density requirements described herein.</v>
      </c>
      <c r="N20" s="1777"/>
      <c r="O20" s="1777"/>
      <c r="P20" s="1777"/>
      <c r="Q20" s="1777"/>
      <c r="R20" s="1777"/>
      <c r="S20" s="1777"/>
      <c r="T20" s="1777"/>
      <c r="U20" s="1777"/>
      <c r="V20" s="1777"/>
      <c r="W20" s="1777"/>
      <c r="X20" s="1777"/>
      <c r="Y20" s="1777"/>
      <c r="Z20" s="1777"/>
      <c r="AA20" s="1777"/>
      <c r="AB20" s="1777"/>
      <c r="AC20" s="1777"/>
      <c r="AD20" s="1777"/>
      <c r="AE20" s="1778"/>
      <c r="AF20" s="2142" t="s">
        <v>559</v>
      </c>
      <c r="AG20" s="1777"/>
      <c r="AH20" s="1777"/>
      <c r="AI20" s="1777"/>
      <c r="AJ20" s="1777"/>
      <c r="AK20" s="1778"/>
      <c r="AL20" s="2043"/>
      <c r="AM20" s="1862"/>
    </row>
    <row r="21" spans="1:41" ht="36" customHeight="1">
      <c r="D21" s="267" t="s">
        <v>634</v>
      </c>
      <c r="E21" s="1802" t="s">
        <v>3188</v>
      </c>
      <c r="F21" s="2180"/>
      <c r="G21" s="2180"/>
      <c r="H21" s="2180"/>
      <c r="I21" s="2180"/>
      <c r="J21" s="2180"/>
      <c r="K21" s="2180"/>
      <c r="L21" s="2180"/>
      <c r="M21" s="2180"/>
      <c r="N21" s="2180"/>
      <c r="O21" s="2180"/>
      <c r="P21" s="2180"/>
      <c r="Q21" s="2180"/>
      <c r="R21" s="2180"/>
      <c r="S21" s="2180"/>
      <c r="T21" s="2180"/>
      <c r="U21" s="2180"/>
      <c r="V21" s="2180"/>
      <c r="W21" s="2180"/>
      <c r="X21" s="2180"/>
      <c r="Y21" s="2180"/>
      <c r="Z21" s="2180"/>
      <c r="AA21" s="2180"/>
      <c r="AB21" s="2180"/>
      <c r="AC21" s="2180"/>
      <c r="AD21" s="2180"/>
      <c r="AE21" s="2180"/>
      <c r="AF21" s="2180"/>
      <c r="AG21" s="2180"/>
      <c r="AH21" s="2180"/>
      <c r="AI21" s="2180"/>
      <c r="AJ21" s="2180"/>
      <c r="AK21" s="2180"/>
      <c r="AL21" s="2180"/>
      <c r="AM21" s="2180"/>
    </row>
    <row r="22" spans="1:41" ht="18" customHeight="1">
      <c r="E22" s="3197"/>
      <c r="F22" s="1861"/>
      <c r="G22" s="1861"/>
      <c r="H22" s="1861"/>
      <c r="I22" s="1861"/>
      <c r="J22" s="1861"/>
      <c r="K22" s="1861"/>
      <c r="L22" s="1861"/>
      <c r="M22" s="1861"/>
      <c r="N22" s="1861"/>
      <c r="O22" s="1861"/>
      <c r="P22" s="1861"/>
      <c r="Q22" s="1861"/>
      <c r="R22" s="1861"/>
      <c r="S22" s="1861"/>
      <c r="T22" s="1861"/>
      <c r="U22" s="1861"/>
      <c r="V22" s="1861"/>
      <c r="W22" s="1861"/>
      <c r="X22" s="1861"/>
      <c r="Y22" s="1861"/>
      <c r="Z22" s="1861"/>
      <c r="AA22" s="1861"/>
      <c r="AB22" s="1861"/>
      <c r="AC22" s="1861"/>
      <c r="AD22" s="1861"/>
      <c r="AE22" s="1861"/>
      <c r="AF22" s="1861"/>
      <c r="AG22" s="1861"/>
      <c r="AH22" s="1861"/>
      <c r="AI22" s="1861"/>
      <c r="AJ22" s="1861"/>
      <c r="AK22" s="1861"/>
      <c r="AL22" s="1861"/>
      <c r="AM22" s="1862"/>
    </row>
    <row r="23" spans="1:41" ht="18" customHeight="1">
      <c r="B23" s="1866" t="s">
        <v>558</v>
      </c>
      <c r="C23" s="1777"/>
      <c r="D23" s="1778"/>
      <c r="E23" s="2991" t="str">
        <f>'Document Checklist-Full List'!$E$161</f>
        <v>70. Relevant Development Plan</v>
      </c>
      <c r="F23" s="1777"/>
      <c r="G23" s="1777"/>
      <c r="H23" s="1777"/>
      <c r="I23" s="1777"/>
      <c r="J23" s="1777"/>
      <c r="K23" s="1777"/>
      <c r="L23" s="1778"/>
      <c r="M23" s="1885" t="str">
        <f>'Document Checklist-Full List'!$N$161</f>
        <v>Provide a copy of the relevant plan showing area designation.</v>
      </c>
      <c r="N23" s="1777"/>
      <c r="O23" s="1777"/>
      <c r="P23" s="1777"/>
      <c r="Q23" s="1777"/>
      <c r="R23" s="1777"/>
      <c r="S23" s="1777"/>
      <c r="T23" s="1777"/>
      <c r="U23" s="1777"/>
      <c r="V23" s="1777"/>
      <c r="W23" s="1777"/>
      <c r="X23" s="1777"/>
      <c r="Y23" s="1777"/>
      <c r="Z23" s="1777"/>
      <c r="AA23" s="1777"/>
      <c r="AB23" s="1777"/>
      <c r="AC23" s="1777"/>
      <c r="AD23" s="1777"/>
      <c r="AE23" s="1778"/>
      <c r="AF23" s="1886" t="s">
        <v>559</v>
      </c>
      <c r="AG23" s="1777"/>
      <c r="AH23" s="1777"/>
      <c r="AI23" s="1777"/>
      <c r="AJ23" s="1777"/>
      <c r="AK23" s="1778"/>
      <c r="AL23" s="1911"/>
      <c r="AM23" s="1862"/>
    </row>
    <row r="24" spans="1:41" ht="54" customHeight="1">
      <c r="A24" s="1701"/>
      <c r="D24" s="267" t="s">
        <v>1820</v>
      </c>
      <c r="E24" s="1977" t="s">
        <v>3189</v>
      </c>
      <c r="F24" s="1953"/>
      <c r="G24" s="1953"/>
      <c r="H24" s="1953"/>
      <c r="I24" s="1953"/>
      <c r="J24" s="1953"/>
      <c r="K24" s="1953"/>
      <c r="L24" s="1953"/>
      <c r="M24" s="1953"/>
      <c r="N24" s="1953"/>
      <c r="O24" s="1953"/>
      <c r="P24" s="1953"/>
      <c r="Q24" s="1953"/>
      <c r="R24" s="1953"/>
      <c r="S24" s="1953"/>
      <c r="T24" s="1953"/>
      <c r="U24" s="1953"/>
      <c r="V24" s="1953"/>
      <c r="W24" s="1953"/>
      <c r="X24" s="1953"/>
      <c r="Y24" s="1953"/>
      <c r="Z24" s="1953"/>
      <c r="AA24" s="1953"/>
      <c r="AB24" s="1953"/>
      <c r="AC24" s="1953"/>
      <c r="AD24" s="1953"/>
      <c r="AE24" s="1953"/>
      <c r="AF24" s="1953"/>
      <c r="AG24" s="1953"/>
      <c r="AH24" s="1953"/>
      <c r="AI24" s="1953"/>
      <c r="AJ24" s="1953"/>
      <c r="AK24" s="1953"/>
      <c r="AL24" s="1911"/>
      <c r="AM24" s="1862"/>
      <c r="AN24" s="213"/>
      <c r="AO24" s="1701"/>
    </row>
    <row r="25" spans="1:41" ht="63" customHeight="1">
      <c r="A25" s="1701"/>
      <c r="B25" s="1866" t="s">
        <v>558</v>
      </c>
      <c r="C25" s="1777"/>
      <c r="D25" s="1778"/>
      <c r="E25" s="2991" t="str">
        <f>'Document Checklist-Full List'!$E$162</f>
        <v>71. Minimum Density Ordinance</v>
      </c>
      <c r="F25" s="1777"/>
      <c r="G25" s="1777"/>
      <c r="H25" s="1777"/>
      <c r="I25" s="1777"/>
      <c r="J25" s="1777"/>
      <c r="K25" s="1777"/>
      <c r="L25" s="1778"/>
      <c r="M25" s="1885" t="str">
        <f>'Document Checklist-Full List'!$N$162</f>
        <v>Identify a mechanism, such as a minimum density ordinance or a recorded, binding covenant, acceptable to the Department to reliably ensure that future development will occur at an overall Net Density equaling or exceeding that set forth in IIG §200(b)(3).</v>
      </c>
      <c r="N25" s="1777"/>
      <c r="O25" s="1777"/>
      <c r="P25" s="1777"/>
      <c r="Q25" s="1777"/>
      <c r="R25" s="1777"/>
      <c r="S25" s="1777"/>
      <c r="T25" s="1777"/>
      <c r="U25" s="1777"/>
      <c r="V25" s="1777"/>
      <c r="W25" s="1777"/>
      <c r="X25" s="1777"/>
      <c r="Y25" s="1777"/>
      <c r="Z25" s="1777"/>
      <c r="AA25" s="1777"/>
      <c r="AB25" s="1777"/>
      <c r="AC25" s="1777"/>
      <c r="AD25" s="1777"/>
      <c r="AE25" s="1778"/>
      <c r="AF25" s="1886" t="s">
        <v>559</v>
      </c>
      <c r="AG25" s="1777"/>
      <c r="AH25" s="1777"/>
      <c r="AI25" s="1777"/>
      <c r="AJ25" s="1777"/>
      <c r="AK25" s="1778"/>
      <c r="AL25" s="1911"/>
      <c r="AM25" s="1862"/>
      <c r="AN25" s="213"/>
    </row>
    <row r="26" spans="1:41" ht="54" customHeight="1">
      <c r="D26" s="267" t="s">
        <v>1821</v>
      </c>
      <c r="E26" s="1806" t="s">
        <v>3190</v>
      </c>
      <c r="F26" s="2180"/>
      <c r="G26" s="2180"/>
      <c r="H26" s="2180"/>
      <c r="I26" s="2180"/>
      <c r="J26" s="2180"/>
      <c r="K26" s="2180"/>
      <c r="L26" s="2180"/>
      <c r="M26" s="2180"/>
      <c r="N26" s="2180"/>
      <c r="O26" s="2180"/>
      <c r="P26" s="2180"/>
      <c r="Q26" s="2180"/>
      <c r="R26" s="2180"/>
      <c r="S26" s="2180"/>
      <c r="T26" s="2180"/>
      <c r="U26" s="2180"/>
      <c r="V26" s="2180"/>
      <c r="W26" s="2180"/>
      <c r="X26" s="2180"/>
      <c r="Y26" s="2180"/>
      <c r="Z26" s="2180"/>
      <c r="AA26" s="2180"/>
      <c r="AB26" s="2180"/>
      <c r="AC26" s="2180"/>
      <c r="AD26" s="2180"/>
      <c r="AE26" s="2180"/>
      <c r="AF26" s="2180"/>
      <c r="AG26" s="2180"/>
      <c r="AH26" s="2180"/>
      <c r="AI26" s="2180"/>
      <c r="AJ26" s="2180"/>
      <c r="AK26" s="2180"/>
      <c r="AL26" s="1911"/>
      <c r="AM26" s="1862"/>
    </row>
    <row r="27" spans="1:41" ht="78" customHeight="1">
      <c r="D27" s="267" t="s">
        <v>1823</v>
      </c>
      <c r="E27" s="2989" t="s">
        <v>3191</v>
      </c>
      <c r="F27" s="2180"/>
      <c r="G27" s="2180"/>
      <c r="H27" s="2180"/>
      <c r="I27" s="2180"/>
      <c r="J27" s="2180"/>
      <c r="K27" s="2180"/>
      <c r="L27" s="2180"/>
      <c r="M27" s="2180"/>
      <c r="N27" s="2180"/>
      <c r="O27" s="2180"/>
      <c r="P27" s="2180"/>
      <c r="Q27" s="2180"/>
      <c r="R27" s="2180"/>
      <c r="S27" s="2180"/>
      <c r="T27" s="2180"/>
      <c r="U27" s="2180"/>
      <c r="V27" s="2180"/>
      <c r="W27" s="2180"/>
      <c r="X27" s="2180"/>
      <c r="Y27" s="2180"/>
      <c r="Z27" s="2180"/>
      <c r="AA27" s="2180"/>
      <c r="AB27" s="2180"/>
      <c r="AC27" s="2180"/>
      <c r="AD27" s="2180"/>
      <c r="AE27" s="2180"/>
      <c r="AF27" s="2180"/>
      <c r="AG27" s="2180"/>
      <c r="AH27" s="2180"/>
      <c r="AI27" s="2180"/>
      <c r="AJ27" s="2180"/>
      <c r="AK27" s="1889"/>
      <c r="AL27" s="1911"/>
      <c r="AM27" s="1862"/>
    </row>
    <row r="28" spans="1:41" ht="18" customHeight="1">
      <c r="C28" s="264" t="s">
        <v>619</v>
      </c>
      <c r="D28" s="1700" t="str">
        <f>IF(AND(IsIig,'Project Overview'!$AL$524="Yes"),"P","O")</f>
        <v>O</v>
      </c>
      <c r="E28" s="1700"/>
    </row>
    <row r="29" spans="1:41" ht="18" hidden="1" customHeight="1">
      <c r="C29" s="264" t="s">
        <v>623</v>
      </c>
      <c r="D29" s="1802" t="s">
        <v>3192</v>
      </c>
      <c r="E29" s="2180"/>
      <c r="F29" s="2180"/>
      <c r="G29" s="2180"/>
      <c r="H29" s="2180"/>
      <c r="I29" s="2180"/>
      <c r="J29" s="2180"/>
      <c r="K29" s="2180"/>
      <c r="L29" s="2180"/>
      <c r="M29" s="2180"/>
      <c r="N29" s="2180"/>
      <c r="O29" s="2180"/>
      <c r="P29" s="2180"/>
      <c r="Q29" s="2180"/>
      <c r="R29" s="2180"/>
      <c r="S29" s="2180"/>
      <c r="T29" s="2180"/>
      <c r="U29" s="2180"/>
      <c r="V29" s="2180"/>
      <c r="W29" s="2180"/>
      <c r="X29" s="2180"/>
      <c r="Y29" s="2180"/>
      <c r="Z29" s="2180"/>
      <c r="AA29" s="2180"/>
      <c r="AB29" s="2180"/>
      <c r="AC29" s="2180"/>
      <c r="AD29" s="2180"/>
      <c r="AE29" s="2180"/>
      <c r="AF29" s="2180"/>
      <c r="AG29" s="2180"/>
      <c r="AH29" s="2180"/>
      <c r="AI29" s="2180"/>
      <c r="AJ29" s="2180"/>
      <c r="AK29" s="2180"/>
    </row>
    <row r="30" spans="1:41" ht="18" hidden="1" customHeight="1">
      <c r="D30" s="267" t="s">
        <v>613</v>
      </c>
      <c r="E30" s="2993" t="str">
        <f>IF(AND(IsIig,vmTribalEntity="Yes",OR(vmIndianCountry="Indian Country",vmIndianCountry="Fee Land")),"P","O")</f>
        <v>O</v>
      </c>
      <c r="F30" s="2180"/>
    </row>
    <row r="31" spans="1:41" ht="18" hidden="1" customHeight="1">
      <c r="D31" s="267" t="s">
        <v>615</v>
      </c>
      <c r="E31" s="2993" t="str">
        <f>IF(AND(IsIig,'Project Overview'!$AL$91="Yes"),"P","O")</f>
        <v>O</v>
      </c>
      <c r="F31" s="2180"/>
      <c r="G31" s="382"/>
      <c r="H31" s="382"/>
      <c r="I31" s="382"/>
      <c r="J31" s="382"/>
      <c r="K31" s="382"/>
      <c r="L31" s="382"/>
      <c r="M31" s="382"/>
      <c r="N31" s="382"/>
      <c r="O31" s="382"/>
      <c r="P31" s="382"/>
      <c r="Q31" s="382"/>
      <c r="R31" s="382"/>
      <c r="S31" s="382"/>
      <c r="T31" s="382"/>
      <c r="U31" s="382"/>
      <c r="V31" s="382"/>
      <c r="W31" s="382"/>
      <c r="X31" s="382"/>
      <c r="Y31" s="382"/>
      <c r="Z31" s="382"/>
      <c r="AA31" s="382"/>
      <c r="AB31" s="382"/>
      <c r="AC31" s="382"/>
      <c r="AD31" s="382"/>
      <c r="AE31" s="382"/>
      <c r="AF31" s="382"/>
      <c r="AG31" s="382"/>
      <c r="AH31" s="382"/>
      <c r="AI31" s="382"/>
      <c r="AJ31" s="382"/>
      <c r="AK31" s="382"/>
      <c r="AL31" s="382"/>
      <c r="AM31" s="382"/>
    </row>
    <row r="32" spans="1:41" ht="18" customHeight="1">
      <c r="C32" s="265" t="s">
        <v>627</v>
      </c>
      <c r="D32" s="2180" t="s">
        <v>3129</v>
      </c>
      <c r="E32" s="2180"/>
      <c r="F32" s="2180"/>
      <c r="G32" s="2180"/>
      <c r="H32" s="2180"/>
      <c r="I32" s="2180"/>
      <c r="J32" s="2180"/>
      <c r="K32" s="2180"/>
      <c r="L32" s="2180"/>
      <c r="M32" s="2180"/>
      <c r="N32" s="2180"/>
      <c r="O32" s="2180"/>
      <c r="P32" s="2180"/>
      <c r="Q32" s="2180"/>
      <c r="R32" s="2180"/>
      <c r="S32" s="2180"/>
      <c r="T32" s="2180"/>
      <c r="U32" s="2180"/>
      <c r="V32" s="2180"/>
      <c r="W32" s="2180"/>
      <c r="X32" s="2180"/>
      <c r="Y32" s="2180"/>
      <c r="Z32" s="2180"/>
      <c r="AA32" s="2180"/>
      <c r="AB32" s="2180"/>
      <c r="AC32" s="2180"/>
      <c r="AD32" s="2180"/>
      <c r="AE32" s="2180"/>
      <c r="AF32" s="2180"/>
      <c r="AG32" s="2180"/>
      <c r="AH32" s="2180"/>
      <c r="AI32" s="2180"/>
      <c r="AJ32" s="2180"/>
      <c r="AK32" s="2180"/>
      <c r="AL32" s="136"/>
      <c r="AM32" s="136"/>
    </row>
    <row r="33" spans="2:62" s="266" customFormat="1" ht="36" customHeight="1">
      <c r="D33" s="267" t="s">
        <v>613</v>
      </c>
      <c r="E33" s="1802" t="s">
        <v>3193</v>
      </c>
      <c r="F33" s="3316"/>
      <c r="G33" s="3316"/>
      <c r="H33" s="3316"/>
      <c r="I33" s="3316"/>
      <c r="J33" s="3316"/>
      <c r="K33" s="3316"/>
      <c r="L33" s="3316"/>
      <c r="M33" s="3316"/>
      <c r="N33" s="3316"/>
      <c r="O33" s="3316"/>
      <c r="P33" s="3316"/>
      <c r="Q33" s="3316"/>
      <c r="R33" s="3316"/>
      <c r="S33" s="3316"/>
      <c r="T33" s="3316"/>
      <c r="U33" s="3316"/>
      <c r="V33" s="3316"/>
      <c r="W33" s="3316"/>
      <c r="X33" s="3316"/>
      <c r="Y33" s="3316"/>
      <c r="Z33" s="3316"/>
      <c r="AA33" s="3316"/>
      <c r="AB33" s="3316"/>
      <c r="AC33" s="3316"/>
      <c r="AD33" s="3316"/>
      <c r="AE33" s="3316"/>
      <c r="AF33" s="3316"/>
      <c r="AG33" s="3316"/>
      <c r="AH33" s="3316"/>
      <c r="AI33" s="3316"/>
      <c r="AJ33" s="3316"/>
      <c r="AK33" s="3316"/>
      <c r="AL33" s="136"/>
      <c r="AM33" s="136"/>
      <c r="AN33" s="288"/>
      <c r="AO33" s="288"/>
      <c r="AP33" s="288"/>
      <c r="AQ33" s="288"/>
      <c r="AR33" s="288"/>
      <c r="AS33" s="288"/>
      <c r="AT33" s="288"/>
      <c r="AU33" s="288"/>
      <c r="AV33" s="288"/>
      <c r="AW33" s="288"/>
      <c r="AX33" s="288"/>
      <c r="AY33" s="288"/>
      <c r="AZ33" s="288"/>
      <c r="BA33" s="288"/>
      <c r="BB33" s="288"/>
      <c r="BC33" s="288"/>
      <c r="BD33" s="288"/>
      <c r="BE33" s="288"/>
      <c r="BF33" s="288"/>
      <c r="BG33" s="288"/>
      <c r="BH33" s="288"/>
      <c r="BI33" s="288"/>
      <c r="BJ33" s="288"/>
    </row>
    <row r="34" spans="2:62" s="58" customFormat="1" ht="54" customHeight="1">
      <c r="D34" s="476"/>
      <c r="E34" s="267" t="s">
        <v>1989</v>
      </c>
      <c r="F34" s="1802" t="s">
        <v>3194</v>
      </c>
      <c r="G34" s="1945"/>
      <c r="H34" s="1945"/>
      <c r="I34" s="1945"/>
      <c r="J34" s="1945"/>
      <c r="K34" s="1945"/>
      <c r="L34" s="1945"/>
      <c r="M34" s="1945"/>
      <c r="N34" s="1945"/>
      <c r="O34" s="1945"/>
      <c r="P34" s="1945"/>
      <c r="Q34" s="1945"/>
      <c r="R34" s="1945"/>
      <c r="S34" s="1945"/>
      <c r="T34" s="1945"/>
      <c r="U34" s="1945"/>
      <c r="V34" s="1945"/>
      <c r="W34" s="1945"/>
      <c r="X34" s="1945"/>
      <c r="Y34" s="1945"/>
      <c r="Z34" s="1945"/>
      <c r="AA34" s="1945"/>
      <c r="AB34" s="1945"/>
      <c r="AC34" s="1945"/>
      <c r="AD34" s="1945"/>
      <c r="AE34" s="1945"/>
      <c r="AF34" s="1945"/>
      <c r="AG34" s="1945"/>
      <c r="AH34" s="1945"/>
      <c r="AI34" s="1945"/>
      <c r="AJ34" s="3309" t="s">
        <v>3132</v>
      </c>
      <c r="AK34" s="1889"/>
      <c r="AL34" s="1911"/>
      <c r="AM34" s="1862"/>
    </row>
    <row r="35" spans="2:62" s="58" customFormat="1" ht="18" customHeight="1">
      <c r="E35" s="267" t="s">
        <v>1990</v>
      </c>
      <c r="F35" s="1802" t="s">
        <v>2774</v>
      </c>
      <c r="G35" s="1945"/>
      <c r="H35" s="1945"/>
      <c r="I35" s="1945"/>
      <c r="J35" s="1945"/>
      <c r="K35" s="1945"/>
      <c r="L35" s="1945"/>
      <c r="M35" s="1945"/>
      <c r="N35" s="1945"/>
      <c r="O35" s="1945"/>
      <c r="P35" s="1945"/>
      <c r="Q35" s="1945"/>
      <c r="R35" s="1945"/>
      <c r="S35" s="1945"/>
      <c r="T35" s="1945"/>
      <c r="U35" s="1945"/>
      <c r="V35" s="1945"/>
      <c r="W35" s="1945"/>
      <c r="X35" s="1945"/>
      <c r="Y35" s="1945"/>
      <c r="Z35" s="1945"/>
      <c r="AA35" s="1945"/>
      <c r="AB35" s="1945"/>
      <c r="AC35" s="1945"/>
      <c r="AD35" s="1945"/>
      <c r="AE35" s="1945"/>
      <c r="AF35" s="1945"/>
      <c r="AG35" s="1945"/>
      <c r="AH35" s="1945"/>
      <c r="AI35" s="1945"/>
      <c r="AJ35" s="1945"/>
      <c r="AK35" s="1945"/>
    </row>
    <row r="36" spans="2:62" s="58" customFormat="1" ht="36" customHeight="1">
      <c r="D36" s="267" t="s">
        <v>615</v>
      </c>
      <c r="E36" s="1806" t="s">
        <v>3195</v>
      </c>
      <c r="F36" s="1945"/>
      <c r="G36" s="1945"/>
      <c r="H36" s="1945"/>
      <c r="I36" s="1945"/>
      <c r="J36" s="1945"/>
      <c r="K36" s="1945"/>
      <c r="L36" s="1945"/>
      <c r="M36" s="1945"/>
      <c r="N36" s="1945"/>
      <c r="O36" s="1945"/>
      <c r="P36" s="1945"/>
      <c r="Q36" s="1945"/>
      <c r="R36" s="1945"/>
      <c r="S36" s="1945"/>
      <c r="T36" s="1945"/>
      <c r="U36" s="1945"/>
      <c r="V36" s="1945"/>
      <c r="W36" s="1945"/>
      <c r="X36" s="1945"/>
      <c r="Y36" s="1945"/>
      <c r="Z36" s="1945"/>
      <c r="AA36" s="1945"/>
      <c r="AB36" s="1945"/>
      <c r="AC36" s="1945"/>
      <c r="AD36" s="1945"/>
      <c r="AE36" s="1945"/>
      <c r="AF36" s="1945"/>
      <c r="AG36" s="1945"/>
      <c r="AH36" s="1945"/>
      <c r="AI36" s="1945"/>
      <c r="AJ36" s="1945"/>
      <c r="AK36" s="1945"/>
      <c r="AL36" s="1911"/>
      <c r="AM36" s="1862"/>
    </row>
    <row r="37" spans="2:62" s="58" customFormat="1" ht="36" customHeight="1">
      <c r="D37" s="267" t="s">
        <v>617</v>
      </c>
      <c r="E37" s="1802" t="s">
        <v>3196</v>
      </c>
      <c r="F37" s="1945"/>
      <c r="G37" s="1945"/>
      <c r="H37" s="1945"/>
      <c r="I37" s="1945"/>
      <c r="J37" s="1945"/>
      <c r="K37" s="1945"/>
      <c r="L37" s="1945"/>
      <c r="M37" s="1945"/>
      <c r="N37" s="1945"/>
      <c r="O37" s="1945"/>
      <c r="P37" s="1945"/>
      <c r="Q37" s="1945"/>
      <c r="R37" s="1945"/>
      <c r="S37" s="1945"/>
      <c r="T37" s="1945"/>
      <c r="U37" s="1945"/>
      <c r="V37" s="1945"/>
      <c r="W37" s="1945"/>
      <c r="X37" s="1945"/>
      <c r="Y37" s="1945"/>
      <c r="Z37" s="1945"/>
      <c r="AA37" s="1945"/>
      <c r="AB37" s="1945"/>
      <c r="AC37" s="1945"/>
      <c r="AD37" s="1945"/>
      <c r="AE37" s="1945"/>
      <c r="AF37" s="1945"/>
      <c r="AG37" s="1945"/>
      <c r="AH37" s="1945"/>
      <c r="AI37" s="1945"/>
      <c r="AJ37" s="1945"/>
      <c r="AK37" s="1945"/>
      <c r="AL37" s="1911"/>
      <c r="AM37" s="1862"/>
    </row>
    <row r="38" spans="2:62" ht="18" customHeight="1">
      <c r="C38" s="265" t="s">
        <v>629</v>
      </c>
      <c r="D38" s="2993" t="str">
        <f>IF(AND(IsIig,'Project Overview'!$AL$156="Yes"),"P","O")</f>
        <v>O</v>
      </c>
      <c r="E38" s="2180"/>
    </row>
    <row r="39" spans="2:62" ht="18" customHeight="1">
      <c r="B39" s="3313" t="s">
        <v>3197</v>
      </c>
      <c r="C39" s="1877"/>
      <c r="D39" s="1877"/>
      <c r="E39" s="1877"/>
      <c r="F39" s="1877"/>
      <c r="G39" s="1877"/>
      <c r="H39" s="1877"/>
      <c r="I39" s="1877"/>
    </row>
    <row r="40" spans="2:62" ht="81" customHeight="1">
      <c r="B40" s="2003"/>
      <c r="C40" s="1861"/>
      <c r="D40" s="1861"/>
      <c r="E40" s="1861"/>
      <c r="F40" s="1861"/>
      <c r="G40" s="1861"/>
      <c r="H40" s="1861"/>
      <c r="I40" s="1861"/>
      <c r="J40" s="1861"/>
      <c r="K40" s="1861"/>
      <c r="L40" s="1861"/>
      <c r="M40" s="1861"/>
      <c r="N40" s="1861"/>
      <c r="O40" s="1861"/>
      <c r="P40" s="1861"/>
      <c r="Q40" s="1861"/>
      <c r="R40" s="1861"/>
      <c r="S40" s="1861"/>
      <c r="T40" s="1861"/>
      <c r="U40" s="1861"/>
      <c r="V40" s="1861"/>
      <c r="W40" s="1861"/>
      <c r="X40" s="1861"/>
      <c r="Y40" s="1861"/>
      <c r="Z40" s="1861"/>
      <c r="AA40" s="1861"/>
      <c r="AB40" s="1861"/>
      <c r="AC40" s="1861"/>
      <c r="AD40" s="1861"/>
      <c r="AE40" s="1861"/>
      <c r="AF40" s="1861"/>
      <c r="AG40" s="1861"/>
      <c r="AH40" s="1861"/>
      <c r="AI40" s="1861"/>
      <c r="AJ40" s="1861"/>
      <c r="AK40" s="1861"/>
      <c r="AL40" s="1861"/>
      <c r="AM40" s="1862"/>
      <c r="AV40" s="136"/>
    </row>
    <row r="41" spans="2:62" ht="18" customHeight="1">
      <c r="B41" s="790"/>
      <c r="C41" s="790"/>
      <c r="D41" s="790"/>
    </row>
    <row r="42" spans="2:62" ht="18" customHeight="1">
      <c r="B42" s="244" t="s">
        <v>611</v>
      </c>
      <c r="C42" s="2996" t="s">
        <v>3198</v>
      </c>
      <c r="D42" s="2180"/>
      <c r="E42" s="2180"/>
      <c r="F42" s="2180"/>
      <c r="G42" s="2180"/>
      <c r="H42" s="2180"/>
      <c r="I42" s="2180"/>
      <c r="J42" s="2180"/>
      <c r="K42" s="2180"/>
      <c r="L42" s="2180"/>
      <c r="M42" s="2180"/>
      <c r="N42" s="2180"/>
      <c r="O42" s="2180"/>
      <c r="P42" s="2180"/>
      <c r="Q42" s="2180"/>
      <c r="R42" s="2180"/>
      <c r="S42" s="2180"/>
      <c r="T42" s="2180"/>
      <c r="U42" s="2180"/>
      <c r="V42" s="2180"/>
      <c r="W42" s="2180"/>
      <c r="X42" s="2180"/>
      <c r="Y42" s="2180"/>
      <c r="Z42" s="2180"/>
      <c r="AA42" s="2180"/>
      <c r="AB42" s="2180"/>
      <c r="AC42" s="2180"/>
      <c r="AD42" s="2180"/>
      <c r="AE42" s="2180"/>
      <c r="AF42" s="2180"/>
      <c r="AG42" s="2180"/>
      <c r="AH42" s="2180"/>
      <c r="AI42" s="2180"/>
      <c r="AJ42" s="2180"/>
      <c r="AK42" s="1889"/>
      <c r="AL42" s="1911"/>
      <c r="AM42" s="1862"/>
    </row>
    <row r="43" spans="2:62" s="58" customFormat="1" ht="18" customHeight="1">
      <c r="C43" s="2180" t="s">
        <v>3199</v>
      </c>
      <c r="D43" s="1945"/>
      <c r="E43" s="1945"/>
      <c r="F43" s="1945"/>
      <c r="G43" s="1945"/>
      <c r="H43" s="1945"/>
      <c r="I43" s="1945"/>
      <c r="J43" s="1945"/>
      <c r="K43" s="1945"/>
      <c r="L43" s="1945"/>
      <c r="M43" s="1945"/>
      <c r="N43" s="1945"/>
      <c r="O43" s="1945"/>
      <c r="P43" s="1945"/>
      <c r="Q43" s="1945"/>
      <c r="R43" s="1945"/>
      <c r="S43" s="1945"/>
      <c r="T43" s="1945"/>
      <c r="U43" s="1945"/>
      <c r="V43" s="1945"/>
      <c r="W43" s="1945"/>
      <c r="X43" s="1945"/>
      <c r="Y43" s="1945"/>
      <c r="Z43" s="1945"/>
      <c r="AA43" s="1945"/>
      <c r="AB43" s="1945"/>
      <c r="AC43" s="1945"/>
      <c r="AD43" s="1945"/>
      <c r="AE43" s="1945"/>
      <c r="AF43" s="1945"/>
      <c r="AG43" s="1945"/>
      <c r="AH43" s="1945"/>
      <c r="AI43" s="1945"/>
      <c r="AJ43" s="1945"/>
      <c r="AK43" s="1945"/>
    </row>
    <row r="44" spans="2:62" s="58" customFormat="1" ht="18" customHeight="1">
      <c r="C44" s="264" t="s">
        <v>608</v>
      </c>
      <c r="D44" s="2180" t="s">
        <v>3200</v>
      </c>
      <c r="E44" s="1945"/>
      <c r="F44" s="1945"/>
      <c r="G44" s="1945"/>
      <c r="H44" s="1945"/>
      <c r="I44" s="1945"/>
      <c r="J44" s="1945"/>
      <c r="K44" s="1945"/>
      <c r="L44" s="1945"/>
      <c r="M44" s="1945"/>
      <c r="N44" s="1945"/>
      <c r="O44" s="1945"/>
      <c r="P44" s="1945"/>
      <c r="Q44" s="1945"/>
      <c r="R44" s="1945"/>
      <c r="S44" s="1945"/>
      <c r="T44" s="1945"/>
      <c r="U44" s="1945"/>
      <c r="V44" s="1945"/>
      <c r="W44" s="1945"/>
      <c r="X44" s="1945"/>
      <c r="Y44" s="1945"/>
      <c r="Z44" s="1945"/>
      <c r="AA44" s="1945"/>
      <c r="AB44" s="1945"/>
      <c r="AC44" s="1945"/>
      <c r="AD44" s="1945"/>
      <c r="AE44" s="1945"/>
      <c r="AF44" s="1945"/>
      <c r="AG44" s="1945"/>
      <c r="AH44" s="1945"/>
      <c r="AI44" s="1945"/>
      <c r="AJ44" s="1945"/>
      <c r="AK44" s="1945"/>
    </row>
    <row r="45" spans="2:62" ht="18" customHeight="1">
      <c r="D45" s="267" t="s">
        <v>613</v>
      </c>
      <c r="E45" s="2996" t="s">
        <v>3201</v>
      </c>
      <c r="F45" s="2180"/>
      <c r="G45" s="2180"/>
      <c r="H45" s="2180"/>
      <c r="I45" s="2180"/>
      <c r="J45" s="2180"/>
      <c r="K45" s="2180"/>
      <c r="L45" s="2180"/>
      <c r="M45" s="2180"/>
      <c r="N45" s="2180"/>
      <c r="O45" s="2180"/>
      <c r="P45" s="2180"/>
      <c r="Q45" s="2180"/>
      <c r="R45" s="2180"/>
      <c r="S45" s="2180"/>
      <c r="T45" s="2180"/>
      <c r="U45" s="2180"/>
      <c r="V45" s="2180"/>
      <c r="W45" s="2180"/>
      <c r="X45" s="2180"/>
      <c r="Y45" s="2180"/>
      <c r="Z45" s="2180"/>
      <c r="AA45" s="2180"/>
      <c r="AB45" s="2180"/>
      <c r="AC45" s="2180"/>
      <c r="AD45" s="2180"/>
      <c r="AE45" s="2180"/>
      <c r="AF45" s="2180"/>
      <c r="AG45" s="2180"/>
      <c r="AH45" s="2180"/>
      <c r="AI45" s="2180"/>
      <c r="AJ45" s="2180"/>
      <c r="AK45" s="1889"/>
      <c r="AL45" s="3311" t="b">
        <f>IF(AND(IsIig,'Project Overview'!AE257&gt;0),TRUE,FALSE)</f>
        <v>0</v>
      </c>
      <c r="AM45" s="1778"/>
      <c r="AU45" s="1629"/>
      <c r="AV45" s="288"/>
    </row>
    <row r="46" spans="2:62" ht="18" customHeight="1">
      <c r="D46" s="270" t="s">
        <v>615</v>
      </c>
      <c r="E46" s="2996" t="s">
        <v>3202</v>
      </c>
      <c r="F46" s="2180"/>
      <c r="G46" s="2180"/>
      <c r="H46" s="2180"/>
      <c r="I46" s="2180"/>
      <c r="J46" s="2180"/>
      <c r="K46" s="2180"/>
      <c r="L46" s="2180"/>
      <c r="M46" s="2180"/>
      <c r="N46" s="2180"/>
      <c r="O46" s="2180"/>
      <c r="P46" s="2180"/>
      <c r="Q46" s="2180"/>
      <c r="R46" s="2180"/>
      <c r="S46" s="2180"/>
      <c r="T46" s="2180"/>
      <c r="U46" s="2180"/>
      <c r="V46" s="2180"/>
      <c r="W46" s="2180"/>
      <c r="X46" s="2180"/>
      <c r="Y46" s="2180"/>
      <c r="Z46" s="2180"/>
      <c r="AA46" s="2180"/>
      <c r="AB46" s="2180"/>
      <c r="AC46" s="2180"/>
      <c r="AD46" s="2180"/>
      <c r="AE46" s="2180"/>
      <c r="AF46" s="2180"/>
      <c r="AG46" s="2180"/>
      <c r="AH46" s="2180"/>
      <c r="AI46" s="2180"/>
      <c r="AJ46" s="2180"/>
      <c r="AK46" s="1889"/>
      <c r="AL46" s="3311" t="b">
        <f>IF(AND(IsIig,vmTribalEntity="Yes"),TRUE,FALSE)</f>
        <v>0</v>
      </c>
      <c r="AM46" s="1778"/>
      <c r="AN46" s="136"/>
      <c r="AU46" s="1629"/>
    </row>
    <row r="47" spans="2:62" ht="36" customHeight="1">
      <c r="B47" s="426"/>
      <c r="C47" s="264" t="s">
        <v>611</v>
      </c>
      <c r="D47" s="1802" t="s">
        <v>3203</v>
      </c>
      <c r="E47" s="2180"/>
      <c r="F47" s="2180"/>
      <c r="G47" s="2180"/>
      <c r="H47" s="2180"/>
      <c r="I47" s="2180"/>
      <c r="J47" s="2180"/>
      <c r="K47" s="2180"/>
      <c r="L47" s="2180"/>
      <c r="M47" s="2180"/>
      <c r="N47" s="2180"/>
      <c r="O47" s="2180"/>
      <c r="P47" s="2180"/>
      <c r="Q47" s="2180"/>
      <c r="R47" s="2180"/>
      <c r="S47" s="2180"/>
      <c r="T47" s="2180"/>
      <c r="U47" s="2180"/>
      <c r="V47" s="2180"/>
      <c r="W47" s="2180"/>
      <c r="X47" s="2180"/>
      <c r="Y47" s="2180"/>
      <c r="Z47" s="2180"/>
      <c r="AA47" s="2180"/>
      <c r="AB47" s="2180"/>
      <c r="AC47" s="2180"/>
      <c r="AD47" s="2180"/>
      <c r="AE47" s="2180"/>
      <c r="AF47" s="2180"/>
      <c r="AG47" s="2180"/>
      <c r="AH47" s="2180"/>
      <c r="AI47" s="2180"/>
      <c r="AJ47" s="2180"/>
      <c r="AK47" s="2180"/>
      <c r="AL47" s="1911"/>
      <c r="AM47" s="1862"/>
    </row>
    <row r="48" spans="2:62" s="58" customFormat="1" ht="36" customHeight="1">
      <c r="C48" s="264" t="s">
        <v>619</v>
      </c>
      <c r="D48" s="1806" t="s">
        <v>3204</v>
      </c>
      <c r="E48" s="1945"/>
      <c r="F48" s="1945"/>
      <c r="G48" s="1945"/>
      <c r="H48" s="1945"/>
      <c r="I48" s="1945"/>
      <c r="J48" s="1945"/>
      <c r="K48" s="1945"/>
      <c r="L48" s="1945"/>
      <c r="M48" s="1945"/>
      <c r="N48" s="1945"/>
      <c r="O48" s="1945"/>
      <c r="P48" s="1945"/>
      <c r="Q48" s="1945"/>
      <c r="R48" s="1945"/>
      <c r="S48" s="1945"/>
      <c r="T48" s="1945"/>
      <c r="U48" s="1945"/>
      <c r="V48" s="1945"/>
      <c r="W48" s="1945"/>
      <c r="X48" s="1945"/>
      <c r="Y48" s="1945"/>
      <c r="Z48" s="1945"/>
      <c r="AA48" s="1945"/>
      <c r="AB48" s="1945"/>
      <c r="AC48" s="1945"/>
      <c r="AD48" s="1945"/>
      <c r="AE48" s="1945"/>
      <c r="AF48" s="1945"/>
      <c r="AG48" s="1945"/>
      <c r="AH48" s="1945"/>
      <c r="AI48" s="1945"/>
      <c r="AJ48" s="1945"/>
      <c r="AK48" s="1945"/>
      <c r="AL48" s="1911"/>
      <c r="AM48" s="1862"/>
    </row>
    <row r="49" spans="1:61" s="58" customFormat="1" ht="89.85" customHeight="1">
      <c r="C49" s="264" t="s">
        <v>623</v>
      </c>
      <c r="D49" s="1802" t="s">
        <v>3205</v>
      </c>
      <c r="E49" s="1945"/>
      <c r="F49" s="1945"/>
      <c r="G49" s="1945"/>
      <c r="H49" s="1945"/>
      <c r="I49" s="1945"/>
      <c r="J49" s="1945"/>
      <c r="K49" s="1945"/>
      <c r="L49" s="1945"/>
      <c r="M49" s="1945"/>
      <c r="N49" s="1945"/>
      <c r="O49" s="1945"/>
      <c r="P49" s="1945"/>
      <c r="Q49" s="1945"/>
      <c r="R49" s="1945"/>
      <c r="S49" s="1945"/>
      <c r="T49" s="1945"/>
      <c r="U49" s="1945"/>
      <c r="V49" s="1945"/>
      <c r="W49" s="1945"/>
      <c r="X49" s="1945"/>
      <c r="Y49" s="1945"/>
      <c r="Z49" s="1945"/>
      <c r="AA49" s="1945"/>
      <c r="AB49" s="1945"/>
      <c r="AC49" s="1945"/>
      <c r="AD49" s="1945"/>
      <c r="AE49" s="1945"/>
      <c r="AF49" s="1945"/>
      <c r="AG49" s="1945"/>
      <c r="AH49" s="1945"/>
      <c r="AI49" s="1945"/>
      <c r="AJ49" s="1945"/>
      <c r="AK49" s="1945"/>
      <c r="AL49" s="1911"/>
      <c r="AM49" s="1862"/>
    </row>
    <row r="50" spans="1:61" s="58" customFormat="1" ht="18" customHeight="1">
      <c r="B50" s="1891" t="s">
        <v>2174</v>
      </c>
      <c r="C50" s="1877"/>
      <c r="D50" s="1877"/>
      <c r="E50" s="1877"/>
      <c r="F50" s="1877"/>
      <c r="G50" s="1877"/>
      <c r="H50" s="1877"/>
      <c r="I50" s="1877"/>
      <c r="J50" s="1877"/>
      <c r="K50" s="1877"/>
      <c r="L50" s="1877"/>
      <c r="M50" s="1877"/>
      <c r="N50" s="1877"/>
      <c r="O50" s="1877"/>
      <c r="P50" s="1877"/>
      <c r="Q50" s="1877"/>
      <c r="R50" s="1877"/>
      <c r="S50" s="1877"/>
      <c r="T50" s="1877"/>
      <c r="U50" s="1877"/>
      <c r="V50" s="1877"/>
      <c r="W50" s="1877"/>
      <c r="X50" s="1877"/>
      <c r="Y50" s="1877"/>
      <c r="Z50" s="1877"/>
      <c r="AA50" s="1877"/>
      <c r="AB50" s="1877"/>
      <c r="AC50" s="1877"/>
      <c r="AD50" s="1877"/>
      <c r="AE50" s="1877"/>
      <c r="AF50" s="1877"/>
      <c r="AG50" s="1877"/>
      <c r="AH50" s="1877"/>
      <c r="AI50" s="1877"/>
      <c r="AJ50" s="1877"/>
      <c r="AK50" s="1877"/>
      <c r="AL50" s="1877"/>
      <c r="AM50" s="1877"/>
    </row>
    <row r="51" spans="1:61" s="58" customFormat="1" ht="105.6" customHeight="1">
      <c r="B51" s="1874"/>
      <c r="C51" s="1869"/>
      <c r="D51" s="1869"/>
      <c r="E51" s="1869"/>
      <c r="F51" s="1869"/>
      <c r="G51" s="1869"/>
      <c r="H51" s="1869"/>
      <c r="I51" s="1869"/>
      <c r="J51" s="1869"/>
      <c r="K51" s="1869"/>
      <c r="L51" s="1869"/>
      <c r="M51" s="1869"/>
      <c r="N51" s="1869"/>
      <c r="O51" s="1869"/>
      <c r="P51" s="1869"/>
      <c r="Q51" s="1869"/>
      <c r="R51" s="1869"/>
      <c r="S51" s="1869"/>
      <c r="T51" s="1869"/>
      <c r="U51" s="1869"/>
      <c r="V51" s="1869"/>
      <c r="W51" s="1869"/>
      <c r="X51" s="1869"/>
      <c r="Y51" s="1869"/>
      <c r="Z51" s="1869"/>
      <c r="AA51" s="1869"/>
      <c r="AB51" s="1869"/>
      <c r="AC51" s="1869"/>
      <c r="AD51" s="1869"/>
      <c r="AE51" s="1869"/>
      <c r="AF51" s="1869"/>
      <c r="AG51" s="1869"/>
      <c r="AH51" s="1869"/>
      <c r="AI51" s="1869"/>
      <c r="AJ51" s="1869"/>
      <c r="AK51" s="1869"/>
      <c r="AL51" s="1869"/>
      <c r="AM51" s="1870"/>
    </row>
    <row r="52" spans="1:61" ht="18" customHeight="1">
      <c r="B52" s="3313" t="s">
        <v>3197</v>
      </c>
      <c r="C52" s="1877"/>
      <c r="D52" s="1877"/>
      <c r="E52" s="1877"/>
      <c r="F52" s="1877"/>
      <c r="G52" s="1877"/>
      <c r="H52" s="1877"/>
      <c r="I52" s="1877"/>
      <c r="AU52" s="1629"/>
    </row>
    <row r="53" spans="1:61" ht="81" customHeight="1">
      <c r="B53" s="2003"/>
      <c r="C53" s="1861"/>
      <c r="D53" s="1861"/>
      <c r="E53" s="1861"/>
      <c r="F53" s="1861"/>
      <c r="G53" s="1861"/>
      <c r="H53" s="1861"/>
      <c r="I53" s="1861"/>
      <c r="J53" s="1861"/>
      <c r="K53" s="1861"/>
      <c r="L53" s="1861"/>
      <c r="M53" s="1861"/>
      <c r="N53" s="1861"/>
      <c r="O53" s="1861"/>
      <c r="P53" s="1861"/>
      <c r="Q53" s="1861"/>
      <c r="R53" s="1861"/>
      <c r="S53" s="1861"/>
      <c r="T53" s="1861"/>
      <c r="U53" s="1861"/>
      <c r="V53" s="1861"/>
      <c r="W53" s="1861"/>
      <c r="X53" s="1861"/>
      <c r="Y53" s="1861"/>
      <c r="Z53" s="1861"/>
      <c r="AA53" s="1861"/>
      <c r="AB53" s="1861"/>
      <c r="AC53" s="1861"/>
      <c r="AD53" s="1861"/>
      <c r="AE53" s="1861"/>
      <c r="AF53" s="1861"/>
      <c r="AG53" s="1861"/>
      <c r="AH53" s="1861"/>
      <c r="AI53" s="1861"/>
      <c r="AJ53" s="1861"/>
      <c r="AK53" s="1861"/>
      <c r="AL53" s="1861"/>
      <c r="AM53" s="1862"/>
      <c r="AU53" s="1629"/>
    </row>
    <row r="54" spans="1:61" s="58" customFormat="1" ht="18" customHeight="1">
      <c r="AT54" s="476"/>
      <c r="AU54" s="476"/>
      <c r="AV54" s="136"/>
    </row>
    <row r="55" spans="1:61" ht="18" customHeight="1">
      <c r="A55" s="1701"/>
      <c r="B55" s="244" t="s">
        <v>619</v>
      </c>
      <c r="C55" s="2180" t="s">
        <v>3206</v>
      </c>
      <c r="D55" s="2180"/>
      <c r="E55" s="2180"/>
      <c r="F55" s="2180"/>
      <c r="G55" s="2180"/>
      <c r="H55" s="2180"/>
      <c r="I55" s="2180"/>
      <c r="J55" s="2180"/>
      <c r="K55" s="2180"/>
      <c r="L55" s="2180"/>
      <c r="M55" s="2180"/>
      <c r="N55" s="2180"/>
      <c r="O55" s="2180"/>
      <c r="P55" s="2180"/>
      <c r="Q55" s="2180"/>
      <c r="R55" s="2180"/>
      <c r="S55" s="2180"/>
      <c r="T55" s="2180"/>
      <c r="U55" s="2180"/>
      <c r="V55" s="2180"/>
      <c r="W55" s="2180"/>
      <c r="X55" s="2180"/>
      <c r="Y55" s="2180"/>
      <c r="Z55" s="2180"/>
      <c r="AA55" s="2180"/>
      <c r="AB55" s="2180"/>
      <c r="AC55" s="2180"/>
      <c r="AD55" s="2180"/>
      <c r="AE55" s="2180"/>
      <c r="AF55" s="2180"/>
      <c r="AG55" s="2180"/>
      <c r="AH55" s="2180"/>
      <c r="AI55" s="2180"/>
      <c r="AJ55" s="2180"/>
      <c r="AK55" s="2180"/>
      <c r="AL55" s="1911"/>
      <c r="AM55" s="1862"/>
      <c r="AV55" s="136"/>
    </row>
    <row r="56" spans="1:61" ht="18" customHeight="1">
      <c r="B56" s="244"/>
      <c r="C56" s="2180" t="s">
        <v>3207</v>
      </c>
      <c r="D56" s="2180"/>
      <c r="E56" s="2180"/>
      <c r="F56" s="2180"/>
      <c r="G56" s="2180"/>
      <c r="H56" s="2180"/>
      <c r="I56" s="2180"/>
      <c r="J56" s="2180"/>
      <c r="K56" s="2180"/>
      <c r="L56" s="2180"/>
      <c r="M56" s="2180"/>
      <c r="N56" s="2180"/>
      <c r="O56" s="2180"/>
      <c r="P56" s="2180"/>
      <c r="Q56" s="2180"/>
      <c r="R56" s="2180"/>
      <c r="S56" s="2180"/>
      <c r="T56" s="2180"/>
      <c r="U56" s="2180"/>
      <c r="V56" s="2180"/>
      <c r="W56" s="2180"/>
      <c r="X56" s="2180"/>
      <c r="Y56" s="2180"/>
      <c r="Z56" s="2180"/>
      <c r="AA56" s="2180"/>
      <c r="AB56" s="2180"/>
      <c r="AC56" s="2180"/>
      <c r="AD56" s="2180"/>
      <c r="AE56" s="2180"/>
      <c r="AF56" s="2180"/>
      <c r="AG56" s="2180"/>
      <c r="AH56" s="2180"/>
      <c r="AI56" s="2180"/>
      <c r="AJ56" s="2180"/>
      <c r="AK56" s="2180"/>
      <c r="AV56" s="136"/>
    </row>
    <row r="57" spans="1:61" s="58" customFormat="1" ht="36" customHeight="1">
      <c r="C57" s="1802" t="s">
        <v>3208</v>
      </c>
      <c r="D57" s="1945"/>
      <c r="E57" s="1945"/>
      <c r="F57" s="1945"/>
      <c r="G57" s="1945"/>
      <c r="H57" s="1945"/>
      <c r="I57" s="1945"/>
      <c r="J57" s="1945"/>
      <c r="K57" s="1945"/>
      <c r="L57" s="1945"/>
      <c r="M57" s="1945"/>
      <c r="N57" s="1945"/>
      <c r="O57" s="1945"/>
      <c r="P57" s="1945"/>
      <c r="Q57" s="1945"/>
      <c r="R57" s="1945"/>
      <c r="S57" s="1945"/>
      <c r="T57" s="1945"/>
      <c r="U57" s="1945"/>
      <c r="V57" s="1945"/>
      <c r="W57" s="1945"/>
      <c r="X57" s="1945"/>
      <c r="Y57" s="1945"/>
      <c r="Z57" s="1945"/>
      <c r="AA57" s="1945"/>
      <c r="AB57" s="1945"/>
      <c r="AC57" s="1945"/>
      <c r="AD57" s="1945"/>
      <c r="AE57" s="1945"/>
      <c r="AF57" s="1945"/>
      <c r="AG57" s="1945"/>
      <c r="AH57" s="1945"/>
      <c r="AI57" s="1945"/>
      <c r="AJ57" s="1945"/>
      <c r="AK57" s="1945"/>
    </row>
    <row r="58" spans="1:61" ht="18" customHeight="1">
      <c r="C58" s="265" t="s">
        <v>608</v>
      </c>
      <c r="D58" s="2180" t="s">
        <v>3209</v>
      </c>
      <c r="E58" s="2180"/>
      <c r="F58" s="2180"/>
      <c r="G58" s="2180"/>
      <c r="H58" s="2180"/>
      <c r="I58" s="2180"/>
      <c r="J58" s="2180"/>
      <c r="K58" s="2180"/>
      <c r="L58" s="2180"/>
      <c r="M58" s="2180"/>
      <c r="N58" s="2180"/>
      <c r="O58" s="2180"/>
      <c r="P58" s="2180"/>
      <c r="Q58" s="2180"/>
      <c r="R58" s="2180"/>
      <c r="S58" s="2180"/>
      <c r="T58" s="2180"/>
      <c r="U58" s="2180"/>
      <c r="V58" s="2180"/>
      <c r="W58" s="2180"/>
      <c r="X58" s="2180"/>
      <c r="Y58" s="2180"/>
      <c r="Z58" s="2180"/>
      <c r="AA58" s="2180"/>
      <c r="AB58" s="2180"/>
      <c r="AC58" s="2180"/>
      <c r="AD58" s="2180"/>
      <c r="AE58" s="2180"/>
      <c r="AF58" s="2180"/>
      <c r="AG58" s="2180"/>
      <c r="AH58" s="2180"/>
      <c r="AI58" s="2180"/>
      <c r="AJ58" s="2180"/>
      <c r="AK58" s="2180"/>
      <c r="AL58" s="1911"/>
      <c r="AM58" s="1862"/>
      <c r="AV58" s="136"/>
    </row>
    <row r="59" spans="1:61" ht="36" customHeight="1">
      <c r="C59" s="265" t="s">
        <v>611</v>
      </c>
      <c r="D59" s="2525" t="s">
        <v>3210</v>
      </c>
      <c r="E59" s="2180"/>
      <c r="F59" s="2180"/>
      <c r="G59" s="2180"/>
      <c r="H59" s="2180"/>
      <c r="I59" s="2180"/>
      <c r="J59" s="2180"/>
      <c r="K59" s="2180"/>
      <c r="L59" s="2180"/>
      <c r="M59" s="2180"/>
      <c r="N59" s="2180"/>
      <c r="O59" s="2180"/>
      <c r="P59" s="2180"/>
      <c r="Q59" s="2180"/>
      <c r="R59" s="2180"/>
      <c r="S59" s="2180"/>
      <c r="T59" s="2180"/>
      <c r="U59" s="2180"/>
      <c r="V59" s="2180"/>
      <c r="W59" s="2180"/>
      <c r="X59" s="2180"/>
      <c r="Y59" s="2180"/>
      <c r="Z59" s="2180"/>
      <c r="AA59" s="2180"/>
      <c r="AB59" s="2180"/>
      <c r="AC59" s="2180"/>
      <c r="AD59" s="2180"/>
      <c r="AE59" s="2180"/>
      <c r="AF59" s="2180"/>
      <c r="AG59" s="2180"/>
      <c r="AH59" s="2180"/>
      <c r="AI59" s="2180"/>
      <c r="AJ59" s="2180"/>
      <c r="AK59" s="2180"/>
      <c r="AL59" s="1911"/>
      <c r="AM59" s="1862"/>
      <c r="AV59" s="58"/>
    </row>
    <row r="60" spans="1:61" s="58" customFormat="1" ht="91.35" customHeight="1">
      <c r="C60"/>
      <c r="D60" s="2003"/>
      <c r="E60" s="1861"/>
      <c r="F60" s="1861"/>
      <c r="G60" s="1861"/>
      <c r="H60" s="1861"/>
      <c r="I60" s="1861"/>
      <c r="J60" s="1861"/>
      <c r="K60" s="1861"/>
      <c r="L60" s="1861"/>
      <c r="M60" s="1861"/>
      <c r="N60" s="1861"/>
      <c r="O60" s="1861"/>
      <c r="P60" s="1861"/>
      <c r="Q60" s="1861"/>
      <c r="R60" s="1861"/>
      <c r="S60" s="1861"/>
      <c r="T60" s="1861"/>
      <c r="U60" s="1861"/>
      <c r="V60" s="1861"/>
      <c r="W60" s="1861"/>
      <c r="X60" s="1861"/>
      <c r="Y60" s="1861"/>
      <c r="Z60" s="1861"/>
      <c r="AA60" s="1861"/>
      <c r="AB60" s="1861"/>
      <c r="AC60" s="1861"/>
      <c r="AD60" s="1861"/>
      <c r="AE60" s="1861"/>
      <c r="AF60" s="1861"/>
      <c r="AG60" s="1861"/>
      <c r="AH60" s="1861"/>
      <c r="AI60" s="1861"/>
      <c r="AJ60" s="1861"/>
      <c r="AK60" s="1862"/>
    </row>
    <row r="61" spans="1:61" s="58" customFormat="1" ht="36" customHeight="1">
      <c r="D61" s="1703" t="s">
        <v>634</v>
      </c>
      <c r="E61" s="3315" t="s">
        <v>3211</v>
      </c>
      <c r="F61" s="1953"/>
      <c r="G61" s="1953"/>
      <c r="H61" s="1953"/>
      <c r="I61" s="1953"/>
      <c r="J61" s="1953"/>
      <c r="K61" s="1953"/>
      <c r="L61" s="1953"/>
      <c r="M61" s="1953"/>
      <c r="N61" s="1953"/>
      <c r="O61" s="1953"/>
      <c r="P61" s="1953"/>
      <c r="Q61" s="1953"/>
      <c r="R61" s="1953"/>
      <c r="S61" s="1953"/>
      <c r="T61" s="1953"/>
      <c r="U61" s="1953"/>
      <c r="V61" s="1953"/>
      <c r="W61" s="1953"/>
      <c r="X61" s="1953"/>
      <c r="Y61" s="1953"/>
      <c r="Z61" s="1953"/>
      <c r="AA61" s="1953"/>
      <c r="AB61" s="1953"/>
      <c r="AC61" s="1953"/>
      <c r="AD61" s="1953"/>
      <c r="AE61" s="1953"/>
      <c r="AF61" s="1953"/>
      <c r="AG61" s="1953"/>
      <c r="AH61" s="1953"/>
      <c r="AI61" s="1953"/>
      <c r="AJ61" s="1953"/>
      <c r="AK61" s="1770"/>
      <c r="AL61" s="1911"/>
      <c r="AM61" s="1862"/>
    </row>
    <row r="62" spans="1:61" s="58" customFormat="1" ht="18" customHeight="1">
      <c r="E62" s="2996" t="s">
        <v>3212</v>
      </c>
      <c r="F62" s="1945"/>
      <c r="G62" s="1945"/>
      <c r="H62" s="1945"/>
      <c r="I62" s="1945"/>
      <c r="J62" s="1945"/>
      <c r="K62" s="1945"/>
      <c r="L62" s="1945"/>
      <c r="M62" s="1945"/>
      <c r="N62" s="1945"/>
      <c r="O62" s="1945"/>
      <c r="P62" s="1945"/>
      <c r="Q62" s="1945"/>
      <c r="R62" s="1945"/>
      <c r="S62" s="1945"/>
      <c r="T62" s="1945"/>
      <c r="U62" s="1945"/>
      <c r="V62" s="1945"/>
      <c r="W62" s="1945"/>
      <c r="X62" s="1945"/>
      <c r="Y62" s="1945"/>
      <c r="Z62" s="1945"/>
      <c r="AA62" s="1945"/>
      <c r="AB62" s="1945"/>
      <c r="AC62" s="1945"/>
      <c r="AD62" s="1945"/>
      <c r="AE62" s="1945"/>
      <c r="AF62" s="1945"/>
      <c r="AG62" s="1945"/>
      <c r="AH62" s="1945"/>
      <c r="AI62" s="1945"/>
      <c r="AJ62" s="1945"/>
      <c r="AK62" s="1889"/>
      <c r="AL62" s="3311" t="str">
        <f>IFERROR(IF(AND($AL$61&gt;0,'Development Budget'!$D$173&gt;0),IF('Development Budget'!$D$173/'IIG Threshold Requirements'!$AL$61&lt;=50000,TRUE),"N/A"),"N/A")</f>
        <v>N/A</v>
      </c>
      <c r="AM62" s="1778"/>
      <c r="BI62" s="136"/>
    </row>
    <row r="63" spans="1:61" s="58" customFormat="1" ht="18" customHeight="1">
      <c r="E63" s="1802" t="s">
        <v>3213</v>
      </c>
      <c r="F63" s="1945"/>
      <c r="G63" s="1945"/>
      <c r="H63" s="1945"/>
      <c r="I63" s="1945"/>
      <c r="J63" s="1945"/>
      <c r="K63" s="1945"/>
      <c r="L63" s="1945"/>
      <c r="M63" s="1945"/>
      <c r="N63" s="1945"/>
      <c r="O63" s="1945"/>
      <c r="P63" s="1945"/>
      <c r="Q63" s="1945"/>
      <c r="R63" s="1945"/>
      <c r="S63" s="1945"/>
      <c r="T63" s="1945"/>
      <c r="U63" s="1945"/>
      <c r="V63" s="1945"/>
      <c r="W63" s="1945"/>
      <c r="X63" s="1945"/>
      <c r="Y63" s="1945"/>
      <c r="Z63" s="1945"/>
      <c r="AA63" s="1945"/>
      <c r="AB63" s="1945"/>
      <c r="AC63" s="1945"/>
      <c r="AD63" s="1945"/>
      <c r="AE63" s="1945"/>
      <c r="AF63" s="1945"/>
      <c r="AG63" s="1945"/>
      <c r="AH63" s="1945"/>
      <c r="AI63" s="1945"/>
      <c r="AJ63" s="1945"/>
      <c r="AK63" s="1945"/>
      <c r="AL63" s="2064" t="e">
        <f>IF('Development Budget'!$D$173&gt;'Development Budget'!#REF!*0.3,TRUE,FALSE)</f>
        <v>#REF!</v>
      </c>
      <c r="AM63" s="1778"/>
    </row>
    <row r="64" spans="1:61" s="58" customFormat="1" ht="33.75" customHeight="1">
      <c r="D64" s="1703" t="s">
        <v>3214</v>
      </c>
      <c r="E64" s="1802" t="s">
        <v>3215</v>
      </c>
      <c r="F64" s="1945"/>
      <c r="G64" s="1945"/>
      <c r="H64" s="1945"/>
      <c r="I64" s="1945"/>
      <c r="J64" s="1945"/>
      <c r="K64" s="1945"/>
      <c r="L64" s="1945"/>
      <c r="M64" s="1945"/>
      <c r="N64" s="1945"/>
      <c r="O64" s="1945"/>
      <c r="P64" s="1945"/>
      <c r="Q64" s="1945"/>
      <c r="R64" s="1945"/>
      <c r="S64" s="1945"/>
      <c r="T64" s="1945"/>
      <c r="U64" s="1945"/>
      <c r="V64" s="1945"/>
      <c r="W64" s="1945"/>
      <c r="X64" s="1945"/>
      <c r="Y64" s="1945"/>
      <c r="Z64" s="1945"/>
      <c r="AA64" s="1945"/>
      <c r="AB64" s="1945"/>
      <c r="AC64" s="1945"/>
      <c r="AD64" s="1945"/>
      <c r="AE64" s="1945"/>
      <c r="AF64" s="1945"/>
      <c r="AG64" s="1945"/>
      <c r="AH64" s="1945"/>
      <c r="AI64" s="1945"/>
      <c r="AJ64" s="1945"/>
      <c r="AK64" s="1945"/>
    </row>
    <row r="65" spans="2:48" s="58" customFormat="1" ht="18" customHeight="1">
      <c r="E65" s="2996" t="s">
        <v>3216</v>
      </c>
      <c r="F65" s="1945"/>
      <c r="G65" s="1945"/>
      <c r="H65" s="1945"/>
      <c r="I65" s="1945"/>
      <c r="J65" s="1945"/>
      <c r="K65" s="1945"/>
      <c r="L65" s="1945"/>
      <c r="M65" s="1945"/>
      <c r="N65" s="1945"/>
      <c r="O65" s="1889"/>
      <c r="P65" s="1873"/>
      <c r="Q65" s="1862"/>
      <c r="S65" s="2020" t="s">
        <v>3217</v>
      </c>
      <c r="T65" s="1945"/>
      <c r="U65" s="1945"/>
      <c r="V65" s="1945"/>
      <c r="W65" s="1945"/>
      <c r="X65" s="1945"/>
      <c r="Y65" s="1945"/>
      <c r="Z65" s="1945"/>
      <c r="AA65" s="1945"/>
      <c r="AB65" s="1945"/>
      <c r="AC65" s="1945"/>
      <c r="AD65" s="1945"/>
      <c r="AE65" s="1945"/>
      <c r="AF65" s="1945"/>
      <c r="AG65" s="1945"/>
      <c r="AH65" s="1945"/>
      <c r="AI65" s="1945"/>
      <c r="AJ65" s="1945"/>
      <c r="AK65" s="1945"/>
      <c r="AL65" s="3311" t="e">
        <f>IF(SUM('Development Budget'!$D$189,'Development Budget'!$D$190,'Development Budget'!$D$191,'Development Budget'!$D$192,'Development Budget'!$D$193,'Development Budget'!$D$194,'Development Budget'!$D$195,'Development Budget'!$D$196)&gt;('Development Budget'!#REF!*5%),TRUE,FALSE)</f>
        <v>#REF!</v>
      </c>
      <c r="AM65" s="1778"/>
    </row>
    <row r="66" spans="2:48" ht="18" customHeight="1">
      <c r="C66" s="265" t="s">
        <v>619</v>
      </c>
      <c r="D66" s="2995" t="s">
        <v>3218</v>
      </c>
      <c r="E66" s="2180"/>
      <c r="F66" s="2180"/>
      <c r="G66" s="2180"/>
      <c r="H66" s="2180"/>
      <c r="I66" s="2180"/>
      <c r="J66" s="2180"/>
      <c r="K66" s="2180"/>
      <c r="L66" s="2180"/>
      <c r="M66" s="2180"/>
      <c r="N66" s="2180"/>
      <c r="O66" s="2180"/>
      <c r="P66" s="2180"/>
      <c r="Q66" s="2180"/>
      <c r="R66" s="2180"/>
      <c r="S66" s="2180"/>
      <c r="T66" s="2180"/>
      <c r="U66" s="2180"/>
      <c r="V66" s="2180"/>
      <c r="W66" s="2180"/>
      <c r="X66" s="2180"/>
      <c r="Y66" s="2180"/>
      <c r="Z66" s="2180"/>
      <c r="AA66" s="2180"/>
      <c r="AB66" s="2180"/>
      <c r="AC66" s="2180"/>
      <c r="AD66" s="2180"/>
      <c r="AE66" s="2180"/>
      <c r="AF66" s="2180"/>
      <c r="AG66" s="2180"/>
      <c r="AH66" s="2180"/>
      <c r="AI66" s="2180"/>
      <c r="AJ66" s="2180"/>
      <c r="AK66" s="2180"/>
      <c r="AL66" s="1911"/>
      <c r="AM66" s="1862"/>
      <c r="AV66" s="136"/>
    </row>
    <row r="67" spans="2:48" ht="18" customHeight="1">
      <c r="B67" s="3313" t="s">
        <v>3197</v>
      </c>
      <c r="C67" s="1877"/>
      <c r="D67" s="1877"/>
      <c r="E67" s="1877"/>
      <c r="F67" s="1877"/>
      <c r="G67" s="1877"/>
      <c r="H67" s="1877"/>
      <c r="I67" s="1877"/>
      <c r="AV67" s="136"/>
    </row>
    <row r="68" spans="2:48" ht="81" customHeight="1">
      <c r="B68" s="2003"/>
      <c r="C68" s="1861"/>
      <c r="D68" s="1861"/>
      <c r="E68" s="1861"/>
      <c r="F68" s="1861"/>
      <c r="G68" s="1861"/>
      <c r="H68" s="1861"/>
      <c r="I68" s="1861"/>
      <c r="J68" s="1861"/>
      <c r="K68" s="1861"/>
      <c r="L68" s="1861"/>
      <c r="M68" s="1861"/>
      <c r="N68" s="1861"/>
      <c r="O68" s="1861"/>
      <c r="P68" s="1861"/>
      <c r="Q68" s="1861"/>
      <c r="R68" s="1861"/>
      <c r="S68" s="1861"/>
      <c r="T68" s="1861"/>
      <c r="U68" s="1861"/>
      <c r="V68" s="1861"/>
      <c r="W68" s="1861"/>
      <c r="X68" s="1861"/>
      <c r="Y68" s="1861"/>
      <c r="Z68" s="1861"/>
      <c r="AA68" s="1861"/>
      <c r="AB68" s="1861"/>
      <c r="AC68" s="1861"/>
      <c r="AD68" s="1861"/>
      <c r="AE68" s="1861"/>
      <c r="AF68" s="1861"/>
      <c r="AG68" s="1861"/>
      <c r="AH68" s="1861"/>
      <c r="AI68" s="1861"/>
      <c r="AJ68" s="1861"/>
      <c r="AK68" s="1861"/>
      <c r="AL68" s="1861"/>
      <c r="AM68" s="1862"/>
    </row>
    <row r="70" spans="2:48" ht="18" customHeight="1">
      <c r="B70" s="244" t="s">
        <v>623</v>
      </c>
      <c r="C70" s="2180" t="s">
        <v>3219</v>
      </c>
      <c r="D70" s="2180"/>
      <c r="E70" s="2180"/>
      <c r="F70" s="2180"/>
      <c r="G70" s="2180"/>
      <c r="H70" s="2180"/>
      <c r="I70" s="2180"/>
      <c r="J70" s="2180"/>
      <c r="K70" s="2180"/>
      <c r="L70" s="2180"/>
      <c r="M70" s="2180"/>
      <c r="N70" s="2180"/>
      <c r="O70" s="2180"/>
      <c r="P70" s="2180"/>
      <c r="Q70" s="2180"/>
      <c r="R70" s="2180"/>
      <c r="S70" s="2180"/>
      <c r="T70" s="2180"/>
      <c r="U70" s="2180"/>
      <c r="V70" s="2180"/>
      <c r="W70" s="2180"/>
      <c r="X70" s="2180"/>
      <c r="Y70" s="2180"/>
      <c r="Z70" s="2180"/>
      <c r="AA70" s="2180"/>
      <c r="AB70" s="2180"/>
      <c r="AC70" s="2180"/>
      <c r="AD70" s="2180"/>
      <c r="AE70" s="2180"/>
      <c r="AF70" s="2180"/>
      <c r="AG70" s="2180"/>
      <c r="AH70" s="2180"/>
      <c r="AI70" s="2180"/>
      <c r="AJ70" s="2180"/>
      <c r="AK70" s="2180"/>
      <c r="AL70" s="1911"/>
      <c r="AM70" s="1862"/>
    </row>
    <row r="71" spans="2:48" ht="18" customHeight="1">
      <c r="C71" s="2180" t="s">
        <v>3220</v>
      </c>
      <c r="D71" s="2180"/>
      <c r="E71" s="2180"/>
      <c r="F71" s="2180"/>
      <c r="G71" s="2180"/>
      <c r="H71" s="2180"/>
      <c r="I71" s="2180"/>
      <c r="J71" s="2180"/>
      <c r="K71" s="2180"/>
      <c r="L71" s="2180"/>
      <c r="M71" s="2180"/>
      <c r="N71" s="2180"/>
      <c r="O71" s="2180"/>
      <c r="P71" s="2180"/>
      <c r="Q71" s="2180"/>
      <c r="R71" s="2180"/>
      <c r="S71" s="2180"/>
      <c r="T71" s="2180"/>
      <c r="U71" s="2180"/>
      <c r="V71" s="2180"/>
      <c r="W71" s="2180"/>
      <c r="X71" s="2180"/>
      <c r="Y71" s="2180"/>
      <c r="Z71" s="2180"/>
      <c r="AA71" s="2180"/>
      <c r="AB71" s="2180"/>
      <c r="AC71" s="2180"/>
      <c r="AD71" s="2180"/>
      <c r="AE71" s="2180"/>
      <c r="AF71" s="2180"/>
      <c r="AG71" s="2180"/>
      <c r="AH71" s="2180"/>
      <c r="AI71" s="2180"/>
      <c r="AJ71" s="2180"/>
      <c r="AK71" s="2180"/>
    </row>
    <row r="72" spans="2:48" ht="18" customHeight="1">
      <c r="C72" s="264" t="s">
        <v>608</v>
      </c>
      <c r="D72" s="2180" t="s">
        <v>3221</v>
      </c>
      <c r="E72" s="2180"/>
      <c r="F72" s="2180"/>
      <c r="G72" s="2180"/>
      <c r="H72" s="2180"/>
      <c r="I72" s="2180"/>
      <c r="J72" s="2180"/>
      <c r="K72" s="2180"/>
      <c r="L72" s="2180"/>
      <c r="M72" s="2180"/>
      <c r="N72" s="2180"/>
      <c r="O72" s="2180"/>
      <c r="P72" s="2180"/>
      <c r="Q72" s="2180"/>
      <c r="R72" s="2180"/>
      <c r="S72" s="2180"/>
      <c r="AL72" s="1911"/>
      <c r="AM72" s="1862"/>
    </row>
    <row r="73" spans="2:48" ht="18" customHeight="1">
      <c r="C73" s="264" t="s">
        <v>611</v>
      </c>
      <c r="D73" s="2180" t="s">
        <v>2066</v>
      </c>
      <c r="E73" s="2180"/>
      <c r="F73" s="2180"/>
      <c r="G73" s="2180"/>
      <c r="H73" s="2180"/>
      <c r="I73" s="2180"/>
      <c r="J73" s="2180"/>
      <c r="K73" s="2180"/>
      <c r="L73" s="2180"/>
      <c r="M73" s="2180"/>
      <c r="N73" s="2180"/>
      <c r="O73" s="2180"/>
      <c r="P73" s="2180"/>
      <c r="Q73" s="2180"/>
      <c r="R73" s="2180"/>
      <c r="S73" s="2180"/>
      <c r="T73" s="2180"/>
      <c r="U73" s="2180"/>
      <c r="V73" s="2180"/>
      <c r="W73" s="2180"/>
      <c r="X73" s="2180"/>
      <c r="Y73" s="2180"/>
      <c r="Z73" s="2180"/>
      <c r="AA73" s="2180"/>
      <c r="AB73" s="2180"/>
      <c r="AC73" s="2180"/>
      <c r="AD73" s="2180"/>
      <c r="AE73" s="2180"/>
      <c r="AF73" s="2180"/>
      <c r="AG73" s="2180"/>
      <c r="AH73" s="2180"/>
      <c r="AI73" s="2180"/>
      <c r="AJ73" s="2180"/>
      <c r="AK73" s="2180"/>
    </row>
    <row r="74" spans="2:48" ht="18" customHeight="1">
      <c r="C74" s="264"/>
      <c r="D74" s="267" t="s">
        <v>613</v>
      </c>
      <c r="E74" s="2180" t="s">
        <v>3222</v>
      </c>
      <c r="F74" s="2180"/>
      <c r="G74" s="2180"/>
      <c r="H74" s="2180"/>
      <c r="I74" s="2180"/>
      <c r="J74" s="2180"/>
      <c r="K74" s="2180"/>
      <c r="L74" s="2180"/>
      <c r="M74" s="2180"/>
      <c r="N74" s="2180"/>
      <c r="O74" s="2180"/>
      <c r="P74" s="2180"/>
      <c r="Q74" s="2180"/>
      <c r="R74" s="2180"/>
      <c r="S74" s="2180"/>
      <c r="T74" s="2180"/>
      <c r="U74" s="2180"/>
      <c r="V74" s="2180"/>
      <c r="W74" s="2180"/>
      <c r="X74" s="2180"/>
      <c r="Y74" s="2180"/>
      <c r="Z74" s="2180"/>
      <c r="AA74" s="2180"/>
      <c r="AB74" s="2180"/>
      <c r="AC74" s="2180"/>
      <c r="AD74" s="2180"/>
      <c r="AE74" s="2180"/>
      <c r="AF74" s="2180"/>
      <c r="AG74" s="2180"/>
      <c r="AH74" s="2180"/>
      <c r="AI74" s="2180"/>
      <c r="AJ74" s="2180"/>
      <c r="AK74" s="2180"/>
      <c r="AL74" s="1911"/>
      <c r="AM74" s="1862"/>
      <c r="AN74" s="58"/>
    </row>
    <row r="75" spans="2:48" s="58" customFormat="1" ht="18" customHeight="1">
      <c r="E75" s="267" t="s">
        <v>1989</v>
      </c>
      <c r="F75" s="2180" t="s">
        <v>3223</v>
      </c>
      <c r="G75" s="1945"/>
      <c r="H75" s="1945"/>
      <c r="I75" s="1945"/>
      <c r="J75" s="1945"/>
      <c r="K75" s="1945"/>
      <c r="L75" s="1945"/>
      <c r="M75" s="1945"/>
      <c r="N75" s="1945"/>
      <c r="O75" s="1945"/>
      <c r="P75" s="1945"/>
      <c r="Q75" s="1945"/>
      <c r="R75" s="1945"/>
      <c r="S75" s="1945"/>
      <c r="T75" s="1945"/>
      <c r="U75" s="1945"/>
      <c r="V75" s="1945"/>
      <c r="W75" s="1945"/>
      <c r="X75" s="1945"/>
      <c r="Y75" s="1945"/>
      <c r="Z75" s="1945"/>
      <c r="AA75" s="1945"/>
      <c r="AB75" s="1945"/>
      <c r="AC75" s="1945"/>
      <c r="AD75" s="1945"/>
      <c r="AE75" s="1945"/>
      <c r="AF75" s="1945"/>
      <c r="AG75" s="1945"/>
      <c r="AH75" s="1945"/>
      <c r="AI75" s="1945"/>
      <c r="AJ75" s="1945"/>
      <c r="AK75" s="1945"/>
      <c r="AL75" s="1911"/>
      <c r="AM75" s="1862"/>
    </row>
    <row r="76" spans="2:48" ht="36" customHeight="1">
      <c r="C76" s="264"/>
      <c r="D76" s="267" t="s">
        <v>615</v>
      </c>
      <c r="E76" s="1802" t="s">
        <v>3224</v>
      </c>
      <c r="F76" s="2180"/>
      <c r="G76" s="2180"/>
      <c r="H76" s="2180"/>
      <c r="I76" s="2180"/>
      <c r="J76" s="2180"/>
      <c r="K76" s="2180"/>
      <c r="L76" s="2180"/>
      <c r="M76" s="2180"/>
      <c r="N76" s="2180"/>
      <c r="O76" s="2180"/>
      <c r="P76" s="2180"/>
      <c r="Q76" s="2180"/>
      <c r="R76" s="2180"/>
      <c r="S76" s="2180"/>
      <c r="T76" s="2180"/>
      <c r="U76" s="2180"/>
      <c r="V76" s="2180"/>
      <c r="W76" s="2180"/>
      <c r="X76" s="2180"/>
      <c r="Y76" s="2180"/>
      <c r="Z76" s="2180"/>
      <c r="AA76" s="2180"/>
      <c r="AB76" s="2180"/>
      <c r="AC76" s="2180"/>
      <c r="AD76" s="2180"/>
      <c r="AE76" s="2180"/>
      <c r="AF76" s="2180"/>
      <c r="AG76" s="2180"/>
      <c r="AH76" s="2180"/>
      <c r="AI76" s="2180"/>
      <c r="AJ76" s="2180"/>
      <c r="AK76" s="2180"/>
      <c r="AL76" s="1911"/>
      <c r="AM76" s="1862"/>
    </row>
    <row r="77" spans="2:48" s="58" customFormat="1" ht="54" customHeight="1">
      <c r="E77" s="267" t="s">
        <v>1989</v>
      </c>
      <c r="F77" s="1802" t="s">
        <v>3225</v>
      </c>
      <c r="G77" s="1945"/>
      <c r="H77" s="1945"/>
      <c r="I77" s="1945"/>
      <c r="J77" s="1945"/>
      <c r="K77" s="1945"/>
      <c r="L77" s="1945"/>
      <c r="M77" s="1945"/>
      <c r="N77" s="1945"/>
      <c r="O77" s="1945"/>
      <c r="P77" s="1945"/>
      <c r="Q77" s="1945"/>
      <c r="R77" s="1945"/>
      <c r="S77" s="1945"/>
      <c r="T77" s="1945"/>
      <c r="U77" s="1945"/>
      <c r="V77" s="1945"/>
      <c r="W77" s="1945"/>
      <c r="X77" s="1945"/>
      <c r="Y77" s="1945"/>
      <c r="Z77" s="1945"/>
      <c r="AA77" s="1945"/>
      <c r="AB77" s="1945"/>
      <c r="AC77" s="1945"/>
      <c r="AD77" s="1945"/>
      <c r="AE77" s="1945"/>
      <c r="AF77" s="1945"/>
      <c r="AG77" s="1945"/>
      <c r="AH77" s="1945"/>
      <c r="AI77" s="1945"/>
      <c r="AJ77" s="1945"/>
      <c r="AK77" s="1945"/>
      <c r="AL77" s="1911"/>
      <c r="AM77" s="1862"/>
    </row>
    <row r="78" spans="2:48" ht="18" customHeight="1">
      <c r="C78" s="264"/>
      <c r="D78" s="267" t="s">
        <v>617</v>
      </c>
      <c r="E78" s="1802" t="s">
        <v>3226</v>
      </c>
      <c r="F78" s="2180"/>
      <c r="G78" s="2180"/>
      <c r="H78" s="2180"/>
      <c r="I78" s="2180"/>
      <c r="J78" s="2180"/>
      <c r="K78" s="2180"/>
      <c r="L78" s="2180"/>
      <c r="M78" s="2180"/>
      <c r="N78" s="2180"/>
      <c r="O78" s="2180"/>
      <c r="P78" s="2180"/>
      <c r="Q78" s="2180"/>
      <c r="R78" s="2180"/>
      <c r="S78" s="2180"/>
      <c r="T78" s="2180"/>
      <c r="U78" s="2180"/>
      <c r="V78" s="2180"/>
      <c r="W78" s="2180"/>
      <c r="X78" s="2180"/>
      <c r="Y78" s="2180"/>
      <c r="Z78" s="2180"/>
      <c r="AA78" s="2180"/>
      <c r="AB78" s="2180"/>
      <c r="AC78" s="2180"/>
      <c r="AD78" s="2180"/>
      <c r="AE78" s="2180"/>
      <c r="AF78" s="2180"/>
      <c r="AG78" s="2180"/>
      <c r="AH78" s="2180"/>
      <c r="AI78" s="2180"/>
      <c r="AJ78" s="2180"/>
      <c r="AK78" s="2180"/>
      <c r="AL78" s="1911"/>
      <c r="AM78" s="1862"/>
    </row>
    <row r="79" spans="2:48" s="58" customFormat="1" ht="36" customHeight="1">
      <c r="E79" s="1806" t="s">
        <v>3227</v>
      </c>
      <c r="F79" s="1945"/>
      <c r="G79" s="1945"/>
      <c r="H79" s="1945"/>
      <c r="I79" s="1945"/>
      <c r="J79" s="1945"/>
      <c r="K79" s="1945"/>
      <c r="L79" s="1945"/>
      <c r="M79" s="1945"/>
      <c r="N79" s="1945"/>
      <c r="O79" s="1945"/>
      <c r="P79" s="1945"/>
      <c r="Q79" s="1945"/>
      <c r="R79" s="1945"/>
      <c r="S79" s="1945"/>
      <c r="T79" s="1945"/>
      <c r="U79" s="1945"/>
      <c r="V79" s="1945"/>
      <c r="W79" s="1945"/>
      <c r="X79" s="1945"/>
      <c r="Y79" s="1945"/>
      <c r="Z79" s="1945"/>
      <c r="AA79" s="1945"/>
      <c r="AB79" s="1945"/>
      <c r="AC79" s="1945"/>
      <c r="AD79" s="1945"/>
      <c r="AE79" s="1945"/>
      <c r="AF79" s="1945"/>
      <c r="AG79" s="1945"/>
      <c r="AH79" s="1945"/>
      <c r="AI79" s="1945"/>
      <c r="AJ79" s="1945"/>
      <c r="AK79" s="1945"/>
    </row>
    <row r="80" spans="2:48" s="58" customFormat="1" ht="36" customHeight="1">
      <c r="E80" s="1802" t="s">
        <v>2802</v>
      </c>
      <c r="F80" s="1945"/>
      <c r="G80" s="1945"/>
      <c r="H80" s="1945"/>
      <c r="I80" s="1945"/>
      <c r="J80" s="1945"/>
      <c r="K80" s="1945"/>
      <c r="L80" s="1945"/>
      <c r="M80" s="1945"/>
      <c r="N80" s="1945"/>
      <c r="O80" s="1945"/>
      <c r="P80" s="1945"/>
      <c r="Q80" s="1945"/>
      <c r="R80" s="1945"/>
      <c r="S80" s="1945"/>
      <c r="T80" s="1945"/>
      <c r="U80" s="1945"/>
      <c r="V80" s="1945"/>
      <c r="W80" s="1945"/>
      <c r="X80" s="1945"/>
      <c r="Y80" s="1945"/>
      <c r="Z80" s="1945"/>
      <c r="AA80" s="1945"/>
      <c r="AB80" s="1945"/>
      <c r="AC80" s="1945"/>
      <c r="AD80" s="1945"/>
      <c r="AE80" s="1945"/>
      <c r="AF80" s="1945"/>
      <c r="AG80" s="1945"/>
      <c r="AH80" s="1945"/>
      <c r="AI80" s="1945"/>
      <c r="AJ80" s="1945"/>
      <c r="AK80" s="1945"/>
    </row>
    <row r="81" spans="2:40" s="58" customFormat="1" ht="18" customHeight="1">
      <c r="E81" s="3202" t="s">
        <v>2803</v>
      </c>
      <c r="F81" s="1877"/>
      <c r="G81" s="1877"/>
      <c r="H81" s="1877"/>
      <c r="I81" s="1877"/>
      <c r="J81" s="1877"/>
      <c r="K81" s="1877"/>
      <c r="L81" s="1877"/>
      <c r="M81" s="1877"/>
      <c r="N81" s="1877"/>
      <c r="O81" s="1877"/>
      <c r="P81" s="1877"/>
      <c r="Q81" s="1877"/>
      <c r="R81" s="1877"/>
      <c r="S81" s="1877"/>
      <c r="T81" s="1877"/>
      <c r="U81" s="1877"/>
      <c r="V81" s="1877"/>
      <c r="W81" s="1877"/>
      <c r="X81" s="1877"/>
      <c r="Y81" s="1877"/>
      <c r="Z81" s="1877"/>
      <c r="AA81" s="3308" t="s">
        <v>2804</v>
      </c>
      <c r="AB81" s="1877"/>
      <c r="AC81" s="382"/>
      <c r="AD81" s="382"/>
      <c r="AE81" s="382"/>
      <c r="AF81" s="382"/>
      <c r="AG81" s="382"/>
      <c r="AH81" s="382"/>
      <c r="AI81" s="382"/>
      <c r="AJ81" s="382"/>
      <c r="AK81" s="382"/>
      <c r="AN81" s="136"/>
    </row>
    <row r="82" spans="2:40" s="58" customFormat="1" ht="54" customHeight="1">
      <c r="B82" s="2268" t="s">
        <v>558</v>
      </c>
      <c r="C82" s="1777"/>
      <c r="D82" s="1778"/>
      <c r="E82" s="2179" t="str">
        <f>'Document Checklist-Full List'!$E$212</f>
        <v>110. "Entity Name" - Resolution</v>
      </c>
      <c r="F82" s="1777"/>
      <c r="G82" s="1777"/>
      <c r="H82" s="1777"/>
      <c r="I82" s="1777"/>
      <c r="J82" s="1777"/>
      <c r="K82" s="1777"/>
      <c r="L82" s="1777"/>
      <c r="M82" s="1778"/>
      <c r="N82" s="2179" t="str">
        <f>'Document Checklist-Full List'!$N$212</f>
        <v xml:space="preserve">Resolutions may be submitted with this application but are not required at the time of application. Resolutions must be submitted within sixty calendar days of a conditional award notification. </v>
      </c>
      <c r="O82" s="1777"/>
      <c r="P82" s="1777"/>
      <c r="Q82" s="1777"/>
      <c r="R82" s="1777"/>
      <c r="S82" s="1777"/>
      <c r="T82" s="1777"/>
      <c r="U82" s="1777"/>
      <c r="V82" s="1777"/>
      <c r="W82" s="1777"/>
      <c r="X82" s="1777"/>
      <c r="Y82" s="1777"/>
      <c r="Z82" s="1777"/>
      <c r="AA82" s="1777"/>
      <c r="AB82" s="1777"/>
      <c r="AC82" s="1777"/>
      <c r="AD82" s="1777"/>
      <c r="AE82" s="1778"/>
      <c r="AF82" s="1886" t="s">
        <v>559</v>
      </c>
      <c r="AG82" s="1777"/>
      <c r="AH82" s="1777"/>
      <c r="AI82" s="1777"/>
      <c r="AJ82" s="1777"/>
      <c r="AK82" s="1778"/>
      <c r="AL82" s="1911"/>
      <c r="AM82" s="1862"/>
      <c r="AN82" s="136"/>
    </row>
    <row r="83" spans="2:40" s="58" customFormat="1" ht="18" customHeight="1">
      <c r="D83" s="267" t="s">
        <v>634</v>
      </c>
      <c r="E83" s="2993" t="str">
        <f>IF('Project Overview'!$AL$361="Yes","P","O")</f>
        <v>O</v>
      </c>
      <c r="F83" s="1945"/>
      <c r="G83" s="382"/>
      <c r="H83" s="382"/>
      <c r="I83" s="382"/>
      <c r="J83" s="382"/>
      <c r="K83" s="382"/>
      <c r="L83" s="382"/>
      <c r="M83" s="382"/>
      <c r="N83" s="382"/>
      <c r="O83" s="382"/>
      <c r="P83" s="382"/>
      <c r="Q83" s="382"/>
      <c r="R83" s="382"/>
      <c r="S83" s="382"/>
      <c r="T83" s="382"/>
      <c r="U83" s="382"/>
      <c r="V83" s="382"/>
      <c r="W83" s="382"/>
      <c r="X83" s="382"/>
      <c r="Y83" s="382"/>
      <c r="Z83" s="382"/>
      <c r="AA83" s="382"/>
      <c r="AB83" s="382"/>
      <c r="AC83" s="382"/>
      <c r="AD83" s="382"/>
      <c r="AE83" s="382"/>
      <c r="AF83" s="382"/>
      <c r="AG83" s="382"/>
      <c r="AH83" s="382"/>
      <c r="AI83" s="382"/>
      <c r="AJ83" s="382"/>
      <c r="AK83" s="382"/>
    </row>
    <row r="84" spans="2:40" s="58" customFormat="1" ht="18" customHeight="1">
      <c r="E84" s="1802" t="s">
        <v>3228</v>
      </c>
      <c r="F84" s="1945"/>
      <c r="G84" s="1945"/>
      <c r="H84" s="1945"/>
      <c r="I84" s="1945"/>
      <c r="J84" s="1945"/>
      <c r="K84" s="1945"/>
      <c r="L84" s="1945"/>
      <c r="M84" s="1945"/>
      <c r="N84" s="1945"/>
      <c r="O84" s="1945"/>
      <c r="P84" s="1945"/>
      <c r="Q84" s="1945"/>
      <c r="R84" s="1945"/>
      <c r="S84" s="1945"/>
      <c r="T84" s="1945"/>
      <c r="U84" s="1945"/>
      <c r="V84" s="1945"/>
      <c r="W84" s="1945"/>
      <c r="X84" s="1945"/>
      <c r="Y84" s="1945"/>
      <c r="Z84" s="1945"/>
      <c r="AA84" s="1945"/>
      <c r="AB84" s="1945"/>
      <c r="AC84" s="1945"/>
      <c r="AD84" s="1945"/>
      <c r="AE84" s="1945"/>
      <c r="AF84" s="1945"/>
      <c r="AG84" s="1945"/>
      <c r="AH84" s="1945"/>
      <c r="AI84" s="1945"/>
      <c r="AJ84" s="1945"/>
      <c r="AK84" s="1945"/>
    </row>
    <row r="85" spans="2:40" s="58" customFormat="1" ht="36" customHeight="1">
      <c r="D85" s="267" t="s">
        <v>1820</v>
      </c>
      <c r="E85" s="1802" t="s">
        <v>2805</v>
      </c>
      <c r="F85" s="1945"/>
      <c r="G85" s="1945"/>
      <c r="H85" s="1945"/>
      <c r="I85" s="1945"/>
      <c r="J85" s="1945"/>
      <c r="K85" s="1945"/>
      <c r="L85" s="1945"/>
      <c r="M85" s="1945"/>
      <c r="N85" s="1945"/>
      <c r="O85" s="1945"/>
      <c r="P85" s="1945"/>
      <c r="Q85" s="1945"/>
      <c r="R85" s="1945"/>
      <c r="S85" s="1945"/>
      <c r="T85" s="1945"/>
      <c r="U85" s="1945"/>
      <c r="V85" s="1945"/>
      <c r="W85" s="1945"/>
      <c r="X85" s="1945"/>
      <c r="Y85" s="1945"/>
      <c r="Z85" s="1945"/>
      <c r="AA85" s="1945"/>
      <c r="AB85" s="1945"/>
      <c r="AC85" s="1945"/>
      <c r="AD85" s="1945"/>
      <c r="AE85" s="1945"/>
      <c r="AF85" s="1945"/>
      <c r="AG85" s="1945"/>
      <c r="AH85" s="1945"/>
      <c r="AI85" s="1945"/>
      <c r="AJ85" s="1945"/>
      <c r="AK85" s="1945"/>
    </row>
    <row r="86" spans="2:40" s="58" customFormat="1" ht="36" customHeight="1">
      <c r="B86" s="2268" t="s">
        <v>558</v>
      </c>
      <c r="C86" s="1777"/>
      <c r="D86" s="1778"/>
      <c r="E86" s="2179" t="str">
        <f>'Document Checklist-Full List'!$E$213</f>
        <v>111. Basic architectural design</v>
      </c>
      <c r="F86" s="1777"/>
      <c r="G86" s="1777"/>
      <c r="H86" s="1777"/>
      <c r="I86" s="1777"/>
      <c r="J86" s="1777"/>
      <c r="K86" s="1777"/>
      <c r="L86" s="1777"/>
      <c r="M86" s="1778"/>
      <c r="N86" s="2179" t="str">
        <f>'Document Checklist-Full List'!$N$213</f>
        <v>Basic design, or first-level design, typically refers to the initial stages of planning a structure before getting into specifics.</v>
      </c>
      <c r="O86" s="1777"/>
      <c r="P86" s="1777"/>
      <c r="Q86" s="1777"/>
      <c r="R86" s="1777"/>
      <c r="S86" s="1777"/>
      <c r="T86" s="1777"/>
      <c r="U86" s="1777"/>
      <c r="V86" s="1777"/>
      <c r="W86" s="1777"/>
      <c r="X86" s="1777"/>
      <c r="Y86" s="1777"/>
      <c r="Z86" s="1777"/>
      <c r="AA86" s="1777"/>
      <c r="AB86" s="1777"/>
      <c r="AC86" s="1777"/>
      <c r="AD86" s="1777"/>
      <c r="AE86" s="1778"/>
      <c r="AF86" s="1886" t="s">
        <v>559</v>
      </c>
      <c r="AG86" s="1777"/>
      <c r="AH86" s="1777"/>
      <c r="AI86" s="1777"/>
      <c r="AJ86" s="1777"/>
      <c r="AK86" s="1778"/>
      <c r="AL86" s="1911"/>
      <c r="AM86" s="1862"/>
    </row>
    <row r="87" spans="2:40" s="58" customFormat="1" ht="36" customHeight="1">
      <c r="E87" s="1802" t="s">
        <v>3229</v>
      </c>
      <c r="F87" s="1945"/>
      <c r="G87" s="1945"/>
      <c r="H87" s="1945"/>
      <c r="I87" s="1945"/>
      <c r="J87" s="1945"/>
      <c r="K87" s="1945"/>
      <c r="L87" s="1945"/>
      <c r="M87" s="1945"/>
      <c r="N87" s="1945"/>
      <c r="O87" s="1945"/>
      <c r="P87" s="1945"/>
      <c r="Q87" s="1945"/>
      <c r="R87" s="1945"/>
      <c r="S87" s="1945"/>
      <c r="T87" s="1945"/>
      <c r="U87" s="1945"/>
      <c r="V87" s="1945"/>
      <c r="W87" s="1945"/>
      <c r="X87" s="1945"/>
      <c r="Y87" s="1945"/>
      <c r="Z87" s="1945"/>
      <c r="AA87" s="1945"/>
      <c r="AB87" s="1945"/>
      <c r="AC87" s="1945"/>
      <c r="AD87" s="1945"/>
      <c r="AE87" s="1945"/>
      <c r="AF87" s="1945"/>
      <c r="AG87" s="1945"/>
      <c r="AH87" s="1945"/>
      <c r="AI87" s="1945"/>
      <c r="AJ87" s="1945"/>
      <c r="AK87" s="1945"/>
    </row>
    <row r="88" spans="2:40" s="58" customFormat="1" ht="36" customHeight="1">
      <c r="D88" s="267" t="s">
        <v>1821</v>
      </c>
      <c r="E88" s="1802" t="s">
        <v>3230</v>
      </c>
      <c r="F88" s="1945"/>
      <c r="G88" s="1945"/>
      <c r="H88" s="1945"/>
      <c r="I88" s="1945"/>
      <c r="J88" s="1945"/>
      <c r="K88" s="1945"/>
      <c r="L88" s="1945"/>
      <c r="M88" s="1945"/>
      <c r="N88" s="1945"/>
      <c r="O88" s="1945"/>
      <c r="P88" s="1945"/>
      <c r="Q88" s="1945"/>
      <c r="R88" s="1945"/>
      <c r="S88" s="1945"/>
      <c r="T88" s="1945"/>
      <c r="U88" s="1945"/>
      <c r="V88" s="1945"/>
      <c r="W88" s="1945"/>
      <c r="X88" s="1945"/>
      <c r="Y88" s="1945"/>
      <c r="Z88" s="1945"/>
      <c r="AA88" s="1945"/>
      <c r="AB88" s="1945"/>
      <c r="AC88" s="1945"/>
      <c r="AD88" s="1945"/>
      <c r="AE88" s="1945"/>
      <c r="AF88" s="1945"/>
      <c r="AG88" s="1945"/>
      <c r="AH88" s="1945"/>
      <c r="AI88" s="1945"/>
      <c r="AJ88" s="1945"/>
      <c r="AK88" s="1945"/>
    </row>
    <row r="89" spans="2:40" s="58" customFormat="1" ht="18" customHeight="1">
      <c r="D89" s="561"/>
      <c r="E89" s="267" t="s">
        <v>1989</v>
      </c>
      <c r="F89" s="1802" t="s">
        <v>3231</v>
      </c>
      <c r="G89" s="1945"/>
      <c r="H89" s="1945"/>
      <c r="I89" s="1945"/>
      <c r="J89" s="1945"/>
      <c r="K89" s="1945"/>
      <c r="L89" s="1945"/>
      <c r="M89" s="1945"/>
      <c r="N89" s="1945"/>
      <c r="O89" s="1945"/>
      <c r="P89" s="1945"/>
      <c r="Q89" s="1945"/>
      <c r="R89" s="1945"/>
      <c r="S89" s="1945"/>
      <c r="T89" s="1945"/>
      <c r="U89" s="1945"/>
      <c r="V89" s="1945"/>
      <c r="W89" s="1945"/>
      <c r="X89" s="1945"/>
      <c r="Y89" s="1945"/>
      <c r="Z89" s="1945"/>
      <c r="AA89" s="1945"/>
      <c r="AB89" s="1945"/>
      <c r="AC89" s="1945"/>
      <c r="AD89" s="1945"/>
      <c r="AE89" s="1945"/>
      <c r="AF89" s="1945"/>
      <c r="AG89" s="1945"/>
      <c r="AH89" s="1945"/>
      <c r="AI89" s="1945"/>
      <c r="AJ89" s="1945"/>
      <c r="AK89" s="1945"/>
    </row>
    <row r="90" spans="2:40" s="58" customFormat="1" ht="18" customHeight="1">
      <c r="E90" s="267" t="s">
        <v>1990</v>
      </c>
      <c r="F90" s="1802" t="s">
        <v>3232</v>
      </c>
      <c r="G90" s="1945"/>
      <c r="H90" s="1945"/>
      <c r="I90" s="1945"/>
      <c r="J90" s="1945"/>
      <c r="K90" s="1945"/>
      <c r="L90" s="1945"/>
      <c r="M90" s="1945"/>
      <c r="N90" s="1945"/>
      <c r="O90" s="1945"/>
      <c r="P90" s="1945"/>
      <c r="Q90" s="1945"/>
      <c r="R90" s="1945"/>
      <c r="S90" s="1945"/>
      <c r="T90" s="1945"/>
      <c r="U90" s="1945"/>
      <c r="V90" s="1945"/>
      <c r="W90" s="1945"/>
      <c r="X90" s="1945"/>
      <c r="Y90" s="1945"/>
      <c r="Z90" s="1945"/>
      <c r="AA90" s="1945"/>
      <c r="AB90" s="1945"/>
      <c r="AC90" s="1945"/>
      <c r="AD90" s="1945"/>
      <c r="AE90" s="1945"/>
      <c r="AF90" s="1945"/>
      <c r="AG90" s="1945"/>
      <c r="AH90" s="1945"/>
      <c r="AI90" s="1945"/>
      <c r="AJ90" s="1945"/>
      <c r="AK90" s="1945"/>
    </row>
    <row r="91" spans="2:40" s="58" customFormat="1" ht="18" customHeight="1">
      <c r="E91" s="267" t="s">
        <v>1996</v>
      </c>
      <c r="F91" s="1802" t="s">
        <v>3233</v>
      </c>
      <c r="G91" s="1945"/>
      <c r="H91" s="1945"/>
      <c r="I91" s="1945"/>
      <c r="J91" s="1945"/>
      <c r="K91" s="1945"/>
      <c r="L91" s="1945"/>
      <c r="M91" s="1945"/>
      <c r="N91" s="1945"/>
      <c r="O91" s="1945"/>
      <c r="P91" s="1945"/>
      <c r="Q91" s="1945"/>
      <c r="R91" s="1945"/>
      <c r="S91" s="1945"/>
      <c r="T91" s="1945"/>
      <c r="U91" s="1945"/>
      <c r="V91" s="1945"/>
      <c r="W91" s="1945"/>
      <c r="X91" s="1945"/>
      <c r="Y91" s="1945"/>
      <c r="Z91" s="1945"/>
      <c r="AA91" s="1945"/>
      <c r="AB91" s="1945"/>
      <c r="AC91" s="1945"/>
      <c r="AD91" s="1945"/>
      <c r="AE91" s="1945"/>
      <c r="AF91" s="1945"/>
      <c r="AG91" s="1945"/>
      <c r="AH91" s="1945"/>
      <c r="AI91" s="1945"/>
      <c r="AJ91" s="1945"/>
      <c r="AK91" s="1945"/>
    </row>
    <row r="92" spans="2:40" s="58" customFormat="1" ht="18" customHeight="1">
      <c r="E92" s="267" t="s">
        <v>1996</v>
      </c>
      <c r="F92" s="1802" t="s">
        <v>3234</v>
      </c>
      <c r="G92" s="1945"/>
      <c r="H92" s="1945"/>
      <c r="I92" s="1945"/>
      <c r="J92" s="1945"/>
      <c r="K92" s="1945"/>
      <c r="L92" s="1945"/>
      <c r="M92" s="1945"/>
      <c r="N92" s="1945"/>
      <c r="O92" s="1945"/>
      <c r="P92" s="1945"/>
      <c r="Q92" s="1945"/>
      <c r="R92" s="1945"/>
      <c r="S92" s="1945"/>
      <c r="T92" s="1945"/>
      <c r="U92" s="1945"/>
      <c r="V92" s="1945"/>
      <c r="W92" s="1945"/>
      <c r="X92" s="1945"/>
      <c r="Y92" s="1945"/>
      <c r="Z92" s="1945"/>
      <c r="AA92" s="1945"/>
      <c r="AB92" s="1945"/>
      <c r="AC92" s="1945"/>
      <c r="AD92" s="1945"/>
      <c r="AE92" s="1945"/>
      <c r="AF92" s="1945"/>
      <c r="AG92" s="1945"/>
      <c r="AH92" s="1945"/>
      <c r="AI92" s="1945"/>
      <c r="AJ92" s="1945"/>
      <c r="AK92" s="1945"/>
    </row>
    <row r="93" spans="2:40" s="58" customFormat="1" ht="36" customHeight="1">
      <c r="E93" s="1802" t="s">
        <v>3235</v>
      </c>
      <c r="F93" s="1945"/>
      <c r="G93" s="1945"/>
      <c r="H93" s="1945"/>
      <c r="I93" s="1945"/>
      <c r="J93" s="1945"/>
      <c r="K93" s="1945"/>
      <c r="L93" s="1945"/>
      <c r="M93" s="1945"/>
      <c r="N93" s="1945"/>
      <c r="O93" s="1945"/>
      <c r="P93" s="1945"/>
      <c r="Q93" s="1945"/>
      <c r="R93" s="1945"/>
      <c r="S93" s="1945"/>
      <c r="T93" s="1945"/>
      <c r="U93" s="1945"/>
      <c r="V93" s="1945"/>
      <c r="W93" s="1945"/>
      <c r="X93" s="1945"/>
      <c r="Y93" s="1945"/>
      <c r="Z93" s="1945"/>
      <c r="AA93" s="1945"/>
      <c r="AB93" s="1945"/>
      <c r="AC93" s="1945"/>
      <c r="AD93" s="1945"/>
      <c r="AE93" s="1945"/>
      <c r="AF93" s="1945"/>
      <c r="AG93" s="1945"/>
      <c r="AH93" s="1945"/>
      <c r="AI93" s="1945"/>
      <c r="AJ93" s="1945"/>
      <c r="AK93" s="1945"/>
    </row>
    <row r="94" spans="2:40" s="58" customFormat="1" ht="18" customHeight="1">
      <c r="D94" s="267" t="s">
        <v>1823</v>
      </c>
      <c r="E94" s="1802" t="s">
        <v>3236</v>
      </c>
      <c r="F94" s="1945"/>
      <c r="G94" s="1945"/>
      <c r="H94" s="1945"/>
      <c r="I94" s="1945"/>
      <c r="J94" s="1945"/>
      <c r="K94" s="1945"/>
      <c r="L94" s="1945"/>
      <c r="M94" s="1945"/>
      <c r="N94" s="1945"/>
      <c r="O94" s="1945"/>
      <c r="P94" s="1945"/>
      <c r="Q94" s="1945"/>
      <c r="R94" s="1945"/>
      <c r="S94" s="1945"/>
      <c r="T94" s="1945"/>
      <c r="U94" s="1945"/>
      <c r="V94" s="1945"/>
      <c r="W94" s="1945"/>
      <c r="X94" s="1945"/>
      <c r="Y94" s="1945"/>
      <c r="Z94" s="1945"/>
      <c r="AA94" s="1945"/>
      <c r="AB94" s="1945"/>
      <c r="AC94" s="1945"/>
      <c r="AD94" s="1945"/>
      <c r="AE94" s="1945"/>
      <c r="AF94" s="1945"/>
      <c r="AG94" s="1945"/>
      <c r="AH94" s="1945"/>
      <c r="AI94" s="1945"/>
      <c r="AJ94" s="1945"/>
      <c r="AK94" s="1945"/>
      <c r="AL94" s="1911"/>
      <c r="AM94" s="1862"/>
    </row>
    <row r="95" spans="2:40" s="58" customFormat="1" ht="18" customHeight="1">
      <c r="E95" s="267" t="s">
        <v>1989</v>
      </c>
      <c r="F95" s="1802" t="s">
        <v>3237</v>
      </c>
      <c r="G95" s="1945"/>
      <c r="H95" s="1945"/>
      <c r="I95" s="1945"/>
      <c r="J95" s="1945"/>
      <c r="K95" s="1945"/>
      <c r="L95" s="1945"/>
      <c r="M95" s="1945"/>
      <c r="N95" s="1945"/>
      <c r="O95" s="1945"/>
      <c r="P95" s="1945"/>
      <c r="Q95" s="1945"/>
      <c r="R95" s="1945"/>
      <c r="S95" s="1945"/>
      <c r="T95" s="1945"/>
      <c r="U95" s="1945"/>
      <c r="V95" s="1945"/>
      <c r="W95" s="1945"/>
      <c r="X95" s="1945"/>
      <c r="Y95" s="1945"/>
      <c r="Z95" s="1945"/>
      <c r="AA95" s="1945"/>
      <c r="AB95" s="1945"/>
      <c r="AC95" s="1945"/>
      <c r="AD95" s="1945"/>
      <c r="AE95" s="1945"/>
      <c r="AF95" s="1945"/>
      <c r="AG95" s="1945"/>
      <c r="AH95" s="1945"/>
      <c r="AI95" s="1945"/>
      <c r="AJ95" s="1945"/>
      <c r="AK95" s="1945"/>
    </row>
    <row r="96" spans="2:40" s="58" customFormat="1" ht="36" customHeight="1">
      <c r="E96" s="267" t="s">
        <v>1990</v>
      </c>
      <c r="F96" s="1802" t="s">
        <v>3238</v>
      </c>
      <c r="G96" s="1945"/>
      <c r="H96" s="1945"/>
      <c r="I96" s="1945"/>
      <c r="J96" s="1945"/>
      <c r="K96" s="1945"/>
      <c r="L96" s="1945"/>
      <c r="M96" s="1945"/>
      <c r="N96" s="1945"/>
      <c r="O96" s="1945"/>
      <c r="P96" s="1945"/>
      <c r="Q96" s="1945"/>
      <c r="R96" s="1945"/>
      <c r="S96" s="1945"/>
      <c r="T96" s="1945"/>
      <c r="U96" s="1945"/>
      <c r="V96" s="1945"/>
      <c r="W96" s="1945"/>
      <c r="X96" s="1945"/>
      <c r="Y96" s="1945"/>
      <c r="Z96" s="1945"/>
      <c r="AA96" s="1945"/>
      <c r="AB96" s="1945"/>
      <c r="AC96" s="1945"/>
      <c r="AD96" s="1945"/>
      <c r="AE96" s="1945"/>
      <c r="AF96" s="1945"/>
      <c r="AG96" s="1945"/>
      <c r="AH96" s="1945"/>
      <c r="AI96" s="1945"/>
      <c r="AJ96" s="1945"/>
      <c r="AK96" s="1945"/>
    </row>
    <row r="97" spans="2:42" s="58" customFormat="1" ht="36" customHeight="1">
      <c r="E97" s="267" t="s">
        <v>1996</v>
      </c>
      <c r="F97" s="1802" t="s">
        <v>3239</v>
      </c>
      <c r="G97" s="1945"/>
      <c r="H97" s="1945"/>
      <c r="I97" s="1945"/>
      <c r="J97" s="1945"/>
      <c r="K97" s="1945"/>
      <c r="L97" s="1945"/>
      <c r="M97" s="1945"/>
      <c r="N97" s="1945"/>
      <c r="O97" s="1945"/>
      <c r="P97" s="1945"/>
      <c r="Q97" s="1945"/>
      <c r="R97" s="1945"/>
      <c r="S97" s="1945"/>
      <c r="T97" s="1945"/>
      <c r="U97" s="1945"/>
      <c r="V97" s="1945"/>
      <c r="W97" s="1945"/>
      <c r="X97" s="1945"/>
      <c r="Y97" s="1945"/>
      <c r="Z97" s="1945"/>
      <c r="AA97" s="1945"/>
      <c r="AB97" s="1945"/>
      <c r="AC97" s="1945"/>
      <c r="AD97" s="1945"/>
      <c r="AE97" s="1945"/>
      <c r="AF97" s="1945"/>
      <c r="AG97" s="1945"/>
      <c r="AH97" s="1945"/>
      <c r="AI97" s="1945"/>
      <c r="AJ97" s="1945"/>
      <c r="AK97" s="1945"/>
    </row>
    <row r="98" spans="2:42" s="58" customFormat="1" ht="36" customHeight="1">
      <c r="E98" s="267" t="s">
        <v>1999</v>
      </c>
      <c r="F98" s="1802" t="s">
        <v>3240</v>
      </c>
      <c r="G98" s="1945"/>
      <c r="H98" s="1945"/>
      <c r="I98" s="1945"/>
      <c r="J98" s="1945"/>
      <c r="K98" s="1945"/>
      <c r="L98" s="1945"/>
      <c r="M98" s="1945"/>
      <c r="N98" s="1945"/>
      <c r="O98" s="1945"/>
      <c r="P98" s="1945"/>
      <c r="Q98" s="1945"/>
      <c r="R98" s="1945"/>
      <c r="S98" s="1945"/>
      <c r="T98" s="1945"/>
      <c r="U98" s="1945"/>
      <c r="V98" s="1945"/>
      <c r="W98" s="1945"/>
      <c r="X98" s="1945"/>
      <c r="Y98" s="1945"/>
      <c r="Z98" s="1945"/>
      <c r="AA98" s="1945"/>
      <c r="AB98" s="1945"/>
      <c r="AC98" s="1945"/>
      <c r="AD98" s="1945"/>
      <c r="AE98" s="1945"/>
      <c r="AF98" s="1945"/>
      <c r="AG98" s="1945"/>
      <c r="AH98" s="1945"/>
      <c r="AI98" s="1945"/>
      <c r="AJ98" s="1945"/>
      <c r="AK98" s="1945"/>
    </row>
    <row r="99" spans="2:42" s="58" customFormat="1" ht="77.849999999999994" customHeight="1">
      <c r="D99" s="267" t="s">
        <v>2765</v>
      </c>
      <c r="E99" s="1802" t="s">
        <v>3241</v>
      </c>
      <c r="F99" s="1945"/>
      <c r="G99" s="1945"/>
      <c r="H99" s="1945"/>
      <c r="I99" s="1945"/>
      <c r="J99" s="1945"/>
      <c r="K99" s="1945"/>
      <c r="L99" s="1945"/>
      <c r="M99" s="1945"/>
      <c r="N99" s="1945"/>
      <c r="O99" s="1945"/>
      <c r="P99" s="1945"/>
      <c r="Q99" s="1945"/>
      <c r="R99" s="1945"/>
      <c r="S99" s="1945"/>
      <c r="T99" s="1945"/>
      <c r="U99" s="1945"/>
      <c r="V99" s="1945"/>
      <c r="W99" s="1945"/>
      <c r="X99" s="1945"/>
      <c r="Y99" s="1945"/>
      <c r="Z99" s="1945"/>
      <c r="AA99" s="1945"/>
      <c r="AB99" s="1945"/>
      <c r="AC99" s="1945"/>
      <c r="AD99" s="1945"/>
      <c r="AE99" s="1945"/>
      <c r="AF99" s="1945"/>
      <c r="AG99" s="1945"/>
      <c r="AH99" s="1945"/>
      <c r="AI99" s="1945"/>
      <c r="AJ99" s="1945"/>
      <c r="AK99" s="1945"/>
      <c r="AL99" s="1911"/>
      <c r="AM99" s="1862"/>
    </row>
    <row r="100" spans="2:42" s="58" customFormat="1" ht="18" customHeight="1">
      <c r="E100" s="267" t="s">
        <v>1989</v>
      </c>
      <c r="F100" s="1802" t="s">
        <v>3242</v>
      </c>
      <c r="G100" s="1945"/>
      <c r="H100" s="1945"/>
      <c r="I100" s="1945"/>
      <c r="J100" s="1945"/>
      <c r="K100" s="1945"/>
      <c r="L100" s="1945"/>
      <c r="M100" s="1945"/>
      <c r="N100" s="1945"/>
      <c r="O100" s="1945"/>
      <c r="P100" s="1945"/>
      <c r="Q100" s="1945"/>
      <c r="R100" s="1945"/>
      <c r="S100" s="1945"/>
      <c r="T100" s="1945"/>
      <c r="U100" s="1945"/>
      <c r="V100" s="1945"/>
      <c r="W100" s="1945"/>
      <c r="X100" s="1945"/>
      <c r="Y100" s="1945"/>
      <c r="Z100" s="1945"/>
      <c r="AA100" s="1945"/>
      <c r="AB100" s="1945"/>
      <c r="AC100" s="1945"/>
      <c r="AD100" s="1945"/>
      <c r="AE100" s="1945"/>
      <c r="AF100" s="1945"/>
      <c r="AG100" s="1945"/>
      <c r="AH100" s="1945"/>
      <c r="AI100" s="1945"/>
      <c r="AJ100" s="1945"/>
      <c r="AK100" s="1945"/>
    </row>
    <row r="101" spans="2:42" s="58" customFormat="1" ht="36" customHeight="1">
      <c r="E101" s="267" t="s">
        <v>1990</v>
      </c>
      <c r="F101" s="1802" t="s">
        <v>3243</v>
      </c>
      <c r="G101" s="1945"/>
      <c r="H101" s="1945"/>
      <c r="I101" s="1945"/>
      <c r="J101" s="1945"/>
      <c r="K101" s="1945"/>
      <c r="L101" s="1945"/>
      <c r="M101" s="1945"/>
      <c r="N101" s="1945"/>
      <c r="O101" s="1945"/>
      <c r="P101" s="1945"/>
      <c r="Q101" s="1945"/>
      <c r="R101" s="1945"/>
      <c r="S101" s="1945"/>
      <c r="T101" s="1945"/>
      <c r="U101" s="1945"/>
      <c r="V101" s="1945"/>
      <c r="W101" s="1945"/>
      <c r="X101" s="1945"/>
      <c r="Y101" s="1945"/>
      <c r="Z101" s="1945"/>
      <c r="AA101" s="1945"/>
      <c r="AB101" s="1945"/>
      <c r="AC101" s="1945"/>
      <c r="AD101" s="1945"/>
      <c r="AE101" s="1945"/>
      <c r="AF101" s="1945"/>
      <c r="AG101" s="1945"/>
      <c r="AH101" s="1945"/>
      <c r="AI101" s="1945"/>
      <c r="AJ101" s="1945"/>
      <c r="AK101" s="1945"/>
    </row>
    <row r="102" spans="2:42" s="58" customFormat="1" ht="36" customHeight="1">
      <c r="E102" s="267" t="s">
        <v>1996</v>
      </c>
      <c r="F102" s="1802" t="s">
        <v>3244</v>
      </c>
      <c r="G102" s="1945"/>
      <c r="H102" s="1945"/>
      <c r="I102" s="1945"/>
      <c r="J102" s="1945"/>
      <c r="K102" s="1945"/>
      <c r="L102" s="1945"/>
      <c r="M102" s="1945"/>
      <c r="N102" s="1945"/>
      <c r="O102" s="1945"/>
      <c r="P102" s="1945"/>
      <c r="Q102" s="1945"/>
      <c r="R102" s="1945"/>
      <c r="S102" s="1945"/>
      <c r="T102" s="1945"/>
      <c r="U102" s="1945"/>
      <c r="V102" s="1945"/>
      <c r="W102" s="1945"/>
      <c r="X102" s="1945"/>
      <c r="Y102" s="1945"/>
      <c r="Z102" s="1945"/>
      <c r="AA102" s="1945"/>
      <c r="AB102" s="1945"/>
      <c r="AC102" s="1945"/>
      <c r="AD102" s="1945"/>
      <c r="AE102" s="1945"/>
      <c r="AF102" s="1945"/>
      <c r="AG102" s="1945"/>
      <c r="AH102" s="1945"/>
      <c r="AI102" s="1945"/>
      <c r="AJ102" s="1945"/>
      <c r="AK102" s="1945"/>
    </row>
    <row r="103" spans="2:42" s="58" customFormat="1" ht="36" customHeight="1">
      <c r="E103" s="267" t="s">
        <v>1999</v>
      </c>
      <c r="F103" s="1802" t="s">
        <v>3240</v>
      </c>
      <c r="G103" s="1945"/>
      <c r="H103" s="1945"/>
      <c r="I103" s="1945"/>
      <c r="J103" s="1945"/>
      <c r="K103" s="1945"/>
      <c r="L103" s="1945"/>
      <c r="M103" s="1945"/>
      <c r="N103" s="1945"/>
      <c r="O103" s="1945"/>
      <c r="P103" s="1945"/>
      <c r="Q103" s="1945"/>
      <c r="R103" s="1945"/>
      <c r="S103" s="1945"/>
      <c r="T103" s="1945"/>
      <c r="U103" s="1945"/>
      <c r="V103" s="1945"/>
      <c r="W103" s="1945"/>
      <c r="X103" s="1945"/>
      <c r="Y103" s="1945"/>
      <c r="Z103" s="1945"/>
      <c r="AA103" s="1945"/>
      <c r="AB103" s="1945"/>
      <c r="AC103" s="1945"/>
      <c r="AD103" s="1945"/>
      <c r="AE103" s="1945"/>
      <c r="AF103" s="1945"/>
      <c r="AG103" s="1945"/>
      <c r="AH103" s="1945"/>
      <c r="AI103" s="1945"/>
      <c r="AJ103" s="1945"/>
      <c r="AK103" s="1945"/>
    </row>
    <row r="104" spans="2:42" ht="18" customHeight="1">
      <c r="C104" s="267" t="s">
        <v>619</v>
      </c>
      <c r="D104" s="2989" t="s">
        <v>3245</v>
      </c>
      <c r="E104" s="2180"/>
      <c r="F104" s="2180"/>
      <c r="G104" s="2180"/>
      <c r="H104" s="2180"/>
      <c r="I104" s="2180"/>
      <c r="J104" s="2180"/>
      <c r="K104" s="2180"/>
      <c r="L104" s="2180"/>
      <c r="M104" s="2180"/>
      <c r="N104" s="2180"/>
      <c r="O104" s="2180"/>
      <c r="P104" s="2180"/>
      <c r="Q104" s="2180"/>
      <c r="R104" s="2180"/>
      <c r="S104" s="2180"/>
      <c r="T104" s="2180"/>
      <c r="U104" s="2180"/>
      <c r="V104" s="2180"/>
      <c r="W104" s="2180"/>
      <c r="X104" s="2180"/>
      <c r="Y104" s="2180"/>
      <c r="Z104" s="2180"/>
      <c r="AA104" s="2180"/>
      <c r="AB104" s="2180"/>
      <c r="AC104" s="2180"/>
      <c r="AD104" s="2180"/>
      <c r="AE104" s="2180"/>
      <c r="AF104" s="2180"/>
      <c r="AG104" s="2180"/>
      <c r="AH104" s="2180"/>
      <c r="AI104" s="2180"/>
      <c r="AJ104" s="2180"/>
      <c r="AK104" s="1889"/>
      <c r="AL104" s="1911"/>
      <c r="AM104" s="1862"/>
    </row>
    <row r="105" spans="2:42" ht="63" customHeight="1">
      <c r="C105" s="264" t="s">
        <v>623</v>
      </c>
      <c r="D105" s="2081" t="s">
        <v>3246</v>
      </c>
      <c r="E105" s="2180"/>
      <c r="F105" s="2180"/>
      <c r="G105" s="2180"/>
      <c r="H105" s="2180"/>
      <c r="I105" s="2180"/>
      <c r="J105" s="2180"/>
      <c r="K105" s="2180"/>
      <c r="L105" s="2180"/>
      <c r="M105" s="2180"/>
      <c r="N105" s="2180"/>
      <c r="O105" s="2180"/>
      <c r="P105" s="2180"/>
      <c r="Q105" s="2180"/>
      <c r="R105" s="2180"/>
      <c r="S105" s="2180"/>
      <c r="T105" s="2180"/>
      <c r="U105" s="2180"/>
      <c r="V105" s="2180"/>
      <c r="W105" s="2180"/>
      <c r="X105" s="2180"/>
      <c r="Y105" s="2180"/>
      <c r="Z105" s="2180"/>
      <c r="AA105" s="2180"/>
      <c r="AB105" s="2180"/>
      <c r="AC105" s="2180"/>
      <c r="AD105" s="2180"/>
      <c r="AE105" s="2180"/>
      <c r="AF105" s="2180"/>
      <c r="AG105" s="2180"/>
      <c r="AH105" s="2180"/>
      <c r="AI105" s="2180"/>
      <c r="AJ105" s="2180"/>
      <c r="AK105" s="2180"/>
      <c r="AL105" s="1911"/>
      <c r="AM105" s="1862"/>
    </row>
    <row r="106" spans="2:42" s="58" customFormat="1" ht="36" customHeight="1">
      <c r="C106" s="264" t="s">
        <v>627</v>
      </c>
      <c r="D106" s="1802" t="s">
        <v>2808</v>
      </c>
      <c r="E106" s="1945"/>
      <c r="F106" s="1945"/>
      <c r="G106" s="1945"/>
      <c r="H106" s="1945"/>
      <c r="I106" s="1945"/>
      <c r="J106" s="1945"/>
      <c r="K106" s="1945"/>
      <c r="L106" s="1945"/>
      <c r="M106" s="1945"/>
      <c r="N106" s="1945"/>
      <c r="O106" s="1945"/>
      <c r="P106" s="1945"/>
      <c r="Q106" s="1945"/>
      <c r="R106" s="1945"/>
      <c r="S106" s="1945"/>
      <c r="T106" s="1945"/>
      <c r="U106" s="1945"/>
      <c r="V106" s="1945"/>
      <c r="W106" s="1945"/>
      <c r="X106" s="1945"/>
      <c r="Y106" s="1945"/>
      <c r="Z106" s="1945"/>
      <c r="AA106" s="1945"/>
      <c r="AB106" s="1945"/>
      <c r="AC106" s="1945"/>
      <c r="AD106" s="1945"/>
      <c r="AE106" s="1945"/>
      <c r="AF106" s="1945"/>
      <c r="AG106" s="1945"/>
      <c r="AH106" s="1945"/>
      <c r="AI106" s="1945"/>
      <c r="AJ106" s="1945"/>
      <c r="AK106" s="1945"/>
    </row>
    <row r="107" spans="2:42" s="58" customFormat="1" ht="18" customHeight="1">
      <c r="D107" s="1802" t="s">
        <v>2809</v>
      </c>
      <c r="E107" s="1945"/>
      <c r="F107" s="1945"/>
      <c r="G107" s="1945"/>
      <c r="H107" s="1945"/>
      <c r="I107" s="1945"/>
      <c r="J107" s="1945"/>
      <c r="K107" s="1945"/>
      <c r="L107" s="1945"/>
      <c r="M107" s="1945"/>
      <c r="N107" s="1945"/>
      <c r="O107" s="1945"/>
      <c r="P107" s="1945"/>
      <c r="Q107" s="1945"/>
      <c r="R107" s="1945"/>
      <c r="S107" s="1945"/>
      <c r="T107" s="1945"/>
      <c r="U107" s="1945"/>
      <c r="V107" s="1945"/>
      <c r="W107" s="1945"/>
      <c r="X107" s="1945"/>
      <c r="Y107" s="1945"/>
      <c r="Z107" s="1945"/>
      <c r="AA107" s="1945"/>
      <c r="AB107" s="1945"/>
      <c r="AC107" s="1945"/>
      <c r="AD107" s="1945"/>
      <c r="AE107" s="1945"/>
      <c r="AF107" s="1945"/>
      <c r="AG107" s="1945"/>
      <c r="AH107" s="1945"/>
      <c r="AI107" s="1945"/>
      <c r="AJ107" s="1945"/>
      <c r="AK107" s="1945"/>
      <c r="AL107" s="1911"/>
      <c r="AM107" s="1862"/>
    </row>
    <row r="108" spans="2:42" ht="18" customHeight="1">
      <c r="B108" s="3313" t="s">
        <v>3197</v>
      </c>
      <c r="C108" s="1877"/>
      <c r="D108" s="1877"/>
      <c r="E108" s="1877"/>
      <c r="F108" s="1877"/>
      <c r="G108" s="1877"/>
      <c r="H108" s="1877"/>
      <c r="I108" s="1877"/>
    </row>
    <row r="109" spans="2:42" ht="81" customHeight="1">
      <c r="B109" s="2003"/>
      <c r="C109" s="1861"/>
      <c r="D109" s="1861"/>
      <c r="E109" s="1861"/>
      <c r="F109" s="1861"/>
      <c r="G109" s="1861"/>
      <c r="H109" s="1861"/>
      <c r="I109" s="1861"/>
      <c r="J109" s="1861"/>
      <c r="K109" s="1861"/>
      <c r="L109" s="1861"/>
      <c r="M109" s="1861"/>
      <c r="N109" s="1861"/>
      <c r="O109" s="1861"/>
      <c r="P109" s="1861"/>
      <c r="Q109" s="1861"/>
      <c r="R109" s="1861"/>
      <c r="S109" s="1861"/>
      <c r="T109" s="1861"/>
      <c r="U109" s="1861"/>
      <c r="V109" s="1861"/>
      <c r="W109" s="1861"/>
      <c r="X109" s="1861"/>
      <c r="Y109" s="1861"/>
      <c r="Z109" s="1861"/>
      <c r="AA109" s="1861"/>
      <c r="AB109" s="1861"/>
      <c r="AC109" s="1861"/>
      <c r="AD109" s="1861"/>
      <c r="AE109" s="1861"/>
      <c r="AF109" s="1861"/>
      <c r="AG109" s="1861"/>
      <c r="AH109" s="1861"/>
      <c r="AI109" s="1861"/>
      <c r="AJ109" s="1861"/>
      <c r="AK109" s="1861"/>
      <c r="AL109" s="1861"/>
      <c r="AM109" s="1862"/>
      <c r="AN109" s="268"/>
    </row>
    <row r="111" spans="2:42" ht="18" customHeight="1">
      <c r="B111" s="244" t="s">
        <v>627</v>
      </c>
      <c r="C111" s="1802" t="s">
        <v>3247</v>
      </c>
      <c r="D111" s="2180"/>
      <c r="E111" s="2180"/>
      <c r="F111" s="2180"/>
      <c r="G111" s="2180"/>
      <c r="H111" s="2180"/>
      <c r="I111" s="2180"/>
      <c r="J111" s="2180"/>
      <c r="K111" s="2180"/>
      <c r="L111" s="2180"/>
      <c r="M111" s="2180"/>
      <c r="N111" s="2180"/>
      <c r="O111" s="2180"/>
      <c r="P111" s="2180"/>
      <c r="Q111" s="2180"/>
      <c r="R111" s="2180"/>
      <c r="S111" s="2180"/>
      <c r="T111" s="2180"/>
      <c r="U111" s="2180"/>
      <c r="V111" s="2180"/>
      <c r="W111" s="2180"/>
      <c r="X111" s="2180"/>
      <c r="Y111" s="2180"/>
      <c r="Z111" s="2180"/>
      <c r="AA111" s="2180"/>
      <c r="AB111" s="2180"/>
      <c r="AC111" s="2180"/>
      <c r="AD111" s="2180"/>
      <c r="AE111" s="2180"/>
      <c r="AF111" s="2180"/>
      <c r="AG111" s="2180"/>
      <c r="AH111" s="2180"/>
      <c r="AI111" s="2180"/>
      <c r="AJ111" s="2180"/>
      <c r="AK111" s="2180"/>
      <c r="AP111" s="409"/>
    </row>
    <row r="112" spans="2:42" s="58" customFormat="1" ht="18" customHeight="1">
      <c r="C112" s="1802" t="s">
        <v>3248</v>
      </c>
      <c r="D112" s="1945"/>
      <c r="E112" s="1945"/>
      <c r="F112" s="1945"/>
      <c r="G112" s="1945"/>
      <c r="H112" s="1945"/>
      <c r="I112" s="1945"/>
      <c r="J112" s="1945"/>
      <c r="K112" s="1945"/>
      <c r="L112" s="1945"/>
      <c r="M112" s="1945"/>
      <c r="N112" s="1945"/>
      <c r="O112" s="1945"/>
      <c r="P112" s="1945"/>
      <c r="Q112" s="1945"/>
      <c r="R112" s="1945"/>
      <c r="S112" s="1945"/>
      <c r="T112" s="1945"/>
      <c r="U112" s="1945"/>
      <c r="V112" s="1945"/>
      <c r="W112" s="1945"/>
      <c r="X112" s="1945"/>
      <c r="Y112" s="1945"/>
      <c r="Z112" s="1945"/>
      <c r="AA112" s="1945"/>
      <c r="AB112" s="1945"/>
      <c r="AC112" s="1945"/>
      <c r="AD112" s="1945"/>
      <c r="AE112" s="1945"/>
      <c r="AF112" s="1945"/>
      <c r="AG112" s="1945"/>
      <c r="AH112" s="1945"/>
      <c r="AI112" s="1945"/>
      <c r="AJ112" s="1945"/>
      <c r="AK112" s="1945"/>
    </row>
    <row r="113" spans="2:47" s="58" customFormat="1" ht="54" customHeight="1">
      <c r="C113" s="1802" t="s">
        <v>3249</v>
      </c>
      <c r="D113" s="1945"/>
      <c r="E113" s="1945"/>
      <c r="F113" s="1945"/>
      <c r="G113" s="1945"/>
      <c r="H113" s="1945"/>
      <c r="I113" s="1945"/>
      <c r="J113" s="1945"/>
      <c r="K113" s="1945"/>
      <c r="L113" s="1945"/>
      <c r="M113" s="1945"/>
      <c r="N113" s="1945"/>
      <c r="O113" s="1945"/>
      <c r="P113" s="1945"/>
      <c r="Q113" s="1945"/>
      <c r="R113" s="1945"/>
      <c r="S113" s="1945"/>
      <c r="T113" s="1945"/>
      <c r="U113" s="1945"/>
      <c r="V113" s="1945"/>
      <c r="W113" s="1945"/>
      <c r="X113" s="1945"/>
      <c r="Y113" s="1945"/>
      <c r="Z113" s="1945"/>
      <c r="AA113" s="1945"/>
      <c r="AB113" s="1945"/>
      <c r="AC113" s="1945"/>
      <c r="AD113" s="1945"/>
      <c r="AE113" s="1945"/>
      <c r="AF113" s="1945"/>
      <c r="AG113" s="1945"/>
      <c r="AH113" s="1945"/>
      <c r="AI113" s="1945"/>
      <c r="AJ113" s="1945"/>
      <c r="AK113" s="1945"/>
    </row>
    <row r="114" spans="2:47" s="58" customFormat="1" ht="18" customHeight="1">
      <c r="C114" s="1802" t="s">
        <v>3250</v>
      </c>
      <c r="D114" s="1945"/>
      <c r="E114" s="1945"/>
      <c r="F114" s="1945"/>
      <c r="G114" s="1945"/>
      <c r="H114" s="1945"/>
      <c r="I114" s="1945"/>
      <c r="J114" s="1945"/>
      <c r="K114" s="1945"/>
      <c r="L114" s="1945"/>
      <c r="M114" s="1945"/>
      <c r="N114" s="1945"/>
      <c r="O114" s="1945"/>
      <c r="P114" s="1945"/>
      <c r="Q114" s="1945"/>
      <c r="R114" s="1945"/>
      <c r="S114" s="1945"/>
      <c r="T114" s="1945"/>
      <c r="U114" s="1945"/>
      <c r="V114" s="1945"/>
      <c r="W114" s="1945"/>
      <c r="X114" s="1945"/>
      <c r="Y114" s="1945"/>
      <c r="Z114" s="1945"/>
      <c r="AA114" s="1945"/>
      <c r="AB114" s="1945"/>
      <c r="AC114" s="1945"/>
      <c r="AD114" s="1945"/>
      <c r="AE114" s="1945"/>
      <c r="AF114" s="1945"/>
      <c r="AG114" s="1945"/>
      <c r="AH114" s="1945"/>
      <c r="AI114" s="1945"/>
      <c r="AJ114" s="1945"/>
      <c r="AK114" s="1720"/>
      <c r="AL114" s="1973" t="b">
        <f>IF(AND(IsIig,Scoring!$AK$3&gt;=85),TRUE,FALSE)</f>
        <v>0</v>
      </c>
      <c r="AM114" s="1778"/>
      <c r="AN114" s="476"/>
      <c r="AO114" s="476"/>
      <c r="AP114" s="476"/>
    </row>
    <row r="115" spans="2:47" s="58" customFormat="1" ht="18" hidden="1" customHeight="1">
      <c r="C115" s="1802" t="s">
        <v>3251</v>
      </c>
      <c r="D115" s="1945"/>
      <c r="E115" s="1945"/>
      <c r="F115" s="1945"/>
      <c r="G115" s="1945"/>
      <c r="H115" s="1945"/>
      <c r="I115" s="1945"/>
      <c r="J115" s="1945"/>
      <c r="K115" s="1945"/>
      <c r="L115" s="1945"/>
      <c r="M115" s="1945"/>
      <c r="N115" s="1945"/>
      <c r="O115" s="1945"/>
      <c r="P115" s="1945"/>
      <c r="Q115" s="1945"/>
      <c r="R115" s="1945"/>
      <c r="S115" s="1945"/>
      <c r="T115" s="1945"/>
      <c r="U115" s="1945"/>
      <c r="V115" s="1945"/>
      <c r="W115" s="1945"/>
      <c r="X115" s="1945"/>
      <c r="Y115" s="1945"/>
      <c r="Z115" s="1945"/>
      <c r="AA115" s="1945"/>
      <c r="AB115" s="1945"/>
      <c r="AC115" s="1945"/>
      <c r="AD115" s="1945"/>
      <c r="AE115" s="1945"/>
      <c r="AF115" s="1945"/>
      <c r="AG115" s="1945"/>
      <c r="AH115" s="1945"/>
      <c r="AI115" s="1945"/>
      <c r="AJ115" s="1945"/>
      <c r="AK115" s="382"/>
      <c r="AL115" s="3314" t="b">
        <f>IF(AND(IsIig,EDFundingTarget="Yes",Scoring!$AK$3&gt;=65),TRUE,FALSE)</f>
        <v>0</v>
      </c>
      <c r="AM115" s="1778"/>
    </row>
    <row r="116" spans="2:47" s="58" customFormat="1" ht="18" customHeight="1"/>
    <row r="117" spans="2:47" ht="54" customHeight="1">
      <c r="B117" s="244" t="s">
        <v>629</v>
      </c>
      <c r="C117" s="2989" t="s">
        <v>3252</v>
      </c>
      <c r="D117" s="2180"/>
      <c r="E117" s="2180"/>
      <c r="F117" s="2180"/>
      <c r="G117" s="2180"/>
      <c r="H117" s="2180"/>
      <c r="I117" s="2180"/>
      <c r="J117" s="2180"/>
      <c r="K117" s="2180"/>
      <c r="L117" s="2180"/>
      <c r="M117" s="2180"/>
      <c r="N117" s="2180"/>
      <c r="O117" s="2180"/>
      <c r="P117" s="2180"/>
      <c r="Q117" s="2180"/>
      <c r="R117" s="2180"/>
      <c r="S117" s="2180"/>
      <c r="T117" s="2180"/>
      <c r="U117" s="2180"/>
      <c r="V117" s="2180"/>
      <c r="W117" s="2180"/>
      <c r="X117" s="2180"/>
      <c r="Y117" s="2180"/>
      <c r="Z117" s="2180"/>
      <c r="AA117" s="2180"/>
      <c r="AB117" s="2180"/>
      <c r="AC117" s="2180"/>
      <c r="AD117" s="2180"/>
      <c r="AE117" s="2180"/>
      <c r="AF117" s="2180"/>
      <c r="AG117" s="2180"/>
      <c r="AH117" s="2180"/>
      <c r="AI117" s="2180"/>
      <c r="AJ117" s="2180"/>
      <c r="AK117" s="1889"/>
      <c r="AL117" s="1911"/>
      <c r="AM117" s="1862"/>
    </row>
    <row r="118" spans="2:47" s="58" customFormat="1" ht="80.849999999999994" customHeight="1">
      <c r="B118" s="244" t="s">
        <v>1974</v>
      </c>
      <c r="C118" s="1802" t="s">
        <v>3253</v>
      </c>
      <c r="D118" s="1945"/>
      <c r="E118" s="1945"/>
      <c r="F118" s="1945"/>
      <c r="G118" s="1945"/>
      <c r="H118" s="1945"/>
      <c r="I118" s="1945"/>
      <c r="J118" s="1945"/>
      <c r="K118" s="1945"/>
      <c r="L118" s="1945"/>
      <c r="M118" s="1945"/>
      <c r="N118" s="1945"/>
      <c r="O118" s="1945"/>
      <c r="P118" s="1945"/>
      <c r="Q118" s="1945"/>
      <c r="R118" s="1945"/>
      <c r="S118" s="1945"/>
      <c r="T118" s="1945"/>
      <c r="U118" s="1945"/>
      <c r="V118" s="1945"/>
      <c r="W118" s="1945"/>
      <c r="X118" s="1945"/>
      <c r="Y118" s="1945"/>
      <c r="Z118" s="1945"/>
      <c r="AA118" s="1945"/>
      <c r="AB118" s="1945"/>
      <c r="AC118" s="1945"/>
      <c r="AD118" s="1945"/>
      <c r="AE118" s="1945"/>
      <c r="AF118" s="1945"/>
      <c r="AG118" s="1945"/>
      <c r="AH118" s="1945"/>
      <c r="AI118" s="1945"/>
      <c r="AJ118" s="1945"/>
      <c r="AK118" s="1945"/>
      <c r="AL118" s="1911"/>
      <c r="AM118" s="1862"/>
    </row>
    <row r="119" spans="2:47" s="58" customFormat="1" ht="18" customHeight="1">
      <c r="C119" s="571" t="s">
        <v>613</v>
      </c>
      <c r="D119" s="1802" t="s">
        <v>2811</v>
      </c>
      <c r="E119" s="1945"/>
      <c r="F119" s="1945"/>
      <c r="G119" s="1945"/>
      <c r="H119" s="1945"/>
      <c r="I119" s="1945"/>
      <c r="J119" s="1945"/>
      <c r="K119" s="1945"/>
      <c r="L119" s="1945"/>
      <c r="M119" s="1945"/>
      <c r="N119" s="1945"/>
      <c r="O119" s="1945"/>
      <c r="P119" s="1945"/>
      <c r="Q119" s="1945"/>
      <c r="R119" s="1945"/>
      <c r="S119" s="1945"/>
      <c r="T119" s="1945"/>
      <c r="U119" s="1945"/>
      <c r="V119" s="1945"/>
      <c r="W119" s="1945"/>
      <c r="X119" s="1945"/>
      <c r="Y119" s="1945"/>
      <c r="Z119" s="1945"/>
      <c r="AA119" s="1945"/>
      <c r="AB119" s="1945"/>
      <c r="AC119" s="1945"/>
      <c r="AD119" s="1945"/>
      <c r="AE119" s="1945"/>
      <c r="AF119" s="1945"/>
      <c r="AG119" s="1945"/>
      <c r="AH119" s="1945"/>
      <c r="AI119" s="1945"/>
      <c r="AJ119" s="1945"/>
      <c r="AK119" s="1945"/>
    </row>
    <row r="120" spans="2:47" s="58" customFormat="1" ht="18" customHeight="1">
      <c r="C120" s="571" t="s">
        <v>615</v>
      </c>
      <c r="D120" s="1802" t="s">
        <v>2812</v>
      </c>
      <c r="E120" s="1945"/>
      <c r="F120" s="1945"/>
      <c r="G120" s="1945"/>
      <c r="H120" s="1945"/>
      <c r="I120" s="1945"/>
      <c r="J120" s="1945"/>
      <c r="K120" s="1945"/>
      <c r="L120" s="1945"/>
      <c r="M120" s="1945"/>
      <c r="N120" s="1945"/>
      <c r="O120" s="1945"/>
      <c r="P120" s="1945"/>
      <c r="Q120" s="1945"/>
      <c r="R120" s="1945"/>
      <c r="S120" s="1945"/>
      <c r="T120" s="1945"/>
      <c r="U120" s="1945"/>
      <c r="V120" s="1945"/>
      <c r="W120" s="1945"/>
      <c r="X120" s="1945"/>
      <c r="Y120" s="1945"/>
      <c r="Z120" s="1945"/>
      <c r="AA120" s="1945"/>
      <c r="AB120" s="1945"/>
      <c r="AC120" s="1945"/>
      <c r="AD120" s="1945"/>
      <c r="AE120" s="1945"/>
      <c r="AF120" s="1945"/>
      <c r="AG120" s="1945"/>
      <c r="AH120" s="1945"/>
      <c r="AI120" s="1945"/>
      <c r="AJ120" s="1945"/>
      <c r="AK120" s="1945"/>
    </row>
    <row r="121" spans="2:47" s="58" customFormat="1" ht="36" customHeight="1">
      <c r="C121" s="571" t="s">
        <v>617</v>
      </c>
      <c r="D121" s="1802" t="s">
        <v>2813</v>
      </c>
      <c r="E121" s="1945"/>
      <c r="F121" s="1945"/>
      <c r="G121" s="1945"/>
      <c r="H121" s="1945"/>
      <c r="I121" s="1945"/>
      <c r="J121" s="1945"/>
      <c r="K121" s="1945"/>
      <c r="L121" s="1945"/>
      <c r="M121" s="1945"/>
      <c r="N121" s="1945"/>
      <c r="O121" s="1945"/>
      <c r="P121" s="1945"/>
      <c r="Q121" s="1945"/>
      <c r="R121" s="1945"/>
      <c r="S121" s="1945"/>
      <c r="T121" s="1945"/>
      <c r="U121" s="1945"/>
      <c r="V121" s="1945"/>
      <c r="W121" s="1945"/>
      <c r="X121" s="1945"/>
      <c r="Y121" s="1945"/>
      <c r="Z121" s="1945"/>
      <c r="AA121" s="1945"/>
      <c r="AB121" s="1945"/>
      <c r="AC121" s="1945"/>
      <c r="AD121" s="1945"/>
      <c r="AE121" s="1945"/>
      <c r="AF121" s="1945"/>
      <c r="AG121" s="1945"/>
      <c r="AH121" s="1945"/>
      <c r="AI121" s="1945"/>
      <c r="AJ121" s="1945"/>
      <c r="AK121" s="1945"/>
    </row>
    <row r="122" spans="2:47" s="58" customFormat="1" ht="18" customHeight="1">
      <c r="B122" s="640"/>
      <c r="C122" s="640"/>
      <c r="D122" s="2180" t="s">
        <v>2814</v>
      </c>
      <c r="E122" s="1945"/>
      <c r="F122" s="1945"/>
      <c r="G122" s="1945"/>
      <c r="H122" s="1945"/>
      <c r="I122" s="1945"/>
      <c r="J122" s="1945"/>
      <c r="K122" s="1945"/>
      <c r="L122" s="1945"/>
      <c r="M122" s="1945"/>
      <c r="N122" s="1945"/>
      <c r="O122" s="1945"/>
      <c r="P122" s="1945"/>
      <c r="Q122" s="1945"/>
      <c r="R122" s="1945"/>
      <c r="S122" s="1945"/>
      <c r="T122" s="1945"/>
      <c r="U122" s="1945"/>
      <c r="V122" s="1945"/>
      <c r="W122" s="1945"/>
      <c r="X122" s="1945"/>
      <c r="Y122" s="1945"/>
      <c r="Z122" s="1945"/>
      <c r="AA122" s="1945"/>
      <c r="AB122" s="1945"/>
      <c r="AC122" s="1945"/>
      <c r="AD122" s="1945"/>
      <c r="AE122" s="1945"/>
      <c r="AF122" s="1945"/>
      <c r="AG122" s="1945"/>
      <c r="AH122" s="1945"/>
      <c r="AI122" s="1945"/>
      <c r="AJ122" s="1945"/>
      <c r="AK122" s="1945"/>
      <c r="AL122" s="1911"/>
      <c r="AM122" s="1862"/>
    </row>
    <row r="123" spans="2:47" s="58" customFormat="1" ht="54" hidden="1" customHeight="1">
      <c r="B123" s="2268" t="s">
        <v>558</v>
      </c>
      <c r="C123" s="1777"/>
      <c r="D123" s="1778"/>
      <c r="E123" s="2179" t="str">
        <f>'Document Checklist-Full List'!$E$214</f>
        <v>112. Proposed Rents - Needs</v>
      </c>
      <c r="F123" s="1777"/>
      <c r="G123" s="1777"/>
      <c r="H123" s="1777"/>
      <c r="I123" s="1777"/>
      <c r="J123" s="1777"/>
      <c r="K123" s="1777"/>
      <c r="L123" s="1777"/>
      <c r="M123" s="1778"/>
      <c r="N123" s="2179" t="str">
        <f>'Document Checklist-Full List'!$N$214</f>
        <v>Third-party documentation of anticipated public cash assistance payment levels shall be provided in the application which supports the need for the proposed rents.</v>
      </c>
      <c r="O123" s="1777"/>
      <c r="P123" s="1777"/>
      <c r="Q123" s="1777"/>
      <c r="R123" s="1777"/>
      <c r="S123" s="1777"/>
      <c r="T123" s="1777"/>
      <c r="U123" s="1777"/>
      <c r="V123" s="1777"/>
      <c r="W123" s="1777"/>
      <c r="X123" s="1777"/>
      <c r="Y123" s="1777"/>
      <c r="Z123" s="1777"/>
      <c r="AA123" s="1777"/>
      <c r="AB123" s="1777"/>
      <c r="AC123" s="1777"/>
      <c r="AD123" s="1777"/>
      <c r="AE123" s="1778"/>
      <c r="AF123" s="1886" t="s">
        <v>559</v>
      </c>
      <c r="AG123" s="1777"/>
      <c r="AH123" s="1777"/>
      <c r="AI123" s="1777"/>
      <c r="AJ123" s="1777"/>
      <c r="AK123" s="1778"/>
      <c r="AL123" s="1911"/>
      <c r="AM123" s="1862"/>
    </row>
    <row r="124" spans="2:47" ht="18" customHeight="1">
      <c r="B124" s="244" t="s">
        <v>1977</v>
      </c>
      <c r="C124" s="2989" t="s">
        <v>3254</v>
      </c>
      <c r="D124" s="2180"/>
      <c r="E124" s="2180"/>
      <c r="F124" s="2180"/>
      <c r="G124" s="2180"/>
      <c r="H124" s="2180"/>
      <c r="I124" s="2180"/>
      <c r="J124" s="2180"/>
      <c r="K124" s="2180"/>
      <c r="L124" s="2180"/>
      <c r="M124" s="2180"/>
      <c r="N124" s="2180"/>
      <c r="O124" s="2180"/>
      <c r="P124" s="2180"/>
      <c r="Q124" s="2180"/>
      <c r="R124" s="2180"/>
      <c r="S124" s="2180"/>
      <c r="T124" s="2180"/>
      <c r="U124" s="2180"/>
      <c r="V124" s="2180"/>
      <c r="W124" s="2180"/>
      <c r="X124" s="2180"/>
      <c r="Y124" s="2180"/>
      <c r="Z124" s="2180"/>
      <c r="AA124" s="2180"/>
      <c r="AB124" s="2180"/>
      <c r="AC124" s="2180"/>
      <c r="AD124" s="2180"/>
      <c r="AE124" s="2180"/>
      <c r="AF124" s="2180"/>
      <c r="AG124" s="2180"/>
      <c r="AH124" s="2180"/>
      <c r="AI124" s="2180"/>
      <c r="AJ124" s="2180"/>
      <c r="AK124" s="1889"/>
      <c r="AL124" s="1911"/>
      <c r="AM124" s="1862"/>
    </row>
    <row r="125" spans="2:47" s="58" customFormat="1" ht="65.25" customHeight="1">
      <c r="C125" s="1802" t="s">
        <v>3255</v>
      </c>
      <c r="D125" s="1945"/>
      <c r="E125" s="1945"/>
      <c r="F125" s="1945"/>
      <c r="G125" s="1945"/>
      <c r="H125" s="1945"/>
      <c r="I125" s="1945"/>
      <c r="J125" s="1945"/>
      <c r="K125" s="1945"/>
      <c r="L125" s="1945"/>
      <c r="M125" s="1945"/>
      <c r="N125" s="1945"/>
      <c r="O125" s="1945"/>
      <c r="P125" s="1945"/>
      <c r="Q125" s="1945"/>
      <c r="R125" s="1945"/>
      <c r="S125" s="1945"/>
      <c r="T125" s="1945"/>
      <c r="U125" s="1945"/>
      <c r="V125" s="1945"/>
      <c r="W125" s="1945"/>
      <c r="X125" s="1945"/>
      <c r="Y125" s="1945"/>
      <c r="Z125" s="1945"/>
      <c r="AA125" s="1945"/>
      <c r="AB125" s="1945"/>
      <c r="AC125" s="1945"/>
      <c r="AD125" s="1945"/>
      <c r="AE125" s="1945"/>
      <c r="AF125" s="1945"/>
      <c r="AG125" s="1945"/>
      <c r="AH125" s="1945"/>
      <c r="AI125" s="1945"/>
      <c r="AJ125" s="1945"/>
      <c r="AK125" s="1945"/>
    </row>
    <row r="126" spans="2:47" ht="18" customHeight="1">
      <c r="B126" s="244" t="s">
        <v>648</v>
      </c>
      <c r="C126" s="1802" t="s">
        <v>3256</v>
      </c>
      <c r="D126" s="2180"/>
      <c r="E126" s="2180"/>
      <c r="F126" s="2180"/>
      <c r="G126" s="2180"/>
      <c r="H126" s="2180"/>
      <c r="I126" s="2180"/>
      <c r="J126" s="2180"/>
      <c r="K126" s="2180"/>
      <c r="L126" s="2180"/>
      <c r="M126" s="2180"/>
      <c r="N126" s="2180"/>
      <c r="O126" s="2180"/>
      <c r="P126" s="2180"/>
      <c r="Q126" s="2180"/>
      <c r="R126" s="2180"/>
      <c r="S126" s="2180"/>
      <c r="T126" s="2180"/>
      <c r="U126" s="2180"/>
      <c r="V126" s="2180"/>
      <c r="W126" s="2180"/>
      <c r="X126" s="2180"/>
      <c r="Y126" s="2180"/>
      <c r="Z126" s="2180"/>
      <c r="AA126" s="2180"/>
      <c r="AB126" s="2180"/>
      <c r="AC126" s="2180"/>
      <c r="AD126" s="2180"/>
      <c r="AE126" s="2180"/>
      <c r="AF126" s="2180"/>
      <c r="AG126" s="2180"/>
      <c r="AH126" s="2180"/>
      <c r="AI126" s="2180"/>
      <c r="AJ126" s="2180"/>
      <c r="AK126" s="2180"/>
      <c r="AT126" s="2993"/>
      <c r="AU126" s="2180"/>
    </row>
    <row r="127" spans="2:47" s="58" customFormat="1" ht="36" customHeight="1">
      <c r="C127" s="571" t="s">
        <v>613</v>
      </c>
      <c r="D127" s="1802" t="s">
        <v>3257</v>
      </c>
      <c r="E127" s="1945"/>
      <c r="F127" s="1945"/>
      <c r="G127" s="1945"/>
      <c r="H127" s="1945"/>
      <c r="I127" s="1945"/>
      <c r="J127" s="1945"/>
      <c r="K127" s="1945"/>
      <c r="L127" s="1945"/>
      <c r="M127" s="1945"/>
      <c r="N127" s="1945"/>
      <c r="O127" s="1945"/>
      <c r="P127" s="1945"/>
      <c r="Q127" s="1945"/>
      <c r="R127" s="1945"/>
      <c r="S127" s="1945"/>
      <c r="T127" s="1945"/>
      <c r="U127" s="1945"/>
      <c r="V127" s="1945"/>
      <c r="W127" s="1945"/>
      <c r="X127" s="1945"/>
      <c r="Y127" s="1945"/>
      <c r="Z127" s="1945"/>
      <c r="AA127" s="1945"/>
      <c r="AB127" s="1945"/>
      <c r="AC127" s="1945"/>
      <c r="AD127" s="1945"/>
      <c r="AE127" s="1945"/>
      <c r="AF127" s="1945"/>
      <c r="AG127" s="1945"/>
      <c r="AH127" s="1945"/>
      <c r="AI127" s="1945"/>
      <c r="AJ127" s="1945"/>
      <c r="AK127" s="1945"/>
    </row>
    <row r="128" spans="2:47" s="58" customFormat="1" ht="18" customHeight="1">
      <c r="D128" s="1802" t="s">
        <v>3258</v>
      </c>
      <c r="E128" s="1945"/>
      <c r="F128" s="1945"/>
      <c r="G128" s="1945"/>
      <c r="H128" s="1945"/>
      <c r="I128" s="1945"/>
      <c r="J128" s="1945"/>
      <c r="K128" s="1945"/>
      <c r="L128" s="1945"/>
      <c r="M128" s="1945"/>
      <c r="N128" s="1945"/>
      <c r="O128" s="1945"/>
      <c r="P128" s="1945"/>
      <c r="Q128" s="1945"/>
      <c r="R128" s="1945"/>
      <c r="S128" s="1945"/>
      <c r="T128" s="1945"/>
      <c r="U128" s="1945"/>
      <c r="V128" s="1945"/>
      <c r="W128" s="1945"/>
      <c r="X128" s="1945"/>
      <c r="Y128" s="1945"/>
      <c r="Z128" s="1945"/>
      <c r="AA128" s="1945"/>
      <c r="AB128" s="1945"/>
      <c r="AC128" s="1945"/>
      <c r="AD128" s="1945"/>
      <c r="AE128" s="1945"/>
      <c r="AF128" s="1945"/>
      <c r="AG128" s="1945"/>
      <c r="AH128" s="1945"/>
      <c r="AI128" s="1945"/>
      <c r="AJ128" s="1945"/>
      <c r="AK128" s="1945"/>
    </row>
    <row r="129" spans="2:40" s="58" customFormat="1" ht="54" customHeight="1">
      <c r="C129" s="571" t="s">
        <v>615</v>
      </c>
      <c r="D129" s="1802" t="s">
        <v>3259</v>
      </c>
      <c r="E129" s="1945"/>
      <c r="F129" s="1945"/>
      <c r="G129" s="1945"/>
      <c r="H129" s="1945"/>
      <c r="I129" s="1945"/>
      <c r="J129" s="1945"/>
      <c r="K129" s="1945"/>
      <c r="L129" s="1945"/>
      <c r="M129" s="1945"/>
      <c r="N129" s="1945"/>
      <c r="O129" s="1945"/>
      <c r="P129" s="1945"/>
      <c r="Q129" s="1945"/>
      <c r="R129" s="1945"/>
      <c r="S129" s="1945"/>
      <c r="T129" s="1945"/>
      <c r="U129" s="1945"/>
      <c r="V129" s="1945"/>
      <c r="W129" s="1945"/>
      <c r="X129" s="1945"/>
      <c r="Y129" s="1945"/>
      <c r="Z129" s="1945"/>
      <c r="AA129" s="1945"/>
      <c r="AB129" s="1945"/>
      <c r="AC129" s="1945"/>
      <c r="AD129" s="1945"/>
      <c r="AE129" s="1945"/>
      <c r="AF129" s="1945"/>
      <c r="AG129" s="1945"/>
      <c r="AH129" s="1945"/>
      <c r="AI129" s="1945"/>
      <c r="AJ129" s="1945"/>
      <c r="AK129" s="1945"/>
    </row>
    <row r="130" spans="2:40" s="58" customFormat="1" ht="18" customHeight="1">
      <c r="D130" s="1802" t="s">
        <v>3260</v>
      </c>
      <c r="E130" s="1945"/>
      <c r="F130" s="1945"/>
      <c r="G130" s="1945"/>
      <c r="H130" s="1945"/>
      <c r="I130" s="1945"/>
      <c r="J130" s="1945"/>
      <c r="K130" s="1945"/>
      <c r="L130" s="1945"/>
      <c r="M130" s="1945"/>
      <c r="N130" s="1945"/>
      <c r="O130" s="1945"/>
      <c r="P130" s="1945"/>
      <c r="Q130" s="1945"/>
      <c r="R130" s="1945"/>
      <c r="S130" s="1945"/>
      <c r="T130" s="1945"/>
      <c r="U130" s="1945"/>
      <c r="V130" s="1945"/>
      <c r="W130" s="1945"/>
      <c r="X130" s="1945"/>
      <c r="Y130" s="1945"/>
      <c r="Z130" s="1945"/>
      <c r="AA130" s="1945"/>
      <c r="AB130" s="1945"/>
      <c r="AC130" s="1945"/>
      <c r="AD130" s="1945"/>
      <c r="AE130" s="1945"/>
      <c r="AF130" s="1945"/>
      <c r="AG130" s="1945"/>
      <c r="AH130" s="1945"/>
      <c r="AI130" s="1945"/>
      <c r="AJ130" s="1945"/>
      <c r="AK130" s="1945"/>
    </row>
    <row r="131" spans="2:40" s="58" customFormat="1" ht="36" customHeight="1">
      <c r="C131" s="571" t="s">
        <v>617</v>
      </c>
      <c r="D131" s="1802" t="s">
        <v>3261</v>
      </c>
      <c r="E131" s="1945"/>
      <c r="F131" s="1945"/>
      <c r="G131" s="1945"/>
      <c r="H131" s="1945"/>
      <c r="I131" s="1945"/>
      <c r="J131" s="1945"/>
      <c r="K131" s="1945"/>
      <c r="L131" s="1945"/>
      <c r="M131" s="1945"/>
      <c r="N131" s="1945"/>
      <c r="O131" s="1945"/>
      <c r="P131" s="1945"/>
      <c r="Q131" s="1945"/>
      <c r="R131" s="1945"/>
      <c r="S131" s="1945"/>
      <c r="T131" s="1945"/>
      <c r="U131" s="1945"/>
      <c r="V131" s="1945"/>
      <c r="W131" s="1945"/>
      <c r="X131" s="1945"/>
      <c r="Y131" s="1945"/>
      <c r="Z131" s="1945"/>
      <c r="AA131" s="1945"/>
      <c r="AB131" s="1945"/>
      <c r="AC131" s="1945"/>
      <c r="AD131" s="1945"/>
      <c r="AE131" s="1945"/>
      <c r="AF131" s="1945"/>
      <c r="AG131" s="1945"/>
      <c r="AH131" s="1945"/>
      <c r="AI131" s="1945"/>
      <c r="AJ131" s="1945"/>
      <c r="AK131" s="1945"/>
    </row>
    <row r="132" spans="2:40" s="58" customFormat="1" ht="18" customHeight="1">
      <c r="D132" s="1802" t="s">
        <v>3262</v>
      </c>
      <c r="E132" s="1945"/>
      <c r="F132" s="1945"/>
      <c r="G132" s="1945"/>
      <c r="H132" s="1945"/>
      <c r="I132" s="1945"/>
      <c r="J132" s="1945"/>
      <c r="K132" s="1945"/>
      <c r="L132" s="1945"/>
      <c r="M132" s="1945"/>
      <c r="N132" s="1945"/>
      <c r="O132" s="1945"/>
      <c r="P132" s="1945"/>
      <c r="Q132" s="1945"/>
      <c r="R132" s="1945"/>
      <c r="S132" s="1945"/>
      <c r="T132" s="1945"/>
      <c r="U132" s="1945"/>
      <c r="V132" s="1945"/>
      <c r="W132" s="1945"/>
      <c r="X132" s="1945"/>
      <c r="Y132" s="1945"/>
      <c r="Z132" s="1945"/>
      <c r="AA132" s="1945"/>
      <c r="AB132" s="1945"/>
      <c r="AC132" s="1945"/>
      <c r="AD132" s="1945"/>
      <c r="AE132" s="1945"/>
      <c r="AF132" s="1945"/>
      <c r="AG132" s="1945"/>
      <c r="AH132" s="1945"/>
      <c r="AI132" s="1945"/>
      <c r="AJ132" s="1945"/>
      <c r="AK132" s="1945"/>
      <c r="AL132" s="1911"/>
      <c r="AM132" s="1862"/>
    </row>
    <row r="133" spans="2:40" s="58" customFormat="1" ht="36" hidden="1" customHeight="1">
      <c r="C133" s="571" t="s">
        <v>634</v>
      </c>
      <c r="D133" s="1802" t="s">
        <v>3263</v>
      </c>
      <c r="E133" s="1945"/>
      <c r="F133" s="1945"/>
      <c r="G133" s="1945"/>
      <c r="H133" s="1945"/>
      <c r="I133" s="1945"/>
      <c r="J133" s="1945"/>
      <c r="K133" s="1945"/>
      <c r="L133" s="1945"/>
      <c r="M133" s="1945"/>
      <c r="N133" s="1945"/>
      <c r="O133" s="1945"/>
      <c r="P133" s="1945"/>
      <c r="Q133" s="1945"/>
      <c r="R133" s="1945"/>
      <c r="S133" s="1945"/>
      <c r="T133" s="1945"/>
      <c r="U133" s="1945"/>
      <c r="V133" s="1945"/>
      <c r="W133" s="1945"/>
      <c r="X133" s="1945"/>
      <c r="Y133" s="1945"/>
      <c r="Z133" s="1945"/>
      <c r="AA133" s="1945"/>
      <c r="AB133" s="1945"/>
      <c r="AC133" s="1945"/>
      <c r="AD133" s="1945"/>
      <c r="AE133" s="1945"/>
      <c r="AF133" s="1945"/>
      <c r="AG133" s="1945"/>
      <c r="AH133" s="1945"/>
      <c r="AI133" s="1945"/>
      <c r="AJ133" s="1945"/>
      <c r="AK133" s="1945"/>
    </row>
    <row r="134" spans="2:40" ht="36" customHeight="1">
      <c r="B134" s="244" t="s">
        <v>1980</v>
      </c>
      <c r="C134" s="2989" t="s">
        <v>3264</v>
      </c>
      <c r="D134" s="2180"/>
      <c r="E134" s="2180"/>
      <c r="F134" s="2180"/>
      <c r="G134" s="2180"/>
      <c r="H134" s="2180"/>
      <c r="I134" s="2180"/>
      <c r="J134" s="2180"/>
      <c r="K134" s="2180"/>
      <c r="L134" s="2180"/>
      <c r="M134" s="2180"/>
      <c r="N134" s="2180"/>
      <c r="O134" s="2180"/>
      <c r="P134" s="2180"/>
      <c r="Q134" s="2180"/>
      <c r="R134" s="2180"/>
      <c r="S134" s="2180"/>
      <c r="T134" s="2180"/>
      <c r="U134" s="2180"/>
      <c r="V134" s="2180"/>
      <c r="W134" s="2180"/>
      <c r="X134" s="2180"/>
      <c r="Y134" s="2180"/>
      <c r="Z134" s="2180"/>
      <c r="AA134" s="2180"/>
      <c r="AB134" s="2180"/>
      <c r="AC134" s="2180"/>
      <c r="AD134" s="2180"/>
      <c r="AE134" s="2180"/>
      <c r="AF134" s="2180"/>
      <c r="AG134" s="2180"/>
      <c r="AH134" s="2180"/>
      <c r="AI134" s="2180"/>
      <c r="AJ134" s="2180"/>
      <c r="AK134" s="1889"/>
      <c r="AL134" s="1911"/>
      <c r="AM134" s="1862"/>
    </row>
    <row r="135" spans="2:40" ht="18" customHeight="1">
      <c r="B135" s="244" t="s">
        <v>1985</v>
      </c>
      <c r="C135" s="2993" t="str">
        <f>IF(AND(IsIig,'Project Overview'!$AL$152="Yes"),"P","O")</f>
        <v>O</v>
      </c>
      <c r="D135" s="2180"/>
    </row>
    <row r="136" spans="2:40" ht="18" hidden="1" customHeight="1">
      <c r="B136" s="244" t="s">
        <v>1987</v>
      </c>
      <c r="C136" s="2996" t="s">
        <v>3265</v>
      </c>
      <c r="D136" s="2180"/>
      <c r="E136" s="2180"/>
      <c r="F136" s="2180"/>
      <c r="G136" s="2180"/>
      <c r="H136" s="2180"/>
      <c r="I136" s="2180"/>
      <c r="J136" s="2180"/>
      <c r="K136" s="2180"/>
      <c r="L136" s="2180"/>
      <c r="M136" s="2180"/>
      <c r="N136" s="2180"/>
      <c r="O136" s="2180"/>
      <c r="P136" s="2180"/>
      <c r="Q136" s="2180"/>
      <c r="R136" s="2180"/>
      <c r="S136" s="2180"/>
      <c r="T136" s="2180"/>
      <c r="U136" s="2180"/>
      <c r="V136" s="2180"/>
      <c r="W136" s="2180"/>
      <c r="X136" s="2180"/>
      <c r="Y136" s="2180"/>
      <c r="Z136" s="2180"/>
      <c r="AA136" s="2180"/>
      <c r="AB136" s="2180"/>
      <c r="AC136" s="2180"/>
      <c r="AD136" s="2180"/>
      <c r="AE136" s="2180"/>
      <c r="AF136" s="2180"/>
      <c r="AG136" s="2180"/>
      <c r="AH136" s="2180"/>
      <c r="AI136" s="2180"/>
      <c r="AJ136" s="2180"/>
      <c r="AK136" s="1889"/>
      <c r="AL136" s="1911"/>
      <c r="AM136" s="1862"/>
    </row>
    <row r="137" spans="2:40" s="58" customFormat="1" ht="18" hidden="1" customHeight="1">
      <c r="C137" s="1802" t="s">
        <v>3266</v>
      </c>
      <c r="D137" s="1945"/>
      <c r="E137" s="1945"/>
      <c r="F137" s="1945"/>
      <c r="G137" s="1945"/>
      <c r="H137" s="1945"/>
      <c r="I137" s="1945"/>
      <c r="J137" s="1945"/>
      <c r="K137" s="1945"/>
      <c r="L137" s="1945"/>
      <c r="M137" s="1945"/>
      <c r="N137" s="1945"/>
      <c r="O137" s="1945"/>
      <c r="P137" s="1945"/>
      <c r="Q137" s="1945"/>
      <c r="R137" s="1945"/>
      <c r="S137" s="1945"/>
      <c r="T137" s="1945"/>
      <c r="U137" s="1945"/>
      <c r="V137" s="1945"/>
      <c r="W137" s="1945"/>
      <c r="X137" s="1945"/>
      <c r="Y137" s="1945"/>
      <c r="Z137" s="1945"/>
      <c r="AA137" s="1945"/>
      <c r="AB137" s="1945"/>
      <c r="AC137" s="1945"/>
      <c r="AD137" s="1945"/>
      <c r="AE137" s="1945"/>
      <c r="AF137" s="1945"/>
      <c r="AG137" s="1945"/>
      <c r="AH137" s="1945"/>
      <c r="AI137" s="1945"/>
      <c r="AJ137" s="1945"/>
      <c r="AK137" s="1945"/>
    </row>
    <row r="138" spans="2:40" ht="36" customHeight="1">
      <c r="B138" s="244" t="s">
        <v>2001</v>
      </c>
      <c r="C138" s="1802" t="s">
        <v>3267</v>
      </c>
      <c r="D138" s="2180"/>
      <c r="E138" s="2180"/>
      <c r="F138" s="2180"/>
      <c r="G138" s="2180"/>
      <c r="H138" s="2180"/>
      <c r="I138" s="2180"/>
      <c r="J138" s="2180"/>
      <c r="K138" s="2180"/>
      <c r="L138" s="2180"/>
      <c r="M138" s="2180"/>
      <c r="N138" s="2180"/>
      <c r="O138" s="2180"/>
      <c r="P138" s="2180"/>
      <c r="Q138" s="2180"/>
      <c r="R138" s="2180"/>
      <c r="S138" s="2180"/>
      <c r="T138" s="2180"/>
      <c r="U138" s="2180"/>
      <c r="V138" s="2180"/>
      <c r="W138" s="2180"/>
      <c r="X138" s="2180"/>
      <c r="Y138" s="2180"/>
      <c r="Z138" s="2180"/>
      <c r="AA138" s="2180"/>
      <c r="AB138" s="2180"/>
      <c r="AC138" s="2180"/>
      <c r="AD138" s="2180"/>
      <c r="AE138" s="2180"/>
      <c r="AF138" s="2180"/>
      <c r="AG138" s="2180"/>
      <c r="AH138" s="2180"/>
      <c r="AI138" s="2180"/>
      <c r="AJ138" s="2180"/>
      <c r="AL138" s="1911"/>
      <c r="AM138" s="1862"/>
    </row>
    <row r="139" spans="2:40" s="58" customFormat="1" ht="18" customHeight="1">
      <c r="C139" s="269" t="s">
        <v>613</v>
      </c>
      <c r="D139" s="2180" t="s">
        <v>3268</v>
      </c>
      <c r="E139" s="1945"/>
      <c r="F139" s="1945"/>
      <c r="G139" s="1945"/>
      <c r="H139" s="1945"/>
      <c r="I139" s="1945"/>
      <c r="J139" s="1945"/>
      <c r="K139" s="1945"/>
      <c r="L139" s="1945"/>
      <c r="M139" s="1945"/>
      <c r="N139" s="1945"/>
      <c r="O139" s="1945"/>
      <c r="P139" s="1945"/>
      <c r="Q139" s="1945"/>
      <c r="R139" s="1945"/>
      <c r="S139" s="1945"/>
      <c r="T139" s="1945"/>
      <c r="U139" s="1945"/>
      <c r="V139" s="1945"/>
      <c r="W139" s="1945"/>
      <c r="X139" s="1945"/>
      <c r="Y139" s="1945"/>
      <c r="Z139" s="1945"/>
      <c r="AA139" s="1945"/>
      <c r="AB139" s="1945"/>
      <c r="AC139" s="1945"/>
      <c r="AD139" s="1945"/>
      <c r="AE139" s="1945"/>
      <c r="AF139" s="1945"/>
      <c r="AG139" s="1945"/>
      <c r="AH139" s="1945"/>
      <c r="AI139" s="1945"/>
      <c r="AJ139" s="1945"/>
      <c r="AK139" s="1945"/>
    </row>
    <row r="140" spans="2:40" ht="87.75" customHeight="1">
      <c r="C140" s="244"/>
      <c r="D140" s="269" t="s">
        <v>1989</v>
      </c>
      <c r="E140" s="1802" t="s">
        <v>3269</v>
      </c>
      <c r="F140" s="2180"/>
      <c r="G140" s="2180"/>
      <c r="H140" s="2180"/>
      <c r="I140" s="2180"/>
      <c r="J140" s="2180"/>
      <c r="K140" s="2180"/>
      <c r="L140" s="2180"/>
      <c r="M140" s="2180"/>
      <c r="N140" s="2180"/>
      <c r="O140" s="2180"/>
      <c r="P140" s="2180"/>
      <c r="Q140" s="2180"/>
      <c r="R140" s="2180"/>
      <c r="S140" s="2180"/>
      <c r="T140" s="2180"/>
      <c r="U140" s="2180"/>
      <c r="V140" s="2180"/>
      <c r="W140" s="2180"/>
      <c r="X140" s="2180"/>
      <c r="Y140" s="2180"/>
      <c r="Z140" s="2180"/>
      <c r="AA140" s="2180"/>
      <c r="AB140" s="2180"/>
      <c r="AC140" s="2180"/>
      <c r="AD140" s="2180"/>
      <c r="AE140" s="2180"/>
      <c r="AF140" s="2180"/>
      <c r="AG140" s="2180"/>
      <c r="AH140" s="2180"/>
      <c r="AI140" s="2180"/>
      <c r="AJ140" s="2180"/>
      <c r="AK140" s="2180"/>
      <c r="AL140" s="382"/>
      <c r="AM140" s="382"/>
      <c r="AN140" s="382"/>
    </row>
    <row r="141" spans="2:40" ht="54" customHeight="1">
      <c r="C141" s="244"/>
      <c r="D141" s="269" t="s">
        <v>1990</v>
      </c>
      <c r="E141" s="1802" t="s">
        <v>3270</v>
      </c>
      <c r="F141" s="2180"/>
      <c r="G141" s="2180"/>
      <c r="H141" s="2180"/>
      <c r="I141" s="2180"/>
      <c r="J141" s="2180"/>
      <c r="K141" s="2180"/>
      <c r="L141" s="2180"/>
      <c r="M141" s="2180"/>
      <c r="N141" s="2180"/>
      <c r="O141" s="2180"/>
      <c r="P141" s="2180"/>
      <c r="Q141" s="2180"/>
      <c r="R141" s="2180"/>
      <c r="S141" s="2180"/>
      <c r="T141" s="2180"/>
      <c r="U141" s="2180"/>
      <c r="V141" s="2180"/>
      <c r="W141" s="2180"/>
      <c r="X141" s="2180"/>
      <c r="Y141" s="2180"/>
      <c r="Z141" s="2180"/>
      <c r="AA141" s="2180"/>
      <c r="AB141" s="2180"/>
      <c r="AC141" s="2180"/>
      <c r="AD141" s="2180"/>
      <c r="AE141" s="2180"/>
      <c r="AF141" s="2180"/>
      <c r="AG141" s="2180"/>
      <c r="AH141" s="2180"/>
      <c r="AI141" s="2180"/>
      <c r="AJ141" s="2180"/>
      <c r="AK141" s="2180"/>
      <c r="AL141" s="382"/>
      <c r="AM141" s="382"/>
      <c r="AN141" s="382"/>
    </row>
    <row r="142" spans="2:40" ht="18" hidden="1" customHeight="1">
      <c r="C142" s="244"/>
      <c r="D142" s="269" t="s">
        <v>1996</v>
      </c>
      <c r="E142" s="1802" t="s">
        <v>3271</v>
      </c>
      <c r="F142" s="2180"/>
      <c r="G142" s="2180"/>
      <c r="H142" s="2180"/>
      <c r="I142" s="2180"/>
      <c r="J142" s="2180"/>
      <c r="K142" s="2180"/>
      <c r="L142" s="2180"/>
      <c r="M142" s="2180"/>
      <c r="N142" s="2180"/>
      <c r="O142" s="2180"/>
      <c r="P142" s="2180"/>
      <c r="Q142" s="2180"/>
      <c r="R142" s="2180"/>
      <c r="S142" s="2180"/>
      <c r="T142" s="2180"/>
      <c r="U142" s="2180"/>
      <c r="V142" s="2180"/>
      <c r="W142" s="2180"/>
      <c r="X142" s="2180"/>
      <c r="Y142" s="2180"/>
      <c r="Z142" s="2180"/>
      <c r="AA142" s="2180"/>
      <c r="AB142" s="2180"/>
      <c r="AC142" s="2180"/>
      <c r="AD142" s="2180"/>
      <c r="AE142" s="2180"/>
      <c r="AF142" s="2180"/>
      <c r="AG142" s="2180"/>
      <c r="AH142" s="2180"/>
      <c r="AI142" s="2180"/>
      <c r="AJ142" s="2180"/>
      <c r="AK142" s="2180"/>
      <c r="AL142" s="1911"/>
      <c r="AM142" s="1862"/>
    </row>
    <row r="143" spans="2:40" ht="63.75" hidden="1" customHeight="1">
      <c r="C143" s="244"/>
      <c r="D143" s="269"/>
      <c r="E143" s="269" t="s">
        <v>1314</v>
      </c>
      <c r="F143" s="1802" t="s">
        <v>3272</v>
      </c>
      <c r="G143" s="2180"/>
      <c r="H143" s="2180"/>
      <c r="I143" s="2180"/>
      <c r="J143" s="2180"/>
      <c r="K143" s="2180"/>
      <c r="L143" s="2180"/>
      <c r="M143" s="2180"/>
      <c r="N143" s="2180"/>
      <c r="O143" s="2180"/>
      <c r="P143" s="2180"/>
      <c r="Q143" s="2180"/>
      <c r="R143" s="2180"/>
      <c r="S143" s="2180"/>
      <c r="T143" s="2180"/>
      <c r="U143" s="2180"/>
      <c r="V143" s="2180"/>
      <c r="W143" s="2180"/>
      <c r="X143" s="2180"/>
      <c r="Y143" s="2180"/>
      <c r="Z143" s="2180"/>
      <c r="AA143" s="2180"/>
      <c r="AB143" s="2180"/>
      <c r="AC143" s="2180"/>
      <c r="AD143" s="2180"/>
      <c r="AE143" s="2180"/>
      <c r="AF143" s="2180"/>
      <c r="AG143" s="2180"/>
      <c r="AH143" s="2180"/>
      <c r="AI143" s="2180"/>
      <c r="AJ143" s="2180"/>
      <c r="AK143" s="2180"/>
      <c r="AL143" s="382"/>
      <c r="AM143" s="382"/>
      <c r="AN143" s="382"/>
    </row>
    <row r="144" spans="2:40" ht="18" hidden="1" customHeight="1">
      <c r="C144" s="244"/>
      <c r="D144" s="269"/>
      <c r="E144" s="269" t="s">
        <v>1316</v>
      </c>
      <c r="F144" s="1802" t="s">
        <v>3273</v>
      </c>
      <c r="G144" s="2180"/>
      <c r="H144" s="2180"/>
      <c r="I144" s="2180"/>
      <c r="J144" s="2180"/>
      <c r="K144" s="2180"/>
      <c r="L144" s="2180"/>
      <c r="M144" s="2180"/>
      <c r="N144" s="2180"/>
      <c r="O144" s="2180"/>
      <c r="P144" s="2180"/>
      <c r="Q144" s="2180"/>
      <c r="R144" s="2180"/>
      <c r="S144" s="2180"/>
      <c r="T144" s="2180"/>
      <c r="U144" s="2180"/>
      <c r="V144" s="2180"/>
      <c r="W144" s="2180"/>
      <c r="X144" s="2180"/>
      <c r="Y144" s="2180"/>
      <c r="Z144" s="2180"/>
      <c r="AA144" s="2180"/>
      <c r="AB144" s="2180"/>
      <c r="AC144" s="2180"/>
      <c r="AD144" s="2180"/>
      <c r="AE144" s="2180"/>
      <c r="AF144" s="2180"/>
      <c r="AG144" s="2180"/>
      <c r="AH144" s="2180"/>
      <c r="AI144" s="2180"/>
      <c r="AJ144" s="2180"/>
      <c r="AK144" s="2180"/>
      <c r="AL144" s="382"/>
      <c r="AM144" s="382"/>
      <c r="AN144" s="382"/>
    </row>
    <row r="145" spans="2:39" s="58" customFormat="1" ht="75.75" customHeight="1">
      <c r="D145" s="269" t="s">
        <v>1999</v>
      </c>
      <c r="E145" s="1802" t="s">
        <v>3274</v>
      </c>
      <c r="F145" s="1945"/>
      <c r="G145" s="1945"/>
      <c r="H145" s="1945"/>
      <c r="I145" s="1945"/>
      <c r="J145" s="1945"/>
      <c r="K145" s="1945"/>
      <c r="L145" s="1945"/>
      <c r="M145" s="1945"/>
      <c r="N145" s="1945"/>
      <c r="O145" s="1945"/>
      <c r="P145" s="1945"/>
      <c r="Q145" s="1945"/>
      <c r="R145" s="1945"/>
      <c r="S145" s="1945"/>
      <c r="T145" s="1945"/>
      <c r="U145" s="1945"/>
      <c r="V145" s="1945"/>
      <c r="W145" s="1945"/>
      <c r="X145" s="1945"/>
      <c r="Y145" s="1945"/>
      <c r="Z145" s="1945"/>
      <c r="AA145" s="1945"/>
      <c r="AB145" s="1945"/>
      <c r="AC145" s="1945"/>
      <c r="AD145" s="1945"/>
      <c r="AE145" s="1945"/>
      <c r="AF145" s="1945"/>
      <c r="AG145" s="1945"/>
      <c r="AH145" s="1945"/>
      <c r="AI145" s="1945"/>
      <c r="AJ145" s="1945"/>
      <c r="AK145" s="1945"/>
    </row>
    <row r="146" spans="2:39" s="58" customFormat="1" ht="18" customHeight="1">
      <c r="D146" s="269" t="s">
        <v>2742</v>
      </c>
      <c r="E146" s="1802" t="s">
        <v>3275</v>
      </c>
      <c r="F146" s="1945"/>
      <c r="G146" s="1945"/>
      <c r="H146" s="1945"/>
      <c r="I146" s="1945"/>
      <c r="J146" s="1945"/>
      <c r="K146" s="1945"/>
      <c r="L146" s="1945"/>
      <c r="M146" s="1945"/>
      <c r="N146" s="1945"/>
      <c r="O146" s="1945"/>
      <c r="P146" s="1945"/>
      <c r="Q146" s="1945"/>
      <c r="R146" s="1945"/>
      <c r="S146" s="1945"/>
      <c r="T146" s="1945"/>
      <c r="U146" s="1945"/>
      <c r="V146" s="1945"/>
      <c r="W146" s="1945"/>
      <c r="X146" s="1945"/>
      <c r="Y146" s="1945"/>
      <c r="Z146" s="1945"/>
      <c r="AA146" s="1945"/>
      <c r="AB146" s="1945"/>
      <c r="AC146" s="1945"/>
      <c r="AD146" s="1945"/>
      <c r="AE146" s="1945"/>
      <c r="AF146" s="1945"/>
      <c r="AG146" s="1945"/>
      <c r="AH146" s="1945"/>
      <c r="AI146" s="1945"/>
      <c r="AJ146" s="1945"/>
      <c r="AK146" s="1945"/>
    </row>
    <row r="147" spans="2:39" ht="36" customHeight="1">
      <c r="B147" s="244" t="s">
        <v>2005</v>
      </c>
      <c r="C147" s="1806" t="s">
        <v>3276</v>
      </c>
      <c r="D147" s="2180"/>
      <c r="E147" s="2180"/>
      <c r="F147" s="2180"/>
      <c r="G147" s="2180"/>
      <c r="H147" s="2180"/>
      <c r="I147" s="2180"/>
      <c r="J147" s="2180"/>
      <c r="K147" s="2180"/>
      <c r="L147" s="2180"/>
      <c r="M147" s="2180"/>
      <c r="N147" s="2180"/>
      <c r="O147" s="2180"/>
      <c r="P147" s="2180"/>
      <c r="Q147" s="2180"/>
      <c r="R147" s="2180"/>
      <c r="S147" s="2180"/>
      <c r="T147" s="2180"/>
      <c r="U147" s="2180"/>
      <c r="V147" s="2180"/>
      <c r="W147" s="2180"/>
      <c r="X147" s="2180"/>
      <c r="Y147" s="2180"/>
      <c r="Z147" s="2180"/>
      <c r="AA147" s="2180"/>
      <c r="AB147" s="2180"/>
      <c r="AC147" s="2180"/>
      <c r="AD147" s="2180"/>
      <c r="AE147" s="2180"/>
      <c r="AF147" s="2180"/>
      <c r="AG147" s="2180"/>
      <c r="AH147" s="2180"/>
      <c r="AI147" s="2180"/>
      <c r="AJ147" s="2180"/>
      <c r="AK147" s="2180"/>
      <c r="AL147" s="1911"/>
      <c r="AM147" s="1862"/>
    </row>
    <row r="148" spans="2:39" s="58" customFormat="1" ht="36" customHeight="1">
      <c r="B148" s="244" t="s">
        <v>2007</v>
      </c>
      <c r="C148" s="1802" t="s">
        <v>2822</v>
      </c>
      <c r="D148" s="1945"/>
      <c r="E148" s="1945"/>
      <c r="F148" s="1945"/>
      <c r="G148" s="1945"/>
      <c r="H148" s="1945"/>
      <c r="I148" s="1945"/>
      <c r="J148" s="1945"/>
      <c r="K148" s="1945"/>
      <c r="L148" s="1945"/>
      <c r="M148" s="1945"/>
      <c r="N148" s="1945"/>
      <c r="O148" s="1945"/>
      <c r="P148" s="1945"/>
      <c r="Q148" s="1945"/>
      <c r="R148" s="1945"/>
      <c r="S148" s="1945"/>
      <c r="T148" s="1945"/>
      <c r="U148" s="1945"/>
      <c r="V148" s="1945"/>
      <c r="W148" s="1945"/>
      <c r="X148" s="1945"/>
      <c r="Y148" s="1945"/>
      <c r="Z148" s="1945"/>
      <c r="AA148" s="1945"/>
      <c r="AB148" s="1945"/>
      <c r="AC148" s="1945"/>
      <c r="AD148" s="1945"/>
      <c r="AE148" s="1945"/>
      <c r="AF148" s="1945"/>
      <c r="AG148" s="1945"/>
      <c r="AH148" s="1945"/>
      <c r="AI148" s="1945"/>
      <c r="AJ148" s="1945"/>
      <c r="AK148" s="1945"/>
    </row>
    <row r="149" spans="2:39" s="58" customFormat="1" ht="18" customHeight="1">
      <c r="C149" s="2180" t="s">
        <v>3277</v>
      </c>
      <c r="D149" s="1945"/>
      <c r="E149" s="1945"/>
      <c r="F149" s="1945"/>
      <c r="G149" s="1945"/>
      <c r="H149" s="1945"/>
      <c r="I149" s="1945"/>
      <c r="J149" s="1945"/>
      <c r="K149" s="1945"/>
      <c r="L149" s="1945"/>
      <c r="M149" s="1945"/>
      <c r="N149" s="1945"/>
      <c r="O149" s="1945"/>
      <c r="P149" s="1945"/>
      <c r="Q149" s="1945"/>
      <c r="R149" s="1945"/>
      <c r="S149" s="1945"/>
      <c r="T149" s="1945"/>
      <c r="U149" s="1945"/>
      <c r="V149" s="1945"/>
      <c r="W149" s="1945"/>
      <c r="X149" s="1945"/>
      <c r="Y149" s="1945"/>
      <c r="Z149" s="1945"/>
      <c r="AA149" s="1945"/>
      <c r="AB149" s="1945"/>
      <c r="AC149" s="1945"/>
      <c r="AD149" s="1945"/>
      <c r="AE149" s="1945"/>
      <c r="AF149" s="1945"/>
      <c r="AG149" s="1945"/>
      <c r="AH149" s="1945"/>
      <c r="AI149" s="1945"/>
      <c r="AJ149" s="1945"/>
      <c r="AK149" s="1945"/>
    </row>
    <row r="150" spans="2:39" ht="18" customHeight="1">
      <c r="B150" s="3313" t="s">
        <v>3197</v>
      </c>
      <c r="C150" s="1877"/>
      <c r="D150" s="1877"/>
      <c r="E150" s="1877"/>
      <c r="F150" s="1877"/>
      <c r="G150" s="1877"/>
      <c r="H150" s="1877"/>
      <c r="I150" s="1877"/>
    </row>
    <row r="151" spans="2:39" ht="82.5" customHeight="1">
      <c r="B151" s="2003"/>
      <c r="C151" s="1861"/>
      <c r="D151" s="1861"/>
      <c r="E151" s="1861"/>
      <c r="F151" s="1861"/>
      <c r="G151" s="1861"/>
      <c r="H151" s="1861"/>
      <c r="I151" s="1861"/>
      <c r="J151" s="1861"/>
      <c r="K151" s="1861"/>
      <c r="L151" s="1861"/>
      <c r="M151" s="1861"/>
      <c r="N151" s="1861"/>
      <c r="O151" s="1861"/>
      <c r="P151" s="1861"/>
      <c r="Q151" s="1861"/>
      <c r="R151" s="1861"/>
      <c r="S151" s="1861"/>
      <c r="T151" s="1861"/>
      <c r="U151" s="1861"/>
      <c r="V151" s="1861"/>
      <c r="W151" s="1861"/>
      <c r="X151" s="1861"/>
      <c r="Y151" s="1861"/>
      <c r="Z151" s="1861"/>
      <c r="AA151" s="1861"/>
      <c r="AB151" s="1861"/>
      <c r="AC151" s="1861"/>
      <c r="AD151" s="1861"/>
      <c r="AE151" s="1861"/>
      <c r="AF151" s="1861"/>
      <c r="AG151" s="1861"/>
      <c r="AH151" s="1861"/>
      <c r="AI151" s="1861"/>
      <c r="AJ151" s="1861"/>
      <c r="AK151" s="1861"/>
      <c r="AL151" s="1861"/>
      <c r="AM151" s="1862"/>
    </row>
    <row r="153" spans="2:39" ht="36" customHeight="1">
      <c r="B153" s="3006" t="s">
        <v>3278</v>
      </c>
      <c r="C153" s="1877"/>
      <c r="D153" s="1877"/>
      <c r="E153" s="1877"/>
      <c r="F153" s="1877"/>
      <c r="G153" s="1877"/>
      <c r="H153" s="1877"/>
      <c r="I153" s="1877"/>
      <c r="J153" s="1877"/>
      <c r="K153" s="1877"/>
      <c r="L153" s="1877"/>
      <c r="M153" s="1877"/>
      <c r="N153" s="1877"/>
      <c r="O153" s="1877"/>
      <c r="P153" s="1877"/>
      <c r="Q153" s="1877"/>
      <c r="R153" s="1877"/>
      <c r="S153" s="1877"/>
      <c r="T153" s="1877"/>
      <c r="U153" s="1877"/>
      <c r="V153" s="1877"/>
      <c r="W153" s="1877"/>
      <c r="X153" s="1877"/>
      <c r="Y153" s="1877"/>
      <c r="Z153" s="1877"/>
      <c r="AA153" s="1877"/>
      <c r="AB153" s="1877"/>
      <c r="AC153" s="1877"/>
      <c r="AD153" s="1877"/>
      <c r="AE153" s="1877"/>
      <c r="AF153" s="1877"/>
      <c r="AG153" s="1877"/>
      <c r="AH153" s="1877"/>
      <c r="AI153" s="1877"/>
      <c r="AJ153" s="1877"/>
      <c r="AK153" s="1877"/>
      <c r="AL153" s="1877"/>
      <c r="AM153" s="1877"/>
    </row>
    <row r="155" spans="2:39" ht="18" customHeight="1">
      <c r="B155" s="2180" t="s">
        <v>3279</v>
      </c>
      <c r="C155" s="2180"/>
      <c r="D155" s="2180"/>
      <c r="E155" s="2180"/>
      <c r="F155" s="2180"/>
      <c r="G155" s="2180"/>
      <c r="H155" s="2180"/>
      <c r="I155" s="2180"/>
      <c r="J155" s="2180"/>
      <c r="R155" s="1911"/>
      <c r="S155" s="1862"/>
    </row>
    <row r="156" spans="2:39" ht="18" customHeight="1">
      <c r="B156" s="2180" t="s">
        <v>3280</v>
      </c>
      <c r="C156" s="2180"/>
      <c r="D156" s="2180"/>
      <c r="E156" s="2180"/>
      <c r="F156" s="2180"/>
      <c r="G156" s="2180"/>
      <c r="H156" s="2180"/>
      <c r="I156" s="2180"/>
      <c r="J156" s="2180"/>
      <c r="R156" s="1911"/>
      <c r="S156" s="1862"/>
    </row>
    <row r="157" spans="2:39" s="58" customFormat="1" ht="54" customHeight="1">
      <c r="B157" s="1806" t="s">
        <v>3281</v>
      </c>
      <c r="C157" s="1945"/>
      <c r="D157" s="1945"/>
      <c r="E157" s="1945"/>
      <c r="F157" s="1945"/>
      <c r="G157" s="1945"/>
      <c r="H157" s="1945"/>
      <c r="I157" s="1945"/>
      <c r="J157" s="1945"/>
      <c r="K157" s="1945"/>
      <c r="L157" s="1945"/>
      <c r="M157" s="1945"/>
      <c r="N157" s="1945"/>
      <c r="O157" s="1945"/>
      <c r="P157" s="1945"/>
      <c r="Q157" s="1945"/>
      <c r="R157" s="1945"/>
      <c r="S157" s="1945"/>
      <c r="T157" s="1945"/>
      <c r="U157" s="1945"/>
      <c r="V157" s="1945"/>
      <c r="W157" s="1945"/>
      <c r="X157" s="1945"/>
      <c r="Y157" s="1945"/>
      <c r="Z157" s="1945"/>
      <c r="AA157" s="1945"/>
      <c r="AB157" s="1945"/>
      <c r="AC157" s="1945"/>
      <c r="AD157" s="1945"/>
      <c r="AE157" s="1945"/>
      <c r="AF157" s="1945"/>
      <c r="AG157" s="1945"/>
      <c r="AH157" s="1945"/>
      <c r="AI157" s="1945"/>
      <c r="AJ157" s="1945"/>
      <c r="AK157" s="1945"/>
      <c r="AL157" s="1911"/>
      <c r="AM157" s="1862"/>
    </row>
    <row r="158" spans="2:39" ht="18" customHeight="1">
      <c r="B158" s="2996" t="s">
        <v>3282</v>
      </c>
      <c r="C158" s="2180"/>
      <c r="D158" s="2180"/>
      <c r="E158" s="2180"/>
      <c r="F158" s="2180"/>
      <c r="G158" s="2180"/>
      <c r="H158" s="2180"/>
      <c r="I158" s="2180"/>
      <c r="J158" s="2180"/>
      <c r="K158" s="2180"/>
      <c r="L158" s="2180"/>
      <c r="M158" s="2180"/>
      <c r="N158" s="2180"/>
      <c r="O158" s="2180"/>
      <c r="P158" s="2180"/>
      <c r="Q158" s="1889"/>
      <c r="R158" s="1911"/>
      <c r="S158" s="1862"/>
    </row>
    <row r="159" spans="2:39" s="58" customFormat="1" ht="18" customHeight="1">
      <c r="B159" s="2180" t="s">
        <v>3283</v>
      </c>
      <c r="C159" s="1945"/>
      <c r="D159" s="1945"/>
      <c r="E159" s="1945"/>
      <c r="F159" s="1945"/>
      <c r="G159" s="1945"/>
      <c r="H159" s="1945"/>
      <c r="I159" s="1945"/>
      <c r="J159" s="1945"/>
      <c r="K159" s="476"/>
      <c r="L159" s="476"/>
      <c r="M159" s="476"/>
      <c r="N159" s="476"/>
      <c r="O159" s="476"/>
      <c r="P159" s="476"/>
      <c r="Q159" s="476"/>
      <c r="R159" s="1911"/>
      <c r="S159" s="1862"/>
    </row>
    <row r="160" spans="2:39" s="58" customFormat="1" ht="18" customHeight="1">
      <c r="B160" s="2180" t="s">
        <v>3284</v>
      </c>
      <c r="C160" s="1945"/>
      <c r="D160" s="1945"/>
      <c r="E160" s="1945"/>
      <c r="F160" s="1945"/>
      <c r="G160" s="1945"/>
      <c r="H160" s="1945"/>
      <c r="I160" s="1945"/>
      <c r="J160" s="1945"/>
      <c r="K160" s="476"/>
      <c r="L160" s="476"/>
      <c r="M160" s="476"/>
      <c r="N160" s="476"/>
      <c r="O160" s="476"/>
      <c r="P160" s="476"/>
      <c r="Q160" s="476"/>
      <c r="R160" s="1911"/>
      <c r="S160" s="1862"/>
    </row>
    <row r="161" spans="2:39" s="58" customFormat="1" ht="47.85" customHeight="1">
      <c r="C161" s="640" t="s">
        <v>1974</v>
      </c>
      <c r="D161" s="1802" t="s">
        <v>3285</v>
      </c>
      <c r="E161" s="1945"/>
      <c r="F161" s="1945"/>
      <c r="G161" s="1945"/>
      <c r="H161" s="1945"/>
      <c r="I161" s="1945"/>
      <c r="J161" s="1945"/>
      <c r="K161" s="1945"/>
      <c r="L161" s="1945"/>
      <c r="M161" s="1945"/>
      <c r="N161" s="1945"/>
      <c r="O161" s="1945"/>
      <c r="P161" s="1945"/>
      <c r="Q161" s="1945"/>
      <c r="R161" s="1945"/>
      <c r="S161" s="1945"/>
      <c r="T161" s="1945"/>
      <c r="U161" s="1945"/>
      <c r="V161" s="1945"/>
      <c r="W161" s="1945"/>
      <c r="X161" s="1945"/>
      <c r="Y161" s="1945"/>
      <c r="Z161" s="1945"/>
      <c r="AA161" s="1945"/>
      <c r="AB161" s="1945"/>
      <c r="AC161" s="1945"/>
      <c r="AD161" s="1945"/>
      <c r="AE161" s="1945"/>
      <c r="AF161" s="1945"/>
      <c r="AG161" s="1945"/>
      <c r="AH161" s="1945"/>
      <c r="AI161" s="1945"/>
      <c r="AJ161" s="1945"/>
      <c r="AK161" s="1945"/>
      <c r="AL161" s="1911"/>
      <c r="AM161" s="1862"/>
    </row>
    <row r="162" spans="2:39" s="58" customFormat="1" ht="18" customHeight="1">
      <c r="B162" s="2180" t="s">
        <v>3286</v>
      </c>
      <c r="C162" s="1945"/>
      <c r="D162" s="1945"/>
      <c r="E162" s="1945"/>
      <c r="F162" s="1945"/>
      <c r="G162" s="1945"/>
      <c r="H162" s="1945"/>
      <c r="I162" s="1945"/>
      <c r="J162" s="1945"/>
      <c r="K162" s="476"/>
      <c r="L162" s="476"/>
      <c r="M162" s="476"/>
      <c r="N162" s="476"/>
      <c r="O162" s="476"/>
      <c r="P162" s="476"/>
      <c r="Q162" s="476"/>
      <c r="R162" s="1911"/>
      <c r="S162" s="1862"/>
    </row>
    <row r="163" spans="2:39" s="58" customFormat="1" ht="18" customHeight="1">
      <c r="B163" s="2180" t="s">
        <v>3287</v>
      </c>
      <c r="C163" s="1945"/>
      <c r="D163" s="1945"/>
      <c r="E163" s="1945"/>
      <c r="F163" s="1945"/>
      <c r="G163" s="1945"/>
      <c r="H163" s="1945"/>
      <c r="I163" s="1945"/>
      <c r="J163" s="1945"/>
      <c r="K163" s="476"/>
      <c r="L163" s="476"/>
      <c r="M163" s="476"/>
      <c r="P163" s="476"/>
      <c r="Q163" s="476"/>
      <c r="R163" s="476"/>
      <c r="S163" s="476"/>
    </row>
    <row r="164" spans="2:39" s="58" customFormat="1" ht="50.1" customHeight="1">
      <c r="B164" s="3216" t="s">
        <v>2841</v>
      </c>
      <c r="C164" s="1945"/>
      <c r="D164" s="1945"/>
      <c r="E164" s="1945"/>
      <c r="F164" s="1945"/>
      <c r="G164" s="1945"/>
      <c r="H164" s="1945"/>
      <c r="I164" s="1945"/>
      <c r="J164" s="1945"/>
      <c r="K164" s="1945"/>
      <c r="L164" s="1945"/>
      <c r="M164" s="1945"/>
      <c r="N164" s="1945"/>
      <c r="O164" s="1945"/>
      <c r="P164" s="1945"/>
      <c r="Q164" s="1945"/>
      <c r="R164" s="1945"/>
      <c r="S164" s="1945"/>
      <c r="T164" s="1945"/>
      <c r="U164" s="1945"/>
      <c r="V164" s="1889"/>
      <c r="W164" s="1911" t="s">
        <v>55</v>
      </c>
      <c r="X164" s="1862"/>
    </row>
    <row r="165" spans="2:39" s="58" customFormat="1" ht="18" customHeight="1">
      <c r="B165" s="2180" t="s">
        <v>2140</v>
      </c>
      <c r="C165" s="1945"/>
      <c r="D165" s="1945"/>
      <c r="E165" s="1945"/>
      <c r="F165" s="1945"/>
      <c r="G165" s="1945"/>
      <c r="H165" s="1945"/>
      <c r="I165" s="1945"/>
      <c r="J165" s="1945"/>
      <c r="K165" s="476"/>
      <c r="L165" s="476"/>
      <c r="M165" s="476"/>
      <c r="N165" s="476"/>
      <c r="O165" s="476"/>
      <c r="P165" s="476"/>
      <c r="Q165" s="476"/>
      <c r="R165" s="1911"/>
      <c r="S165" s="1862"/>
    </row>
    <row r="166" spans="2:39" s="58" customFormat="1" ht="18" customHeight="1">
      <c r="B166" s="2180" t="s">
        <v>3288</v>
      </c>
      <c r="C166" s="1945"/>
      <c r="D166" s="1945"/>
      <c r="E166" s="1945"/>
      <c r="F166" s="1945"/>
      <c r="G166" s="1945"/>
      <c r="H166" s="1945"/>
      <c r="I166" s="1945"/>
      <c r="J166" s="1945"/>
      <c r="K166" s="1945"/>
      <c r="L166" s="1945"/>
      <c r="M166" s="476"/>
      <c r="N166" s="476"/>
      <c r="O166" s="476"/>
      <c r="P166" s="476"/>
      <c r="Q166" s="476"/>
      <c r="R166" s="1911"/>
      <c r="S166" s="1862"/>
    </row>
    <row r="167" spans="2:39" s="58" customFormat="1" ht="18" customHeight="1">
      <c r="B167" s="2996" t="s">
        <v>3289</v>
      </c>
      <c r="C167" s="1945"/>
      <c r="D167" s="1945"/>
      <c r="E167" s="1945"/>
      <c r="F167" s="1945"/>
      <c r="G167" s="1945"/>
      <c r="H167" s="1945"/>
      <c r="I167" s="1945"/>
      <c r="J167" s="1945"/>
      <c r="K167" s="1945"/>
      <c r="L167" s="1945"/>
      <c r="M167" s="1945"/>
      <c r="N167" s="1945"/>
      <c r="O167" s="1945"/>
      <c r="P167" s="1945"/>
      <c r="Q167" s="1889"/>
      <c r="R167" s="1911"/>
      <c r="S167" s="1862"/>
    </row>
    <row r="168" spans="2:39" s="58" customFormat="1" ht="18" customHeight="1"/>
    <row r="169" spans="2:39" ht="18" customHeight="1">
      <c r="B169" s="3313" t="s">
        <v>3197</v>
      </c>
      <c r="C169" s="1877"/>
      <c r="D169" s="1877"/>
      <c r="E169" s="1877"/>
      <c r="F169" s="1877"/>
      <c r="G169" s="1877"/>
      <c r="H169" s="1877"/>
      <c r="I169" s="1877"/>
    </row>
    <row r="170" spans="2:39" ht="81" customHeight="1">
      <c r="B170" s="2003"/>
      <c r="C170" s="1861"/>
      <c r="D170" s="1861"/>
      <c r="E170" s="1861"/>
      <c r="F170" s="1861"/>
      <c r="G170" s="1861"/>
      <c r="H170" s="1861"/>
      <c r="I170" s="1861"/>
      <c r="J170" s="1861"/>
      <c r="K170" s="1861"/>
      <c r="L170" s="1861"/>
      <c r="M170" s="1861"/>
      <c r="N170" s="1861"/>
      <c r="O170" s="1861"/>
      <c r="P170" s="1861"/>
      <c r="Q170" s="1861"/>
      <c r="R170" s="1861"/>
      <c r="S170" s="1861"/>
      <c r="T170" s="1861"/>
      <c r="U170" s="1861"/>
      <c r="V170" s="1861"/>
      <c r="W170" s="1861"/>
      <c r="X170" s="1861"/>
      <c r="Y170" s="1861"/>
      <c r="Z170" s="1861"/>
      <c r="AA170" s="1861"/>
      <c r="AB170" s="1861"/>
      <c r="AC170" s="1861"/>
      <c r="AD170" s="1861"/>
      <c r="AE170" s="1861"/>
      <c r="AF170" s="1861"/>
      <c r="AG170" s="1861"/>
      <c r="AH170" s="1861"/>
      <c r="AI170" s="1861"/>
      <c r="AJ170" s="1861"/>
      <c r="AK170" s="1861"/>
      <c r="AL170" s="1861"/>
      <c r="AM170" s="1862"/>
    </row>
    <row r="172" spans="2:39" ht="18" customHeight="1">
      <c r="B172" s="2529" t="s">
        <v>461</v>
      </c>
      <c r="C172" s="2180"/>
      <c r="D172" s="2180"/>
      <c r="E172" s="2180"/>
      <c r="F172" s="2180"/>
      <c r="G172" s="2180"/>
      <c r="H172" s="2180"/>
      <c r="I172" s="2180"/>
      <c r="J172" s="2180"/>
      <c r="K172" s="2180"/>
      <c r="L172" s="2180"/>
      <c r="M172" s="2180"/>
      <c r="N172" s="2180"/>
      <c r="O172" s="2180"/>
      <c r="P172" s="2180"/>
      <c r="Q172" s="2180"/>
      <c r="R172" s="2180"/>
      <c r="S172" s="2180"/>
      <c r="T172" s="2180"/>
      <c r="U172" s="2180"/>
      <c r="V172" s="2180"/>
      <c r="W172" s="2180"/>
      <c r="X172" s="2180"/>
      <c r="Y172" s="2180"/>
      <c r="Z172" s="2180"/>
      <c r="AA172" s="2180"/>
      <c r="AB172" s="2180"/>
      <c r="AC172" s="2180"/>
      <c r="AD172" s="2180"/>
      <c r="AE172" s="2180"/>
      <c r="AF172" s="2180"/>
      <c r="AG172" s="2180"/>
      <c r="AH172" s="2180"/>
      <c r="AI172" s="2180"/>
      <c r="AJ172" s="2180"/>
      <c r="AK172" s="2180"/>
      <c r="AL172" s="2180"/>
      <c r="AM172" s="2180"/>
    </row>
  </sheetData>
  <sheetProtection algorithmName="SHA-512" hashValue="VmzDsPnqwXPQD5BldZStyaRiiisauk/xXooO9BRF7L8uD/3cSHWL7C5RqknUILVYEg+Cn/1dK7NSyNRSm9M7vg==" saltValue="y/iU6+iuc3XKcOlsRoQNdg==" spinCount="100000" sheet="1" objects="1" scenarios="1"/>
  <mergeCells count="250">
    <mergeCell ref="R166:S166"/>
    <mergeCell ref="AA81:AB81"/>
    <mergeCell ref="AL157:AM157"/>
    <mergeCell ref="C115:AJ115"/>
    <mergeCell ref="AL49:AM49"/>
    <mergeCell ref="D122:AK122"/>
    <mergeCell ref="S65:AK65"/>
    <mergeCell ref="R159:S159"/>
    <mergeCell ref="B156:J156"/>
    <mergeCell ref="AL147:AM147"/>
    <mergeCell ref="E140:AK140"/>
    <mergeCell ref="C138:AJ138"/>
    <mergeCell ref="B158:Q158"/>
    <mergeCell ref="B150:I150"/>
    <mergeCell ref="B82:D82"/>
    <mergeCell ref="B166:L166"/>
    <mergeCell ref="E142:AK142"/>
    <mergeCell ref="AL78:AM78"/>
    <mergeCell ref="D66:AK66"/>
    <mergeCell ref="D161:AK161"/>
    <mergeCell ref="B151:AM151"/>
    <mergeCell ref="AL161:AM161"/>
    <mergeCell ref="E141:AK141"/>
    <mergeCell ref="E145:AK145"/>
    <mergeCell ref="B4:AM4"/>
    <mergeCell ref="AL36:AM36"/>
    <mergeCell ref="E94:AK94"/>
    <mergeCell ref="D58:AK58"/>
    <mergeCell ref="B109:AM109"/>
    <mergeCell ref="E84:AK84"/>
    <mergeCell ref="AL77:AM77"/>
    <mergeCell ref="D10:AL10"/>
    <mergeCell ref="D121:AK121"/>
    <mergeCell ref="B20:D20"/>
    <mergeCell ref="AL12:AM12"/>
    <mergeCell ref="AL14:AM14"/>
    <mergeCell ref="AL55:AM55"/>
    <mergeCell ref="C70:AK70"/>
    <mergeCell ref="F96:AK96"/>
    <mergeCell ref="AL48:AM48"/>
    <mergeCell ref="E24:AK24"/>
    <mergeCell ref="E33:AK33"/>
    <mergeCell ref="C7:AK7"/>
    <mergeCell ref="D48:AK48"/>
    <mergeCell ref="E88:AK88"/>
    <mergeCell ref="F98:AK98"/>
    <mergeCell ref="B50:AM50"/>
    <mergeCell ref="AL99:AM99"/>
    <mergeCell ref="E123:M123"/>
    <mergeCell ref="AT126:AU126"/>
    <mergeCell ref="AL86:AM86"/>
    <mergeCell ref="E78:AK78"/>
    <mergeCell ref="R158:S158"/>
    <mergeCell ref="D73:AK73"/>
    <mergeCell ref="AF123:AK123"/>
    <mergeCell ref="AF23:AK23"/>
    <mergeCell ref="F143:AK143"/>
    <mergeCell ref="E46:AK46"/>
    <mergeCell ref="C113:AK113"/>
    <mergeCell ref="E80:AK80"/>
    <mergeCell ref="AL37:AM37"/>
    <mergeCell ref="C112:AK112"/>
    <mergeCell ref="D44:AK44"/>
    <mergeCell ref="E61:AK61"/>
    <mergeCell ref="E65:O65"/>
    <mergeCell ref="AL72:AM72"/>
    <mergeCell ref="F75:AK75"/>
    <mergeCell ref="AL62:AM62"/>
    <mergeCell ref="AL118:AM118"/>
    <mergeCell ref="AL142:AM142"/>
    <mergeCell ref="AL23:AM23"/>
    <mergeCell ref="AL117:AM117"/>
    <mergeCell ref="E62:AK62"/>
    <mergeCell ref="F92:AK92"/>
    <mergeCell ref="AL122:AM122"/>
    <mergeCell ref="AL34:AM34"/>
    <mergeCell ref="C57:AK57"/>
    <mergeCell ref="F102:AK102"/>
    <mergeCell ref="D38:E38"/>
    <mergeCell ref="D107:AK107"/>
    <mergeCell ref="AF86:AK86"/>
    <mergeCell ref="B40:AM40"/>
    <mergeCell ref="E19:AK19"/>
    <mergeCell ref="AL27:AM27"/>
    <mergeCell ref="D127:AK127"/>
    <mergeCell ref="AL74:AM74"/>
    <mergeCell ref="AL105:AM105"/>
    <mergeCell ref="D131:AK131"/>
    <mergeCell ref="D9:E9"/>
    <mergeCell ref="E37:AK37"/>
    <mergeCell ref="AL123:AM123"/>
    <mergeCell ref="M23:AE23"/>
    <mergeCell ref="C42:AK42"/>
    <mergeCell ref="AL104:AM104"/>
    <mergeCell ref="B39:I39"/>
    <mergeCell ref="E74:AK74"/>
    <mergeCell ref="AL76:AM76"/>
    <mergeCell ref="AL25:AM25"/>
    <mergeCell ref="C126:AK126"/>
    <mergeCell ref="D129:AK129"/>
    <mergeCell ref="AL66:AM66"/>
    <mergeCell ref="AL75:AM75"/>
    <mergeCell ref="E45:AK45"/>
    <mergeCell ref="C117:AK117"/>
    <mergeCell ref="AJ34:AK34"/>
    <mergeCell ref="AL94:AM94"/>
    <mergeCell ref="AL132:AM132"/>
    <mergeCell ref="M20:AE20"/>
    <mergeCell ref="D139:AK139"/>
    <mergeCell ref="AL20:AM20"/>
    <mergeCell ref="D49:AK49"/>
    <mergeCell ref="AF82:AK82"/>
    <mergeCell ref="F14:AK14"/>
    <mergeCell ref="B23:D23"/>
    <mergeCell ref="E79:AK79"/>
    <mergeCell ref="AF25:AK25"/>
    <mergeCell ref="AL15:AM15"/>
    <mergeCell ref="E64:AK64"/>
    <mergeCell ref="E87:AK87"/>
    <mergeCell ref="F100:AK100"/>
    <mergeCell ref="AL136:AM136"/>
    <mergeCell ref="E99:AK99"/>
    <mergeCell ref="B67:I67"/>
    <mergeCell ref="E31:F31"/>
    <mergeCell ref="E27:AK27"/>
    <mergeCell ref="F103:AK103"/>
    <mergeCell ref="AL61:AM61"/>
    <mergeCell ref="D130:AK130"/>
    <mergeCell ref="E81:Z81"/>
    <mergeCell ref="B52:I52"/>
    <mergeCell ref="B5:D5"/>
    <mergeCell ref="C55:AK55"/>
    <mergeCell ref="E20:L20"/>
    <mergeCell ref="C136:AK136"/>
    <mergeCell ref="B153:AM153"/>
    <mergeCell ref="E83:F83"/>
    <mergeCell ref="B162:J162"/>
    <mergeCell ref="E63:AK63"/>
    <mergeCell ref="AL65:AM65"/>
    <mergeCell ref="E23:L23"/>
    <mergeCell ref="R162:S162"/>
    <mergeCell ref="AL70:AM70"/>
    <mergeCell ref="E86:M86"/>
    <mergeCell ref="N82:AE82"/>
    <mergeCell ref="AL26:AM26"/>
    <mergeCell ref="B157:AK157"/>
    <mergeCell ref="D133:AK133"/>
    <mergeCell ref="C125:AK125"/>
    <mergeCell ref="B51:AM51"/>
    <mergeCell ref="D47:AK47"/>
    <mergeCell ref="B160:J160"/>
    <mergeCell ref="F101:AK101"/>
    <mergeCell ref="C118:AK118"/>
    <mergeCell ref="F91:AK91"/>
    <mergeCell ref="B2:AM2"/>
    <mergeCell ref="E36:AK36"/>
    <mergeCell ref="C134:AK134"/>
    <mergeCell ref="B123:D123"/>
    <mergeCell ref="D119:AK119"/>
    <mergeCell ref="B170:AM170"/>
    <mergeCell ref="F35:AK35"/>
    <mergeCell ref="D128:AK128"/>
    <mergeCell ref="AL115:AM115"/>
    <mergeCell ref="E85:AK85"/>
    <mergeCell ref="R156:S156"/>
    <mergeCell ref="AL42:AM42"/>
    <mergeCell ref="B167:Q167"/>
    <mergeCell ref="R165:S165"/>
    <mergeCell ref="C43:AK43"/>
    <mergeCell ref="B53:AM53"/>
    <mergeCell ref="B25:D25"/>
    <mergeCell ref="C56:AK56"/>
    <mergeCell ref="F90:AK90"/>
    <mergeCell ref="E146:AK146"/>
    <mergeCell ref="AL46:AM46"/>
    <mergeCell ref="W164:X164"/>
    <mergeCell ref="E17:F17"/>
    <mergeCell ref="E21:AM21"/>
    <mergeCell ref="B172:AM172"/>
    <mergeCell ref="E93:AK93"/>
    <mergeCell ref="N86:AE86"/>
    <mergeCell ref="D105:AK105"/>
    <mergeCell ref="AL58:AM58"/>
    <mergeCell ref="B159:J159"/>
    <mergeCell ref="E25:L25"/>
    <mergeCell ref="E12:AK12"/>
    <mergeCell ref="AL138:AM138"/>
    <mergeCell ref="AL19:AM19"/>
    <mergeCell ref="D120:AK120"/>
    <mergeCell ref="B169:I169"/>
    <mergeCell ref="E82:M82"/>
    <mergeCell ref="C149:AK149"/>
    <mergeCell ref="M25:AE25"/>
    <mergeCell ref="F77:AK77"/>
    <mergeCell ref="B86:D86"/>
    <mergeCell ref="R167:S167"/>
    <mergeCell ref="C114:AJ114"/>
    <mergeCell ref="E22:AM22"/>
    <mergeCell ref="C111:AK111"/>
    <mergeCell ref="AL59:AM59"/>
    <mergeCell ref="AL124:AM124"/>
    <mergeCell ref="D106:AK106"/>
    <mergeCell ref="E5:AM5"/>
    <mergeCell ref="AF20:AK20"/>
    <mergeCell ref="AL45:AM45"/>
    <mergeCell ref="R160:S160"/>
    <mergeCell ref="D132:AK132"/>
    <mergeCell ref="P65:Q65"/>
    <mergeCell ref="D59:AK59"/>
    <mergeCell ref="C147:AK147"/>
    <mergeCell ref="F15:AK15"/>
    <mergeCell ref="AL13:AM13"/>
    <mergeCell ref="D60:AK60"/>
    <mergeCell ref="F95:AK95"/>
    <mergeCell ref="AL47:AM47"/>
    <mergeCell ref="E26:AK26"/>
    <mergeCell ref="E30:F30"/>
    <mergeCell ref="C137:AK137"/>
    <mergeCell ref="C124:AK124"/>
    <mergeCell ref="E11:F11"/>
    <mergeCell ref="C8:AK8"/>
    <mergeCell ref="AL7:AM7"/>
    <mergeCell ref="N123:AE123"/>
    <mergeCell ref="AL134:AM134"/>
    <mergeCell ref="D29:AK29"/>
    <mergeCell ref="F89:AK89"/>
    <mergeCell ref="B165:J165"/>
    <mergeCell ref="C71:AK71"/>
    <mergeCell ref="E18:AK18"/>
    <mergeCell ref="AL82:AM82"/>
    <mergeCell ref="F13:AK13"/>
    <mergeCell ref="B155:J155"/>
    <mergeCell ref="D104:AK104"/>
    <mergeCell ref="R155:S155"/>
    <mergeCell ref="AL114:AM114"/>
    <mergeCell ref="AL63:AM63"/>
    <mergeCell ref="F34:AI34"/>
    <mergeCell ref="B68:AM68"/>
    <mergeCell ref="D32:AK32"/>
    <mergeCell ref="D72:S72"/>
    <mergeCell ref="B163:J163"/>
    <mergeCell ref="B164:V164"/>
    <mergeCell ref="F144:AK144"/>
    <mergeCell ref="E76:AK76"/>
    <mergeCell ref="AL24:AM24"/>
    <mergeCell ref="B108:I108"/>
    <mergeCell ref="F97:AK97"/>
    <mergeCell ref="C135:D135"/>
    <mergeCell ref="C148:AK148"/>
    <mergeCell ref="AL107:AM107"/>
  </mergeCells>
  <conditionalFormatting sqref="AL42:AM42 AL76:AM76 AL78:AM78 AL104:AM105">
    <cfRule type="cellIs" dxfId="739" priority="273" operator="equal">
      <formula>"No"</formula>
    </cfRule>
    <cfRule type="cellIs" dxfId="738" priority="274" operator="equal">
      <formula>"Yes"</formula>
    </cfRule>
  </conditionalFormatting>
  <conditionalFormatting sqref="AL7:AM7">
    <cfRule type="cellIs" dxfId="737" priority="271" operator="equal">
      <formula>"No"</formula>
    </cfRule>
    <cfRule type="cellIs" dxfId="736" priority="272" operator="equal">
      <formula>"Yes"</formula>
    </cfRule>
  </conditionalFormatting>
  <conditionalFormatting sqref="AL13:AM13 AL15">
    <cfRule type="cellIs" dxfId="735" priority="266" operator="equal">
      <formula>"No"</formula>
    </cfRule>
    <cfRule type="cellIs" dxfId="734" priority="267" operator="equal">
      <formula>"Yes"</formula>
    </cfRule>
  </conditionalFormatting>
  <conditionalFormatting sqref="D28 E17">
    <cfRule type="cellIs" dxfId="733" priority="252" operator="equal">
      <formula>"O"</formula>
    </cfRule>
  </conditionalFormatting>
  <conditionalFormatting sqref="E30">
    <cfRule type="cellIs" dxfId="732" priority="218" operator="equal">
      <formula>"O"</formula>
    </cfRule>
  </conditionalFormatting>
  <conditionalFormatting sqref="E24">
    <cfRule type="cellIs" dxfId="731" priority="217" operator="equal">
      <formula>"O"</formula>
    </cfRule>
  </conditionalFormatting>
  <conditionalFormatting sqref="E11">
    <cfRule type="cellIs" dxfId="730" priority="214" operator="equal">
      <formula>"O"</formula>
    </cfRule>
  </conditionalFormatting>
  <conditionalFormatting sqref="D9">
    <cfRule type="cellIs" dxfId="729" priority="212" operator="equal">
      <formula>"O"</formula>
    </cfRule>
  </conditionalFormatting>
  <conditionalFormatting sqref="D47">
    <cfRule type="cellIs" dxfId="728" priority="209" operator="equal">
      <formula>"O"</formula>
    </cfRule>
  </conditionalFormatting>
  <conditionalFormatting sqref="D38">
    <cfRule type="cellIs" dxfId="727" priority="205" operator="equal">
      <formula>"O"</formula>
    </cfRule>
  </conditionalFormatting>
  <conditionalFormatting sqref="AL58:AM59 AL66:AM66">
    <cfRule type="cellIs" dxfId="726" priority="201" operator="equal">
      <formula>"No"</formula>
    </cfRule>
    <cfRule type="cellIs" dxfId="725" priority="202" operator="equal">
      <formula>"Yes"</formula>
    </cfRule>
  </conditionalFormatting>
  <conditionalFormatting sqref="AL27:AM27">
    <cfRule type="cellIs" dxfId="724" priority="191" operator="equal">
      <formula>"No"</formula>
    </cfRule>
    <cfRule type="cellIs" dxfId="723" priority="192" operator="equal">
      <formula>"Yes"</formula>
    </cfRule>
  </conditionalFormatting>
  <conditionalFormatting sqref="AL26:AM26">
    <cfRule type="cellIs" dxfId="722" priority="189" operator="equal">
      <formula>"No"</formula>
    </cfRule>
    <cfRule type="cellIs" dxfId="721" priority="190" operator="equal">
      <formula>"Yes"</formula>
    </cfRule>
  </conditionalFormatting>
  <conditionalFormatting sqref="AL70:AM70 AL72:AM72">
    <cfRule type="cellIs" dxfId="720" priority="169" operator="equal">
      <formula>"No"</formula>
    </cfRule>
    <cfRule type="cellIs" dxfId="719" priority="170" operator="equal">
      <formula>"Yes"</formula>
    </cfRule>
  </conditionalFormatting>
  <conditionalFormatting sqref="AL117:AM117">
    <cfRule type="cellIs" dxfId="718" priority="165" operator="equal">
      <formula>"No"</formula>
    </cfRule>
    <cfRule type="cellIs" dxfId="717" priority="166" operator="equal">
      <formula>"Yes"</formula>
    </cfRule>
  </conditionalFormatting>
  <conditionalFormatting sqref="AL124:AM124">
    <cfRule type="cellIs" dxfId="716" priority="163" operator="equal">
      <formula>"No"</formula>
    </cfRule>
    <cfRule type="cellIs" dxfId="715" priority="164" operator="equal">
      <formula>"Yes"</formula>
    </cfRule>
  </conditionalFormatting>
  <conditionalFormatting sqref="AT126">
    <cfRule type="cellIs" dxfId="714" priority="162" operator="equal">
      <formula>"O"</formula>
    </cfRule>
  </conditionalFormatting>
  <conditionalFormatting sqref="AL134:AM134">
    <cfRule type="cellIs" dxfId="713" priority="159" operator="equal">
      <formula>"No"</formula>
    </cfRule>
    <cfRule type="cellIs" dxfId="712" priority="160" operator="equal">
      <formula>"Yes"</formula>
    </cfRule>
  </conditionalFormatting>
  <conditionalFormatting sqref="C135">
    <cfRule type="cellIs" dxfId="711" priority="158" operator="equal">
      <formula>"O"</formula>
    </cfRule>
  </conditionalFormatting>
  <conditionalFormatting sqref="AL136:AM136">
    <cfRule type="cellIs" dxfId="710" priority="155" operator="equal">
      <formula>"No"</formula>
    </cfRule>
    <cfRule type="cellIs" dxfId="709" priority="156" operator="equal">
      <formula>"Yes"</formula>
    </cfRule>
  </conditionalFormatting>
  <conditionalFormatting sqref="AL138:AM138">
    <cfRule type="cellIs" dxfId="708" priority="153" operator="equal">
      <formula>"No"</formula>
    </cfRule>
    <cfRule type="cellIs" dxfId="707" priority="154" operator="equal">
      <formula>"Yes"</formula>
    </cfRule>
  </conditionalFormatting>
  <conditionalFormatting sqref="R155:S156 R158:S158">
    <cfRule type="cellIs" dxfId="706" priority="151" operator="equal">
      <formula>"No"</formula>
    </cfRule>
    <cfRule type="cellIs" dxfId="705" priority="152" operator="equal">
      <formula>"Yes"</formula>
    </cfRule>
  </conditionalFormatting>
  <conditionalFormatting sqref="AL24:AM24">
    <cfRule type="cellIs" dxfId="704" priority="143" operator="equal">
      <formula>"No"</formula>
    </cfRule>
    <cfRule type="cellIs" dxfId="703" priority="144" operator="equal">
      <formula>"Yes"</formula>
    </cfRule>
  </conditionalFormatting>
  <conditionalFormatting sqref="AL147:AM147">
    <cfRule type="cellIs" dxfId="702" priority="133" operator="equal">
      <formula>"No"</formula>
    </cfRule>
    <cfRule type="cellIs" dxfId="701" priority="134" operator="equal">
      <formula>"Yes"</formula>
    </cfRule>
  </conditionalFormatting>
  <conditionalFormatting sqref="AL55:AM55">
    <cfRule type="cellIs" dxfId="700" priority="128" operator="equal">
      <formula>"No"</formula>
    </cfRule>
    <cfRule type="cellIs" dxfId="699" priority="129" operator="equal">
      <formula>"Yes"</formula>
    </cfRule>
  </conditionalFormatting>
  <conditionalFormatting sqref="AL61:AM61">
    <cfRule type="cellIs" dxfId="698" priority="124" operator="equal">
      <formula>"No"</formula>
    </cfRule>
    <cfRule type="cellIs" dxfId="697" priority="125" operator="equal">
      <formula>"Yes"</formula>
    </cfRule>
  </conditionalFormatting>
  <conditionalFormatting sqref="AL34:AM34">
    <cfRule type="cellIs" dxfId="696" priority="105" operator="equal">
      <formula>"No"</formula>
    </cfRule>
    <cfRule type="cellIs" dxfId="695" priority="106" operator="equal">
      <formula>"Yes"</formula>
    </cfRule>
  </conditionalFormatting>
  <conditionalFormatting sqref="AL36:AM36">
    <cfRule type="cellIs" dxfId="694" priority="101" operator="equal">
      <formula>"No"</formula>
    </cfRule>
    <cfRule type="cellIs" dxfId="693" priority="102" operator="equal">
      <formula>"Yes"</formula>
    </cfRule>
  </conditionalFormatting>
  <conditionalFormatting sqref="AL37:AM37">
    <cfRule type="cellIs" dxfId="692" priority="99" operator="equal">
      <formula>"No"</formula>
    </cfRule>
    <cfRule type="cellIs" dxfId="691" priority="100" operator="equal">
      <formula>"Yes"</formula>
    </cfRule>
  </conditionalFormatting>
  <conditionalFormatting sqref="AL14:AM14">
    <cfRule type="cellIs" dxfId="690" priority="92" operator="equal">
      <formula>"No"</formula>
    </cfRule>
    <cfRule type="cellIs" dxfId="689" priority="93" operator="equal">
      <formula>"Yes"</formula>
    </cfRule>
  </conditionalFormatting>
  <conditionalFormatting sqref="AL19">
    <cfRule type="cellIs" dxfId="688" priority="91" operator="equal">
      <formula>"Yes"</formula>
    </cfRule>
  </conditionalFormatting>
  <conditionalFormatting sqref="AL47:AM47">
    <cfRule type="cellIs" dxfId="687" priority="87" operator="equal">
      <formula>"No"</formula>
    </cfRule>
    <cfRule type="cellIs" dxfId="686" priority="88" operator="equal">
      <formula>"Yes"</formula>
    </cfRule>
  </conditionalFormatting>
  <conditionalFormatting sqref="AL157:AM157">
    <cfRule type="cellIs" dxfId="685" priority="85" operator="equal">
      <formula>"No"</formula>
    </cfRule>
    <cfRule type="cellIs" dxfId="684" priority="86" operator="equal">
      <formula>"Yes"</formula>
    </cfRule>
  </conditionalFormatting>
  <conditionalFormatting sqref="AL20">
    <cfRule type="cellIs" dxfId="683" priority="84" operator="equal">
      <formula>"Yes"</formula>
    </cfRule>
  </conditionalFormatting>
  <conditionalFormatting sqref="AL23">
    <cfRule type="cellIs" dxfId="682" priority="83" operator="equal">
      <formula>"Yes"</formula>
    </cfRule>
  </conditionalFormatting>
  <conditionalFormatting sqref="AL25">
    <cfRule type="cellIs" dxfId="681" priority="82" operator="equal">
      <formula>"Yes"</formula>
    </cfRule>
  </conditionalFormatting>
  <conditionalFormatting sqref="AL82:AM82">
    <cfRule type="cellIs" dxfId="680" priority="80" operator="equal">
      <formula>"No"</formula>
    </cfRule>
    <cfRule type="cellIs" dxfId="679" priority="81" operator="equal">
      <formula>"Yes"</formula>
    </cfRule>
  </conditionalFormatting>
  <conditionalFormatting sqref="R159:S160 R162:S163 R165:S167">
    <cfRule type="cellIs" dxfId="678" priority="78" operator="equal">
      <formula>"No"</formula>
    </cfRule>
    <cfRule type="cellIs" dxfId="677" priority="79" operator="equal">
      <formula>"Yes"</formula>
    </cfRule>
  </conditionalFormatting>
  <conditionalFormatting sqref="AL142:AM142">
    <cfRule type="cellIs" dxfId="676" priority="76" operator="equal">
      <formula>"No"</formula>
    </cfRule>
    <cfRule type="cellIs" dxfId="675" priority="77" operator="equal">
      <formula>"Yes"</formula>
    </cfRule>
  </conditionalFormatting>
  <conditionalFormatting sqref="AL48:AM48">
    <cfRule type="cellIs" dxfId="674" priority="55" operator="equal">
      <formula>"No"</formula>
    </cfRule>
    <cfRule type="cellIs" dxfId="673" priority="56" operator="equal">
      <formula>"Yes"</formula>
    </cfRule>
  </conditionalFormatting>
  <conditionalFormatting sqref="AL49:AM49">
    <cfRule type="cellIs" dxfId="672" priority="53" operator="equal">
      <formula>"No"</formula>
    </cfRule>
    <cfRule type="cellIs" dxfId="671" priority="54" operator="equal">
      <formula>"Yes"</formula>
    </cfRule>
  </conditionalFormatting>
  <conditionalFormatting sqref="AL62:AM62">
    <cfRule type="cellIs" dxfId="670" priority="51" operator="equal">
      <formula>FALSE</formula>
    </cfRule>
    <cfRule type="cellIs" dxfId="669" priority="52" operator="equal">
      <formula>TRUE</formula>
    </cfRule>
  </conditionalFormatting>
  <conditionalFormatting sqref="AL65:AM65">
    <cfRule type="cellIs" dxfId="668" priority="45" operator="equal">
      <formula>TRUE</formula>
    </cfRule>
  </conditionalFormatting>
  <conditionalFormatting sqref="AL74:AM74">
    <cfRule type="cellIs" dxfId="667" priority="43" operator="equal">
      <formula>"No"</formula>
    </cfRule>
    <cfRule type="cellIs" dxfId="666" priority="44" operator="equal">
      <formula>"Yes"</formula>
    </cfRule>
  </conditionalFormatting>
  <conditionalFormatting sqref="AL75:AM75">
    <cfRule type="cellIs" dxfId="665" priority="41" operator="equal">
      <formula>"No"</formula>
    </cfRule>
    <cfRule type="cellIs" dxfId="664" priority="42" operator="equal">
      <formula>"Yes"</formula>
    </cfRule>
  </conditionalFormatting>
  <conditionalFormatting sqref="AL77:AM77">
    <cfRule type="cellIs" dxfId="663" priority="39" operator="equal">
      <formula>"No"</formula>
    </cfRule>
    <cfRule type="cellIs" dxfId="662" priority="40" operator="equal">
      <formula>"Yes"</formula>
    </cfRule>
  </conditionalFormatting>
  <conditionalFormatting sqref="AL94:AM94">
    <cfRule type="cellIs" dxfId="661" priority="35" operator="equal">
      <formula>"No"</formula>
    </cfRule>
    <cfRule type="cellIs" dxfId="660" priority="36" operator="equal">
      <formula>"Yes"</formula>
    </cfRule>
  </conditionalFormatting>
  <conditionalFormatting sqref="AL99:AM99">
    <cfRule type="cellIs" dxfId="659" priority="33" operator="equal">
      <formula>"No"</formula>
    </cfRule>
    <cfRule type="cellIs" dxfId="658" priority="34" operator="equal">
      <formula>"Yes"</formula>
    </cfRule>
  </conditionalFormatting>
  <conditionalFormatting sqref="AL114:AM114">
    <cfRule type="cellIs" dxfId="657" priority="25" operator="equal">
      <formula>TRUE</formula>
    </cfRule>
    <cfRule type="cellIs" dxfId="656" priority="26" operator="equal">
      <formula>FALSE</formula>
    </cfRule>
  </conditionalFormatting>
  <conditionalFormatting sqref="AL115:AM115">
    <cfRule type="cellIs" dxfId="655" priority="23" operator="equal">
      <formula>TRUE</formula>
    </cfRule>
    <cfRule type="cellIs" dxfId="654" priority="24" operator="equal">
      <formula>FALSE</formula>
    </cfRule>
  </conditionalFormatting>
  <conditionalFormatting sqref="AL118:AM118">
    <cfRule type="cellIs" dxfId="653" priority="21" operator="equal">
      <formula>"No"</formula>
    </cfRule>
    <cfRule type="cellIs" dxfId="652" priority="22" operator="equal">
      <formula>"Yes"</formula>
    </cfRule>
  </conditionalFormatting>
  <conditionalFormatting sqref="AL132:AM132">
    <cfRule type="cellIs" dxfId="651" priority="19" operator="equal">
      <formula>"No"</formula>
    </cfRule>
    <cfRule type="cellIs" dxfId="650" priority="20" operator="equal">
      <formula>"Yes"</formula>
    </cfRule>
  </conditionalFormatting>
  <conditionalFormatting sqref="E31">
    <cfRule type="cellIs" dxfId="649" priority="16" operator="equal">
      <formula>"O"</formula>
    </cfRule>
  </conditionalFormatting>
  <conditionalFormatting sqref="AL123:AM123">
    <cfRule type="cellIs" dxfId="648" priority="10" operator="equal">
      <formula>"No"</formula>
    </cfRule>
    <cfRule type="cellIs" dxfId="647" priority="11" operator="equal">
      <formula>"Yes"</formula>
    </cfRule>
  </conditionalFormatting>
  <conditionalFormatting sqref="AL86:AM86">
    <cfRule type="cellIs" dxfId="646" priority="8" operator="equal">
      <formula>"No"</formula>
    </cfRule>
    <cfRule type="cellIs" dxfId="645" priority="9" operator="equal">
      <formula>"Yes"</formula>
    </cfRule>
  </conditionalFormatting>
  <conditionalFormatting sqref="E83">
    <cfRule type="cellIs" dxfId="644" priority="7" operator="equal">
      <formula>"O"</formula>
    </cfRule>
  </conditionalFormatting>
  <conditionalFormatting sqref="AL12">
    <cfRule type="cellIs" dxfId="643" priority="6" operator="equal">
      <formula>"O"</formula>
    </cfRule>
  </conditionalFormatting>
  <conditionalFormatting sqref="AL161:AM161">
    <cfRule type="cellIs" dxfId="642" priority="4" operator="equal">
      <formula>"No"</formula>
    </cfRule>
    <cfRule type="cellIs" dxfId="641" priority="5" operator="equal">
      <formula>"Yes"</formula>
    </cfRule>
  </conditionalFormatting>
  <conditionalFormatting sqref="AL63:AM63">
    <cfRule type="cellIs" dxfId="640" priority="3" operator="equal">
      <formula>TRUE</formula>
    </cfRule>
  </conditionalFormatting>
  <conditionalFormatting sqref="W164:X164">
    <cfRule type="cellIs" dxfId="639" priority="1" operator="equal">
      <formula>"No"</formula>
    </cfRule>
    <cfRule type="cellIs" dxfId="638" priority="2" operator="equal">
      <formula>"Yes"</formula>
    </cfRule>
  </conditionalFormatting>
  <dataValidations count="4">
    <dataValidation type="list" allowBlank="1" showInputMessage="1" showErrorMessage="1" sqref="R155:S156 R158:S160 R162:S162 R165:S167 AL7:AM7 AL13:AL15 AL19:AM19 AL20 AL23:AL25 AL26:AM27 AL34:AM34 AL36:AM37 AL42:AM42 AL47:AM49 AL55:AM55 AL58:AM59 AL66:AM66 AL70:AM70 AL72:AM72 AL74:AM78 AL82 AL86 AL94:AM94 AL99:AM99 AL104:AM105 AL107:AM107 AL117:AM118 AL122:AM122 AL123 AL124:AM124 AL132:AM132 AL134:AM134 AL136:AM136 AL138:AM138 AL142:AM142 AL147:AM147 AM13:AM14 AM24" xr:uid="{00000000-0002-0000-1E00-000000000000}">
      <formula1>"Yes,No,N/A"</formula1>
    </dataValidation>
    <dataValidation type="list" allowBlank="1" showInputMessage="1" showErrorMessage="1" sqref="P65 W164:X164 AL157:AM157 AL161:AM161" xr:uid="{00000000-0002-0000-1E00-000001000000}">
      <formula1>"Yes,No"</formula1>
    </dataValidation>
    <dataValidation type="list" allowBlank="1" showInputMessage="1" showErrorMessage="1" sqref="AL20:AM20 AL23:AM23 AL25:AM25" xr:uid="{00000000-0002-0000-1E00-000002000000}">
      <formula1>"Yes, No, N/A"</formula1>
    </dataValidation>
    <dataValidation type="list" allowBlank="1" showErrorMessage="1" sqref="E22:AM22" xr:uid="{00000000-0002-0000-1E00-000003000000}">
      <formula1>$AP$2:$AP$6</formula1>
    </dataValidation>
  </dataValidations>
  <hyperlinks>
    <hyperlink ref="AJ34" r:id="rId1" display="https://www.hcd.ca.gov/grants-funding/docs/admin_memo21-06_stacking_prohibition_repeal.pdf" xr:uid="{00000000-0004-0000-1E00-000000000000}"/>
    <hyperlink ref="AA81" r:id="rId2" xr:uid="{00000000-0004-0000-1E00-000001000000}"/>
  </hyperlinks>
  <pageMargins left="0.7" right="0.7" top="0.75" bottom="0.75" header="0.3" footer="0.3"/>
  <pageSetup orientation="portrait" r:id="rId3"/>
  <legacyDrawing r:id="rId4"/>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DeveloperFee">
    <tabColor rgb="FF00B0F0"/>
  </sheetPr>
  <dimension ref="B2:BB80"/>
  <sheetViews>
    <sheetView showGridLines="0" zoomScale="83" zoomScaleNormal="100" workbookViewId="0">
      <selection activeCell="F5" sqref="F5:I5"/>
    </sheetView>
  </sheetViews>
  <sheetFormatPr defaultColWidth="5.7109375" defaultRowHeight="18" customHeight="1"/>
  <cols>
    <col min="1" max="1" width="8.7109375" style="15" customWidth="1"/>
    <col min="2" max="29" width="4.28515625" style="15" customWidth="1"/>
    <col min="30" max="30" width="4.5703125" style="15" customWidth="1"/>
    <col min="31" max="41" width="4.28515625" style="15" customWidth="1"/>
    <col min="42" max="42" width="17.5703125" style="15" customWidth="1"/>
    <col min="43" max="43" width="4.28515625" style="15" customWidth="1"/>
    <col min="44" max="44" width="4.42578125" style="15" customWidth="1"/>
    <col min="45" max="49" width="4.28515625" style="15" customWidth="1"/>
    <col min="50" max="50" width="9.42578125" style="15" bestFit="1" customWidth="1"/>
    <col min="51" max="52" width="8.7109375" style="15" customWidth="1"/>
    <col min="53" max="61" width="4.28515625" style="15" customWidth="1"/>
    <col min="62" max="62" width="5.7109375" style="15" customWidth="1"/>
    <col min="63" max="16384" width="5.7109375" style="15"/>
  </cols>
  <sheetData>
    <row r="2" spans="2:45" ht="30" customHeight="1">
      <c r="B2" s="3333" t="s">
        <v>3290</v>
      </c>
      <c r="C2" s="1798"/>
      <c r="D2" s="1798"/>
      <c r="E2" s="1798"/>
      <c r="F2" s="1798"/>
      <c r="G2" s="1798"/>
      <c r="H2" s="1798"/>
      <c r="I2" s="1798"/>
      <c r="J2" s="1798"/>
      <c r="K2" s="1798"/>
      <c r="L2" s="1798"/>
      <c r="M2" s="1798"/>
      <c r="N2" s="1798"/>
      <c r="O2" s="1798"/>
      <c r="P2" s="1798"/>
      <c r="Q2" s="1798"/>
      <c r="R2" s="1798"/>
      <c r="S2" s="1798"/>
      <c r="T2" s="1798"/>
      <c r="U2" s="1798"/>
      <c r="V2" s="1798"/>
      <c r="W2" s="1798"/>
      <c r="X2" s="1798"/>
      <c r="Y2" s="1798"/>
      <c r="Z2" s="1798"/>
      <c r="AA2" s="1798"/>
      <c r="AB2" s="1798"/>
      <c r="AC2" s="1798"/>
      <c r="AD2" s="1798"/>
      <c r="AE2" s="1798"/>
      <c r="AF2" s="1798"/>
      <c r="AG2" s="1798"/>
      <c r="AH2" s="1798"/>
      <c r="AI2" s="1798"/>
      <c r="AJ2" s="1798"/>
      <c r="AK2" s="1798"/>
      <c r="AL2" s="1798"/>
      <c r="AM2" s="1798"/>
      <c r="AN2" s="337"/>
      <c r="AO2" s="337"/>
      <c r="AP2" s="337"/>
    </row>
    <row r="3" spans="2:45" ht="18" customHeight="1">
      <c r="B3" s="3346" t="s">
        <v>3291</v>
      </c>
      <c r="C3" s="1798"/>
      <c r="D3" s="1798"/>
      <c r="E3" s="1798"/>
      <c r="F3" s="1798"/>
      <c r="G3" s="1798"/>
      <c r="H3" s="1798"/>
      <c r="I3" s="1798"/>
      <c r="J3" s="1798"/>
      <c r="K3" s="1798"/>
      <c r="L3" s="1798"/>
      <c r="M3" s="1798"/>
      <c r="N3" s="1798"/>
      <c r="O3" s="1798"/>
      <c r="P3" s="1798"/>
      <c r="Q3" s="1798"/>
      <c r="R3" s="1798"/>
      <c r="S3" s="1798"/>
      <c r="T3" s="1798"/>
      <c r="U3" s="1798"/>
      <c r="V3" s="1798"/>
      <c r="W3" s="1798"/>
      <c r="X3" s="1798"/>
      <c r="Y3" s="1798"/>
      <c r="Z3" s="1798"/>
      <c r="AA3" s="1798"/>
      <c r="AB3" s="1798"/>
      <c r="AC3" s="1798"/>
      <c r="AD3" s="1798"/>
      <c r="AE3" s="1798"/>
      <c r="AF3" s="1798"/>
      <c r="AG3" s="1798"/>
      <c r="AH3" s="1798"/>
      <c r="AI3" s="1798"/>
      <c r="AJ3" s="1798"/>
      <c r="AK3" s="1798"/>
      <c r="AL3" s="1798"/>
      <c r="AM3" s="1798"/>
      <c r="AN3" s="337"/>
      <c r="AO3" s="337"/>
      <c r="AP3" s="337"/>
    </row>
    <row r="4" spans="2:45" ht="18" customHeight="1">
      <c r="B4" s="3323" t="s">
        <v>1300</v>
      </c>
      <c r="C4" s="1798"/>
      <c r="D4" s="1798"/>
      <c r="E4" s="1798"/>
      <c r="F4" s="2677" t="str">
        <f>IF(ProjectName&gt;0,ProjectName,"")</f>
        <v/>
      </c>
      <c r="G4" s="1798"/>
      <c r="H4" s="1798"/>
      <c r="I4" s="1798"/>
      <c r="J4" s="1798"/>
      <c r="K4" s="1798"/>
      <c r="L4" s="1798"/>
      <c r="M4" s="1798"/>
      <c r="N4" s="1798"/>
      <c r="O4" s="1798"/>
      <c r="P4" s="1798"/>
      <c r="Q4" s="1798"/>
      <c r="R4" s="1798"/>
      <c r="S4" s="1798"/>
      <c r="T4" s="1798"/>
      <c r="U4" s="1798"/>
      <c r="V4" s="1798"/>
      <c r="W4" s="1798"/>
      <c r="X4" s="1798"/>
      <c r="Y4" s="1798"/>
      <c r="Z4" s="1798"/>
      <c r="AA4" s="1798"/>
      <c r="AB4" s="1798"/>
      <c r="AC4" s="1798"/>
      <c r="AD4" s="1798"/>
      <c r="AN4" s="290"/>
      <c r="AO4" s="291"/>
      <c r="AP4" s="291"/>
      <c r="AQ4" s="16"/>
      <c r="AR4" s="16"/>
      <c r="AS4" s="626"/>
    </row>
    <row r="5" spans="2:45" ht="18" customHeight="1">
      <c r="B5" s="3321" t="s">
        <v>3292</v>
      </c>
      <c r="C5" s="1798"/>
      <c r="D5" s="1798"/>
      <c r="E5" s="1798"/>
      <c r="F5" s="3358" t="s">
        <v>3293</v>
      </c>
      <c r="G5" s="3359"/>
      <c r="H5" s="3359"/>
      <c r="I5" s="3359"/>
      <c r="AQ5" s="16"/>
      <c r="AR5" s="16"/>
      <c r="AS5" s="16"/>
    </row>
    <row r="7" spans="2:45" ht="18" customHeight="1">
      <c r="B7" s="3205" t="s">
        <v>3294</v>
      </c>
      <c r="C7" s="1798"/>
      <c r="D7" s="1798"/>
      <c r="E7" s="1798"/>
      <c r="F7" s="1798"/>
      <c r="G7" s="1798"/>
      <c r="H7" s="1798"/>
      <c r="I7" s="1798"/>
      <c r="J7" s="1798"/>
    </row>
    <row r="8" spans="2:45" ht="18" customHeight="1">
      <c r="B8" s="2180" t="s">
        <v>3295</v>
      </c>
      <c r="C8" s="1798"/>
      <c r="D8" s="1798"/>
      <c r="E8" s="1798"/>
      <c r="F8" s="1798"/>
      <c r="G8" s="1798"/>
      <c r="H8" s="1798"/>
      <c r="I8" s="1798"/>
      <c r="J8" s="1798"/>
      <c r="K8" s="1798"/>
      <c r="L8" s="1798"/>
      <c r="M8" s="1798"/>
      <c r="N8" s="1798"/>
      <c r="O8" s="1798"/>
      <c r="P8" s="1798"/>
      <c r="Q8" s="1798"/>
      <c r="R8" s="1798"/>
      <c r="S8" s="1798"/>
      <c r="T8" s="1798"/>
      <c r="U8" s="1798"/>
      <c r="V8" s="1798"/>
      <c r="W8" s="1798"/>
      <c r="X8" s="1798"/>
      <c r="Y8" s="1798"/>
      <c r="Z8" s="1798"/>
      <c r="AA8" s="1798"/>
      <c r="AB8" s="1798"/>
      <c r="AC8" s="1798"/>
      <c r="AD8" s="1798"/>
      <c r="AE8" s="1798"/>
      <c r="AF8" s="1798"/>
      <c r="AG8" s="1798"/>
      <c r="AH8" s="1798"/>
      <c r="AI8" s="1798"/>
      <c r="AJ8" s="1798"/>
      <c r="AK8" s="1798"/>
      <c r="AL8" s="1873"/>
      <c r="AM8" s="1862"/>
    </row>
    <row r="9" spans="2:45" ht="40.5" hidden="1" customHeight="1">
      <c r="B9" s="1802" t="s">
        <v>3296</v>
      </c>
      <c r="C9" s="1798"/>
      <c r="D9" s="1798"/>
      <c r="E9" s="1798"/>
      <c r="F9" s="1798"/>
      <c r="G9" s="1798"/>
      <c r="H9" s="1798"/>
      <c r="I9" s="1798"/>
      <c r="J9" s="1798"/>
      <c r="K9" s="1798"/>
      <c r="L9" s="1798"/>
      <c r="M9" s="1798"/>
      <c r="N9" s="1798"/>
      <c r="O9" s="1798"/>
      <c r="P9" s="1798"/>
      <c r="Q9" s="1798"/>
      <c r="R9" s="1798"/>
      <c r="S9" s="1798"/>
      <c r="T9" s="1798"/>
      <c r="U9" s="1798"/>
      <c r="V9" s="1798"/>
      <c r="W9" s="1798"/>
      <c r="X9" s="1798"/>
      <c r="Y9" s="1798"/>
      <c r="Z9" s="1798"/>
      <c r="AA9" s="1798"/>
      <c r="AB9" s="1798"/>
      <c r="AC9" s="1798"/>
      <c r="AD9" s="1798"/>
      <c r="AE9" s="1798"/>
      <c r="AF9" s="1798"/>
      <c r="AG9" s="1798"/>
      <c r="AH9" s="1798"/>
      <c r="AI9" s="1798"/>
      <c r="AJ9" s="1798"/>
      <c r="AK9" s="1798"/>
    </row>
    <row r="11" spans="2:45" ht="9" hidden="1" customHeight="1">
      <c r="B11" s="624"/>
      <c r="C11" s="1412"/>
      <c r="D11" s="1412"/>
      <c r="E11" s="1412"/>
      <c r="F11" s="1412"/>
      <c r="G11" s="1412"/>
      <c r="H11" s="1412"/>
      <c r="I11" s="1412"/>
      <c r="J11" s="1412"/>
      <c r="K11" s="1412"/>
      <c r="L11" s="1412"/>
      <c r="M11" s="1412"/>
      <c r="N11" s="1412"/>
      <c r="O11" s="1412"/>
      <c r="P11" s="1412"/>
      <c r="Q11" s="1412"/>
      <c r="R11" s="1412"/>
      <c r="S11" s="1412"/>
      <c r="T11" s="1412"/>
      <c r="U11" s="1412"/>
      <c r="V11" s="1412"/>
      <c r="W11" s="1412"/>
      <c r="X11" s="1412"/>
      <c r="Y11" s="1412"/>
      <c r="Z11" s="1412"/>
      <c r="AA11" s="1412"/>
      <c r="AB11" s="1412"/>
      <c r="AC11" s="1412"/>
      <c r="AD11" s="1412"/>
      <c r="AE11" s="1412"/>
      <c r="AF11" s="1412"/>
      <c r="AG11" s="1412"/>
      <c r="AH11" s="1412"/>
      <c r="AI11" s="1412"/>
      <c r="AJ11" s="1412"/>
      <c r="AK11" s="1412"/>
      <c r="AL11" s="1412"/>
      <c r="AM11" s="1413"/>
      <c r="AQ11" s="16"/>
      <c r="AR11" s="16"/>
      <c r="AS11" s="16"/>
    </row>
    <row r="12" spans="2:45" ht="18" hidden="1" customHeight="1">
      <c r="B12" s="3337" t="s">
        <v>3297</v>
      </c>
      <c r="C12" s="1798"/>
      <c r="D12" s="1798"/>
      <c r="E12" s="1798"/>
      <c r="F12" s="1798"/>
      <c r="G12" s="1798"/>
      <c r="H12" s="1798"/>
      <c r="I12" s="1798"/>
      <c r="J12" s="1798"/>
      <c r="K12" s="1798"/>
      <c r="AE12" s="2677" t="s">
        <v>3298</v>
      </c>
      <c r="AF12" s="1798"/>
      <c r="AG12" s="1798"/>
      <c r="AH12" s="1798"/>
      <c r="AI12" s="3339"/>
      <c r="AJ12" s="1861"/>
      <c r="AK12" s="1861"/>
      <c r="AL12" s="1861"/>
      <c r="AM12" s="1862"/>
    </row>
    <row r="13" spans="2:45" ht="9" hidden="1" customHeight="1">
      <c r="B13" s="302"/>
      <c r="AM13" s="1749"/>
    </row>
    <row r="14" spans="2:45" ht="18" hidden="1" customHeight="1">
      <c r="B14" s="302"/>
      <c r="U14" s="184"/>
      <c r="V14" s="184"/>
      <c r="W14" s="184"/>
      <c r="X14" s="184"/>
      <c r="Y14" s="184"/>
      <c r="Z14" s="184"/>
      <c r="AA14" s="3340" t="s">
        <v>3299</v>
      </c>
      <c r="AB14" s="1798"/>
      <c r="AC14" s="1798"/>
      <c r="AD14" s="1798"/>
      <c r="AE14" s="3340" t="s">
        <v>3300</v>
      </c>
      <c r="AF14" s="1798"/>
      <c r="AG14" s="1798"/>
      <c r="AH14" s="1798"/>
      <c r="AI14" s="292"/>
      <c r="AJ14" s="292"/>
      <c r="AM14" s="1749"/>
      <c r="AQ14" s="16"/>
      <c r="AR14" s="16"/>
      <c r="AS14" s="16"/>
    </row>
    <row r="15" spans="2:45" ht="9" hidden="1" customHeight="1">
      <c r="B15" s="302"/>
      <c r="AM15" s="1749"/>
      <c r="AQ15" s="16"/>
      <c r="AR15" s="16"/>
      <c r="AS15" s="16"/>
    </row>
    <row r="16" spans="2:45" ht="18" hidden="1" customHeight="1">
      <c r="B16" s="3356" t="str">
        <f>IF(LEFT($H$24,1)="9","Maximum Total Developer Fee - 1e","Maximum Total Developer Fee - 2d")</f>
        <v>Maximum Total Developer Fee - 2d</v>
      </c>
      <c r="C16" s="1798"/>
      <c r="D16" s="1798"/>
      <c r="E16" s="1798"/>
      <c r="F16" s="1798"/>
      <c r="G16" s="1798"/>
      <c r="H16" s="1798"/>
      <c r="I16" s="1798"/>
      <c r="J16" s="1798"/>
      <c r="K16" s="1798"/>
      <c r="L16" s="1798"/>
      <c r="M16" s="1798"/>
      <c r="N16" s="1798"/>
      <c r="O16" s="1798"/>
      <c r="P16" s="1798"/>
      <c r="Q16" s="1798"/>
      <c r="R16" s="1798"/>
      <c r="S16" s="1798"/>
      <c r="T16" s="1798"/>
      <c r="U16" s="1798"/>
      <c r="V16" s="1798"/>
      <c r="W16" s="1798"/>
      <c r="X16" s="1798"/>
      <c r="Y16" s="1798"/>
      <c r="Z16" s="1798"/>
      <c r="AA16" s="3325">
        <f>IF(vmDF="",0,IF(AND(vmProjectDevType&lt;&gt;"New Construction",vmDF="No Tax Credits"),$AJ$78,IF(AND(vmProjectDevType="New Construction",vmDF="No Tax Credits"),MIN($L$22,$AJ$35),IF(LEFT(vmDF,1)="9",$AJ$35,$AJ$39))))</f>
        <v>0</v>
      </c>
      <c r="AB16" s="1777"/>
      <c r="AC16" s="1777"/>
      <c r="AD16" s="1778"/>
      <c r="AE16" s="3325">
        <f>$L$22</f>
        <v>0</v>
      </c>
      <c r="AF16" s="1777"/>
      <c r="AG16" s="1777"/>
      <c r="AH16" s="1778"/>
      <c r="AI16" s="3329">
        <f>MAX(0,ROUND($AE$16,0)-ROUND($AA$16,0))</f>
        <v>0</v>
      </c>
      <c r="AJ16" s="1777"/>
      <c r="AK16" s="1777"/>
      <c r="AL16" s="1777"/>
      <c r="AM16" s="1778"/>
      <c r="AS16" s="292"/>
    </row>
    <row r="17" spans="2:54" ht="18" hidden="1" customHeight="1">
      <c r="B17" s="3356" t="str">
        <f>IF(LEFT(vmDF,1)="9","Max Developer Fee payable from development funding sources - 1e",IF(vmDF="No Tax Credits","Max Developer Fee payable from development funding sources","Max Developer Fee payable from development funding sources"))</f>
        <v>Max Developer Fee payable from development funding sources</v>
      </c>
      <c r="C17" s="1798"/>
      <c r="D17" s="1798"/>
      <c r="E17" s="1798"/>
      <c r="F17" s="1798"/>
      <c r="G17" s="1798"/>
      <c r="H17" s="1798"/>
      <c r="I17" s="1798"/>
      <c r="J17" s="1798"/>
      <c r="K17" s="1798"/>
      <c r="L17" s="1798"/>
      <c r="M17" s="1798"/>
      <c r="N17" s="1798"/>
      <c r="O17" s="1798"/>
      <c r="P17" s="1798"/>
      <c r="Q17" s="1798"/>
      <c r="R17" s="1798"/>
      <c r="S17" s="1798"/>
      <c r="T17" s="1798"/>
      <c r="U17" s="1798"/>
      <c r="V17" s="1798"/>
      <c r="W17" s="1798"/>
      <c r="X17" s="1798"/>
      <c r="Y17" s="1798"/>
      <c r="Z17" s="1798"/>
      <c r="AA17" s="3348">
        <f>IF(vmDF="",0,IF(AND(vmProjectDevType&lt;&gt;"New Construction",vmDF="No Tax Credits"),AJ78,IF(vmDF="No Tax Credits",MAX(MIN($AJ$35,$AA$16)),IF(LEFT(vmDF,1)="9",$AJ$35,$AJ$54))))</f>
        <v>0</v>
      </c>
      <c r="AB17" s="1777"/>
      <c r="AC17" s="1777"/>
      <c r="AD17" s="1778"/>
      <c r="AE17" s="3325">
        <f>MAX(0,$AE$16-$Y$22-$AI$22)</f>
        <v>0</v>
      </c>
      <c r="AF17" s="1777"/>
      <c r="AG17" s="1777"/>
      <c r="AH17" s="1778"/>
      <c r="AI17" s="3329">
        <f>MAX(0,ROUND($AE$17,0)-ROUND($AA$17,0))</f>
        <v>0</v>
      </c>
      <c r="AJ17" s="1777"/>
      <c r="AK17" s="1777"/>
      <c r="AL17" s="1777"/>
      <c r="AM17" s="1778"/>
    </row>
    <row r="18" spans="2:54" ht="18" hidden="1" customHeight="1">
      <c r="B18" s="3356" t="s">
        <v>3301</v>
      </c>
      <c r="C18" s="1798"/>
      <c r="D18" s="1798"/>
      <c r="E18" s="1798"/>
      <c r="F18" s="1798"/>
      <c r="G18" s="1798"/>
      <c r="H18" s="1798"/>
      <c r="I18" s="1798"/>
      <c r="J18" s="1798"/>
      <c r="K18" s="1798"/>
      <c r="L18" s="1798"/>
      <c r="M18" s="1798"/>
      <c r="N18" s="1798"/>
      <c r="O18" s="1798"/>
      <c r="P18" s="1798"/>
      <c r="Q18" s="1798"/>
      <c r="R18" s="1798"/>
      <c r="S18" s="1798"/>
      <c r="T18" s="1798"/>
      <c r="U18" s="1798"/>
      <c r="V18" s="1798"/>
      <c r="W18" s="1798"/>
      <c r="X18" s="1798"/>
      <c r="Y18" s="1798"/>
      <c r="Z18" s="1798"/>
      <c r="AA18" s="3325">
        <f>IF(vmDF="",0,IF(vmDF="No Tax Credits",MAX(0,MIN($AA$16,2200000)-$AA$17),SUM($AA$16-$AA$17)))</f>
        <v>0</v>
      </c>
      <c r="AB18" s="1777"/>
      <c r="AC18" s="1777"/>
      <c r="AD18" s="1778"/>
      <c r="AE18" s="3325">
        <f>IF(vmDF="No Tax Credits",MAX(0,MIN($AA$16,$AE$16-$Y$22,2200000)-$AE$17),MAX(0,MIN($AA$16,$AE$16-$Y$22)-$AE$17))</f>
        <v>0</v>
      </c>
      <c r="AF18" s="1777"/>
      <c r="AG18" s="1777"/>
      <c r="AH18" s="1778"/>
      <c r="AI18" s="627"/>
      <c r="AJ18" s="627"/>
      <c r="AK18" s="627"/>
      <c r="AL18" s="627"/>
      <c r="AM18" s="1414"/>
    </row>
    <row r="19" spans="2:54" ht="18" hidden="1" customHeight="1">
      <c r="B19" s="3356" t="s">
        <v>3302</v>
      </c>
      <c r="C19" s="1798"/>
      <c r="D19" s="1798"/>
      <c r="E19" s="1798"/>
      <c r="F19" s="1798"/>
      <c r="G19" s="1798"/>
      <c r="H19" s="1798"/>
      <c r="I19" s="1798"/>
      <c r="J19" s="1798"/>
      <c r="K19" s="1798"/>
      <c r="L19" s="1798"/>
      <c r="M19" s="1798"/>
      <c r="N19" s="1798"/>
      <c r="O19" s="1798"/>
      <c r="P19" s="1798"/>
      <c r="Q19" s="1798"/>
      <c r="R19" s="1798"/>
      <c r="S19" s="1798"/>
      <c r="T19" s="1798"/>
      <c r="U19" s="1798"/>
      <c r="V19" s="1798"/>
      <c r="W19" s="1798"/>
      <c r="X19" s="1798"/>
      <c r="Y19" s="1798"/>
      <c r="Z19" s="1798"/>
      <c r="AA19" s="3325">
        <f>IF(vmDF="",0,$AA$16-$AA$17-$AA$18)</f>
        <v>0</v>
      </c>
      <c r="AB19" s="1777"/>
      <c r="AC19" s="1777"/>
      <c r="AD19" s="1778"/>
      <c r="AE19" s="3325">
        <f>MAX(0,$AE$16-$AE$17-$AE$18-$Y$22)</f>
        <v>0</v>
      </c>
      <c r="AF19" s="1777"/>
      <c r="AG19" s="1777"/>
      <c r="AH19" s="1778"/>
      <c r="AI19" s="627"/>
      <c r="AJ19" s="627"/>
      <c r="AK19" s="627"/>
      <c r="AL19" s="627"/>
      <c r="AM19" s="1414"/>
      <c r="AQ19" s="476"/>
      <c r="AR19" s="476"/>
      <c r="AS19" s="476"/>
      <c r="AT19" s="476"/>
      <c r="AU19" s="476"/>
      <c r="AV19" s="476"/>
      <c r="AW19" s="476"/>
      <c r="AX19" s="476"/>
      <c r="AY19" s="476"/>
      <c r="AZ19" s="476"/>
      <c r="BA19" s="476"/>
      <c r="BB19" s="476"/>
    </row>
    <row r="20" spans="2:54" ht="9" hidden="1" customHeight="1">
      <c r="B20" s="625"/>
      <c r="C20" s="1415"/>
      <c r="D20" s="1415"/>
      <c r="E20" s="1415"/>
      <c r="F20" s="1415"/>
      <c r="G20" s="1415"/>
      <c r="H20" s="1415"/>
      <c r="I20" s="1415"/>
      <c r="J20" s="1415"/>
      <c r="K20" s="1415"/>
      <c r="L20" s="1415"/>
      <c r="M20" s="1415"/>
      <c r="N20" s="1415"/>
      <c r="O20" s="1415"/>
      <c r="P20" s="1415"/>
      <c r="Q20" s="1415"/>
      <c r="R20" s="1415"/>
      <c r="S20" s="1415"/>
      <c r="T20" s="1415"/>
      <c r="U20" s="1415"/>
      <c r="V20" s="1415"/>
      <c r="W20" s="1415"/>
      <c r="X20" s="1415"/>
      <c r="Y20" s="1415"/>
      <c r="Z20" s="1415"/>
      <c r="AA20" s="1415"/>
      <c r="AB20" s="1415"/>
      <c r="AC20" s="1415"/>
      <c r="AD20" s="1415"/>
      <c r="AE20" s="1415"/>
      <c r="AF20" s="1415"/>
      <c r="AG20" s="1415"/>
      <c r="AH20" s="1415"/>
      <c r="AI20" s="1415"/>
      <c r="AJ20" s="1415"/>
      <c r="AK20" s="1415"/>
      <c r="AL20" s="1415"/>
      <c r="AM20" s="1476"/>
      <c r="AQ20" s="476"/>
      <c r="AR20" s="476"/>
      <c r="AS20" s="476"/>
      <c r="AT20" s="476"/>
      <c r="AU20" s="476"/>
      <c r="AV20" s="476"/>
      <c r="AW20" s="476"/>
      <c r="AX20" s="476"/>
      <c r="AY20" s="476"/>
      <c r="AZ20" s="476"/>
      <c r="BA20" s="476"/>
      <c r="BB20" s="476"/>
    </row>
    <row r="21" spans="2:54" ht="18" hidden="1" customHeight="1"/>
    <row r="22" spans="2:54" ht="18" hidden="1" customHeight="1">
      <c r="B22" s="3334" t="s">
        <v>3303</v>
      </c>
      <c r="C22" s="1798"/>
      <c r="D22" s="1798"/>
      <c r="E22" s="1798"/>
      <c r="F22" s="1798"/>
      <c r="G22" s="1798"/>
      <c r="H22" s="1798"/>
      <c r="I22" s="1798"/>
      <c r="J22" s="1798"/>
      <c r="K22" s="1798"/>
      <c r="L22" s="3361">
        <f>SUM('Development Budget'!D117,'Development Budget'!E117)</f>
        <v>0</v>
      </c>
      <c r="M22" s="1777"/>
      <c r="N22" s="1777"/>
      <c r="O22" s="1778"/>
      <c r="P22" s="3351" t="s">
        <v>3304</v>
      </c>
      <c r="Q22" s="1798"/>
      <c r="R22" s="1798"/>
      <c r="S22" s="1798"/>
      <c r="T22" s="1798"/>
      <c r="U22" s="1798"/>
      <c r="V22" s="1798"/>
      <c r="W22" s="1798"/>
      <c r="X22" s="1798"/>
      <c r="Y22" s="3338"/>
      <c r="Z22" s="1861"/>
      <c r="AA22" s="1861"/>
      <c r="AB22" s="1862"/>
      <c r="AC22" s="3376" t="s">
        <v>3305</v>
      </c>
      <c r="AD22" s="1798"/>
      <c r="AE22" s="1798"/>
      <c r="AF22" s="1798"/>
      <c r="AG22" s="1798"/>
      <c r="AH22" s="1798"/>
      <c r="AI22" s="3338"/>
      <c r="AJ22" s="1861"/>
      <c r="AK22" s="1861"/>
      <c r="AL22" s="1861"/>
      <c r="AM22" s="1862"/>
      <c r="AQ22" s="476"/>
      <c r="AR22" s="409"/>
      <c r="AS22" s="476"/>
      <c r="AT22" s="476"/>
      <c r="AU22" s="476"/>
      <c r="AV22" s="476"/>
      <c r="AW22" s="476"/>
      <c r="AX22" s="476"/>
      <c r="AY22" s="476"/>
      <c r="AZ22" s="476"/>
      <c r="BA22" s="476"/>
      <c r="BB22" s="476"/>
    </row>
    <row r="23" spans="2:54" ht="18" hidden="1" customHeight="1">
      <c r="B23" s="293"/>
      <c r="C23" s="293"/>
      <c r="D23" s="293"/>
      <c r="E23" s="293"/>
      <c r="F23" s="293"/>
      <c r="G23" s="293"/>
      <c r="H23" s="293"/>
      <c r="I23" s="293"/>
      <c r="J23" s="293"/>
      <c r="K23" s="293"/>
      <c r="L23" s="293"/>
      <c r="M23" s="293"/>
      <c r="N23" s="293"/>
      <c r="O23" s="293"/>
      <c r="P23" s="293"/>
      <c r="Q23" s="293"/>
      <c r="R23" s="293"/>
      <c r="S23" s="293"/>
      <c r="T23" s="293"/>
      <c r="U23" s="293"/>
      <c r="V23" s="294"/>
      <c r="W23" s="292"/>
      <c r="X23" s="292"/>
      <c r="Y23" s="292"/>
      <c r="Z23" s="295"/>
      <c r="AA23" s="292"/>
      <c r="AB23" s="292"/>
      <c r="AC23" s="292"/>
      <c r="AD23" s="292"/>
      <c r="AE23" s="481"/>
      <c r="AF23" s="292"/>
      <c r="AG23" s="292"/>
      <c r="AH23" s="292"/>
      <c r="AI23" s="292"/>
      <c r="AJ23" s="292"/>
      <c r="AQ23" s="476"/>
      <c r="AR23" s="476"/>
      <c r="AS23" s="476"/>
      <c r="AT23" s="476"/>
      <c r="AU23" s="476"/>
      <c r="AV23" s="476"/>
      <c r="AW23" s="476"/>
      <c r="AX23" s="476"/>
      <c r="AY23" s="476"/>
      <c r="AZ23" s="476"/>
      <c r="BA23" s="476"/>
      <c r="BB23" s="476"/>
    </row>
    <row r="24" spans="2:54" ht="18" hidden="1" customHeight="1">
      <c r="B24" s="3323" t="s">
        <v>3306</v>
      </c>
      <c r="C24" s="1798"/>
      <c r="D24" s="1798"/>
      <c r="E24" s="1798"/>
      <c r="F24" s="1798"/>
      <c r="G24" s="1798"/>
      <c r="H24" s="3360"/>
      <c r="I24" s="1861"/>
      <c r="J24" s="1861"/>
      <c r="K24" s="1861"/>
      <c r="L24" s="1861"/>
      <c r="M24" s="1861"/>
      <c r="N24" s="1861"/>
      <c r="O24" s="1862"/>
      <c r="Q24" s="3322" t="s">
        <v>3307</v>
      </c>
      <c r="R24" s="1798"/>
      <c r="S24" s="1798"/>
      <c r="T24" s="1798"/>
      <c r="U24" s="1798"/>
      <c r="V24" s="1798"/>
      <c r="W24" s="1798"/>
      <c r="X24" s="3355" t="str">
        <f>IF($H$24="No Tax Credits","",MID($H$24,12,26))</f>
        <v/>
      </c>
      <c r="Y24" s="1798"/>
      <c r="Z24" s="1798"/>
      <c r="AA24" s="1798"/>
      <c r="AB24" s="1798"/>
      <c r="AC24" s="1798"/>
    </row>
    <row r="25" spans="2:54" ht="18" hidden="1" customHeight="1"/>
    <row r="26" spans="2:54" ht="18" hidden="1" customHeight="1">
      <c r="B26" s="3367" t="s">
        <v>3308</v>
      </c>
      <c r="C26" s="1777"/>
      <c r="D26" s="1777"/>
      <c r="E26" s="1777"/>
      <c r="F26" s="1777"/>
      <c r="G26" s="1777"/>
      <c r="H26" s="1777"/>
      <c r="I26" s="1777"/>
      <c r="J26" s="1777"/>
      <c r="K26" s="3374">
        <v>15</v>
      </c>
      <c r="L26" s="1778"/>
      <c r="M26" s="1661"/>
      <c r="N26" s="426"/>
      <c r="O26" s="3367" t="s">
        <v>3309</v>
      </c>
      <c r="P26" s="1777"/>
      <c r="Q26" s="1777"/>
      <c r="R26" s="1777"/>
      <c r="S26" s="1777"/>
      <c r="T26" s="1777"/>
      <c r="U26" s="1777"/>
      <c r="V26" s="1777"/>
      <c r="W26" s="1777"/>
      <c r="X26" s="3332">
        <f t="array" ref="X26">IFERROR(SUM(_xlfn._xlws.FILTER(UnitsTbl[Total Units],(UnitsTbl[Special Needs?]="Yes")+(UnitsTbl[Special Needs2?]="Yes")),UnitsTbl[Other Special Needs]),0)</f>
        <v>0</v>
      </c>
      <c r="Y26" s="1778"/>
    </row>
    <row r="27" spans="2:54" ht="18" hidden="1" customHeight="1">
      <c r="B27" s="3367" t="s">
        <v>3310</v>
      </c>
      <c r="C27" s="1777"/>
      <c r="D27" s="1777"/>
      <c r="E27" s="1777"/>
      <c r="F27" s="1777"/>
      <c r="G27" s="1777"/>
      <c r="H27" s="1777"/>
      <c r="I27" s="1777"/>
      <c r="J27" s="1777"/>
      <c r="K27" s="3357">
        <f>ROUNDUP(SUMIFS(UnitsTbl[Total Units],UnitsTbl[Restricted Income Level],"&lt;=80%")*0.25,0)</f>
        <v>0</v>
      </c>
      <c r="L27" s="1778"/>
      <c r="M27" s="1661"/>
      <c r="N27" s="426"/>
      <c r="O27" s="3367" t="s">
        <v>3311</v>
      </c>
      <c r="P27" s="1777"/>
      <c r="Q27" s="1777"/>
      <c r="R27" s="1777"/>
      <c r="S27" s="1777"/>
      <c r="T27" s="1777"/>
      <c r="U27" s="1777"/>
      <c r="V27" s="1777"/>
      <c r="W27" s="1777"/>
      <c r="X27" s="3332" t="b">
        <f>$X$26&gt;=MAX($K$26,$K$27)</f>
        <v>0</v>
      </c>
      <c r="Y27" s="1778"/>
    </row>
    <row r="28" spans="2:54" ht="18" hidden="1" customHeight="1"/>
    <row r="29" spans="2:54" ht="9" hidden="1" customHeight="1">
      <c r="B29" s="624"/>
      <c r="C29" s="1412"/>
      <c r="D29" s="1412"/>
      <c r="E29" s="1412"/>
      <c r="F29" s="1412"/>
      <c r="G29" s="1412"/>
      <c r="H29" s="1412"/>
      <c r="I29" s="1412"/>
      <c r="J29" s="1412"/>
      <c r="K29" s="1412"/>
      <c r="L29" s="1412"/>
      <c r="M29" s="1412"/>
      <c r="N29" s="1412"/>
      <c r="O29" s="1412"/>
      <c r="P29" s="1412"/>
      <c r="Q29" s="1412"/>
      <c r="R29" s="1412"/>
      <c r="S29" s="1412"/>
      <c r="T29" s="1412"/>
      <c r="U29" s="1412"/>
      <c r="V29" s="1412"/>
      <c r="W29" s="1412"/>
      <c r="X29" s="1412"/>
      <c r="Y29" s="1412"/>
      <c r="Z29" s="1412"/>
      <c r="AA29" s="1412"/>
      <c r="AB29" s="1412"/>
      <c r="AC29" s="1412"/>
      <c r="AD29" s="1412"/>
      <c r="AE29" s="1412"/>
      <c r="AF29" s="1412"/>
      <c r="AG29" s="1412"/>
      <c r="AH29" s="1412"/>
      <c r="AI29" s="1412"/>
      <c r="AJ29" s="1412"/>
      <c r="AK29" s="1412"/>
      <c r="AL29" s="1412"/>
      <c r="AM29" s="1413"/>
    </row>
    <row r="30" spans="2:54" ht="18" hidden="1" customHeight="1">
      <c r="B30" s="302"/>
      <c r="C30" s="3373" t="str">
        <f>IF(AND(vmProjectDevType="New Construction",vmDF="No Tax Credits"),"Per MHP guidelines - New Construction Non-Tax Credit projecs to follow TCAC 9% Calculations","")</f>
        <v/>
      </c>
      <c r="D30" s="1798"/>
      <c r="E30" s="1798"/>
      <c r="F30" s="1798"/>
      <c r="G30" s="1798"/>
      <c r="H30" s="1798"/>
      <c r="I30" s="1798"/>
      <c r="J30" s="1798"/>
      <c r="K30" s="1798"/>
      <c r="L30" s="1798"/>
      <c r="M30" s="1798"/>
      <c r="N30" s="1798"/>
      <c r="O30" s="1798"/>
      <c r="P30" s="1798"/>
      <c r="Q30" s="1798"/>
      <c r="R30" s="1798"/>
      <c r="S30" s="1798"/>
      <c r="T30" s="1798"/>
      <c r="U30" s="1798"/>
      <c r="V30" s="1798"/>
      <c r="W30" s="1798"/>
      <c r="X30" s="1798"/>
      <c r="Y30" s="1798"/>
      <c r="Z30" s="1734"/>
      <c r="AA30" s="1734"/>
      <c r="AB30" s="1734"/>
      <c r="AC30" s="1734"/>
      <c r="AD30" s="3362" t="s">
        <v>3312</v>
      </c>
      <c r="AE30" s="1798"/>
      <c r="AF30" s="1798"/>
      <c r="AG30" s="1798"/>
      <c r="AH30" s="1798"/>
      <c r="AI30" s="1798"/>
      <c r="AJ30" s="3369">
        <f>IF(X27,2800000,2500000)</f>
        <v>2500000</v>
      </c>
      <c r="AK30" s="1798"/>
      <c r="AL30" s="1798"/>
      <c r="AM30" s="1889"/>
      <c r="AQ30" s="476"/>
      <c r="AR30" s="476"/>
      <c r="AS30" s="476"/>
      <c r="AT30" s="476"/>
      <c r="AU30" s="476"/>
      <c r="AV30" s="476"/>
      <c r="AW30" s="476"/>
      <c r="AX30" s="476"/>
      <c r="AY30" s="476"/>
      <c r="AZ30" s="476"/>
      <c r="BA30" s="476"/>
      <c r="BB30" s="476"/>
    </row>
    <row r="31" spans="2:54" s="426" customFormat="1" ht="9" hidden="1" customHeight="1">
      <c r="B31" s="1656"/>
      <c r="AA31" s="382"/>
      <c r="AB31" s="382"/>
      <c r="AC31" s="58"/>
      <c r="AD31" s="617"/>
      <c r="AE31" s="617"/>
      <c r="AF31" s="617"/>
      <c r="AG31" s="617"/>
      <c r="AH31" s="786"/>
      <c r="AI31" s="786"/>
      <c r="AJ31" s="787"/>
      <c r="AK31" s="787"/>
      <c r="AL31" s="787"/>
      <c r="AM31" s="1733"/>
      <c r="AQ31" s="476"/>
      <c r="AR31" s="476"/>
      <c r="AS31" s="476"/>
      <c r="AT31" s="476"/>
      <c r="AU31" s="476"/>
      <c r="AV31" s="476"/>
      <c r="AW31" s="476"/>
      <c r="AX31" s="476"/>
      <c r="AY31" s="476"/>
      <c r="AZ31" s="476"/>
      <c r="BA31" s="476"/>
      <c r="BB31" s="476"/>
    </row>
    <row r="32" spans="2:54" ht="18" hidden="1" customHeight="1">
      <c r="B32" s="296"/>
      <c r="C32" s="3322" t="s">
        <v>3313</v>
      </c>
      <c r="D32" s="1798"/>
      <c r="E32" s="1798"/>
      <c r="F32" s="1798"/>
      <c r="G32" s="1798"/>
      <c r="H32" s="1798"/>
      <c r="I32" s="1798"/>
      <c r="J32" s="1798"/>
      <c r="K32" s="1798"/>
      <c r="L32" s="1798"/>
      <c r="M32" s="1798"/>
      <c r="N32" s="1798"/>
      <c r="O32" s="1798"/>
      <c r="P32" s="1798"/>
      <c r="Q32" s="1798"/>
      <c r="R32" s="1798"/>
      <c r="S32" s="1798"/>
      <c r="T32" s="1798"/>
      <c r="U32" s="1798"/>
      <c r="V32" s="1798"/>
      <c r="W32" s="1798"/>
      <c r="X32" s="1798"/>
      <c r="Y32" s="1798"/>
      <c r="Z32" s="1798"/>
      <c r="AA32" s="1798"/>
      <c r="AB32" s="1798"/>
      <c r="AC32" s="3342">
        <f>'Development Budget'!$F$3-SUM('Development Budget'!$F$111:$F$116)</f>
        <v>0</v>
      </c>
      <c r="AD32" s="1798"/>
      <c r="AE32" s="1798"/>
      <c r="AF32" s="1798"/>
      <c r="AG32" s="3319">
        <v>0.15</v>
      </c>
      <c r="AH32" s="1798"/>
      <c r="AI32" s="1798"/>
      <c r="AJ32" s="3327">
        <f>$AC$32*AG32</f>
        <v>0</v>
      </c>
      <c r="AK32" s="1798"/>
      <c r="AL32" s="1798"/>
      <c r="AM32" s="1889"/>
      <c r="AQ32" s="476"/>
      <c r="AR32" s="605"/>
      <c r="AS32" s="476"/>
      <c r="AU32" s="476"/>
      <c r="AV32" s="476"/>
      <c r="AW32" s="476"/>
      <c r="AX32" s="476"/>
      <c r="AY32" s="476"/>
      <c r="AZ32" s="476"/>
      <c r="BA32" s="476"/>
      <c r="BB32" s="476"/>
    </row>
    <row r="33" spans="2:54" ht="18" hidden="1" customHeight="1">
      <c r="B33" s="296"/>
      <c r="C33" s="3322" t="s">
        <v>3314</v>
      </c>
      <c r="D33" s="1798"/>
      <c r="E33" s="1798"/>
      <c r="F33" s="1798"/>
      <c r="G33" s="1798"/>
      <c r="H33" s="1798"/>
      <c r="I33" s="1798"/>
      <c r="J33" s="1798"/>
      <c r="K33" s="1798"/>
      <c r="L33" s="1798"/>
      <c r="M33" s="1798"/>
      <c r="N33" s="1798"/>
      <c r="O33" s="1798"/>
      <c r="P33" s="1798"/>
      <c r="Q33" s="1798"/>
      <c r="R33" s="1798"/>
      <c r="S33" s="1798"/>
      <c r="T33" s="1798"/>
      <c r="U33" s="1798"/>
      <c r="V33" s="1798"/>
      <c r="W33" s="1798"/>
      <c r="X33" s="1798"/>
      <c r="Y33" s="1798"/>
      <c r="Z33" s="1798"/>
      <c r="AA33" s="1798"/>
      <c r="AB33" s="1798"/>
      <c r="AC33" s="3342">
        <f>'Development Budget'!$G$3-SUM('Development Budget'!$G$111:$G$116)</f>
        <v>0</v>
      </c>
      <c r="AD33" s="1798"/>
      <c r="AE33" s="1798"/>
      <c r="AF33" s="1798"/>
      <c r="AG33" s="3319">
        <f>IF(RIGHT(vmDF,14)="Adaptive Reuse",15%,5%)</f>
        <v>0.05</v>
      </c>
      <c r="AH33" s="1798"/>
      <c r="AI33" s="1798"/>
      <c r="AJ33" s="3327">
        <f>IF(AND(vmProjectDevType="New Construction",vmDF="No Tax Credits"),AC33*AG33,$AC$33*AG33*(OR($X$24="Acq. Rehabilitation",RIGHT(vmDF,14)="Adaptive Reuse")))</f>
        <v>0</v>
      </c>
      <c r="AK33" s="1798"/>
      <c r="AL33" s="1798"/>
      <c r="AM33" s="1889"/>
      <c r="AQ33" s="476"/>
      <c r="AR33" s="606"/>
      <c r="AS33" s="476"/>
      <c r="AT33" s="476"/>
      <c r="AU33" s="476"/>
      <c r="AV33" s="476"/>
      <c r="AW33" s="476"/>
      <c r="AX33" s="476"/>
      <c r="AY33" s="476"/>
      <c r="AZ33" s="476"/>
      <c r="BA33" s="476"/>
      <c r="BB33" s="476"/>
    </row>
    <row r="34" spans="2:54" ht="18" hidden="1" customHeight="1">
      <c r="B34" s="296"/>
      <c r="C34" s="3322" t="s">
        <v>3315</v>
      </c>
      <c r="D34" s="1798"/>
      <c r="E34" s="1798"/>
      <c r="F34" s="1798"/>
      <c r="G34" s="1798"/>
      <c r="H34" s="1798"/>
      <c r="I34" s="1798"/>
      <c r="J34" s="1798"/>
      <c r="K34" s="1798"/>
      <c r="L34" s="1798"/>
      <c r="M34" s="1798"/>
      <c r="N34" s="1798"/>
      <c r="O34" s="1798"/>
      <c r="P34" s="1798"/>
      <c r="Q34" s="1798"/>
      <c r="R34" s="1798"/>
      <c r="S34" s="1798"/>
      <c r="T34" s="1798"/>
      <c r="U34" s="1798"/>
      <c r="V34" s="1798"/>
      <c r="W34" s="1798"/>
      <c r="X34" s="1798"/>
      <c r="Y34" s="1798"/>
      <c r="Z34" s="1798"/>
      <c r="AA34" s="1798"/>
      <c r="AB34" s="1798"/>
      <c r="AC34" s="3342">
        <f>SUM('Development Budget'!$AC$3:$AD$3)-SUM('Development Budget'!$AC$111:$AD$116)</f>
        <v>0</v>
      </c>
      <c r="AD34" s="1798"/>
      <c r="AE34" s="1798"/>
      <c r="AF34" s="1798"/>
      <c r="AG34" s="3319">
        <v>0.15</v>
      </c>
      <c r="AH34" s="1798"/>
      <c r="AI34" s="1798"/>
      <c r="AJ34" s="3327">
        <f>$AC$34*AG34</f>
        <v>0</v>
      </c>
      <c r="AK34" s="1798"/>
      <c r="AL34" s="1798"/>
      <c r="AM34" s="1889"/>
      <c r="AQ34" s="476"/>
      <c r="AR34" s="476"/>
      <c r="AS34" s="476"/>
      <c r="AT34" s="476"/>
      <c r="AU34" s="476"/>
      <c r="AV34" s="476"/>
      <c r="AW34" s="476"/>
      <c r="AX34" s="476"/>
      <c r="AY34" s="476"/>
      <c r="AZ34" s="476"/>
      <c r="BA34" s="476"/>
      <c r="BB34" s="476"/>
    </row>
    <row r="35" spans="2:54" ht="18" hidden="1" customHeight="1">
      <c r="B35" s="296"/>
      <c r="C35" s="3352" t="s">
        <v>3316</v>
      </c>
      <c r="D35" s="1798"/>
      <c r="E35" s="1798"/>
      <c r="F35" s="1798"/>
      <c r="G35" s="1798"/>
      <c r="H35" s="1798"/>
      <c r="I35" s="1798"/>
      <c r="J35" s="1798"/>
      <c r="K35" s="1798"/>
      <c r="L35" s="1798"/>
      <c r="M35" s="1798"/>
      <c r="N35" s="1798"/>
      <c r="O35" s="1798"/>
      <c r="P35" s="1798"/>
      <c r="Q35" s="1798"/>
      <c r="R35" s="1798"/>
      <c r="S35" s="1798"/>
      <c r="T35" s="1798"/>
      <c r="U35" s="1798"/>
      <c r="V35" s="1798"/>
      <c r="W35" s="1798"/>
      <c r="X35" s="1798"/>
      <c r="Y35" s="1798"/>
      <c r="Z35" s="1798"/>
      <c r="AA35" s="1798"/>
      <c r="AB35" s="1798"/>
      <c r="AC35" s="1798"/>
      <c r="AD35" s="1798"/>
      <c r="AE35" s="1798"/>
      <c r="AF35" s="1798"/>
      <c r="AG35" s="1798"/>
      <c r="AH35" s="1798"/>
      <c r="AI35" s="1798"/>
      <c r="AJ35" s="3318">
        <f>MIN($AJ$30,SUM($AJ$32:$AM$34))</f>
        <v>0</v>
      </c>
      <c r="AK35" s="1798"/>
      <c r="AL35" s="1798"/>
      <c r="AM35" s="1889"/>
      <c r="AQ35" s="476"/>
      <c r="AR35" s="476"/>
      <c r="AS35" s="476"/>
      <c r="AT35" s="476"/>
      <c r="AU35" s="476"/>
      <c r="AV35" s="476"/>
      <c r="AW35" s="476"/>
      <c r="AX35" s="476"/>
      <c r="AY35" s="476"/>
      <c r="AZ35" s="476"/>
      <c r="BA35" s="476"/>
      <c r="BB35" s="476"/>
    </row>
    <row r="36" spans="2:54" ht="9" hidden="1" customHeight="1">
      <c r="B36" s="625"/>
      <c r="C36" s="1415"/>
      <c r="D36" s="1415"/>
      <c r="E36" s="1415"/>
      <c r="F36" s="1415"/>
      <c r="G36" s="1415"/>
      <c r="H36" s="1415"/>
      <c r="I36" s="1415"/>
      <c r="J36" s="1415"/>
      <c r="K36" s="1415"/>
      <c r="L36" s="1415"/>
      <c r="M36" s="1415"/>
      <c r="N36" s="1415"/>
      <c r="O36" s="1415"/>
      <c r="P36" s="1415"/>
      <c r="Q36" s="1415"/>
      <c r="R36" s="1415"/>
      <c r="S36" s="1415"/>
      <c r="T36" s="1415"/>
      <c r="U36" s="1415"/>
      <c r="V36" s="1415"/>
      <c r="W36" s="1415"/>
      <c r="X36" s="1415"/>
      <c r="Y36" s="1415"/>
      <c r="Z36" s="1415"/>
      <c r="AA36" s="1415"/>
      <c r="AB36" s="1415"/>
      <c r="AC36" s="1415"/>
      <c r="AD36" s="1415"/>
      <c r="AE36" s="1415"/>
      <c r="AF36" s="1415"/>
      <c r="AG36" s="1415"/>
      <c r="AH36" s="1415"/>
      <c r="AI36" s="1415"/>
      <c r="AJ36" s="1415"/>
      <c r="AK36" s="1415"/>
      <c r="AL36" s="1415"/>
      <c r="AM36" s="1476"/>
    </row>
    <row r="37" spans="2:54" ht="18" hidden="1" customHeight="1">
      <c r="B37" s="293"/>
      <c r="C37" s="293"/>
      <c r="D37" s="293"/>
      <c r="E37" s="293"/>
      <c r="F37" s="293"/>
      <c r="G37" s="293"/>
      <c r="H37" s="293"/>
      <c r="I37" s="293"/>
      <c r="J37" s="293"/>
      <c r="K37" s="293"/>
      <c r="L37" s="293"/>
      <c r="M37" s="293"/>
      <c r="N37" s="293"/>
      <c r="O37" s="293"/>
      <c r="P37" s="293"/>
      <c r="Q37" s="293"/>
      <c r="R37" s="293"/>
      <c r="S37" s="293"/>
      <c r="T37" s="293"/>
      <c r="U37" s="293"/>
      <c r="V37" s="294"/>
      <c r="W37" s="292"/>
      <c r="X37" s="292"/>
      <c r="Y37" s="292"/>
      <c r="Z37" s="295"/>
      <c r="AA37" s="292"/>
      <c r="AB37" s="292"/>
      <c r="AC37" s="292"/>
      <c r="AD37" s="292"/>
      <c r="AE37" s="481"/>
      <c r="AF37" s="292"/>
      <c r="AG37" s="292"/>
      <c r="AH37" s="292"/>
      <c r="AI37" s="292"/>
      <c r="AJ37" s="292"/>
      <c r="AQ37" s="476"/>
      <c r="AR37" s="600"/>
      <c r="AS37" s="476"/>
      <c r="AT37" s="476"/>
      <c r="AU37" s="476"/>
      <c r="AV37" s="476"/>
      <c r="AW37" s="476"/>
      <c r="AX37" s="476"/>
      <c r="AY37" s="476"/>
      <c r="AZ37" s="476"/>
      <c r="BA37" s="476"/>
      <c r="BB37" s="476"/>
    </row>
    <row r="38" spans="2:54" ht="9" hidden="1" customHeight="1">
      <c r="B38" s="630"/>
      <c r="C38" s="1416"/>
      <c r="D38" s="1416"/>
      <c r="E38" s="1416"/>
      <c r="F38" s="1416"/>
      <c r="G38" s="1416"/>
      <c r="H38" s="1416"/>
      <c r="I38" s="1416"/>
      <c r="J38" s="1416"/>
      <c r="K38" s="1416"/>
      <c r="L38" s="1416"/>
      <c r="M38" s="1416"/>
      <c r="N38" s="1416"/>
      <c r="O38" s="1416"/>
      <c r="P38" s="1416"/>
      <c r="Q38" s="1416"/>
      <c r="R38" s="1416"/>
      <c r="S38" s="1416"/>
      <c r="T38" s="1416"/>
      <c r="U38" s="1416"/>
      <c r="V38" s="1417"/>
      <c r="W38" s="1418"/>
      <c r="X38" s="1418"/>
      <c r="Y38" s="1418"/>
      <c r="Z38" s="1419"/>
      <c r="AA38" s="1418"/>
      <c r="AB38" s="1418"/>
      <c r="AC38" s="1418"/>
      <c r="AD38" s="1418"/>
      <c r="AE38" s="1420"/>
      <c r="AF38" s="1418"/>
      <c r="AG38" s="1418"/>
      <c r="AH38" s="1418"/>
      <c r="AI38" s="1418"/>
      <c r="AJ38" s="1418"/>
      <c r="AK38" s="1412"/>
      <c r="AL38" s="1412"/>
      <c r="AM38" s="1413"/>
      <c r="AQ38" s="476"/>
      <c r="AR38" s="600"/>
      <c r="AS38" s="476"/>
      <c r="AT38" s="476"/>
      <c r="AU38" s="476"/>
      <c r="AV38" s="476"/>
      <c r="AW38" s="476"/>
      <c r="AX38" s="476"/>
      <c r="AY38" s="476"/>
      <c r="AZ38" s="476"/>
      <c r="BA38" s="476"/>
      <c r="BB38" s="476"/>
    </row>
    <row r="39" spans="2:54" ht="18" hidden="1" customHeight="1">
      <c r="B39" s="3344" t="s">
        <v>3312</v>
      </c>
      <c r="C39" s="1798"/>
      <c r="D39" s="1798"/>
      <c r="E39" s="1798"/>
      <c r="F39" s="1798"/>
      <c r="G39" s="1798"/>
      <c r="H39" s="1798"/>
      <c r="I39" s="1798"/>
      <c r="J39" s="1798"/>
      <c r="K39" s="1798"/>
      <c r="L39" s="1798"/>
      <c r="M39" s="1798"/>
      <c r="N39" s="1798"/>
      <c r="O39" s="1798"/>
      <c r="P39" s="1798"/>
      <c r="Q39" s="1798"/>
      <c r="R39" s="1798"/>
      <c r="S39" s="1798"/>
      <c r="T39" s="1798"/>
      <c r="U39" s="1798"/>
      <c r="V39" s="1798"/>
      <c r="W39" s="1798"/>
      <c r="X39" s="1798"/>
      <c r="Y39" s="1798"/>
      <c r="Z39" s="1798"/>
      <c r="AA39" s="1798"/>
      <c r="AB39" s="1798"/>
      <c r="AC39" s="1798"/>
      <c r="AD39" s="1798"/>
      <c r="AE39" s="1798"/>
      <c r="AF39" s="1798"/>
      <c r="AG39" s="1798"/>
      <c r="AH39" s="1798"/>
      <c r="AI39" s="1798"/>
      <c r="AJ39" s="3318">
        <f>SUM(AJ43:AM48)</f>
        <v>0</v>
      </c>
      <c r="AK39" s="1798"/>
      <c r="AL39" s="1798"/>
      <c r="AM39" s="1889"/>
      <c r="AQ39" s="476"/>
      <c r="AR39" s="476"/>
      <c r="AS39" s="476"/>
      <c r="AT39" s="476"/>
      <c r="AU39" s="476"/>
      <c r="AV39" s="476"/>
      <c r="AW39" s="476"/>
      <c r="AX39" s="476"/>
      <c r="AY39" s="476"/>
      <c r="AZ39" s="476"/>
      <c r="BA39" s="476"/>
      <c r="BB39" s="476"/>
    </row>
    <row r="40" spans="2:54" ht="9" hidden="1" customHeight="1">
      <c r="B40" s="620"/>
      <c r="C40" s="1734"/>
      <c r="D40" s="1734"/>
      <c r="E40" s="1734"/>
      <c r="F40" s="1734"/>
      <c r="G40" s="1734"/>
      <c r="H40" s="1734"/>
      <c r="I40" s="1734"/>
      <c r="J40" s="1734"/>
      <c r="K40" s="1734"/>
      <c r="L40" s="1734"/>
      <c r="M40" s="1734"/>
      <c r="N40" s="1734"/>
      <c r="O40" s="1734"/>
      <c r="P40" s="1734"/>
      <c r="Q40" s="1734"/>
      <c r="R40" s="1734"/>
      <c r="S40" s="1734"/>
      <c r="T40" s="1734"/>
      <c r="U40" s="1734"/>
      <c r="V40" s="1734"/>
      <c r="W40" s="1734"/>
      <c r="X40" s="1734"/>
      <c r="Y40" s="1734"/>
      <c r="Z40" s="1734"/>
      <c r="AA40" s="1734"/>
      <c r="AB40" s="1734"/>
      <c r="AC40" s="1734"/>
      <c r="AD40" s="1734"/>
      <c r="AE40" s="1734"/>
      <c r="AF40" s="1734"/>
      <c r="AG40" s="1734"/>
      <c r="AH40" s="1734"/>
      <c r="AI40" s="1734"/>
      <c r="AJ40" s="1734"/>
      <c r="AK40" s="1734"/>
      <c r="AL40" s="1734"/>
      <c r="AM40" s="1421"/>
      <c r="AQ40" s="476"/>
      <c r="AR40" s="476"/>
      <c r="AS40" s="476"/>
      <c r="AT40" s="476"/>
      <c r="AU40" s="476"/>
      <c r="AV40" s="476"/>
      <c r="AW40" s="476"/>
      <c r="AX40" s="476"/>
      <c r="AY40" s="476"/>
      <c r="AZ40" s="476"/>
      <c r="BA40" s="476"/>
      <c r="BB40" s="476"/>
    </row>
    <row r="41" spans="2:54" ht="18" hidden="1" customHeight="1">
      <c r="B41" s="3368" t="s">
        <v>3317</v>
      </c>
      <c r="C41" s="1798"/>
      <c r="D41" s="1798"/>
      <c r="E41" s="1798"/>
      <c r="F41" s="1798"/>
      <c r="G41" s="1798"/>
      <c r="H41" s="1798"/>
      <c r="I41" s="1798"/>
      <c r="J41" s="1798"/>
      <c r="K41" s="1798"/>
      <c r="L41" s="1798"/>
      <c r="M41" s="1798"/>
      <c r="N41" s="1798"/>
      <c r="O41" s="1798"/>
      <c r="P41" s="1798"/>
      <c r="Q41" s="1798"/>
      <c r="R41" s="1798"/>
      <c r="S41" s="1798"/>
      <c r="T41" s="1798"/>
      <c r="U41" s="1798"/>
      <c r="V41" s="1798"/>
      <c r="W41" s="1798"/>
      <c r="X41" s="1798"/>
      <c r="Y41" s="1798"/>
      <c r="Z41" s="1798"/>
      <c r="AA41" s="1798"/>
      <c r="AB41" s="1798"/>
      <c r="AC41" s="1798"/>
      <c r="AD41" s="1798"/>
      <c r="AE41" s="1798"/>
      <c r="AF41" s="1798"/>
      <c r="AG41" s="1798"/>
      <c r="AH41" s="1798"/>
      <c r="AI41" s="1798"/>
      <c r="AJ41" s="1798"/>
      <c r="AK41" s="1798"/>
      <c r="AL41" s="3349"/>
      <c r="AM41" s="1862"/>
    </row>
    <row r="42" spans="2:54" ht="9" hidden="1" customHeight="1">
      <c r="B42" s="302"/>
      <c r="AM42" s="1749"/>
    </row>
    <row r="43" spans="2:54" ht="18" hidden="1" customHeight="1">
      <c r="B43" s="296"/>
      <c r="C43" s="3322" t="s">
        <v>3318</v>
      </c>
      <c r="D43" s="1798"/>
      <c r="E43" s="1798"/>
      <c r="F43" s="1798"/>
      <c r="G43" s="1798"/>
      <c r="H43" s="1798"/>
      <c r="I43" s="1798"/>
      <c r="J43" s="1798"/>
      <c r="K43" s="1798"/>
      <c r="L43" s="1798"/>
      <c r="M43" s="1798"/>
      <c r="N43" s="1798"/>
      <c r="O43" s="1798"/>
      <c r="P43" s="1798"/>
      <c r="Q43" s="1798"/>
      <c r="R43" s="1798"/>
      <c r="S43" s="1798"/>
      <c r="T43" s="1798"/>
      <c r="U43" s="1798"/>
      <c r="V43" s="1798"/>
      <c r="W43" s="1798"/>
      <c r="X43" s="1798"/>
      <c r="Y43" s="1798"/>
      <c r="Z43" s="1798"/>
      <c r="AA43" s="1798"/>
      <c r="AB43" s="1798"/>
      <c r="AC43" s="3342">
        <f>'Development Budget'!$F$3-SUM('Development Budget'!$F$111:$F$116)</f>
        <v>0</v>
      </c>
      <c r="AD43" s="1798"/>
      <c r="AE43" s="1798"/>
      <c r="AF43" s="1798"/>
      <c r="AG43" s="3328">
        <f>IF(OR($AL$41=FALSE,$AL$41=""),15%,20%)</f>
        <v>0.15</v>
      </c>
      <c r="AH43" s="1777"/>
      <c r="AI43" s="1778"/>
      <c r="AJ43" s="3327">
        <f>$AC$43*AG43</f>
        <v>0</v>
      </c>
      <c r="AK43" s="1798"/>
      <c r="AL43" s="1798"/>
      <c r="AM43" s="1889"/>
      <c r="AP43" s="604"/>
      <c r="AQ43" s="604"/>
    </row>
    <row r="44" spans="2:54" ht="18" hidden="1" customHeight="1">
      <c r="B44" s="296"/>
      <c r="C44" s="3322" t="s">
        <v>3319</v>
      </c>
      <c r="D44" s="1798"/>
      <c r="E44" s="1798"/>
      <c r="F44" s="1798"/>
      <c r="G44" s="1798"/>
      <c r="H44" s="1798"/>
      <c r="I44" s="1798"/>
      <c r="J44" s="1798"/>
      <c r="K44" s="1798"/>
      <c r="L44" s="1798"/>
      <c r="M44" s="1798"/>
      <c r="N44" s="1798"/>
      <c r="O44" s="1798"/>
      <c r="P44" s="1798"/>
      <c r="Q44" s="1798"/>
      <c r="R44" s="1798"/>
      <c r="S44" s="1798"/>
      <c r="T44" s="1798"/>
      <c r="U44" s="1798"/>
      <c r="V44" s="1798"/>
      <c r="W44" s="1798"/>
      <c r="X44" s="1798"/>
      <c r="Y44" s="1798"/>
      <c r="Z44" s="1798"/>
      <c r="AA44" s="1798"/>
      <c r="AB44" s="1798"/>
      <c r="AC44" s="3342">
        <f>SUM('Development Budget'!$AC$3:$AD$3)-SUM('Development Budget'!$AC$111:$AD$116)</f>
        <v>0</v>
      </c>
      <c r="AD44" s="1798"/>
      <c r="AE44" s="1798"/>
      <c r="AF44" s="1798"/>
      <c r="AG44" s="3328">
        <v>0.15</v>
      </c>
      <c r="AH44" s="1777"/>
      <c r="AI44" s="1778"/>
      <c r="AJ44" s="3327">
        <f>$AC$44*AG44</f>
        <v>0</v>
      </c>
      <c r="AK44" s="1798"/>
      <c r="AL44" s="1798"/>
      <c r="AM44" s="1889"/>
    </row>
    <row r="45" spans="2:54" ht="18" hidden="1" customHeight="1">
      <c r="B45" s="296"/>
      <c r="C45" s="3322" t="str">
        <f>IF(OR($F$5="",$X$24="Acq. Rehabilitation"),"Acq/Rehab non-resyndication - at-risk development meeting the requirements of §10325(g)(4) - §10327(c)(2)(B)(ii)","Not Applicable")</f>
        <v>Not Applicable</v>
      </c>
      <c r="D45" s="1798"/>
      <c r="E45" s="1798"/>
      <c r="F45" s="1798"/>
      <c r="G45" s="1798"/>
      <c r="H45" s="1798"/>
      <c r="I45" s="1798"/>
      <c r="J45" s="1798"/>
      <c r="K45" s="1798"/>
      <c r="L45" s="1798"/>
      <c r="M45" s="1798"/>
      <c r="N45" s="1798"/>
      <c r="O45" s="1798"/>
      <c r="P45" s="1798"/>
      <c r="Q45" s="1798"/>
      <c r="R45" s="1798"/>
      <c r="S45" s="1798"/>
      <c r="T45" s="1798"/>
      <c r="U45" s="1798"/>
      <c r="V45" s="1798"/>
      <c r="W45" s="1798"/>
      <c r="X45" s="1798"/>
      <c r="Y45" s="1798"/>
      <c r="Z45" s="1798"/>
      <c r="AA45" s="1798"/>
      <c r="AB45" s="1798"/>
      <c r="AC45" s="628"/>
      <c r="AD45" s="628"/>
      <c r="AE45" s="629"/>
      <c r="AF45" s="629"/>
      <c r="AG45" s="3354"/>
      <c r="AH45" s="1777"/>
      <c r="AI45" s="1778"/>
      <c r="AJ45" s="621"/>
      <c r="AK45" s="622"/>
      <c r="AL45" s="622"/>
      <c r="AM45" s="1422"/>
      <c r="AO45" s="16"/>
      <c r="AP45" s="476"/>
    </row>
    <row r="46" spans="2:54" ht="18" hidden="1" customHeight="1">
      <c r="B46" s="296"/>
      <c r="C46" s="3322" t="str">
        <f>IF(AND($F$5&lt;&gt;"",$X$24&lt;&gt;"Acq. Rehabilitation"),"Not Applicable","Acq/Rehab non-resyndication - hard construction costs per unit at least $50,000 per unit - §10327(c)(2)(B)(ii)")</f>
        <v>Not Applicable</v>
      </c>
      <c r="D46" s="1798"/>
      <c r="E46" s="1798"/>
      <c r="F46" s="1798"/>
      <c r="G46" s="1798"/>
      <c r="H46" s="1798"/>
      <c r="I46" s="1798"/>
      <c r="J46" s="1798"/>
      <c r="K46" s="1798"/>
      <c r="L46" s="1798"/>
      <c r="M46" s="1798"/>
      <c r="N46" s="1798"/>
      <c r="O46" s="1798"/>
      <c r="P46" s="1798"/>
      <c r="Q46" s="1798"/>
      <c r="R46" s="1798"/>
      <c r="S46" s="1798"/>
      <c r="T46" s="1798"/>
      <c r="U46" s="1798"/>
      <c r="V46" s="1798"/>
      <c r="W46" s="1798"/>
      <c r="X46" s="1798"/>
      <c r="Y46" s="1798"/>
      <c r="Z46" s="1798"/>
      <c r="AA46" s="1798"/>
      <c r="AB46" s="1798"/>
      <c r="AC46" s="628"/>
      <c r="AD46" s="628"/>
      <c r="AE46" s="629"/>
      <c r="AF46" s="629"/>
      <c r="AG46" s="3341"/>
      <c r="AH46" s="1777"/>
      <c r="AI46" s="1778"/>
      <c r="AJ46" s="621"/>
      <c r="AK46" s="622"/>
      <c r="AL46" s="622"/>
      <c r="AM46" s="1422"/>
      <c r="AO46" s="16"/>
    </row>
    <row r="47" spans="2:54" ht="18" hidden="1" customHeight="1">
      <c r="B47" s="296"/>
      <c r="C47" s="3322" t="str">
        <f>IF(OR($F$5="",$X$24="Acq. Rehabilitation"),"Acq/Rehab non-resyndication - 30% or more of units restricted to 50% AMI or less - §10327(c)(2)(B)(ii)","Not Applicable")</f>
        <v>Not Applicable</v>
      </c>
      <c r="D47" s="1798"/>
      <c r="E47" s="1798"/>
      <c r="F47" s="1798"/>
      <c r="G47" s="1798"/>
      <c r="H47" s="1798"/>
      <c r="I47" s="1798"/>
      <c r="J47" s="1798"/>
      <c r="K47" s="1798"/>
      <c r="L47" s="1798"/>
      <c r="M47" s="1798"/>
      <c r="N47" s="1798"/>
      <c r="O47" s="1798"/>
      <c r="P47" s="1798"/>
      <c r="Q47" s="1798"/>
      <c r="R47" s="1798"/>
      <c r="S47" s="1798"/>
      <c r="T47" s="1798"/>
      <c r="U47" s="1798"/>
      <c r="V47" s="1798"/>
      <c r="W47" s="1798"/>
      <c r="X47" s="1798"/>
      <c r="Y47" s="1798"/>
      <c r="Z47" s="1798"/>
      <c r="AA47" s="1798"/>
      <c r="AB47" s="1798"/>
      <c r="AC47" s="628"/>
      <c r="AD47" s="628"/>
      <c r="AE47" s="629"/>
      <c r="AF47" s="629"/>
      <c r="AG47" s="3341"/>
      <c r="AH47" s="1777"/>
      <c r="AI47" s="1778"/>
      <c r="AJ47" s="623"/>
      <c r="AK47" s="622"/>
      <c r="AL47" s="622"/>
      <c r="AM47" s="1422"/>
      <c r="AO47" s="16"/>
    </row>
    <row r="48" spans="2:54" ht="18" hidden="1" customHeight="1">
      <c r="B48" s="296"/>
      <c r="C48" s="3322" t="str">
        <f>IF(OR($F$5="",$X$24="Acq. Rehabilitation"),"Acq/Rehab - Unadj. Eligible Acq. Basis - Pursuant to MHP Section 7305(b)(4)","Not Applicable")</f>
        <v>Not Applicable</v>
      </c>
      <c r="D48" s="1798"/>
      <c r="E48" s="1798"/>
      <c r="F48" s="1798"/>
      <c r="G48" s="1798"/>
      <c r="H48" s="1798"/>
      <c r="I48" s="1798"/>
      <c r="J48" s="1798"/>
      <c r="K48" s="1798"/>
      <c r="L48" s="1798"/>
      <c r="M48" s="1798"/>
      <c r="N48" s="1798"/>
      <c r="O48" s="1798"/>
      <c r="P48" s="1798"/>
      <c r="Q48" s="1798"/>
      <c r="R48" s="1798"/>
      <c r="S48" s="1798"/>
      <c r="T48" s="1798"/>
      <c r="U48" s="1798"/>
      <c r="V48" s="1798"/>
      <c r="W48" s="1798"/>
      <c r="X48" s="1798"/>
      <c r="Y48" s="1798"/>
      <c r="Z48" s="1798"/>
      <c r="AA48" s="1798"/>
      <c r="AB48" s="1798"/>
      <c r="AC48" s="3342">
        <f>IF(OR($F$5="",$X$24&lt;&gt;"Acq. Rehabilitation"),0,'Development Budget'!$G$3-SUM('Development Budget'!$G$111:$G$116))</f>
        <v>0</v>
      </c>
      <c r="AD48" s="1798"/>
      <c r="AE48" s="1798"/>
      <c r="AF48" s="1798"/>
      <c r="AG48" s="3328">
        <v>0.05</v>
      </c>
      <c r="AH48" s="1777"/>
      <c r="AI48" s="1778"/>
      <c r="AJ48" s="3327">
        <f>$AC$48*$AG$48</f>
        <v>0</v>
      </c>
      <c r="AK48" s="1798"/>
      <c r="AL48" s="1798"/>
      <c r="AM48" s="1889"/>
      <c r="AO48" s="16"/>
      <c r="AP48" s="476"/>
    </row>
    <row r="49" spans="2:42" ht="9" hidden="1" customHeight="1">
      <c r="B49" s="302"/>
      <c r="AM49" s="1749"/>
    </row>
    <row r="50" spans="2:42" ht="18" hidden="1" customHeight="1">
      <c r="B50" s="302"/>
      <c r="C50" s="3364" t="s">
        <v>3320</v>
      </c>
      <c r="D50" s="1798"/>
      <c r="E50" s="1798"/>
      <c r="F50" s="1798"/>
      <c r="G50" s="1798"/>
      <c r="H50" s="1798"/>
      <c r="I50" s="1798"/>
      <c r="J50" s="1798"/>
      <c r="K50" s="1798"/>
      <c r="L50" s="1798"/>
      <c r="M50" s="1798"/>
      <c r="N50" s="1798"/>
      <c r="O50" s="1798"/>
      <c r="P50" s="1798"/>
      <c r="Q50" s="1798"/>
      <c r="R50" s="1798"/>
      <c r="S50" s="1798"/>
      <c r="T50" s="1798"/>
      <c r="U50" s="1798"/>
      <c r="V50" s="1798"/>
      <c r="W50" s="1798"/>
      <c r="X50" s="1798"/>
      <c r="Y50" s="1798"/>
      <c r="Z50" s="1798"/>
      <c r="AA50" s="1798"/>
      <c r="AB50" s="1798"/>
      <c r="AC50" s="1798"/>
      <c r="AD50" s="1798"/>
      <c r="AE50" s="1798"/>
      <c r="AF50" s="1798"/>
      <c r="AG50" s="1798"/>
      <c r="AH50" s="1798"/>
      <c r="AI50" s="1798"/>
      <c r="AJ50" s="3318">
        <f>MIN(SUM($AJ$43+$AJ$44+$AJ$48,0),_xlfn.IFS(BIPOC,3000000,$X$27,2800000,TRUE,2500000))</f>
        <v>0</v>
      </c>
      <c r="AK50" s="1798"/>
      <c r="AL50" s="1798"/>
      <c r="AM50" s="1889"/>
    </row>
    <row r="51" spans="2:42" ht="9" hidden="1" customHeight="1">
      <c r="B51" s="302"/>
      <c r="AM51" s="1749"/>
    </row>
    <row r="52" spans="2:42" ht="18" hidden="1" customHeight="1">
      <c r="B52" s="302"/>
      <c r="N52" s="1721">
        <f>IF($X$27,7%,5%)</f>
        <v>0.05</v>
      </c>
      <c r="O52" s="1929" t="s">
        <v>3321</v>
      </c>
      <c r="P52" s="1798"/>
      <c r="Q52" s="1798"/>
      <c r="R52" s="1798"/>
      <c r="S52" s="1798"/>
      <c r="T52" s="1798"/>
      <c r="U52" s="1798"/>
      <c r="V52" s="1798"/>
      <c r="W52" s="1798"/>
      <c r="X52" s="1798"/>
      <c r="Y52" s="1798"/>
      <c r="Z52" s="3345">
        <v>6666667</v>
      </c>
      <c r="AA52" s="1777"/>
      <c r="AB52" s="1777"/>
      <c r="AC52" s="1778"/>
      <c r="AD52" s="426" t="s">
        <v>3322</v>
      </c>
      <c r="AE52" s="3345">
        <v>1000000</v>
      </c>
      <c r="AF52" s="1777"/>
      <c r="AG52" s="1777"/>
      <c r="AH52" s="1778"/>
      <c r="AI52" s="481" t="s">
        <v>3323</v>
      </c>
      <c r="AJ52" s="3327">
        <f>ROUNDDOWN(MAX(0,$N$52*(IF(SUM(AC43:AF48)&gt;0,(SUM(AC43:AF48)-$Z$52)))+$AE$52),0)</f>
        <v>1000000</v>
      </c>
      <c r="AK52" s="1798"/>
      <c r="AL52" s="1798"/>
      <c r="AM52" s="1889"/>
    </row>
    <row r="53" spans="2:42" ht="9" hidden="1" customHeight="1">
      <c r="B53" s="302"/>
      <c r="AM53" s="1749"/>
    </row>
    <row r="54" spans="2:42" ht="18" hidden="1" customHeight="1">
      <c r="B54" s="302"/>
      <c r="V54" s="2020" t="s">
        <v>3324</v>
      </c>
      <c r="W54" s="1798"/>
      <c r="X54" s="1798"/>
      <c r="Y54" s="1798"/>
      <c r="Z54" s="1798"/>
      <c r="AA54" s="1798"/>
      <c r="AB54" s="1798"/>
      <c r="AC54" s="1798"/>
      <c r="AD54" s="1798"/>
      <c r="AE54" s="1798"/>
      <c r="AF54" s="1798"/>
      <c r="AG54" s="1798"/>
      <c r="AH54" s="1798"/>
      <c r="AI54" s="1798"/>
      <c r="AJ54" s="3353">
        <f>ROUNDDOWN(MIN(MAX($AJ$50,$AJ$52),6000000),0)</f>
        <v>1000000</v>
      </c>
      <c r="AK54" s="1798"/>
      <c r="AL54" s="1798"/>
      <c r="AM54" s="1889"/>
      <c r="AO54" s="476"/>
    </row>
    <row r="55" spans="2:42" ht="9" hidden="1" customHeight="1">
      <c r="B55" s="625"/>
      <c r="C55" s="1415"/>
      <c r="D55" s="1415"/>
      <c r="E55" s="1415"/>
      <c r="F55" s="1415"/>
      <c r="G55" s="1415"/>
      <c r="H55" s="1415"/>
      <c r="I55" s="1415"/>
      <c r="J55" s="1415"/>
      <c r="K55" s="1415"/>
      <c r="L55" s="1415"/>
      <c r="M55" s="1415"/>
      <c r="N55" s="1415"/>
      <c r="O55" s="1415"/>
      <c r="P55" s="1415"/>
      <c r="Q55" s="1415"/>
      <c r="R55" s="1415"/>
      <c r="S55" s="1415"/>
      <c r="T55" s="1415"/>
      <c r="U55" s="1415"/>
      <c r="V55" s="1415"/>
      <c r="W55" s="1415"/>
      <c r="X55" s="1415"/>
      <c r="Y55" s="1415"/>
      <c r="Z55" s="1415"/>
      <c r="AA55" s="1415"/>
      <c r="AB55" s="1415"/>
      <c r="AC55" s="1415"/>
      <c r="AD55" s="1415"/>
      <c r="AE55" s="1415"/>
      <c r="AF55" s="1415"/>
      <c r="AG55" s="1415"/>
      <c r="AH55" s="1415"/>
      <c r="AI55" s="1415"/>
      <c r="AJ55" s="1415"/>
      <c r="AK55" s="1415"/>
      <c r="AL55" s="1415"/>
      <c r="AM55" s="1476"/>
    </row>
    <row r="56" spans="2:42" ht="18" hidden="1" customHeight="1">
      <c r="B56" s="293"/>
      <c r="C56" s="293"/>
      <c r="D56" s="293"/>
      <c r="E56" s="293"/>
      <c r="F56" s="293"/>
      <c r="G56" s="293"/>
      <c r="H56" s="293"/>
      <c r="I56" s="293"/>
      <c r="J56" s="293"/>
      <c r="K56" s="293"/>
      <c r="L56" s="293"/>
      <c r="M56" s="293"/>
      <c r="N56" s="293"/>
      <c r="O56" s="293"/>
      <c r="P56" s="293"/>
      <c r="Q56" s="293"/>
      <c r="R56" s="293"/>
      <c r="S56" s="293"/>
      <c r="T56" s="293"/>
      <c r="U56" s="293"/>
      <c r="V56" s="294"/>
      <c r="W56" s="292"/>
      <c r="X56" s="292"/>
      <c r="Y56" s="292"/>
      <c r="Z56" s="295"/>
      <c r="AA56" s="292"/>
      <c r="AB56" s="292"/>
      <c r="AC56" s="292"/>
      <c r="AD56" s="292"/>
      <c r="AE56" s="481"/>
      <c r="AF56" s="292"/>
      <c r="AG56" s="292"/>
      <c r="AH56" s="292"/>
      <c r="AI56" s="292"/>
      <c r="AJ56" s="292"/>
    </row>
    <row r="57" spans="2:42" ht="18" hidden="1" customHeight="1">
      <c r="B57" s="3330" t="s">
        <v>3325</v>
      </c>
      <c r="C57" s="1953"/>
      <c r="D57" s="1953"/>
      <c r="E57" s="1953"/>
      <c r="F57" s="1953"/>
      <c r="G57" s="1953"/>
      <c r="H57" s="1953"/>
      <c r="I57" s="1953"/>
      <c r="J57" s="1953"/>
      <c r="K57" s="1953"/>
      <c r="L57" s="1953"/>
      <c r="M57" s="1953"/>
      <c r="N57" s="1953"/>
      <c r="O57" s="1953"/>
      <c r="P57" s="1953"/>
      <c r="Q57" s="1953"/>
      <c r="R57" s="1953"/>
      <c r="S57" s="1953"/>
      <c r="T57" s="1953"/>
      <c r="U57" s="1953"/>
      <c r="V57" s="1953"/>
      <c r="W57" s="1953"/>
      <c r="X57" s="1953"/>
      <c r="Y57" s="1953"/>
      <c r="Z57" s="1953"/>
      <c r="AA57" s="1953"/>
      <c r="AB57" s="1953"/>
      <c r="AC57" s="1953"/>
      <c r="AD57" s="1953"/>
      <c r="AE57" s="1953"/>
      <c r="AF57" s="1953"/>
      <c r="AG57" s="1953"/>
      <c r="AH57" s="1953"/>
      <c r="AI57" s="1953"/>
      <c r="AJ57" s="1953"/>
      <c r="AK57" s="1953"/>
      <c r="AL57" s="1953"/>
      <c r="AM57" s="1770"/>
      <c r="AO57" s="16"/>
    </row>
    <row r="58" spans="2:42" ht="18" hidden="1" customHeight="1">
      <c r="B58" s="2114" t="s">
        <v>3326</v>
      </c>
      <c r="C58" s="1798"/>
      <c r="D58" s="1798"/>
      <c r="E58" s="1798"/>
      <c r="F58" s="1798"/>
      <c r="G58" s="1798"/>
      <c r="H58" s="1798"/>
      <c r="I58" s="1798"/>
      <c r="J58" s="1798"/>
      <c r="K58" s="1798"/>
      <c r="L58" s="1798"/>
      <c r="M58" s="1798"/>
      <c r="N58" s="1798"/>
      <c r="O58" s="1798"/>
      <c r="P58" s="1798"/>
      <c r="Q58" s="1798"/>
      <c r="R58" s="1798"/>
      <c r="S58" s="1798"/>
      <c r="T58" s="1798"/>
      <c r="U58" s="1798"/>
      <c r="V58" s="1798"/>
      <c r="W58" s="1798"/>
      <c r="X58" s="1798"/>
      <c r="Y58" s="1798"/>
      <c r="Z58" s="1798"/>
      <c r="AA58" s="1798"/>
      <c r="AB58" s="1798"/>
      <c r="AC58" s="1798"/>
      <c r="AD58" s="1798"/>
      <c r="AE58" s="1798"/>
      <c r="AF58" s="1798"/>
      <c r="AG58" s="1798"/>
      <c r="AH58" s="1798"/>
      <c r="AI58" s="1798"/>
      <c r="AJ58" s="1798"/>
      <c r="AK58" s="1798"/>
      <c r="AL58" s="1798"/>
      <c r="AM58" s="1889"/>
    </row>
    <row r="59" spans="2:42" ht="9" hidden="1" customHeight="1">
      <c r="B59" s="302"/>
      <c r="AM59" s="1749"/>
    </row>
    <row r="60" spans="2:42" ht="18" hidden="1" customHeight="1">
      <c r="B60" s="297" t="s">
        <v>608</v>
      </c>
      <c r="C60" s="3324" t="s">
        <v>3327</v>
      </c>
      <c r="D60" s="1798"/>
      <c r="E60" s="1798"/>
      <c r="F60" s="1798"/>
      <c r="G60" s="1798"/>
      <c r="H60" s="1798"/>
      <c r="I60" s="1798"/>
      <c r="J60" s="1798"/>
      <c r="K60" s="1798"/>
      <c r="L60" s="1798"/>
      <c r="M60" s="1798"/>
      <c r="N60" s="1798"/>
      <c r="O60" s="1798"/>
      <c r="P60" s="1798"/>
      <c r="Q60" s="1798"/>
      <c r="R60" s="1798"/>
      <c r="S60" s="1798"/>
      <c r="T60" s="1798"/>
      <c r="U60" s="1798"/>
      <c r="V60" s="1798"/>
      <c r="W60" s="1798"/>
      <c r="X60" s="1798"/>
      <c r="Y60" s="1798"/>
      <c r="Z60" s="1798"/>
      <c r="AA60" s="1798"/>
      <c r="AB60" s="1798"/>
      <c r="AC60" s="1798"/>
      <c r="AD60" s="1798"/>
      <c r="AE60" s="1798"/>
      <c r="AF60" s="1798"/>
      <c r="AG60" s="1798"/>
      <c r="AH60" s="1798"/>
      <c r="AI60" s="1798"/>
      <c r="AJ60" s="1798"/>
      <c r="AK60" s="1798"/>
      <c r="AL60" s="1798"/>
      <c r="AM60" s="1889"/>
    </row>
    <row r="61" spans="2:42" ht="18" hidden="1" customHeight="1">
      <c r="B61" s="298"/>
      <c r="C61" s="3363" t="s">
        <v>3328</v>
      </c>
      <c r="D61" s="1798"/>
      <c r="E61" s="1798"/>
      <c r="F61" s="1798"/>
      <c r="G61" s="1798"/>
      <c r="H61" s="1798"/>
      <c r="I61" s="1798"/>
      <c r="J61" s="1798"/>
      <c r="K61" s="1798"/>
      <c r="L61" s="1798"/>
      <c r="M61" s="1798"/>
      <c r="N61" s="1798"/>
      <c r="O61" s="1798"/>
      <c r="P61" s="1798"/>
      <c r="Q61" s="1798"/>
      <c r="R61" s="1798"/>
      <c r="S61" s="1798"/>
      <c r="T61" s="1798"/>
      <c r="U61" s="1798"/>
      <c r="V61" s="1798"/>
      <c r="W61" s="1798"/>
      <c r="X61" s="1798"/>
      <c r="Y61" s="1798"/>
      <c r="Z61" s="1798"/>
      <c r="AA61" s="1798"/>
      <c r="AB61" s="1798"/>
      <c r="AC61" s="1798"/>
      <c r="AD61" s="1798"/>
      <c r="AE61" s="1798"/>
      <c r="AF61" s="1798"/>
      <c r="AG61" s="1798"/>
      <c r="AH61" s="1798"/>
      <c r="AI61" s="1798"/>
      <c r="AJ61" s="1798"/>
      <c r="AK61" s="1798"/>
      <c r="AL61" s="1798"/>
      <c r="AM61" s="1889"/>
      <c r="AP61" s="382"/>
    </row>
    <row r="62" spans="2:42" ht="18" hidden="1" customHeight="1">
      <c r="B62" s="297"/>
      <c r="C62" s="3320" t="s">
        <v>3329</v>
      </c>
      <c r="D62" s="1798"/>
      <c r="E62" s="1798"/>
      <c r="F62" s="1798"/>
      <c r="G62" s="1798"/>
      <c r="H62" s="1798"/>
      <c r="I62" s="1798"/>
      <c r="J62" s="1798"/>
      <c r="K62" s="1798"/>
      <c r="L62" s="1798"/>
      <c r="M62" s="1798"/>
      <c r="N62" s="1798"/>
      <c r="O62" s="1798"/>
      <c r="P62" s="1889"/>
      <c r="Q62" s="3372"/>
      <c r="R62" s="1865"/>
      <c r="S62" s="618"/>
      <c r="T62" s="618"/>
      <c r="V62" s="618"/>
      <c r="W62" s="618"/>
      <c r="X62" s="618"/>
      <c r="Y62" s="618"/>
      <c r="Z62" s="618"/>
      <c r="AA62" s="618"/>
      <c r="AB62" s="619"/>
      <c r="AC62" s="619"/>
      <c r="AD62" s="619"/>
      <c r="AE62" s="619"/>
      <c r="AM62" s="1749"/>
    </row>
    <row r="63" spans="2:42" ht="18" hidden="1" customHeight="1">
      <c r="B63" s="297"/>
      <c r="C63" s="3320" t="s">
        <v>3329</v>
      </c>
      <c r="D63" s="1798"/>
      <c r="E63" s="1798"/>
      <c r="F63" s="1798"/>
      <c r="G63" s="1798"/>
      <c r="H63" s="1798"/>
      <c r="I63" s="1798"/>
      <c r="J63" s="1798"/>
      <c r="K63" s="1798"/>
      <c r="L63" s="1798"/>
      <c r="M63" s="1798"/>
      <c r="N63" s="1798"/>
      <c r="O63" s="1798"/>
      <c r="P63" s="1889"/>
      <c r="Q63" s="3343">
        <v>35000</v>
      </c>
      <c r="R63" s="1777"/>
      <c r="S63" s="1778"/>
      <c r="T63" s="3336" t="s">
        <v>3330</v>
      </c>
      <c r="U63" s="1778"/>
      <c r="V63" s="3335">
        <f>IF($Q$62&gt;29,$Q$63*30,+$Q$62*$Q$63)</f>
        <v>0</v>
      </c>
      <c r="W63" s="1777"/>
      <c r="X63" s="1777"/>
      <c r="Y63" s="1778"/>
      <c r="Z63" s="618"/>
      <c r="AA63" s="618"/>
      <c r="AB63" s="619"/>
      <c r="AC63" s="619"/>
      <c r="AD63" s="619"/>
      <c r="AE63" s="619"/>
      <c r="AM63" s="1749"/>
      <c r="AO63" s="16"/>
    </row>
    <row r="64" spans="2:42" ht="18" hidden="1" customHeight="1">
      <c r="B64" s="297"/>
      <c r="C64" s="3320" t="s">
        <v>3331</v>
      </c>
      <c r="D64" s="1798"/>
      <c r="E64" s="1798"/>
      <c r="F64" s="1798"/>
      <c r="G64" s="1798"/>
      <c r="H64" s="1798"/>
      <c r="I64" s="1798"/>
      <c r="J64" s="1798"/>
      <c r="K64" s="1798"/>
      <c r="L64" s="1798"/>
      <c r="M64" s="1798"/>
      <c r="N64" s="1798"/>
      <c r="O64" s="1798"/>
      <c r="P64" s="1889"/>
      <c r="Q64" s="3343">
        <v>13500</v>
      </c>
      <c r="R64" s="1777"/>
      <c r="S64" s="1778"/>
      <c r="T64" s="3366" t="s">
        <v>3330</v>
      </c>
      <c r="U64" s="1778"/>
      <c r="V64" s="3335">
        <f>IF($Q$62&lt;30,0,($Q$62-30)*$Q$64)</f>
        <v>0</v>
      </c>
      <c r="W64" s="1777"/>
      <c r="X64" s="1777"/>
      <c r="Y64" s="1778"/>
      <c r="Z64" s="618"/>
      <c r="AA64" s="618"/>
      <c r="AB64" s="619"/>
      <c r="AC64" s="619"/>
      <c r="AD64" s="619"/>
      <c r="AE64" s="619"/>
      <c r="AM64" s="1749"/>
      <c r="AO64" s="16"/>
    </row>
    <row r="65" spans="2:42" ht="18" hidden="1" customHeight="1">
      <c r="B65" s="299"/>
      <c r="C65" s="3331" t="s">
        <v>3332</v>
      </c>
      <c r="D65" s="1798"/>
      <c r="E65" s="1798"/>
      <c r="F65" s="1798"/>
      <c r="G65" s="1798"/>
      <c r="H65" s="1798"/>
      <c r="I65" s="1798"/>
      <c r="J65" s="1798"/>
      <c r="K65" s="1798"/>
      <c r="L65" s="1798"/>
      <c r="M65" s="1798"/>
      <c r="N65" s="1798"/>
      <c r="O65" s="1798"/>
      <c r="P65" s="1798"/>
      <c r="Q65" s="1798"/>
      <c r="R65" s="1798"/>
      <c r="S65" s="1798"/>
      <c r="T65" s="1798"/>
      <c r="U65" s="1889"/>
      <c r="V65" s="3347">
        <f>+$V$63+$V$64</f>
        <v>0</v>
      </c>
      <c r="W65" s="1777"/>
      <c r="X65" s="1777"/>
      <c r="Y65" s="1778"/>
      <c r="Z65" s="631"/>
      <c r="AF65" s="618"/>
      <c r="AG65" s="619"/>
      <c r="AH65" s="619"/>
      <c r="AI65" s="619"/>
      <c r="AJ65" s="619"/>
      <c r="AM65" s="1749"/>
    </row>
    <row r="66" spans="2:42" ht="18" hidden="1" customHeight="1">
      <c r="B66" s="299"/>
      <c r="C66" s="632"/>
      <c r="D66" s="632"/>
      <c r="E66" s="632"/>
      <c r="F66" s="632"/>
      <c r="G66" s="632"/>
      <c r="H66" s="632"/>
      <c r="I66" s="632"/>
      <c r="J66" s="632"/>
      <c r="K66" s="632"/>
      <c r="L66" s="632"/>
      <c r="M66" s="632"/>
      <c r="N66" s="632"/>
      <c r="O66" s="632"/>
      <c r="P66" s="632"/>
      <c r="Q66" s="632"/>
      <c r="R66" s="632"/>
      <c r="S66" s="632"/>
      <c r="T66" s="632"/>
      <c r="U66" s="632"/>
      <c r="V66" s="633"/>
      <c r="W66" s="633"/>
      <c r="X66" s="633"/>
      <c r="Y66" s="633"/>
      <c r="Z66" s="631"/>
      <c r="AF66" s="618"/>
      <c r="AG66" s="619"/>
      <c r="AH66" s="619"/>
      <c r="AI66" s="619"/>
      <c r="AJ66" s="619"/>
      <c r="AM66" s="1749"/>
    </row>
    <row r="67" spans="2:42" ht="18" hidden="1" customHeight="1">
      <c r="B67" s="300" t="s">
        <v>611</v>
      </c>
      <c r="C67" s="3324" t="s">
        <v>3333</v>
      </c>
      <c r="D67" s="1798"/>
      <c r="E67" s="1798"/>
      <c r="F67" s="1798"/>
      <c r="G67" s="1798"/>
      <c r="H67" s="1798"/>
      <c r="I67" s="1798"/>
      <c r="J67" s="1798"/>
      <c r="K67" s="1798"/>
      <c r="L67" s="1798"/>
      <c r="M67" s="1798"/>
      <c r="N67" s="1798"/>
      <c r="O67" s="1798"/>
      <c r="P67" s="1798"/>
      <c r="Q67" s="1798"/>
      <c r="R67" s="1798"/>
      <c r="S67" s="1798"/>
      <c r="T67" s="1798"/>
      <c r="U67" s="1798"/>
      <c r="V67" s="1798"/>
      <c r="W67" s="1798"/>
      <c r="X67" s="1798"/>
      <c r="Y67" s="1798"/>
      <c r="Z67" s="1798"/>
      <c r="AA67" s="1798"/>
      <c r="AB67" s="1798"/>
      <c r="AC67" s="1798"/>
      <c r="AD67" s="1798"/>
      <c r="AE67" s="1798"/>
      <c r="AF67" s="1798"/>
      <c r="AG67" s="1798"/>
      <c r="AH67" s="1798"/>
      <c r="AI67" s="1798"/>
      <c r="AJ67" s="1798"/>
      <c r="AK67" s="1798"/>
      <c r="AL67" s="1798"/>
      <c r="AM67" s="1889"/>
    </row>
    <row r="68" spans="2:42" ht="18" hidden="1" customHeight="1">
      <c r="B68" s="301"/>
      <c r="C68" s="3363" t="s">
        <v>3334</v>
      </c>
      <c r="D68" s="1798"/>
      <c r="E68" s="1798"/>
      <c r="F68" s="1798"/>
      <c r="G68" s="1798"/>
      <c r="H68" s="1798"/>
      <c r="I68" s="1798"/>
      <c r="J68" s="1798"/>
      <c r="K68" s="1798"/>
      <c r="L68" s="1798"/>
      <c r="M68" s="1798"/>
      <c r="N68" s="1798"/>
      <c r="O68" s="1798"/>
      <c r="P68" s="1798"/>
      <c r="Q68" s="1798"/>
      <c r="R68" s="1798"/>
      <c r="S68" s="1798"/>
      <c r="T68" s="1798"/>
      <c r="U68" s="1798"/>
      <c r="V68" s="1798"/>
      <c r="W68" s="1798"/>
      <c r="X68" s="1798"/>
      <c r="Y68" s="1798"/>
      <c r="Z68" s="1798"/>
      <c r="AA68" s="1798"/>
      <c r="AB68" s="1798"/>
      <c r="AC68" s="1798"/>
      <c r="AD68" s="1798"/>
      <c r="AE68" s="1798"/>
      <c r="AF68" s="1798"/>
      <c r="AG68" s="1798"/>
      <c r="AH68" s="1798"/>
      <c r="AI68" s="1798"/>
      <c r="AJ68" s="1798"/>
      <c r="AK68" s="1798"/>
      <c r="AL68" s="1798"/>
      <c r="AM68" s="1889"/>
    </row>
    <row r="69" spans="2:42" ht="18" hidden="1" customHeight="1">
      <c r="B69" s="297"/>
      <c r="C69" s="3320" t="s">
        <v>3329</v>
      </c>
      <c r="D69" s="1798"/>
      <c r="E69" s="1798"/>
      <c r="F69" s="1798"/>
      <c r="G69" s="1798"/>
      <c r="H69" s="1798"/>
      <c r="I69" s="1798"/>
      <c r="J69" s="1798"/>
      <c r="K69" s="1798"/>
      <c r="L69" s="1798"/>
      <c r="M69" s="1798"/>
      <c r="N69" s="1798"/>
      <c r="O69" s="1798"/>
      <c r="P69" s="1889"/>
      <c r="Q69" s="3350"/>
      <c r="R69" s="1862"/>
      <c r="S69" s="618"/>
      <c r="T69" s="618"/>
      <c r="V69" s="618"/>
      <c r="W69" s="618"/>
      <c r="X69" s="618"/>
      <c r="Y69" s="618"/>
      <c r="Z69" s="618"/>
      <c r="AA69" s="618"/>
      <c r="AB69" s="619"/>
      <c r="AC69" s="619"/>
      <c r="AD69" s="619"/>
      <c r="AE69" s="619"/>
      <c r="AM69" s="1749"/>
    </row>
    <row r="70" spans="2:42" ht="18" hidden="1" customHeight="1">
      <c r="B70" s="297"/>
      <c r="C70" s="3320" t="s">
        <v>3335</v>
      </c>
      <c r="D70" s="1798"/>
      <c r="E70" s="1798"/>
      <c r="F70" s="1798"/>
      <c r="G70" s="1798"/>
      <c r="H70" s="1798"/>
      <c r="I70" s="1798"/>
      <c r="J70" s="1798"/>
      <c r="K70" s="1798"/>
      <c r="L70" s="1798"/>
      <c r="M70" s="1798"/>
      <c r="N70" s="1798"/>
      <c r="O70" s="1798"/>
      <c r="P70" s="1889"/>
      <c r="Q70" s="3343">
        <v>16000</v>
      </c>
      <c r="R70" s="1777"/>
      <c r="S70" s="1778"/>
      <c r="T70" s="3336" t="s">
        <v>3330</v>
      </c>
      <c r="U70" s="1778"/>
      <c r="V70" s="3335">
        <f>IF($Q$69&gt;29,$Q$70*30,+$Q$69*$Q$70)</f>
        <v>0</v>
      </c>
      <c r="W70" s="1777"/>
      <c r="X70" s="1777"/>
      <c r="Y70" s="1778"/>
      <c r="Z70" s="618"/>
      <c r="AA70" s="618"/>
      <c r="AB70" s="619"/>
      <c r="AC70" s="619"/>
      <c r="AD70" s="619"/>
      <c r="AE70" s="619"/>
      <c r="AM70" s="1749"/>
    </row>
    <row r="71" spans="2:42" ht="18" hidden="1" customHeight="1">
      <c r="B71" s="297"/>
      <c r="C71" s="3320" t="s">
        <v>3331</v>
      </c>
      <c r="D71" s="1798"/>
      <c r="E71" s="1798"/>
      <c r="F71" s="1798"/>
      <c r="G71" s="1798"/>
      <c r="H71" s="1798"/>
      <c r="I71" s="1798"/>
      <c r="J71" s="1798"/>
      <c r="K71" s="1798"/>
      <c r="L71" s="1798"/>
      <c r="M71" s="1798"/>
      <c r="N71" s="1798"/>
      <c r="O71" s="1798"/>
      <c r="P71" s="1889"/>
      <c r="Q71" s="3326">
        <v>7500</v>
      </c>
      <c r="R71" s="1777"/>
      <c r="S71" s="1778"/>
      <c r="T71" s="3336" t="s">
        <v>3330</v>
      </c>
      <c r="U71" s="1778"/>
      <c r="V71" s="3335">
        <f>IF($Q$69&lt;30,0,($Q$69-30)*$Q$71)</f>
        <v>0</v>
      </c>
      <c r="W71" s="1777"/>
      <c r="X71" s="1777"/>
      <c r="Y71" s="1778"/>
      <c r="Z71" s="618"/>
      <c r="AA71" s="618"/>
      <c r="AB71" s="619"/>
      <c r="AC71" s="619"/>
      <c r="AD71" s="619"/>
      <c r="AE71" s="619"/>
      <c r="AM71" s="1749"/>
      <c r="AO71" s="16"/>
      <c r="AP71" s="16"/>
    </row>
    <row r="72" spans="2:42" ht="18" hidden="1" customHeight="1">
      <c r="B72" s="299"/>
      <c r="C72" s="3365" t="s">
        <v>3336</v>
      </c>
      <c r="D72" s="1798"/>
      <c r="E72" s="1798"/>
      <c r="F72" s="1798"/>
      <c r="G72" s="1798"/>
      <c r="H72" s="1798"/>
      <c r="I72" s="1798"/>
      <c r="J72" s="1798"/>
      <c r="K72" s="1798"/>
      <c r="L72" s="1798"/>
      <c r="M72" s="1798"/>
      <c r="N72" s="1798"/>
      <c r="O72" s="1798"/>
      <c r="P72" s="1798"/>
      <c r="Q72" s="1798"/>
      <c r="R72" s="1798"/>
      <c r="S72" s="1798"/>
      <c r="T72" s="1798"/>
      <c r="U72" s="1889"/>
      <c r="V72" s="3347">
        <f>+$V$70+$V$71</f>
        <v>0</v>
      </c>
      <c r="W72" s="1777"/>
      <c r="X72" s="1777"/>
      <c r="Y72" s="1778"/>
      <c r="Z72" s="631"/>
      <c r="AF72" s="618"/>
      <c r="AG72" s="619"/>
      <c r="AH72" s="619"/>
      <c r="AI72" s="619"/>
      <c r="AJ72" s="619"/>
      <c r="AM72" s="1749"/>
      <c r="AO72" s="16"/>
      <c r="AP72" s="16"/>
    </row>
    <row r="73" spans="2:42" ht="18" hidden="1" customHeight="1">
      <c r="B73" s="299"/>
      <c r="C73" s="632"/>
      <c r="D73" s="632"/>
      <c r="E73" s="632"/>
      <c r="F73" s="632"/>
      <c r="G73" s="632"/>
      <c r="H73" s="632"/>
      <c r="I73" s="632"/>
      <c r="J73" s="632"/>
      <c r="K73" s="632"/>
      <c r="L73" s="632"/>
      <c r="M73" s="632"/>
      <c r="N73" s="632"/>
      <c r="O73" s="632"/>
      <c r="P73" s="632"/>
      <c r="Q73" s="632"/>
      <c r="R73" s="632"/>
      <c r="S73" s="632"/>
      <c r="T73" s="632"/>
      <c r="U73" s="632"/>
      <c r="V73" s="633"/>
      <c r="W73" s="633"/>
      <c r="X73" s="633"/>
      <c r="Y73" s="633"/>
      <c r="Z73" s="631"/>
      <c r="AF73" s="618"/>
      <c r="AG73" s="619"/>
      <c r="AH73" s="619"/>
      <c r="AI73" s="619"/>
      <c r="AJ73" s="619"/>
      <c r="AM73" s="1749"/>
      <c r="AO73" s="16"/>
      <c r="AP73" s="16"/>
    </row>
    <row r="74" spans="2:42" ht="18" hidden="1" customHeight="1">
      <c r="B74" s="297" t="s">
        <v>619</v>
      </c>
      <c r="C74" s="3324" t="s">
        <v>3337</v>
      </c>
      <c r="D74" s="1798"/>
      <c r="E74" s="1798"/>
      <c r="F74" s="1798"/>
      <c r="G74" s="1798"/>
      <c r="H74" s="1798"/>
      <c r="I74" s="1798"/>
      <c r="J74" s="1798"/>
      <c r="K74" s="1798"/>
      <c r="L74" s="1798"/>
      <c r="M74" s="1798"/>
      <c r="N74" s="1798"/>
      <c r="O74" s="1798"/>
      <c r="P74" s="1798"/>
      <c r="Q74" s="1798"/>
      <c r="R74" s="1798"/>
      <c r="S74" s="1798"/>
      <c r="T74" s="1798"/>
      <c r="U74" s="1798"/>
      <c r="V74" s="1798"/>
      <c r="W74" s="1798"/>
      <c r="X74" s="1798"/>
      <c r="Y74" s="1798"/>
      <c r="Z74" s="1798"/>
      <c r="AA74" s="1798"/>
      <c r="AB74" s="1798"/>
      <c r="AC74" s="1798"/>
      <c r="AD74" s="1798"/>
      <c r="AE74" s="1798"/>
      <c r="AF74" s="1798"/>
      <c r="AG74" s="1798"/>
      <c r="AH74" s="1798"/>
      <c r="AI74" s="1798"/>
      <c r="AJ74" s="1798"/>
      <c r="AK74" s="1798"/>
      <c r="AL74" s="1798"/>
      <c r="AM74" s="1889"/>
    </row>
    <row r="75" spans="2:42" ht="18" hidden="1" customHeight="1">
      <c r="B75" s="297"/>
      <c r="C75" s="3375" t="s">
        <v>3329</v>
      </c>
      <c r="D75" s="1798"/>
      <c r="E75" s="1798"/>
      <c r="F75" s="1798"/>
      <c r="G75" s="1798"/>
      <c r="H75" s="1798"/>
      <c r="I75" s="1798"/>
      <c r="J75" s="1798"/>
      <c r="K75" s="1798"/>
      <c r="L75" s="1798"/>
      <c r="M75" s="1798"/>
      <c r="N75" s="1798"/>
      <c r="O75" s="1798"/>
      <c r="P75" s="1798"/>
      <c r="Q75" s="3350"/>
      <c r="R75" s="1862"/>
      <c r="S75" s="634"/>
      <c r="T75" s="634"/>
      <c r="U75" s="634"/>
      <c r="W75" s="618"/>
      <c r="X75" s="618"/>
      <c r="Y75" s="618"/>
      <c r="AA75" s="618"/>
      <c r="AB75" s="618"/>
      <c r="AC75" s="618"/>
      <c r="AD75" s="618"/>
      <c r="AE75" s="618"/>
      <c r="AF75" s="618"/>
      <c r="AG75" s="619"/>
      <c r="AH75" s="619"/>
      <c r="AI75" s="619"/>
      <c r="AJ75" s="619"/>
      <c r="AM75" s="1749"/>
    </row>
    <row r="76" spans="2:42" ht="18" hidden="1" customHeight="1">
      <c r="B76" s="299"/>
      <c r="C76" s="3331" t="s">
        <v>3338</v>
      </c>
      <c r="D76" s="1798"/>
      <c r="E76" s="1798"/>
      <c r="F76" s="1798"/>
      <c r="G76" s="1798"/>
      <c r="H76" s="1798"/>
      <c r="I76" s="1798"/>
      <c r="J76" s="1798"/>
      <c r="K76" s="1798"/>
      <c r="L76" s="1798"/>
      <c r="M76" s="1798"/>
      <c r="N76" s="1798"/>
      <c r="O76" s="1798"/>
      <c r="P76" s="1889"/>
      <c r="Q76" s="3326">
        <v>2000</v>
      </c>
      <c r="R76" s="1777"/>
      <c r="S76" s="1778"/>
      <c r="T76" s="3336" t="s">
        <v>3339</v>
      </c>
      <c r="U76" s="1778"/>
      <c r="V76" s="3335">
        <f>+$Q$75*$Q$76</f>
        <v>0</v>
      </c>
      <c r="W76" s="1777"/>
      <c r="X76" s="1777"/>
      <c r="Y76" s="1778"/>
      <c r="Z76" s="618"/>
      <c r="AA76" s="618"/>
      <c r="AB76" s="618"/>
      <c r="AC76" s="618"/>
      <c r="AD76" s="618"/>
      <c r="AF76" s="618"/>
      <c r="AG76" s="619"/>
      <c r="AH76" s="619"/>
      <c r="AI76" s="619"/>
      <c r="AJ76" s="619"/>
      <c r="AM76" s="1749"/>
      <c r="AO76" s="16"/>
    </row>
    <row r="77" spans="2:42" ht="9" hidden="1" customHeight="1">
      <c r="B77" s="302"/>
      <c r="V77" s="303"/>
      <c r="W77" s="303"/>
      <c r="X77" s="303"/>
      <c r="Y77" s="303"/>
      <c r="AM77" s="1749"/>
    </row>
    <row r="78" spans="2:42" ht="18" hidden="1" customHeight="1">
      <c r="B78" s="3371" t="s">
        <v>3340</v>
      </c>
      <c r="C78" s="1877"/>
      <c r="D78" s="1877"/>
      <c r="E78" s="1877"/>
      <c r="F78" s="1877"/>
      <c r="G78" s="1877"/>
      <c r="H78" s="1877"/>
      <c r="I78" s="1877"/>
      <c r="J78" s="1877"/>
      <c r="K78" s="1877"/>
      <c r="L78" s="1877"/>
      <c r="M78" s="1877"/>
      <c r="N78" s="1877"/>
      <c r="O78" s="1877"/>
      <c r="P78" s="1877"/>
      <c r="Q78" s="1877"/>
      <c r="R78" s="1877"/>
      <c r="S78" s="1877"/>
      <c r="T78" s="1877"/>
      <c r="U78" s="1877"/>
      <c r="V78" s="1877"/>
      <c r="W78" s="1877"/>
      <c r="X78" s="1877"/>
      <c r="Y78" s="1877"/>
      <c r="Z78" s="1877"/>
      <c r="AA78" s="1877"/>
      <c r="AB78" s="1877"/>
      <c r="AC78" s="1877"/>
      <c r="AD78" s="1877"/>
      <c r="AE78" s="1877"/>
      <c r="AF78" s="1877"/>
      <c r="AG78" s="1877"/>
      <c r="AH78" s="1877"/>
      <c r="AI78" s="1877"/>
      <c r="AJ78" s="3370">
        <f>IF(vmDF="No Tax Credits",MIN(MAX($V$65,$V$72,$V$76)),0)</f>
        <v>0</v>
      </c>
      <c r="AK78" s="1777"/>
      <c r="AL78" s="1777"/>
      <c r="AM78" s="1778"/>
    </row>
    <row r="79" spans="2:42" ht="18" customHeight="1">
      <c r="B79" s="292"/>
      <c r="C79" s="292"/>
      <c r="D79" s="292"/>
      <c r="E79" s="292"/>
      <c r="F79" s="292"/>
      <c r="G79" s="292"/>
      <c r="H79" s="292"/>
      <c r="I79" s="292"/>
      <c r="J79" s="292"/>
      <c r="K79" s="292"/>
      <c r="L79" s="292"/>
      <c r="M79" s="292"/>
      <c r="N79" s="292"/>
      <c r="O79" s="292"/>
      <c r="P79" s="292"/>
      <c r="Q79" s="292"/>
      <c r="R79" s="292"/>
      <c r="S79" s="292"/>
      <c r="T79" s="292"/>
      <c r="U79" s="292"/>
      <c r="V79" s="292"/>
      <c r="W79" s="292"/>
      <c r="X79" s="292"/>
      <c r="Y79" s="292"/>
      <c r="Z79" s="292"/>
      <c r="AA79" s="292"/>
      <c r="AB79" s="292"/>
      <c r="AC79" s="292"/>
      <c r="AD79" s="292"/>
      <c r="AE79" s="292"/>
      <c r="AF79" s="292"/>
      <c r="AG79" s="292"/>
      <c r="AH79" s="292"/>
      <c r="AI79" s="292"/>
      <c r="AJ79" s="292"/>
    </row>
    <row r="80" spans="2:42" ht="18" customHeight="1">
      <c r="B80" s="3317" t="s">
        <v>461</v>
      </c>
      <c r="C80" s="1798"/>
      <c r="D80" s="1798"/>
      <c r="E80" s="1798"/>
      <c r="F80" s="1798"/>
      <c r="G80" s="1798"/>
      <c r="H80" s="1798"/>
      <c r="I80" s="1798"/>
      <c r="J80" s="1798"/>
      <c r="K80" s="1798"/>
      <c r="L80" s="1798"/>
      <c r="M80" s="1798"/>
      <c r="N80" s="1798"/>
      <c r="O80" s="1798"/>
      <c r="P80" s="1798"/>
      <c r="Q80" s="1798"/>
      <c r="R80" s="1798"/>
      <c r="S80" s="1798"/>
      <c r="T80" s="1798"/>
      <c r="U80" s="1798"/>
      <c r="V80" s="1798"/>
      <c r="W80" s="1798"/>
      <c r="X80" s="1798"/>
      <c r="Y80" s="1798"/>
      <c r="Z80" s="1798"/>
      <c r="AA80" s="1798"/>
      <c r="AB80" s="1798"/>
      <c r="AC80" s="1798"/>
      <c r="AD80" s="1798"/>
      <c r="AE80" s="1798"/>
      <c r="AF80" s="1798"/>
      <c r="AG80" s="1798"/>
      <c r="AH80" s="1798"/>
      <c r="AI80" s="1798"/>
      <c r="AJ80" s="1798"/>
      <c r="AK80" s="1798"/>
      <c r="AL80" s="1798"/>
      <c r="AM80" s="1798"/>
    </row>
  </sheetData>
  <sheetProtection algorithmName="SHA-512" hashValue="CgyDvVAGH6H+/YaWLGGETZr0ncF0fwatZBg/Nw8ZTFRNX72Deb+1s42+ZX8o9eoF307J4aiE1L1sOQp3CqOe4Q==" saltValue="V+e1fhGdmc0Om/vJtHgjtg==" spinCount="100000" sheet="1" objects="1" scenarios="1"/>
  <mergeCells count="134">
    <mergeCell ref="AE17:AH17"/>
    <mergeCell ref="B27:J27"/>
    <mergeCell ref="AJ30:AM30"/>
    <mergeCell ref="AA16:AD16"/>
    <mergeCell ref="C32:AB32"/>
    <mergeCell ref="AJ33:AM33"/>
    <mergeCell ref="AJ78:AM78"/>
    <mergeCell ref="Q75:R75"/>
    <mergeCell ref="V71:Y71"/>
    <mergeCell ref="V76:Y76"/>
    <mergeCell ref="B78:AI78"/>
    <mergeCell ref="C69:P69"/>
    <mergeCell ref="O26:W26"/>
    <mergeCell ref="Q62:R62"/>
    <mergeCell ref="C34:AB34"/>
    <mergeCell ref="AG48:AI48"/>
    <mergeCell ref="C30:Y30"/>
    <mergeCell ref="K26:L26"/>
    <mergeCell ref="V72:Y72"/>
    <mergeCell ref="C71:P71"/>
    <mergeCell ref="C75:P75"/>
    <mergeCell ref="AC48:AF48"/>
    <mergeCell ref="O27:W27"/>
    <mergeCell ref="AC22:AH22"/>
    <mergeCell ref="Q70:S70"/>
    <mergeCell ref="AC32:AF32"/>
    <mergeCell ref="T64:U64"/>
    <mergeCell ref="AG33:AI33"/>
    <mergeCell ref="C44:AB44"/>
    <mergeCell ref="C68:AM68"/>
    <mergeCell ref="B26:J26"/>
    <mergeCell ref="T70:U70"/>
    <mergeCell ref="C46:AB46"/>
    <mergeCell ref="AC33:AF33"/>
    <mergeCell ref="B41:AK41"/>
    <mergeCell ref="AG34:AI34"/>
    <mergeCell ref="Z52:AC52"/>
    <mergeCell ref="C48:AB48"/>
    <mergeCell ref="B16:Z16"/>
    <mergeCell ref="K27:L27"/>
    <mergeCell ref="C74:AM74"/>
    <mergeCell ref="F5:I5"/>
    <mergeCell ref="B18:Z18"/>
    <mergeCell ref="C70:P70"/>
    <mergeCell ref="B7:J7"/>
    <mergeCell ref="Q71:S71"/>
    <mergeCell ref="B17:Z17"/>
    <mergeCell ref="AJ34:AM34"/>
    <mergeCell ref="H24:O24"/>
    <mergeCell ref="B19:Z19"/>
    <mergeCell ref="L22:O22"/>
    <mergeCell ref="Q63:S63"/>
    <mergeCell ref="AD30:AI30"/>
    <mergeCell ref="C61:AM61"/>
    <mergeCell ref="C50:AI50"/>
    <mergeCell ref="C72:U72"/>
    <mergeCell ref="AJ44:AM44"/>
    <mergeCell ref="AE19:AH19"/>
    <mergeCell ref="AI17:AM17"/>
    <mergeCell ref="V70:Y70"/>
    <mergeCell ref="AA18:AD18"/>
    <mergeCell ref="AA14:AD14"/>
    <mergeCell ref="B3:AM3"/>
    <mergeCell ref="V65:Y65"/>
    <mergeCell ref="AA17:AD17"/>
    <mergeCell ref="T63:U63"/>
    <mergeCell ref="AL41:AM41"/>
    <mergeCell ref="B58:AM58"/>
    <mergeCell ref="T71:U71"/>
    <mergeCell ref="AA19:AD19"/>
    <mergeCell ref="Q69:R69"/>
    <mergeCell ref="AG44:AI44"/>
    <mergeCell ref="Y22:AB22"/>
    <mergeCell ref="AC34:AF34"/>
    <mergeCell ref="P22:X22"/>
    <mergeCell ref="X27:Y27"/>
    <mergeCell ref="F4:AD4"/>
    <mergeCell ref="C35:AI35"/>
    <mergeCell ref="C60:AM60"/>
    <mergeCell ref="C33:AB33"/>
    <mergeCell ref="AJ54:AM54"/>
    <mergeCell ref="AJ32:AM32"/>
    <mergeCell ref="AG45:AI45"/>
    <mergeCell ref="AG47:AI47"/>
    <mergeCell ref="AJ43:AM43"/>
    <mergeCell ref="X24:AC24"/>
    <mergeCell ref="B2:AM2"/>
    <mergeCell ref="B24:G24"/>
    <mergeCell ref="Q24:W24"/>
    <mergeCell ref="B22:K22"/>
    <mergeCell ref="V64:Y64"/>
    <mergeCell ref="T76:U76"/>
    <mergeCell ref="B12:K12"/>
    <mergeCell ref="AE12:AH12"/>
    <mergeCell ref="C43:AB43"/>
    <mergeCell ref="V63:Y63"/>
    <mergeCell ref="AI22:AM22"/>
    <mergeCell ref="V54:AI54"/>
    <mergeCell ref="AJ48:AM48"/>
    <mergeCell ref="AI12:AM12"/>
    <mergeCell ref="AE14:AH14"/>
    <mergeCell ref="AG46:AI46"/>
    <mergeCell ref="AC44:AF44"/>
    <mergeCell ref="Q64:S64"/>
    <mergeCell ref="C65:U65"/>
    <mergeCell ref="AL8:AM8"/>
    <mergeCell ref="AC43:AF43"/>
    <mergeCell ref="O52:Y52"/>
    <mergeCell ref="B39:AI39"/>
    <mergeCell ref="AE52:AH52"/>
    <mergeCell ref="B80:AM80"/>
    <mergeCell ref="AJ35:AM35"/>
    <mergeCell ref="AG32:AI32"/>
    <mergeCell ref="C62:P62"/>
    <mergeCell ref="B5:E5"/>
    <mergeCell ref="C64:P64"/>
    <mergeCell ref="B8:AK8"/>
    <mergeCell ref="C45:AB45"/>
    <mergeCell ref="B4:E4"/>
    <mergeCell ref="C67:AM67"/>
    <mergeCell ref="AJ50:AM50"/>
    <mergeCell ref="C63:P63"/>
    <mergeCell ref="C47:AB47"/>
    <mergeCell ref="AE16:AH16"/>
    <mergeCell ref="Q76:S76"/>
    <mergeCell ref="AJ52:AM52"/>
    <mergeCell ref="B9:AK9"/>
    <mergeCell ref="AG43:AI43"/>
    <mergeCell ref="AJ39:AM39"/>
    <mergeCell ref="AI16:AM16"/>
    <mergeCell ref="AE18:AH18"/>
    <mergeCell ref="B57:AM57"/>
    <mergeCell ref="C76:P76"/>
    <mergeCell ref="X26:Y26"/>
  </mergeCells>
  <conditionalFormatting sqref="AI16">
    <cfRule type="cellIs" dxfId="637" priority="8" operator="equal">
      <formula>0</formula>
    </cfRule>
    <cfRule type="cellIs" dxfId="636" priority="11" operator="greaterThan">
      <formula>0</formula>
    </cfRule>
  </conditionalFormatting>
  <conditionalFormatting sqref="AI17:AI19">
    <cfRule type="cellIs" dxfId="635" priority="5" operator="equal">
      <formula>0</formula>
    </cfRule>
    <cfRule type="cellIs" dxfId="634" priority="6" operator="greaterThan">
      <formula>0</formula>
    </cfRule>
  </conditionalFormatting>
  <conditionalFormatting sqref="AC43:AC44">
    <cfRule type="expression" dxfId="633" priority="449">
      <formula>$C$43="Not Applicable"</formula>
    </cfRule>
  </conditionalFormatting>
  <conditionalFormatting sqref="AG46">
    <cfRule type="expression" dxfId="632" priority="450">
      <formula>$C$46="Not Applicable"</formula>
    </cfRule>
  </conditionalFormatting>
  <conditionalFormatting sqref="AG47">
    <cfRule type="expression" dxfId="631" priority="451">
      <formula>$C$47="Not Applicable"</formula>
    </cfRule>
  </conditionalFormatting>
  <conditionalFormatting sqref="AC48 AG45">
    <cfRule type="expression" dxfId="630" priority="452">
      <formula>$C$45="Not Applicable"</formula>
    </cfRule>
  </conditionalFormatting>
  <conditionalFormatting sqref="AJ45:AJ47">
    <cfRule type="expression" dxfId="629" priority="455" stopIfTrue="1">
      <formula>OR($F$5="Origination",$F$5="Perm Close")</formula>
    </cfRule>
    <cfRule type="expression" dxfId="628" priority="456">
      <formula>$C$44="Not Applicable"</formula>
    </cfRule>
  </conditionalFormatting>
  <conditionalFormatting sqref="AC32:AC34">
    <cfRule type="expression" dxfId="627" priority="1">
      <formula>$C$45="Not Applicable"</formula>
    </cfRule>
  </conditionalFormatting>
  <dataValidations count="5">
    <dataValidation type="list" allowBlank="1" showInputMessage="1" showErrorMessage="1" sqref="H24:O24" xr:uid="{00000000-0002-0000-2000-000000000000}">
      <formula1>"No Tax Credits, 4% Credits New Construction, 4% Credits Rehabilitation,4% Credits Acq. Rehabilitation,4% Credits Adaptive Reuse,9% Credits New Construction,9% Credits Rehabilitation,9% Credits Acq. Rehabilitation,9% Credits Adaptive Reuse"</formula1>
    </dataValidation>
    <dataValidation type="list" allowBlank="1" showInputMessage="1" showErrorMessage="1" sqref="AL41:AM41" xr:uid="{00000000-0002-0000-2000-000001000000}">
      <formula1>"TRUE, FALSE"</formula1>
    </dataValidation>
    <dataValidation type="list" allowBlank="1" showInputMessage="1" showErrorMessage="1" sqref="AG45:AI47" xr:uid="{00000000-0002-0000-2000-000002000000}">
      <formula1>"TRUE"</formula1>
    </dataValidation>
    <dataValidation type="list" allowBlank="1" showInputMessage="1" showErrorMessage="1" sqref="AL8:AM8" xr:uid="{00000000-0002-0000-2000-000003000000}">
      <formula1>"Yes, No"</formula1>
    </dataValidation>
    <dataValidation type="list" allowBlank="1" showInputMessage="1" showErrorMessage="1" sqref="F5:I5" xr:uid="{58D5F3FF-31FB-4B1B-9E21-D3FD2F4EEB37}">
      <formula1>"Origination,Constrcution Close, Perm Close"</formula1>
    </dataValidation>
  </dataValidations>
  <hyperlinks>
    <hyperlink ref="B7" r:id="rId1" xr:uid="{00000000-0004-0000-2000-000000000000}"/>
  </hyperlinks>
  <pageMargins left="0.7" right="0.7" top="0.75" bottom="0.75" header="0.3" footer="0.3"/>
  <pageSetup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458754" r:id="rId5" name="Group Box 2">
              <controlPr defaultSize="0" autoFill="0" autoPict="0">
                <anchor moveWithCells="1">
                  <from>
                    <xdr:col>30</xdr:col>
                    <xdr:colOff>0</xdr:colOff>
                    <xdr:row>10</xdr:row>
                    <xdr:rowOff>0</xdr:rowOff>
                  </from>
                  <to>
                    <xdr:col>41</xdr:col>
                    <xdr:colOff>447675</xdr:colOff>
                    <xdr:row>10</xdr:row>
                    <xdr:rowOff>0</xdr:rowOff>
                  </to>
                </anchor>
              </controlPr>
            </control>
          </mc:Choice>
        </mc:AlternateContent>
        <mc:AlternateContent xmlns:mc="http://schemas.openxmlformats.org/markup-compatibility/2006">
          <mc:Choice Requires="x14">
            <control shapeId="458756" r:id="rId6" name="Group Box 4">
              <controlPr defaultSize="0" autoFill="0" autoPict="0">
                <anchor moveWithCells="1">
                  <from>
                    <xdr:col>30</xdr:col>
                    <xdr:colOff>0</xdr:colOff>
                    <xdr:row>10</xdr:row>
                    <xdr:rowOff>0</xdr:rowOff>
                  </from>
                  <to>
                    <xdr:col>41</xdr:col>
                    <xdr:colOff>447675</xdr:colOff>
                    <xdr:row>10</xdr:row>
                    <xdr:rowOff>0</xdr:rowOff>
                  </to>
                </anchor>
              </controlPr>
            </control>
          </mc:Choice>
        </mc:AlternateContent>
        <mc:AlternateContent xmlns:mc="http://schemas.openxmlformats.org/markup-compatibility/2006">
          <mc:Choice Requires="x14">
            <control shapeId="458761" r:id="rId7" name="Group Box 9">
              <controlPr defaultSize="0" autoFill="0" autoPict="0">
                <anchor moveWithCells="1">
                  <from>
                    <xdr:col>30</xdr:col>
                    <xdr:colOff>0</xdr:colOff>
                    <xdr:row>10</xdr:row>
                    <xdr:rowOff>0</xdr:rowOff>
                  </from>
                  <to>
                    <xdr:col>41</xdr:col>
                    <xdr:colOff>447675</xdr:colOff>
                    <xdr:row>10</xdr:row>
                    <xdr:rowOff>0</xdr:rowOff>
                  </to>
                </anchor>
              </controlPr>
            </control>
          </mc:Choice>
        </mc:AlternateContent>
        <mc:AlternateContent xmlns:mc="http://schemas.openxmlformats.org/markup-compatibility/2006">
          <mc:Choice Requires="x14">
            <control shapeId="458762" r:id="rId8" name="Group Box 10">
              <controlPr defaultSize="0" autoFill="0" autoPict="0">
                <anchor moveWithCells="1">
                  <from>
                    <xdr:col>30</xdr:col>
                    <xdr:colOff>0</xdr:colOff>
                    <xdr:row>10</xdr:row>
                    <xdr:rowOff>0</xdr:rowOff>
                  </from>
                  <to>
                    <xdr:col>41</xdr:col>
                    <xdr:colOff>447675</xdr:colOff>
                    <xdr:row>10</xdr:row>
                    <xdr:rowOff>0</xdr:rowOff>
                  </to>
                </anchor>
              </controlPr>
            </control>
          </mc:Choice>
        </mc:AlternateContent>
        <mc:AlternateContent xmlns:mc="http://schemas.openxmlformats.org/markup-compatibility/2006">
          <mc:Choice Requires="x14">
            <control shapeId="458753" r:id="rId9" name="Group Box 1">
              <controlPr defaultSize="0" autoFill="0" autoPict="0">
                <anchor moveWithCells="1">
                  <from>
                    <xdr:col>30</xdr:col>
                    <xdr:colOff>0</xdr:colOff>
                    <xdr:row>10</xdr:row>
                    <xdr:rowOff>0</xdr:rowOff>
                  </from>
                  <to>
                    <xdr:col>41</xdr:col>
                    <xdr:colOff>447675</xdr:colOff>
                    <xdr:row>10</xdr:row>
                    <xdr:rowOff>0</xdr:rowOff>
                  </to>
                </anchor>
              </controlPr>
            </control>
          </mc:Choice>
        </mc:AlternateContent>
        <mc:AlternateContent xmlns:mc="http://schemas.openxmlformats.org/markup-compatibility/2006">
          <mc:Choice Requires="x14">
            <control shapeId="458757" r:id="rId10" name="Group Box 5">
              <controlPr defaultSize="0" autoFill="0" autoPict="0">
                <anchor moveWithCells="1">
                  <from>
                    <xdr:col>30</xdr:col>
                    <xdr:colOff>0</xdr:colOff>
                    <xdr:row>10</xdr:row>
                    <xdr:rowOff>0</xdr:rowOff>
                  </from>
                  <to>
                    <xdr:col>41</xdr:col>
                    <xdr:colOff>447675</xdr:colOff>
                    <xdr:row>10</xdr:row>
                    <xdr:rowOff>0</xdr:rowOff>
                  </to>
                </anchor>
              </controlPr>
            </control>
          </mc:Choice>
        </mc:AlternateContent>
        <mc:AlternateContent xmlns:mc="http://schemas.openxmlformats.org/markup-compatibility/2006">
          <mc:Choice Requires="x14">
            <control shapeId="458758" r:id="rId11" name="Group Box 6">
              <controlPr defaultSize="0" autoFill="0" autoPict="0">
                <anchor moveWithCells="1">
                  <from>
                    <xdr:col>30</xdr:col>
                    <xdr:colOff>0</xdr:colOff>
                    <xdr:row>10</xdr:row>
                    <xdr:rowOff>0</xdr:rowOff>
                  </from>
                  <to>
                    <xdr:col>41</xdr:col>
                    <xdr:colOff>447675</xdr:colOff>
                    <xdr:row>10</xdr:row>
                    <xdr:rowOff>0</xdr:rowOff>
                  </to>
                </anchor>
              </controlPr>
            </control>
          </mc:Choice>
        </mc:AlternateContent>
        <mc:AlternateContent xmlns:mc="http://schemas.openxmlformats.org/markup-compatibility/2006">
          <mc:Choice Requires="x14">
            <control shapeId="458755" r:id="rId12" name="Group Box 3">
              <controlPr defaultSize="0" autoFill="0" autoPict="0">
                <anchor moveWithCells="1">
                  <from>
                    <xdr:col>30</xdr:col>
                    <xdr:colOff>28575</xdr:colOff>
                    <xdr:row>10</xdr:row>
                    <xdr:rowOff>0</xdr:rowOff>
                  </from>
                  <to>
                    <xdr:col>41</xdr:col>
                    <xdr:colOff>409575</xdr:colOff>
                    <xdr:row>10</xdr:row>
                    <xdr:rowOff>0</xdr:rowOff>
                  </to>
                </anchor>
              </controlPr>
            </control>
          </mc:Choice>
        </mc:AlternateContent>
        <mc:AlternateContent xmlns:mc="http://schemas.openxmlformats.org/markup-compatibility/2006">
          <mc:Choice Requires="x14">
            <control shapeId="458759" r:id="rId13" name="Group Box 7">
              <controlPr defaultSize="0" autoFill="0" autoPict="0">
                <anchor moveWithCells="1">
                  <from>
                    <xdr:col>30</xdr:col>
                    <xdr:colOff>0</xdr:colOff>
                    <xdr:row>10</xdr:row>
                    <xdr:rowOff>0</xdr:rowOff>
                  </from>
                  <to>
                    <xdr:col>41</xdr:col>
                    <xdr:colOff>447675</xdr:colOff>
                    <xdr:row>10</xdr:row>
                    <xdr:rowOff>0</xdr:rowOff>
                  </to>
                </anchor>
              </controlPr>
            </control>
          </mc:Choice>
        </mc:AlternateContent>
        <mc:AlternateContent xmlns:mc="http://schemas.openxmlformats.org/markup-compatibility/2006">
          <mc:Choice Requires="x14">
            <control shapeId="458760" r:id="rId14" name="Group Box 8">
              <controlPr defaultSize="0" autoFill="0" autoPict="0">
                <anchor moveWithCells="1">
                  <from>
                    <xdr:col>30</xdr:col>
                    <xdr:colOff>0</xdr:colOff>
                    <xdr:row>10</xdr:row>
                    <xdr:rowOff>0</xdr:rowOff>
                  </from>
                  <to>
                    <xdr:col>41</xdr:col>
                    <xdr:colOff>447675</xdr:colOff>
                    <xdr:row>10</xdr:row>
                    <xdr:rowOff>0</xdr:rowOff>
                  </to>
                </anchor>
              </controlPr>
            </control>
          </mc:Choice>
        </mc:AlternateContent>
      </controls>
    </mc:Choice>
  </mc:AlternateContent>
</worksheet>
</file>

<file path=xl/worksheets/sheet3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HighCostVerification"/>
  <dimension ref="A1:AW63"/>
  <sheetViews>
    <sheetView showGridLines="0" topLeftCell="A22" zoomScaleNormal="100" zoomScaleSheetLayoutView="100" workbookViewId="0">
      <selection activeCell="Y55" sqref="Y55:AE55"/>
    </sheetView>
  </sheetViews>
  <sheetFormatPr defaultColWidth="9.28515625" defaultRowHeight="18" customHeight="1"/>
  <cols>
    <col min="1" max="1" width="8.7109375" style="126" customWidth="1"/>
    <col min="2" max="39" width="4.28515625" style="126" customWidth="1"/>
    <col min="40" max="40" width="9.28515625" style="126" customWidth="1"/>
    <col min="41" max="41" width="2.28515625" style="126" customWidth="1"/>
    <col min="42" max="42" width="4.28515625" style="126" customWidth="1"/>
    <col min="43" max="43" width="15.42578125" style="425" customWidth="1"/>
    <col min="44" max="44" width="18.7109375" style="425" customWidth="1"/>
    <col min="45" max="45" width="16.28515625" style="425" customWidth="1"/>
    <col min="46" max="47" width="17.7109375" style="425" customWidth="1"/>
    <col min="48" max="48" width="19" style="425" customWidth="1"/>
    <col min="49" max="49" width="14.7109375" style="126" customWidth="1"/>
    <col min="50" max="50" width="10.28515625" style="126" customWidth="1"/>
    <col min="51" max="52" width="9.28515625" style="126" customWidth="1"/>
    <col min="53" max="16384" width="9.28515625" style="126"/>
  </cols>
  <sheetData>
    <row r="1" spans="2:48" ht="18" customHeight="1">
      <c r="AP1"/>
    </row>
    <row r="2" spans="2:48" ht="36" customHeight="1">
      <c r="B2" s="3425" t="s">
        <v>3341</v>
      </c>
      <c r="C2" s="1877"/>
      <c r="D2" s="1877"/>
      <c r="E2" s="1877"/>
      <c r="F2" s="1877"/>
      <c r="G2" s="1877"/>
      <c r="H2" s="1877"/>
      <c r="I2" s="1877"/>
      <c r="J2" s="1877"/>
      <c r="K2" s="1877"/>
      <c r="L2" s="1877"/>
      <c r="M2" s="1877"/>
      <c r="N2" s="1877"/>
      <c r="O2" s="1877"/>
      <c r="P2" s="1877"/>
      <c r="Q2" s="1877"/>
      <c r="R2" s="1877"/>
      <c r="S2" s="1877"/>
      <c r="T2" s="1877"/>
      <c r="U2" s="1877"/>
      <c r="V2" s="1877"/>
      <c r="W2" s="1877"/>
      <c r="X2" s="1877"/>
      <c r="Y2" s="1877"/>
      <c r="Z2" s="1877"/>
      <c r="AA2" s="1877"/>
      <c r="AB2" s="1877"/>
      <c r="AC2" s="1877"/>
      <c r="AD2" s="1877"/>
      <c r="AE2" s="1877"/>
      <c r="AF2" s="1877"/>
      <c r="AG2" s="1877"/>
      <c r="AH2" s="1877"/>
      <c r="AI2" s="1877"/>
      <c r="AJ2" s="1877"/>
      <c r="AK2" s="1877"/>
      <c r="AL2" s="1877"/>
      <c r="AQ2" s="1609" t="s">
        <v>3342</v>
      </c>
    </row>
    <row r="3" spans="2:48" ht="18" customHeight="1">
      <c r="B3" s="252"/>
      <c r="C3" s="252"/>
      <c r="D3" s="252"/>
      <c r="E3" s="252"/>
      <c r="F3" s="252"/>
      <c r="G3" s="252"/>
      <c r="H3" s="252"/>
      <c r="I3" s="252"/>
      <c r="J3" s="252"/>
      <c r="K3" s="252"/>
      <c r="L3" s="252"/>
      <c r="M3" s="252"/>
      <c r="N3" s="252"/>
      <c r="O3" s="252"/>
      <c r="P3" s="252"/>
      <c r="Q3" s="252"/>
      <c r="R3" s="252"/>
      <c r="S3" s="252"/>
      <c r="T3" s="252"/>
      <c r="U3" s="252"/>
      <c r="V3" s="252"/>
      <c r="W3" s="252"/>
      <c r="X3" s="252"/>
      <c r="Y3" s="252"/>
      <c r="Z3" s="252"/>
      <c r="AA3" s="252"/>
      <c r="AB3" s="252"/>
      <c r="AC3" s="252"/>
      <c r="AD3" s="252"/>
      <c r="AE3" s="252"/>
      <c r="AF3" s="252"/>
      <c r="AG3" s="252"/>
      <c r="AH3" s="252"/>
      <c r="AI3" s="252"/>
      <c r="AJ3" s="252"/>
      <c r="AK3" s="252"/>
      <c r="AL3" s="252"/>
      <c r="AM3" s="130"/>
      <c r="AQ3" s="1475" t="s">
        <v>1474</v>
      </c>
      <c r="AR3" s="1408" t="s">
        <v>3343</v>
      </c>
      <c r="AS3" s="1408" t="s">
        <v>3344</v>
      </c>
      <c r="AT3" s="1408" t="s">
        <v>3345</v>
      </c>
      <c r="AU3" s="1408" t="s">
        <v>3346</v>
      </c>
      <c r="AV3" s="1408" t="s">
        <v>3347</v>
      </c>
    </row>
    <row r="4" spans="2:48" ht="18" customHeight="1">
      <c r="B4" s="3377" t="s">
        <v>1300</v>
      </c>
      <c r="C4" s="3378"/>
      <c r="D4" s="3378"/>
      <c r="E4" s="3378"/>
      <c r="F4" s="3395" t="str">
        <f>IF(ProjectName&gt;0,ProjectName,"")</f>
        <v/>
      </c>
      <c r="G4" s="3378"/>
      <c r="H4" s="3378"/>
      <c r="I4" s="3378"/>
      <c r="J4" s="3378"/>
      <c r="K4" s="3378"/>
      <c r="L4" s="3378"/>
      <c r="M4" s="3378"/>
      <c r="N4" s="3378"/>
      <c r="O4" s="3378"/>
      <c r="P4" s="3378"/>
      <c r="Q4" s="3378"/>
      <c r="R4" s="3378"/>
      <c r="S4" s="3378"/>
      <c r="T4" s="3378"/>
      <c r="U4" s="3404" t="s">
        <v>3348</v>
      </c>
      <c r="V4" s="3378"/>
      <c r="W4" s="3377" t="str">
        <f>IF(County&gt;0,County,"")</f>
        <v/>
      </c>
      <c r="X4" s="3378"/>
      <c r="Y4" s="3378"/>
      <c r="Z4" s="3378"/>
      <c r="AA4" s="3378"/>
      <c r="AB4" s="3378"/>
      <c r="AC4" s="3384" t="s">
        <v>3349</v>
      </c>
      <c r="AD4" s="3378"/>
      <c r="AE4" s="3378"/>
      <c r="AF4" s="3378"/>
      <c r="AG4" s="3378"/>
      <c r="AH4" s="3378"/>
      <c r="AI4" s="3378"/>
      <c r="AJ4" s="3378"/>
      <c r="AK4" s="3428" t="str">
        <f>IF(Taxcredit&gt;0,Taxcredit,"")</f>
        <v/>
      </c>
      <c r="AL4" s="3378"/>
      <c r="AM4" s="127"/>
      <c r="AQ4" s="1409" t="s">
        <v>2</v>
      </c>
      <c r="AR4" s="677">
        <v>491221</v>
      </c>
      <c r="AS4" s="678">
        <v>566373</v>
      </c>
      <c r="AT4" s="678">
        <v>683200</v>
      </c>
      <c r="AU4" s="678">
        <v>874496</v>
      </c>
      <c r="AV4" s="678">
        <v>974243</v>
      </c>
    </row>
    <row r="5" spans="2:48" ht="18" customHeight="1">
      <c r="B5" s="3404" t="s">
        <v>3350</v>
      </c>
      <c r="C5" s="3378"/>
      <c r="D5" s="3378"/>
      <c r="E5" s="3378"/>
      <c r="F5" s="3408"/>
      <c r="G5" s="3409"/>
      <c r="H5" s="3409"/>
      <c r="I5" s="3409"/>
      <c r="J5" s="249"/>
      <c r="K5" s="249"/>
      <c r="L5" s="249"/>
      <c r="M5" s="249"/>
      <c r="N5" s="249"/>
      <c r="O5" s="249"/>
      <c r="P5" s="249"/>
      <c r="Q5" s="249"/>
      <c r="R5" s="249"/>
      <c r="S5" s="249"/>
      <c r="T5" s="249"/>
      <c r="U5" s="249"/>
      <c r="V5" s="249"/>
      <c r="W5" s="249"/>
      <c r="X5" s="249"/>
      <c r="Y5" s="249"/>
      <c r="Z5" s="249"/>
      <c r="AA5" s="249"/>
      <c r="AB5" s="249"/>
      <c r="AC5" s="249"/>
      <c r="AD5" s="249"/>
      <c r="AE5" s="249"/>
      <c r="AF5" s="249"/>
      <c r="AG5" s="249"/>
      <c r="AH5" s="249"/>
      <c r="AI5" s="249"/>
      <c r="AJ5" s="249"/>
      <c r="AK5" s="249"/>
      <c r="AL5" s="249"/>
      <c r="AM5" s="3383"/>
      <c r="AN5" s="3378"/>
      <c r="AQ5" s="1410" t="s">
        <v>8</v>
      </c>
      <c r="AR5" s="679">
        <v>402640</v>
      </c>
      <c r="AS5" s="680">
        <v>464240</v>
      </c>
      <c r="AT5" s="680">
        <v>560000</v>
      </c>
      <c r="AU5" s="680">
        <v>716800</v>
      </c>
      <c r="AV5" s="680">
        <v>798560</v>
      </c>
    </row>
    <row r="6" spans="2:48" ht="18" customHeight="1">
      <c r="B6" s="1736"/>
      <c r="C6" s="1736"/>
      <c r="D6" s="1736"/>
      <c r="E6" s="1736"/>
      <c r="F6" s="1736"/>
      <c r="G6" s="1736"/>
      <c r="H6" s="1736"/>
      <c r="I6" s="1736"/>
      <c r="J6" s="249"/>
      <c r="K6" s="249"/>
      <c r="L6" s="249"/>
      <c r="M6" s="249"/>
      <c r="N6" s="249"/>
      <c r="O6" s="249"/>
      <c r="P6" s="249"/>
      <c r="Q6" s="249"/>
      <c r="R6" s="249"/>
      <c r="S6" s="249"/>
      <c r="T6" s="249"/>
      <c r="U6" s="249"/>
      <c r="V6" s="249"/>
      <c r="W6" s="249"/>
      <c r="X6" s="249"/>
      <c r="Y6" s="249"/>
      <c r="Z6" s="249"/>
      <c r="AA6" s="249"/>
      <c r="AB6" s="249"/>
      <c r="AC6" s="249"/>
      <c r="AD6" s="249"/>
      <c r="AE6" s="249"/>
      <c r="AF6" s="249"/>
      <c r="AG6" s="249"/>
      <c r="AH6" s="249"/>
      <c r="AI6" s="249"/>
      <c r="AJ6" s="249"/>
      <c r="AK6" s="249"/>
      <c r="AL6" s="249"/>
      <c r="AM6" s="1735"/>
      <c r="AQ6" s="1409" t="s">
        <v>13</v>
      </c>
      <c r="AR6" s="677">
        <v>402640</v>
      </c>
      <c r="AS6" s="678">
        <v>464240</v>
      </c>
      <c r="AT6" s="678">
        <v>560000</v>
      </c>
      <c r="AU6" s="678">
        <v>716800</v>
      </c>
      <c r="AV6" s="678">
        <v>798560</v>
      </c>
    </row>
    <row r="7" spans="2:48" ht="54" customHeight="1">
      <c r="B7" s="3388" t="s">
        <v>850</v>
      </c>
      <c r="C7" s="1777"/>
      <c r="D7" s="1777"/>
      <c r="E7" s="1777"/>
      <c r="F7" s="1777"/>
      <c r="G7" s="1777"/>
      <c r="H7" s="1778"/>
      <c r="I7" s="3393" t="s">
        <v>3351</v>
      </c>
      <c r="J7" s="1777"/>
      <c r="K7" s="1777"/>
      <c r="L7" s="1777"/>
      <c r="M7" s="1778"/>
      <c r="N7" s="3427" t="s">
        <v>600</v>
      </c>
      <c r="O7" s="1770"/>
      <c r="P7" s="3393" t="s">
        <v>3352</v>
      </c>
      <c r="Q7" s="1777"/>
      <c r="R7" s="1777"/>
      <c r="S7" s="1778"/>
      <c r="T7" s="3401" t="s">
        <v>3353</v>
      </c>
      <c r="U7" s="1777"/>
      <c r="V7" s="1777"/>
      <c r="W7" s="1777"/>
      <c r="X7" s="1777"/>
      <c r="Y7" s="1777"/>
      <c r="Z7" s="1777"/>
      <c r="AA7" s="1777"/>
      <c r="AB7" s="1777"/>
      <c r="AC7" s="1777"/>
      <c r="AD7" s="1777"/>
      <c r="AE7" s="1777"/>
      <c r="AF7" s="1777"/>
      <c r="AG7" s="1778"/>
      <c r="AH7" s="3381">
        <f>SUM(P8:S12)</f>
        <v>0</v>
      </c>
      <c r="AI7" s="1777"/>
      <c r="AJ7" s="1777"/>
      <c r="AK7" s="1777"/>
      <c r="AL7" s="1778"/>
      <c r="AO7" s="67">
        <v>2</v>
      </c>
      <c r="AQ7" s="1410" t="s">
        <v>17</v>
      </c>
      <c r="AR7" s="679">
        <v>369278</v>
      </c>
      <c r="AS7" s="680">
        <v>425774</v>
      </c>
      <c r="AT7" s="680">
        <v>513600</v>
      </c>
      <c r="AU7" s="680">
        <v>657408</v>
      </c>
      <c r="AV7" s="680">
        <v>732394</v>
      </c>
    </row>
    <row r="8" spans="2:48" ht="18" customHeight="1">
      <c r="B8" s="3414" t="s">
        <v>3354</v>
      </c>
      <c r="C8" s="3378"/>
      <c r="D8" s="3378"/>
      <c r="E8" s="3378"/>
      <c r="F8" s="3378"/>
      <c r="G8" s="3378"/>
      <c r="H8" s="3378"/>
      <c r="I8" s="3423">
        <f>IF(OR(Taxcredit=0.04,Taxcredit=0.09,Taxcredit="None"),VLOOKUP($W$4,TCACTBL[],AO7),0)</f>
        <v>0</v>
      </c>
      <c r="J8" s="1953"/>
      <c r="K8" s="1953"/>
      <c r="L8" s="1953"/>
      <c r="M8" s="1953"/>
      <c r="N8" s="3417">
        <f>SUMIF(UnitsTbl[Number of Bedrooms],0,UnitsTbl[Total Units])</f>
        <v>0</v>
      </c>
      <c r="O8" s="1770"/>
      <c r="P8" s="3389">
        <f>IF(ISERROR((I8*N8)),0,(I8*N8))</f>
        <v>0</v>
      </c>
      <c r="Q8" s="1953"/>
      <c r="R8" s="1953"/>
      <c r="S8" s="1770"/>
      <c r="T8" s="3413" t="s">
        <v>3355</v>
      </c>
      <c r="U8" s="1953"/>
      <c r="V8" s="1953"/>
      <c r="W8" s="1953"/>
      <c r="X8" s="1953"/>
      <c r="Y8" s="1953"/>
      <c r="Z8" s="1953"/>
      <c r="AA8" s="1953"/>
      <c r="AB8" s="1953"/>
      <c r="AC8" s="1953"/>
      <c r="AD8" s="1953"/>
      <c r="AE8" s="1953"/>
      <c r="AF8" s="1953"/>
      <c r="AG8" s="1770"/>
      <c r="AH8" s="3381">
        <f>$AH$17+$AH$18+$AH$19+$AH$20+$AH$21+$AH$50+$AH$7+$AH$22+$AH$45+IF(AF48="Yes",$AH$48,0)+$AH$53+$AH$51+$AH$52</f>
        <v>0</v>
      </c>
      <c r="AI8" s="1777"/>
      <c r="AJ8" s="1777"/>
      <c r="AK8" s="1777"/>
      <c r="AL8" s="1778"/>
      <c r="AM8" s="250"/>
      <c r="AO8" s="67">
        <f>$AO$7+1</f>
        <v>3</v>
      </c>
      <c r="AQ8" s="1409" t="s">
        <v>21</v>
      </c>
      <c r="AR8" s="677">
        <v>402640</v>
      </c>
      <c r="AS8" s="678">
        <v>464240</v>
      </c>
      <c r="AT8" s="678">
        <v>560000</v>
      </c>
      <c r="AU8" s="678">
        <v>716800</v>
      </c>
      <c r="AV8" s="678">
        <v>798560</v>
      </c>
    </row>
    <row r="9" spans="2:48" ht="18" customHeight="1">
      <c r="B9" s="3414" t="s">
        <v>3356</v>
      </c>
      <c r="C9" s="3378"/>
      <c r="D9" s="3378"/>
      <c r="E9" s="3378"/>
      <c r="F9" s="3378"/>
      <c r="G9" s="3378"/>
      <c r="H9" s="3378"/>
      <c r="I9" s="3423">
        <f>IF(OR(Taxcredit=0.04,Taxcredit=0.09,Taxcredit="None"),VLOOKUP($W$4,TCACTBL[],AO8),0)</f>
        <v>0</v>
      </c>
      <c r="J9" s="1953"/>
      <c r="K9" s="1953"/>
      <c r="L9" s="1953"/>
      <c r="M9" s="1953"/>
      <c r="N9" s="3396">
        <f>SUMIF(UnitsTbl[Number of Bedrooms],1,UnitsTbl[Total Units])</f>
        <v>0</v>
      </c>
      <c r="O9" s="1889"/>
      <c r="P9" s="3411">
        <f>IF(ISERROR((I9*N9)),0,(I9*N9))</f>
        <v>0</v>
      </c>
      <c r="Q9" s="3378"/>
      <c r="R9" s="3378"/>
      <c r="S9" s="1889"/>
      <c r="T9" s="3433" t="str">
        <f>IF($F$5="Perm Close","Adjusted Threshold Basis Limit multiplied by 170%:","Adjusted Threshold Basis Limit multiplied by 160%:")</f>
        <v>Adjusted Threshold Basis Limit multiplied by 160%:</v>
      </c>
      <c r="U9" s="3434"/>
      <c r="V9" s="3434"/>
      <c r="W9" s="3434"/>
      <c r="X9" s="3434"/>
      <c r="Y9" s="3434"/>
      <c r="Z9" s="3434"/>
      <c r="AA9" s="3434"/>
      <c r="AB9" s="3434"/>
      <c r="AC9" s="3434"/>
      <c r="AD9" s="3434"/>
      <c r="AE9" s="3434"/>
      <c r="AF9" s="3434"/>
      <c r="AG9" s="3435"/>
      <c r="AH9" s="3381">
        <f>IF($F$5="Perm Close",$AH$8*1.7,$AH$8*1.6)</f>
        <v>0</v>
      </c>
      <c r="AI9" s="1777"/>
      <c r="AJ9" s="1777"/>
      <c r="AK9" s="1777"/>
      <c r="AL9" s="1778"/>
      <c r="AO9" s="67">
        <f>$AO$8+1</f>
        <v>4</v>
      </c>
      <c r="AQ9" s="1410" t="s">
        <v>25</v>
      </c>
      <c r="AR9" s="679">
        <v>402640</v>
      </c>
      <c r="AS9" s="680">
        <v>464240</v>
      </c>
      <c r="AT9" s="680">
        <v>560000</v>
      </c>
      <c r="AU9" s="680">
        <v>716800</v>
      </c>
      <c r="AV9" s="680">
        <v>798560</v>
      </c>
    </row>
    <row r="10" spans="2:48" ht="18" customHeight="1">
      <c r="B10" s="3414" t="s">
        <v>3357</v>
      </c>
      <c r="C10" s="3378"/>
      <c r="D10" s="3378"/>
      <c r="E10" s="3378"/>
      <c r="F10" s="3378"/>
      <c r="G10" s="3378"/>
      <c r="H10" s="3378"/>
      <c r="I10" s="3423">
        <f>IF(OR(Taxcredit=0.04,Taxcredit=0.09,Taxcredit="None"),VLOOKUP($W$4,TCACTBL[],AO9),0)</f>
        <v>0</v>
      </c>
      <c r="J10" s="1953"/>
      <c r="K10" s="1953"/>
      <c r="L10" s="1953"/>
      <c r="M10" s="1953"/>
      <c r="N10" s="3396">
        <f>SUMIF(UnitsTbl[Number of Bedrooms],2,UnitsTbl[Total Units])</f>
        <v>0</v>
      </c>
      <c r="O10" s="1889"/>
      <c r="P10" s="3411">
        <f>IF(ISERROR((I10*N10)),0,(I10*N10))</f>
        <v>0</v>
      </c>
      <c r="Q10" s="3378"/>
      <c r="R10" s="3378"/>
      <c r="S10" s="1889"/>
      <c r="T10" s="3412" t="str">
        <f>IF($F$4="",CONCATENATE("HCD HIGH-COST TEST RESULT: ",$F$4),CONCATENATE("HCD HIGH-COST TEST RESULT FOR: ",$F$4))</f>
        <v xml:space="preserve">HCD HIGH-COST TEST RESULT: </v>
      </c>
      <c r="U10" s="1953"/>
      <c r="V10" s="1953"/>
      <c r="W10" s="1953"/>
      <c r="X10" s="1953"/>
      <c r="Y10" s="1953"/>
      <c r="Z10" s="1953"/>
      <c r="AA10" s="1953"/>
      <c r="AB10" s="1953"/>
      <c r="AC10" s="1953"/>
      <c r="AD10" s="1953"/>
      <c r="AE10" s="1953"/>
      <c r="AF10" s="1953"/>
      <c r="AG10" s="1770"/>
      <c r="AH10" s="3402">
        <f>IF($AH$8=0,0,$AH$12/$AH$8)</f>
        <v>0</v>
      </c>
      <c r="AI10" s="1953"/>
      <c r="AJ10" s="1953"/>
      <c r="AK10" s="1953"/>
      <c r="AL10" s="1770"/>
      <c r="AO10" s="67">
        <f>$AO$9+1</f>
        <v>5</v>
      </c>
      <c r="AQ10" s="1409" t="s">
        <v>30</v>
      </c>
      <c r="AR10" s="677">
        <v>491221</v>
      </c>
      <c r="AS10" s="678">
        <v>566373</v>
      </c>
      <c r="AT10" s="678">
        <v>683200</v>
      </c>
      <c r="AU10" s="678">
        <v>874496</v>
      </c>
      <c r="AV10" s="678">
        <v>974243</v>
      </c>
    </row>
    <row r="11" spans="2:48" ht="18" customHeight="1">
      <c r="B11" s="3414" t="s">
        <v>3358</v>
      </c>
      <c r="C11" s="3378"/>
      <c r="D11" s="3378"/>
      <c r="E11" s="3378"/>
      <c r="F11" s="3378"/>
      <c r="G11" s="3378"/>
      <c r="H11" s="3378"/>
      <c r="I11" s="3423">
        <f>IF(OR(Taxcredit=0.04,Taxcredit=0.09,Taxcredit="None"),VLOOKUP($W$4,TCACTBL[],AO10),0)</f>
        <v>0</v>
      </c>
      <c r="J11" s="1953"/>
      <c r="K11" s="1953"/>
      <c r="L11" s="1953"/>
      <c r="M11" s="1953"/>
      <c r="N11" s="3396">
        <f>SUMIF(UnitsTbl[Number of Bedrooms],3,UnitsTbl[Total Units])</f>
        <v>0</v>
      </c>
      <c r="O11" s="1889"/>
      <c r="P11" s="3411">
        <f>IF(ISERROR((I11*N11)),0,(I11*N11))</f>
        <v>0</v>
      </c>
      <c r="Q11" s="3378"/>
      <c r="R11" s="3378"/>
      <c r="S11" s="1889"/>
      <c r="T11" s="2479"/>
      <c r="U11" s="1877"/>
      <c r="V11" s="1877"/>
      <c r="W11" s="1877"/>
      <c r="X11" s="1877"/>
      <c r="Y11" s="1877"/>
      <c r="Z11" s="1877"/>
      <c r="AA11" s="1877"/>
      <c r="AB11" s="1877"/>
      <c r="AC11" s="1877"/>
      <c r="AD11" s="1877"/>
      <c r="AE11" s="1877"/>
      <c r="AF11" s="1877"/>
      <c r="AG11" s="1772"/>
      <c r="AH11" s="2479"/>
      <c r="AI11" s="1877"/>
      <c r="AJ11" s="1877"/>
      <c r="AK11" s="1877"/>
      <c r="AL11" s="1772"/>
      <c r="AO11" s="67">
        <f>$AO$10+1</f>
        <v>6</v>
      </c>
      <c r="AQ11" s="1410" t="s">
        <v>35</v>
      </c>
      <c r="AR11" s="679">
        <v>402640</v>
      </c>
      <c r="AS11" s="680">
        <v>464240</v>
      </c>
      <c r="AT11" s="680">
        <v>560000</v>
      </c>
      <c r="AU11" s="680">
        <v>716800</v>
      </c>
      <c r="AV11" s="680">
        <v>798560</v>
      </c>
    </row>
    <row r="12" spans="2:48" ht="18" customHeight="1">
      <c r="B12" s="3387" t="s">
        <v>3359</v>
      </c>
      <c r="C12" s="1877"/>
      <c r="D12" s="1877"/>
      <c r="E12" s="1877"/>
      <c r="F12" s="1877"/>
      <c r="G12" s="1877"/>
      <c r="H12" s="1877"/>
      <c r="I12" s="3381">
        <f>IF(OR(Taxcredit=0.04,Taxcredit=0.09,Taxcredit="None"),VLOOKUP($W$4,TCACTBL[],AO11),0)</f>
        <v>0</v>
      </c>
      <c r="J12" s="1777"/>
      <c r="K12" s="1777"/>
      <c r="L12" s="1777"/>
      <c r="M12" s="1778"/>
      <c r="N12" s="3431">
        <f>SUMIF(UnitsTbl[Number of Bedrooms],4,UnitsTbl[Total Units])+SUMIF(UnitsTbl[Number of Bedrooms],5,UnitsTbl[Total Units])+SUMIF(UnitsTbl[Number of Bedrooms],6,UnitsTbl[Total Units])+SUMIF(UnitsTbl[Number of Bedrooms],7,UnitsTbl[Total Units])+SUMIF(UnitsTbl[Number of Bedrooms],8,UnitsTbl[Total Units])+SUMIF(UnitsTbl[Number of Bedrooms],9,UnitsTbl[Total Units])</f>
        <v>0</v>
      </c>
      <c r="O12" s="1772"/>
      <c r="P12" s="3403">
        <f>IF(ISERROR((I12*N12)),0,(I12*N12))</f>
        <v>0</v>
      </c>
      <c r="Q12" s="1877"/>
      <c r="R12" s="1877"/>
      <c r="S12" s="1772"/>
      <c r="T12" s="3386" t="s">
        <v>3360</v>
      </c>
      <c r="U12" s="1777"/>
      <c r="V12" s="1777"/>
      <c r="W12" s="1777"/>
      <c r="X12" s="1777"/>
      <c r="Y12" s="1777"/>
      <c r="Z12" s="1777"/>
      <c r="AA12" s="1777"/>
      <c r="AB12" s="1777"/>
      <c r="AC12" s="1777"/>
      <c r="AD12" s="1777"/>
      <c r="AE12" s="1777"/>
      <c r="AF12" s="1777"/>
      <c r="AG12" s="1778"/>
      <c r="AH12" s="3426">
        <f>SUM('Development Budget'!$F$3,'Development Budget'!$G$3)</f>
        <v>0</v>
      </c>
      <c r="AI12" s="1777"/>
      <c r="AJ12" s="1777"/>
      <c r="AK12" s="1777"/>
      <c r="AL12" s="1778"/>
      <c r="AQ12" s="1409" t="s">
        <v>40</v>
      </c>
      <c r="AR12" s="677">
        <v>360075</v>
      </c>
      <c r="AS12" s="678">
        <v>415163</v>
      </c>
      <c r="AT12" s="678">
        <v>500800</v>
      </c>
      <c r="AU12" s="678">
        <v>641024</v>
      </c>
      <c r="AV12" s="678">
        <v>714141</v>
      </c>
    </row>
    <row r="13" spans="2:48" ht="18" customHeight="1">
      <c r="S13" s="248"/>
      <c r="T13" s="248"/>
      <c r="U13" s="248"/>
      <c r="V13" s="248"/>
      <c r="W13" s="248"/>
      <c r="X13" s="248"/>
      <c r="Y13" s="248"/>
      <c r="Z13" s="248"/>
      <c r="AA13" s="248"/>
      <c r="AB13" s="248"/>
      <c r="AC13" s="3394" t="str">
        <f>IF($AH$12=0,"",IF($AH$12&lt;=$AH$9,"Costs Reasonable",IF($F$5="Perm Close","Costs too high &gt; 170%","Costs too high &gt; 160%")))</f>
        <v/>
      </c>
      <c r="AD13" s="1953"/>
      <c r="AE13" s="1953"/>
      <c r="AF13" s="1953"/>
      <c r="AG13" s="1953"/>
      <c r="AH13" s="1953"/>
      <c r="AI13" s="1953"/>
      <c r="AJ13" s="1953"/>
      <c r="AK13" s="1953"/>
      <c r="AL13" s="1770"/>
      <c r="AM13" s="253"/>
      <c r="AQ13" s="1410" t="s">
        <v>41</v>
      </c>
      <c r="AR13" s="679">
        <v>323262</v>
      </c>
      <c r="AS13" s="680">
        <v>372718</v>
      </c>
      <c r="AT13" s="680">
        <v>449600</v>
      </c>
      <c r="AU13" s="680">
        <v>575488</v>
      </c>
      <c r="AV13" s="680">
        <v>641130</v>
      </c>
    </row>
    <row r="14" spans="2:48" ht="18" customHeight="1">
      <c r="B14" s="3392" t="s">
        <v>3361</v>
      </c>
      <c r="C14" s="1777"/>
      <c r="D14" s="1777"/>
      <c r="E14" s="1777"/>
      <c r="F14" s="1777"/>
      <c r="G14" s="1777"/>
      <c r="H14" s="1778"/>
      <c r="I14" s="3388">
        <f>SUMIFS(UnitsTbl[Total Units],UnitsTbl[Restricted Income Level],"Manager")</f>
        <v>0</v>
      </c>
      <c r="J14" s="1778"/>
      <c r="K14" s="3392" t="s">
        <v>3362</v>
      </c>
      <c r="L14" s="1777"/>
      <c r="M14" s="1777"/>
      <c r="N14" s="1778"/>
      <c r="O14" s="3418">
        <f>SUM(UnitsTbl[Total Units])</f>
        <v>0</v>
      </c>
      <c r="P14" s="1777"/>
      <c r="Q14" s="1778"/>
      <c r="R14" s="251"/>
      <c r="S14" s="251"/>
      <c r="T14" s="251"/>
      <c r="U14" s="251"/>
      <c r="V14" s="251"/>
      <c r="W14" s="251"/>
      <c r="X14" s="251"/>
      <c r="Y14" s="251"/>
      <c r="Z14" s="251"/>
      <c r="AA14" s="251"/>
      <c r="AB14" s="251"/>
      <c r="AC14" s="2479"/>
      <c r="AD14" s="1877"/>
      <c r="AE14" s="1877"/>
      <c r="AF14" s="1877"/>
      <c r="AG14" s="1877"/>
      <c r="AH14" s="1877"/>
      <c r="AI14" s="1877"/>
      <c r="AJ14" s="1877"/>
      <c r="AK14" s="1877"/>
      <c r="AL14" s="1772"/>
      <c r="AQ14" s="1409" t="s">
        <v>51</v>
      </c>
      <c r="AR14" s="677">
        <v>402640</v>
      </c>
      <c r="AS14" s="678">
        <v>464240</v>
      </c>
      <c r="AT14" s="678">
        <v>560000</v>
      </c>
      <c r="AU14" s="678">
        <v>716800</v>
      </c>
      <c r="AV14" s="678">
        <v>798560</v>
      </c>
    </row>
    <row r="15" spans="2:48" ht="18" customHeight="1">
      <c r="B15" s="251"/>
      <c r="C15" s="251"/>
      <c r="D15" s="251"/>
      <c r="E15" s="251"/>
      <c r="F15" s="251"/>
      <c r="G15" s="251"/>
      <c r="H15" s="251"/>
      <c r="I15" s="251"/>
      <c r="J15" s="251"/>
      <c r="K15" s="251"/>
      <c r="L15" s="251"/>
      <c r="M15" s="251"/>
      <c r="N15" s="251"/>
      <c r="O15" s="251"/>
      <c r="P15" s="251"/>
      <c r="Q15" s="251"/>
      <c r="R15" s="251"/>
      <c r="S15" s="251"/>
      <c r="T15" s="251"/>
      <c r="U15" s="251"/>
      <c r="V15" s="251"/>
      <c r="W15" s="251"/>
      <c r="X15" s="251"/>
      <c r="Y15" s="251"/>
      <c r="Z15" s="251"/>
      <c r="AA15" s="251"/>
      <c r="AB15" s="251"/>
      <c r="AC15" s="251"/>
      <c r="AD15" s="251"/>
      <c r="AE15" s="251"/>
      <c r="AF15" s="251"/>
      <c r="AG15" s="251"/>
      <c r="AH15" s="253"/>
      <c r="AI15" s="253"/>
      <c r="AJ15" s="253"/>
      <c r="AK15" s="253"/>
      <c r="AL15" s="253"/>
      <c r="AN15" s="524"/>
      <c r="AO15" s="524"/>
      <c r="AP15" s="524"/>
      <c r="AQ15" s="1410" t="s">
        <v>57</v>
      </c>
      <c r="AR15" s="679">
        <v>402640</v>
      </c>
      <c r="AS15" s="680">
        <v>464240</v>
      </c>
      <c r="AT15" s="680">
        <v>560000</v>
      </c>
      <c r="AU15" s="680">
        <v>716800</v>
      </c>
      <c r="AV15" s="680">
        <v>798560</v>
      </c>
    </row>
    <row r="16" spans="2:48" ht="18" customHeight="1">
      <c r="B16" s="3416" t="s">
        <v>3363</v>
      </c>
      <c r="C16" s="1877"/>
      <c r="D16" s="1877"/>
      <c r="E16" s="1877"/>
      <c r="F16" s="1877"/>
      <c r="G16" s="1877"/>
      <c r="H16" s="1877"/>
      <c r="I16" s="1877"/>
      <c r="J16" s="1877"/>
      <c r="K16" s="1877"/>
      <c r="L16" s="1877"/>
      <c r="M16" s="1877"/>
      <c r="N16" s="1877"/>
      <c r="O16" s="1411"/>
      <c r="P16" s="1411"/>
      <c r="Q16" s="1411"/>
      <c r="R16" s="1411"/>
      <c r="S16" s="1411"/>
      <c r="T16" s="1411"/>
      <c r="U16" s="1411"/>
      <c r="V16" s="1411"/>
      <c r="W16" s="1411"/>
      <c r="X16" s="1411"/>
      <c r="Y16" s="1411"/>
      <c r="Z16" s="1411"/>
      <c r="AA16" s="1411"/>
      <c r="AB16" s="1411"/>
      <c r="AC16" s="1411"/>
      <c r="AD16" s="1411"/>
      <c r="AE16" s="1411"/>
      <c r="AF16" s="3429" t="s">
        <v>3364</v>
      </c>
      <c r="AG16" s="1877"/>
      <c r="AH16" s="3415"/>
      <c r="AI16" s="3378"/>
      <c r="AJ16" s="3378"/>
      <c r="AK16" s="3378"/>
      <c r="AL16" s="3378"/>
      <c r="AN16" s="524"/>
      <c r="AO16" s="524"/>
      <c r="AP16" s="524"/>
      <c r="AQ16" s="1409" t="s">
        <v>63</v>
      </c>
      <c r="AR16" s="677">
        <v>381933</v>
      </c>
      <c r="AS16" s="678">
        <v>440365</v>
      </c>
      <c r="AT16" s="678">
        <v>531200</v>
      </c>
      <c r="AU16" s="678">
        <v>679936</v>
      </c>
      <c r="AV16" s="678">
        <v>757491</v>
      </c>
    </row>
    <row r="17" spans="2:48" ht="54.75" customHeight="1">
      <c r="B17" s="3407" t="s">
        <v>1989</v>
      </c>
      <c r="C17" s="3379" t="s">
        <v>3365</v>
      </c>
      <c r="D17" s="1777"/>
      <c r="E17" s="1777"/>
      <c r="F17" s="1777"/>
      <c r="G17" s="1777"/>
      <c r="H17" s="1777"/>
      <c r="I17" s="1777"/>
      <c r="J17" s="1777"/>
      <c r="K17" s="1777"/>
      <c r="L17" s="1777"/>
      <c r="M17" s="1777"/>
      <c r="N17" s="1777"/>
      <c r="O17" s="1777"/>
      <c r="P17" s="1777"/>
      <c r="Q17" s="1777"/>
      <c r="R17" s="1777"/>
      <c r="S17" s="1777"/>
      <c r="T17" s="1777"/>
      <c r="U17" s="1777"/>
      <c r="V17" s="1777"/>
      <c r="W17" s="1777"/>
      <c r="X17" s="1777"/>
      <c r="Y17" s="1777"/>
      <c r="Z17" s="1777"/>
      <c r="AA17" s="1777"/>
      <c r="AB17" s="1777"/>
      <c r="AC17" s="1777"/>
      <c r="AD17" s="1777"/>
      <c r="AE17" s="1778"/>
      <c r="AF17" s="3400"/>
      <c r="AG17" s="1870"/>
      <c r="AH17" s="3381">
        <f>ROUND(IF($AF$17="yes",$AH$7*0.2,0),0)</f>
        <v>0</v>
      </c>
      <c r="AI17" s="1777"/>
      <c r="AJ17" s="1777"/>
      <c r="AK17" s="1777"/>
      <c r="AL17" s="1778"/>
      <c r="AN17" s="524"/>
      <c r="AO17" s="524"/>
      <c r="AP17" s="524"/>
      <c r="AQ17" s="1410" t="s">
        <v>69</v>
      </c>
      <c r="AR17" s="679">
        <v>402640</v>
      </c>
      <c r="AS17" s="680">
        <v>464240</v>
      </c>
      <c r="AT17" s="680">
        <v>560000</v>
      </c>
      <c r="AU17" s="680">
        <v>716800</v>
      </c>
      <c r="AV17" s="680">
        <v>798560</v>
      </c>
    </row>
    <row r="18" spans="2:48" ht="54" customHeight="1">
      <c r="B18" s="2465"/>
      <c r="C18" s="3379" t="s">
        <v>3366</v>
      </c>
      <c r="D18" s="1777"/>
      <c r="E18" s="1777"/>
      <c r="F18" s="1777"/>
      <c r="G18" s="1777"/>
      <c r="H18" s="1777"/>
      <c r="I18" s="1777"/>
      <c r="J18" s="1777"/>
      <c r="K18" s="1777"/>
      <c r="L18" s="1777"/>
      <c r="M18" s="1777"/>
      <c r="N18" s="1777"/>
      <c r="O18" s="1777"/>
      <c r="P18" s="1777"/>
      <c r="Q18" s="1777"/>
      <c r="R18" s="1777"/>
      <c r="S18" s="1777"/>
      <c r="T18" s="1777"/>
      <c r="U18" s="1777"/>
      <c r="V18" s="1777"/>
      <c r="W18" s="1777"/>
      <c r="X18" s="1777"/>
      <c r="Y18" s="1777"/>
      <c r="Z18" s="1777"/>
      <c r="AA18" s="1777"/>
      <c r="AB18" s="1777"/>
      <c r="AC18" s="1777"/>
      <c r="AD18" s="1777"/>
      <c r="AE18" s="1778"/>
      <c r="AF18" s="3385"/>
      <c r="AG18" s="1862"/>
      <c r="AH18" s="3381">
        <f>ROUND(IF($AF$18="yes",$AH$7*0.05,0),0)</f>
        <v>0</v>
      </c>
      <c r="AI18" s="1777"/>
      <c r="AJ18" s="1777"/>
      <c r="AK18" s="1777"/>
      <c r="AL18" s="1778"/>
      <c r="AN18" s="524"/>
      <c r="AO18" s="524"/>
      <c r="AP18" s="524"/>
      <c r="AQ18" s="1409" t="s">
        <v>46</v>
      </c>
      <c r="AR18" s="677">
        <v>323262</v>
      </c>
      <c r="AS18" s="678">
        <v>372718</v>
      </c>
      <c r="AT18" s="678">
        <v>449600</v>
      </c>
      <c r="AU18" s="678">
        <v>575488</v>
      </c>
      <c r="AV18" s="678">
        <v>641130</v>
      </c>
    </row>
    <row r="19" spans="2:48" ht="36" customHeight="1">
      <c r="B19" s="1738" t="s">
        <v>1990</v>
      </c>
      <c r="C19" s="3379" t="s">
        <v>3367</v>
      </c>
      <c r="D19" s="1777"/>
      <c r="E19" s="1777"/>
      <c r="F19" s="1777"/>
      <c r="G19" s="1777"/>
      <c r="H19" s="1777"/>
      <c r="I19" s="1777"/>
      <c r="J19" s="1777"/>
      <c r="K19" s="1777"/>
      <c r="L19" s="1777"/>
      <c r="M19" s="1777"/>
      <c r="N19" s="1777"/>
      <c r="O19" s="1777"/>
      <c r="P19" s="1777"/>
      <c r="Q19" s="1777"/>
      <c r="R19" s="1777"/>
      <c r="S19" s="1777"/>
      <c r="T19" s="1777"/>
      <c r="U19" s="1777"/>
      <c r="V19" s="1777"/>
      <c r="W19" s="1777"/>
      <c r="X19" s="1777"/>
      <c r="Y19" s="1777"/>
      <c r="Z19" s="1777"/>
      <c r="AA19" s="1777"/>
      <c r="AB19" s="1777"/>
      <c r="AC19" s="1777"/>
      <c r="AD19" s="1777"/>
      <c r="AE19" s="1778"/>
      <c r="AF19" s="3385"/>
      <c r="AG19" s="1862"/>
      <c r="AH19" s="3381">
        <f>ROUND(IF($AF$19="yes",$AH$7*0.1,0),0)</f>
        <v>0</v>
      </c>
      <c r="AI19" s="1777"/>
      <c r="AJ19" s="1777"/>
      <c r="AK19" s="1777"/>
      <c r="AL19" s="1778"/>
      <c r="AQ19" s="1410" t="s">
        <v>78</v>
      </c>
      <c r="AR19" s="679">
        <v>323262</v>
      </c>
      <c r="AS19" s="680">
        <v>372718</v>
      </c>
      <c r="AT19" s="680">
        <v>449600</v>
      </c>
      <c r="AU19" s="680">
        <v>575488</v>
      </c>
      <c r="AV19" s="680">
        <v>641130</v>
      </c>
    </row>
    <row r="20" spans="2:48" ht="18" customHeight="1">
      <c r="B20" s="1738" t="s">
        <v>1996</v>
      </c>
      <c r="C20" s="3379" t="s">
        <v>3368</v>
      </c>
      <c r="D20" s="1777"/>
      <c r="E20" s="1777"/>
      <c r="F20" s="1777"/>
      <c r="G20" s="1777"/>
      <c r="H20" s="1777"/>
      <c r="I20" s="1777"/>
      <c r="J20" s="1777"/>
      <c r="K20" s="1777"/>
      <c r="L20" s="1777"/>
      <c r="M20" s="1777"/>
      <c r="N20" s="1777"/>
      <c r="O20" s="1777"/>
      <c r="P20" s="1777"/>
      <c r="Q20" s="1777"/>
      <c r="R20" s="1777"/>
      <c r="S20" s="1777"/>
      <c r="T20" s="1777"/>
      <c r="U20" s="1777"/>
      <c r="V20" s="1777"/>
      <c r="W20" s="1777"/>
      <c r="X20" s="1777"/>
      <c r="Y20" s="1777"/>
      <c r="Z20" s="1777"/>
      <c r="AA20" s="1777"/>
      <c r="AB20" s="1777"/>
      <c r="AC20" s="1777"/>
      <c r="AD20" s="1777"/>
      <c r="AE20" s="1778"/>
      <c r="AF20" s="3385"/>
      <c r="AG20" s="1862"/>
      <c r="AH20" s="3381">
        <f>ROUND(IF($AF$20="yes",$AH$7*0.02,0),0)</f>
        <v>0</v>
      </c>
      <c r="AI20" s="1777"/>
      <c r="AJ20" s="1777"/>
      <c r="AK20" s="1777"/>
      <c r="AL20" s="1778"/>
      <c r="AQ20" s="1409" t="s">
        <v>82</v>
      </c>
      <c r="AR20" s="677">
        <v>402640</v>
      </c>
      <c r="AS20" s="678">
        <v>464240</v>
      </c>
      <c r="AT20" s="678">
        <v>560000</v>
      </c>
      <c r="AU20" s="678">
        <v>716800</v>
      </c>
      <c r="AV20" s="678">
        <v>798560</v>
      </c>
    </row>
    <row r="21" spans="2:48" ht="18" customHeight="1">
      <c r="B21" s="1738" t="s">
        <v>1999</v>
      </c>
      <c r="C21" s="3379" t="s">
        <v>3369</v>
      </c>
      <c r="D21" s="1777"/>
      <c r="E21" s="1777"/>
      <c r="F21" s="1777"/>
      <c r="G21" s="1777"/>
      <c r="H21" s="1777"/>
      <c r="I21" s="1777"/>
      <c r="J21" s="1777"/>
      <c r="K21" s="1777"/>
      <c r="L21" s="1777"/>
      <c r="M21" s="1777"/>
      <c r="N21" s="1777"/>
      <c r="O21" s="1777"/>
      <c r="P21" s="1777"/>
      <c r="Q21" s="1777"/>
      <c r="R21" s="1777"/>
      <c r="S21" s="1777"/>
      <c r="T21" s="1777"/>
      <c r="U21" s="1777"/>
      <c r="V21" s="1777"/>
      <c r="W21" s="1777"/>
      <c r="X21" s="1777"/>
      <c r="Y21" s="1777"/>
      <c r="Z21" s="1777"/>
      <c r="AA21" s="1777"/>
      <c r="AB21" s="1777"/>
      <c r="AC21" s="1777"/>
      <c r="AD21" s="1777"/>
      <c r="AE21" s="1778"/>
      <c r="AF21" s="3385"/>
      <c r="AG21" s="1862"/>
      <c r="AH21" s="3381">
        <f>ROUND(IF($AF$21="yes",$AH$7*0.02,0),0)</f>
        <v>0</v>
      </c>
      <c r="AI21" s="1777"/>
      <c r="AJ21" s="1777"/>
      <c r="AK21" s="1777"/>
      <c r="AL21" s="1778"/>
      <c r="AQ21" s="1410" t="s">
        <v>85</v>
      </c>
      <c r="AR21" s="679">
        <v>402640</v>
      </c>
      <c r="AS21" s="680">
        <v>464240</v>
      </c>
      <c r="AT21" s="680">
        <v>560000</v>
      </c>
      <c r="AU21" s="680">
        <v>716800</v>
      </c>
      <c r="AV21" s="680">
        <v>798560</v>
      </c>
    </row>
    <row r="22" spans="2:48" ht="18" customHeight="1">
      <c r="B22" s="1737" t="s">
        <v>2742</v>
      </c>
      <c r="C22" s="3379" t="s">
        <v>3370</v>
      </c>
      <c r="D22" s="1777"/>
      <c r="E22" s="1777"/>
      <c r="F22" s="1777"/>
      <c r="G22" s="1777"/>
      <c r="H22" s="1777"/>
      <c r="I22" s="1777"/>
      <c r="J22" s="1777"/>
      <c r="K22" s="1777"/>
      <c r="L22" s="1777"/>
      <c r="M22" s="1777"/>
      <c r="N22" s="1777"/>
      <c r="O22" s="1777"/>
      <c r="P22" s="1777"/>
      <c r="Q22" s="1777"/>
      <c r="R22" s="1777"/>
      <c r="S22" s="1777"/>
      <c r="T22" s="1777"/>
      <c r="U22" s="1777"/>
      <c r="V22" s="1777"/>
      <c r="W22" s="1777"/>
      <c r="X22" s="1777"/>
      <c r="Y22" s="1777"/>
      <c r="Z22" s="1777"/>
      <c r="AA22" s="1777"/>
      <c r="AB22" s="1777"/>
      <c r="AC22" s="1777"/>
      <c r="AD22" s="1777"/>
      <c r="AE22" s="1778"/>
      <c r="AF22" s="3385"/>
      <c r="AG22" s="1862"/>
      <c r="AH22" s="3381">
        <f>IF(SUM($AF$23:$AG$44)&gt;0.005,MIN(0.2,SUM($AF$23:$AG$44))*$AH$7,0)</f>
        <v>0</v>
      </c>
      <c r="AI22" s="1777"/>
      <c r="AJ22" s="1777"/>
      <c r="AK22" s="1777"/>
      <c r="AL22" s="1778"/>
      <c r="AQ22" s="1409" t="s">
        <v>88</v>
      </c>
      <c r="AR22" s="677">
        <v>437727</v>
      </c>
      <c r="AS22" s="678">
        <v>504695</v>
      </c>
      <c r="AT22" s="678">
        <v>608800</v>
      </c>
      <c r="AU22" s="678">
        <v>779264</v>
      </c>
      <c r="AV22" s="678">
        <v>868149</v>
      </c>
    </row>
    <row r="23" spans="2:48" ht="18" hidden="1" customHeight="1">
      <c r="B23" s="776"/>
      <c r="C23" s="3379" t="s">
        <v>3371</v>
      </c>
      <c r="D23" s="1953"/>
      <c r="E23" s="1953"/>
      <c r="F23" s="1953"/>
      <c r="G23" s="1953"/>
      <c r="H23" s="1953"/>
      <c r="I23" s="1953"/>
      <c r="J23" s="1953"/>
      <c r="K23" s="1953"/>
      <c r="L23" s="1953"/>
      <c r="M23" s="1953"/>
      <c r="N23" s="1953"/>
      <c r="O23" s="1953"/>
      <c r="P23" s="1953"/>
      <c r="Q23" s="1953"/>
      <c r="R23" s="1953"/>
      <c r="S23" s="1953"/>
      <c r="T23" s="1953"/>
      <c r="U23" s="1953"/>
      <c r="V23" s="1953"/>
      <c r="W23" s="1953"/>
      <c r="X23" s="1953"/>
      <c r="Y23" s="1953"/>
      <c r="Z23" s="1953"/>
      <c r="AA23" s="1953"/>
      <c r="AB23" s="1953"/>
      <c r="AC23" s="1953"/>
      <c r="AD23" s="1953"/>
      <c r="AE23" s="1770"/>
      <c r="AF23" s="3391"/>
      <c r="AG23" s="1862"/>
      <c r="AH23" s="3424"/>
      <c r="AI23" s="1953"/>
      <c r="AJ23" s="1953"/>
      <c r="AK23" s="1953"/>
      <c r="AL23" s="1770"/>
      <c r="AQ23" s="1410" t="s">
        <v>79</v>
      </c>
      <c r="AR23" s="679">
        <v>323262</v>
      </c>
      <c r="AS23" s="680">
        <v>372718</v>
      </c>
      <c r="AT23" s="680">
        <v>449600</v>
      </c>
      <c r="AU23" s="680">
        <v>575488</v>
      </c>
      <c r="AV23" s="680">
        <v>641130</v>
      </c>
    </row>
    <row r="24" spans="2:48" ht="18" hidden="1" customHeight="1">
      <c r="B24" s="776"/>
      <c r="C24" s="2479"/>
      <c r="D24" s="1877"/>
      <c r="E24" s="1877"/>
      <c r="F24" s="1877"/>
      <c r="G24" s="1877"/>
      <c r="H24" s="1877"/>
      <c r="I24" s="1877"/>
      <c r="J24" s="1877"/>
      <c r="K24" s="1877"/>
      <c r="L24" s="1877"/>
      <c r="M24" s="1877"/>
      <c r="N24" s="1877"/>
      <c r="O24" s="1877"/>
      <c r="P24" s="1877"/>
      <c r="Q24" s="1877"/>
      <c r="R24" s="1877"/>
      <c r="S24" s="1877"/>
      <c r="T24" s="1877"/>
      <c r="U24" s="1877"/>
      <c r="V24" s="1877"/>
      <c r="W24" s="1877"/>
      <c r="X24" s="1877"/>
      <c r="Y24" s="1877"/>
      <c r="Z24" s="1877"/>
      <c r="AA24" s="1877"/>
      <c r="AB24" s="1877"/>
      <c r="AC24" s="1877"/>
      <c r="AD24" s="1877"/>
      <c r="AE24" s="1772"/>
      <c r="AF24" s="3382">
        <f>IF($AF$23="Yes",0.2,0)</f>
        <v>0</v>
      </c>
      <c r="AG24" s="1778"/>
      <c r="AH24" s="1920"/>
      <c r="AI24" s="3378"/>
      <c r="AJ24" s="3378"/>
      <c r="AK24" s="3378"/>
      <c r="AL24" s="1889"/>
      <c r="AQ24" s="1409" t="s">
        <v>97</v>
      </c>
      <c r="AR24" s="677">
        <v>406666</v>
      </c>
      <c r="AS24" s="678">
        <v>468882</v>
      </c>
      <c r="AT24" s="678">
        <v>565600</v>
      </c>
      <c r="AU24" s="678">
        <v>723968</v>
      </c>
      <c r="AV24" s="678">
        <v>806546</v>
      </c>
    </row>
    <row r="25" spans="2:48" ht="18" hidden="1" customHeight="1">
      <c r="B25" s="776"/>
      <c r="C25" s="3379" t="s">
        <v>3372</v>
      </c>
      <c r="D25" s="1953"/>
      <c r="E25" s="1953"/>
      <c r="F25" s="1953"/>
      <c r="G25" s="1953"/>
      <c r="H25" s="1953"/>
      <c r="I25" s="1953"/>
      <c r="J25" s="1953"/>
      <c r="K25" s="1953"/>
      <c r="L25" s="1953"/>
      <c r="M25" s="1953"/>
      <c r="N25" s="1953"/>
      <c r="O25" s="1953"/>
      <c r="P25" s="1953"/>
      <c r="Q25" s="1953"/>
      <c r="R25" s="1953"/>
      <c r="S25" s="1953"/>
      <c r="T25" s="1953"/>
      <c r="U25" s="1953"/>
      <c r="V25" s="1953"/>
      <c r="W25" s="1953"/>
      <c r="X25" s="1953"/>
      <c r="Y25" s="1953"/>
      <c r="Z25" s="1953"/>
      <c r="AA25" s="1953"/>
      <c r="AB25" s="1953"/>
      <c r="AC25" s="1953"/>
      <c r="AD25" s="1953"/>
      <c r="AE25" s="1770"/>
      <c r="AF25" s="3391"/>
      <c r="AG25" s="1862"/>
      <c r="AH25" s="1920"/>
      <c r="AI25" s="3378"/>
      <c r="AJ25" s="3378"/>
      <c r="AK25" s="3378"/>
      <c r="AL25" s="1889"/>
      <c r="AQ25" s="1410" t="s">
        <v>103</v>
      </c>
      <c r="AR25" s="679">
        <v>402640</v>
      </c>
      <c r="AS25" s="680">
        <v>464240</v>
      </c>
      <c r="AT25" s="680">
        <v>560000</v>
      </c>
      <c r="AU25" s="680">
        <v>716800</v>
      </c>
      <c r="AV25" s="680">
        <v>798560</v>
      </c>
    </row>
    <row r="26" spans="2:48" ht="18" hidden="1" customHeight="1">
      <c r="B26" s="776"/>
      <c r="C26" s="2479"/>
      <c r="D26" s="1877"/>
      <c r="E26" s="1877"/>
      <c r="F26" s="1877"/>
      <c r="G26" s="1877"/>
      <c r="H26" s="1877"/>
      <c r="I26" s="1877"/>
      <c r="J26" s="1877"/>
      <c r="K26" s="1877"/>
      <c r="L26" s="1877"/>
      <c r="M26" s="1877"/>
      <c r="N26" s="1877"/>
      <c r="O26" s="1877"/>
      <c r="P26" s="1877"/>
      <c r="Q26" s="1877"/>
      <c r="R26" s="1877"/>
      <c r="S26" s="1877"/>
      <c r="T26" s="1877"/>
      <c r="U26" s="1877"/>
      <c r="V26" s="1877"/>
      <c r="W26" s="1877"/>
      <c r="X26" s="1877"/>
      <c r="Y26" s="1877"/>
      <c r="Z26" s="1877"/>
      <c r="AA26" s="1877"/>
      <c r="AB26" s="1877"/>
      <c r="AC26" s="1877"/>
      <c r="AD26" s="1877"/>
      <c r="AE26" s="1772"/>
      <c r="AF26" s="3382">
        <f>IF($AF$25="Yes",0.15,0)</f>
        <v>0</v>
      </c>
      <c r="AG26" s="1778"/>
      <c r="AH26" s="1920"/>
      <c r="AI26" s="3378"/>
      <c r="AJ26" s="3378"/>
      <c r="AK26" s="3378"/>
      <c r="AL26" s="1889"/>
      <c r="AQ26" s="1409" t="s">
        <v>109</v>
      </c>
      <c r="AR26" s="677">
        <v>402640</v>
      </c>
      <c r="AS26" s="678">
        <v>464240</v>
      </c>
      <c r="AT26" s="678">
        <v>560000</v>
      </c>
      <c r="AU26" s="678">
        <v>716800</v>
      </c>
      <c r="AV26" s="678">
        <v>798560</v>
      </c>
    </row>
    <row r="27" spans="2:48" ht="51" hidden="1" customHeight="1">
      <c r="B27" s="431"/>
      <c r="C27" s="3379" t="s">
        <v>3373</v>
      </c>
      <c r="D27" s="1953"/>
      <c r="E27" s="1953"/>
      <c r="F27" s="1953"/>
      <c r="G27" s="1953"/>
      <c r="H27" s="1953"/>
      <c r="I27" s="1953"/>
      <c r="J27" s="1953"/>
      <c r="K27" s="1953"/>
      <c r="L27" s="1953"/>
      <c r="M27" s="1953"/>
      <c r="N27" s="1953"/>
      <c r="O27" s="1953"/>
      <c r="P27" s="1953"/>
      <c r="Q27" s="1953"/>
      <c r="R27" s="1953"/>
      <c r="S27" s="1953"/>
      <c r="T27" s="1953"/>
      <c r="U27" s="1953"/>
      <c r="V27" s="1953"/>
      <c r="W27" s="1953"/>
      <c r="X27" s="1953"/>
      <c r="Y27" s="1953"/>
      <c r="Z27" s="1953"/>
      <c r="AA27" s="1953"/>
      <c r="AB27" s="1953"/>
      <c r="AC27" s="1953"/>
      <c r="AD27" s="1953"/>
      <c r="AE27" s="1770"/>
      <c r="AF27" s="3390"/>
      <c r="AG27" s="1862"/>
      <c r="AH27" s="1920"/>
      <c r="AI27" s="3378"/>
      <c r="AJ27" s="3378"/>
      <c r="AK27" s="3378"/>
      <c r="AL27" s="1889"/>
      <c r="AQ27" s="1410" t="s">
        <v>83</v>
      </c>
      <c r="AR27" s="679">
        <v>323262</v>
      </c>
      <c r="AS27" s="680">
        <v>372718</v>
      </c>
      <c r="AT27" s="680">
        <v>449600</v>
      </c>
      <c r="AU27" s="680">
        <v>575488</v>
      </c>
      <c r="AV27" s="680">
        <v>641130</v>
      </c>
    </row>
    <row r="28" spans="2:48" ht="51" hidden="1" customHeight="1">
      <c r="B28" s="431"/>
      <c r="C28" s="2479"/>
      <c r="D28" s="1877"/>
      <c r="E28" s="1877"/>
      <c r="F28" s="1877"/>
      <c r="G28" s="1877"/>
      <c r="H28" s="1877"/>
      <c r="I28" s="1877"/>
      <c r="J28" s="1877"/>
      <c r="K28" s="1877"/>
      <c r="L28" s="1877"/>
      <c r="M28" s="1877"/>
      <c r="N28" s="1877"/>
      <c r="O28" s="1877"/>
      <c r="P28" s="1877"/>
      <c r="Q28" s="1877"/>
      <c r="R28" s="1877"/>
      <c r="S28" s="1877"/>
      <c r="T28" s="1877"/>
      <c r="U28" s="1877"/>
      <c r="V28" s="1877"/>
      <c r="W28" s="1877"/>
      <c r="X28" s="1877"/>
      <c r="Y28" s="1877"/>
      <c r="Z28" s="1877"/>
      <c r="AA28" s="1877"/>
      <c r="AB28" s="1877"/>
      <c r="AC28" s="1877"/>
      <c r="AD28" s="1877"/>
      <c r="AE28" s="1772"/>
      <c r="AF28" s="3382">
        <f>IF($AF$27="Yes",0.05,0)</f>
        <v>0</v>
      </c>
      <c r="AG28" s="1778"/>
      <c r="AH28" s="1920"/>
      <c r="AI28" s="3378"/>
      <c r="AJ28" s="3378"/>
      <c r="AK28" s="3378"/>
      <c r="AL28" s="1889"/>
      <c r="AQ28" s="1409" t="s">
        <v>115</v>
      </c>
      <c r="AR28" s="677">
        <v>402640</v>
      </c>
      <c r="AS28" s="678">
        <v>464240</v>
      </c>
      <c r="AT28" s="678">
        <v>560000</v>
      </c>
      <c r="AU28" s="678">
        <v>716800</v>
      </c>
      <c r="AV28" s="678">
        <v>798560</v>
      </c>
    </row>
    <row r="29" spans="2:48" ht="53.25" hidden="1" customHeight="1">
      <c r="B29" s="431"/>
      <c r="C29" s="3379" t="s">
        <v>3374</v>
      </c>
      <c r="D29" s="1953"/>
      <c r="E29" s="1953"/>
      <c r="F29" s="1953"/>
      <c r="G29" s="1953"/>
      <c r="H29" s="1953"/>
      <c r="I29" s="1953"/>
      <c r="J29" s="1953"/>
      <c r="K29" s="1953"/>
      <c r="L29" s="1953"/>
      <c r="M29" s="1953"/>
      <c r="N29" s="1953"/>
      <c r="O29" s="1953"/>
      <c r="P29" s="1953"/>
      <c r="Q29" s="1953"/>
      <c r="R29" s="1953"/>
      <c r="S29" s="1953"/>
      <c r="T29" s="1953"/>
      <c r="U29" s="1953"/>
      <c r="V29" s="1953"/>
      <c r="W29" s="1953"/>
      <c r="X29" s="1953"/>
      <c r="Y29" s="1953"/>
      <c r="Z29" s="1953"/>
      <c r="AA29" s="1953"/>
      <c r="AB29" s="1953"/>
      <c r="AC29" s="1953"/>
      <c r="AD29" s="1953"/>
      <c r="AE29" s="1770"/>
      <c r="AF29" s="3390"/>
      <c r="AG29" s="1862"/>
      <c r="AH29" s="1920"/>
      <c r="AI29" s="3378"/>
      <c r="AJ29" s="3378"/>
      <c r="AK29" s="3378"/>
      <c r="AL29" s="1889"/>
      <c r="AQ29" s="1410" t="s">
        <v>118</v>
      </c>
      <c r="AR29" s="679">
        <v>402640</v>
      </c>
      <c r="AS29" s="680">
        <v>464240</v>
      </c>
      <c r="AT29" s="680">
        <v>560000</v>
      </c>
      <c r="AU29" s="680">
        <v>716800</v>
      </c>
      <c r="AV29" s="680">
        <v>798560</v>
      </c>
    </row>
    <row r="30" spans="2:48" ht="53.25" hidden="1" customHeight="1">
      <c r="B30" s="431"/>
      <c r="C30" s="2479"/>
      <c r="D30" s="1877"/>
      <c r="E30" s="1877"/>
      <c r="F30" s="1877"/>
      <c r="G30" s="1877"/>
      <c r="H30" s="1877"/>
      <c r="I30" s="1877"/>
      <c r="J30" s="1877"/>
      <c r="K30" s="1877"/>
      <c r="L30" s="1877"/>
      <c r="M30" s="1877"/>
      <c r="N30" s="1877"/>
      <c r="O30" s="1877"/>
      <c r="P30" s="1877"/>
      <c r="Q30" s="1877"/>
      <c r="R30" s="1877"/>
      <c r="S30" s="1877"/>
      <c r="T30" s="1877"/>
      <c r="U30" s="1877"/>
      <c r="V30" s="1877"/>
      <c r="W30" s="1877"/>
      <c r="X30" s="1877"/>
      <c r="Y30" s="1877"/>
      <c r="Z30" s="1877"/>
      <c r="AA30" s="1877"/>
      <c r="AB30" s="1877"/>
      <c r="AC30" s="1877"/>
      <c r="AD30" s="1877"/>
      <c r="AE30" s="1772"/>
      <c r="AF30" s="3382">
        <f>IF($AF$29="Yes",0.02,0)</f>
        <v>0</v>
      </c>
      <c r="AG30" s="1778"/>
      <c r="AH30" s="1920"/>
      <c r="AI30" s="3378"/>
      <c r="AJ30" s="3378"/>
      <c r="AK30" s="3378"/>
      <c r="AL30" s="1889"/>
      <c r="AQ30" s="1409" t="s">
        <v>52</v>
      </c>
      <c r="AR30" s="677">
        <v>442904</v>
      </c>
      <c r="AS30" s="678">
        <v>510664</v>
      </c>
      <c r="AT30" s="678">
        <v>616000</v>
      </c>
      <c r="AU30" s="678">
        <v>788480</v>
      </c>
      <c r="AV30" s="678">
        <v>878416</v>
      </c>
    </row>
    <row r="31" spans="2:48" ht="39.75" hidden="1" customHeight="1">
      <c r="B31" s="431"/>
      <c r="C31" s="3440" t="s">
        <v>3375</v>
      </c>
      <c r="D31" s="1953"/>
      <c r="E31" s="1953"/>
      <c r="F31" s="1953"/>
      <c r="G31" s="1953"/>
      <c r="H31" s="1953"/>
      <c r="I31" s="1953"/>
      <c r="J31" s="1953"/>
      <c r="K31" s="1953"/>
      <c r="L31" s="1953"/>
      <c r="M31" s="1953"/>
      <c r="N31" s="1953"/>
      <c r="O31" s="1953"/>
      <c r="P31" s="1953"/>
      <c r="Q31" s="1953"/>
      <c r="R31" s="1953"/>
      <c r="S31" s="1953"/>
      <c r="T31" s="1953"/>
      <c r="U31" s="1953"/>
      <c r="V31" s="1953"/>
      <c r="W31" s="1953"/>
      <c r="X31" s="1953"/>
      <c r="Y31" s="1953"/>
      <c r="Z31" s="1953"/>
      <c r="AA31" s="1953"/>
      <c r="AB31" s="1953"/>
      <c r="AC31" s="1953"/>
      <c r="AD31" s="1953"/>
      <c r="AE31" s="1770"/>
      <c r="AF31" s="3390"/>
      <c r="AG31" s="1862"/>
      <c r="AH31" s="1920"/>
      <c r="AI31" s="3378"/>
      <c r="AJ31" s="3378"/>
      <c r="AK31" s="3378"/>
      <c r="AL31" s="1889"/>
      <c r="AQ31" s="1410" t="s">
        <v>122</v>
      </c>
      <c r="AR31" s="679">
        <v>406666</v>
      </c>
      <c r="AS31" s="680">
        <v>468882</v>
      </c>
      <c r="AT31" s="680">
        <v>565600</v>
      </c>
      <c r="AU31" s="680">
        <v>723968</v>
      </c>
      <c r="AV31" s="680">
        <v>806546</v>
      </c>
    </row>
    <row r="32" spans="2:48" ht="39.75" hidden="1" customHeight="1">
      <c r="B32" s="431"/>
      <c r="C32" s="2479"/>
      <c r="D32" s="1877"/>
      <c r="E32" s="1877"/>
      <c r="F32" s="1877"/>
      <c r="G32" s="1877"/>
      <c r="H32" s="1877"/>
      <c r="I32" s="1877"/>
      <c r="J32" s="1877"/>
      <c r="K32" s="1877"/>
      <c r="L32" s="1877"/>
      <c r="M32" s="1877"/>
      <c r="N32" s="1877"/>
      <c r="O32" s="1877"/>
      <c r="P32" s="1877"/>
      <c r="Q32" s="1877"/>
      <c r="R32" s="1877"/>
      <c r="S32" s="1877"/>
      <c r="T32" s="1877"/>
      <c r="U32" s="1877"/>
      <c r="V32" s="1877"/>
      <c r="W32" s="1877"/>
      <c r="X32" s="1877"/>
      <c r="Y32" s="1877"/>
      <c r="Z32" s="1877"/>
      <c r="AA32" s="1877"/>
      <c r="AB32" s="1877"/>
      <c r="AC32" s="1877"/>
      <c r="AD32" s="1877"/>
      <c r="AE32" s="1772"/>
      <c r="AF32" s="3382">
        <f>IF($AF$31="Yes",0.04,0)</f>
        <v>0</v>
      </c>
      <c r="AG32" s="1778"/>
      <c r="AH32" s="1920"/>
      <c r="AI32" s="3378"/>
      <c r="AJ32" s="3378"/>
      <c r="AK32" s="3378"/>
      <c r="AL32" s="1889"/>
      <c r="AQ32" s="1409" t="s">
        <v>124</v>
      </c>
      <c r="AR32" s="677">
        <v>402640</v>
      </c>
      <c r="AS32" s="678">
        <v>464240</v>
      </c>
      <c r="AT32" s="678">
        <v>560000</v>
      </c>
      <c r="AU32" s="678">
        <v>716800</v>
      </c>
      <c r="AV32" s="678">
        <v>798560</v>
      </c>
    </row>
    <row r="33" spans="1:49" ht="18" hidden="1" customHeight="1">
      <c r="B33" s="431"/>
      <c r="C33" s="3379" t="s">
        <v>3376</v>
      </c>
      <c r="D33" s="1953"/>
      <c r="E33" s="1953"/>
      <c r="F33" s="1953"/>
      <c r="G33" s="1953"/>
      <c r="H33" s="1953"/>
      <c r="I33" s="1953"/>
      <c r="J33" s="1953"/>
      <c r="K33" s="1953"/>
      <c r="L33" s="1953"/>
      <c r="M33" s="1953"/>
      <c r="N33" s="1953"/>
      <c r="O33" s="1953"/>
      <c r="P33" s="1953"/>
      <c r="Q33" s="1953"/>
      <c r="R33" s="1953"/>
      <c r="S33" s="1953"/>
      <c r="T33" s="1953"/>
      <c r="U33" s="1953"/>
      <c r="V33" s="1953"/>
      <c r="W33" s="1953"/>
      <c r="X33" s="1953"/>
      <c r="Y33" s="1953"/>
      <c r="Z33" s="1953"/>
      <c r="AA33" s="1953"/>
      <c r="AB33" s="1953"/>
      <c r="AC33" s="1953"/>
      <c r="AD33" s="1953"/>
      <c r="AE33" s="1770"/>
      <c r="AF33" s="3390"/>
      <c r="AG33" s="1862"/>
      <c r="AH33" s="1920"/>
      <c r="AI33" s="3378"/>
      <c r="AJ33" s="3378"/>
      <c r="AK33" s="3378"/>
      <c r="AL33" s="1889"/>
      <c r="AQ33" s="1410" t="s">
        <v>126</v>
      </c>
      <c r="AR33" s="679">
        <v>402065</v>
      </c>
      <c r="AS33" s="680">
        <v>463577</v>
      </c>
      <c r="AT33" s="680">
        <v>559200</v>
      </c>
      <c r="AU33" s="680">
        <v>715776</v>
      </c>
      <c r="AV33" s="680">
        <v>797419</v>
      </c>
    </row>
    <row r="34" spans="1:49" ht="18" hidden="1" customHeight="1">
      <c r="B34" s="431"/>
      <c r="C34" s="2479"/>
      <c r="D34" s="1877"/>
      <c r="E34" s="1877"/>
      <c r="F34" s="1877"/>
      <c r="G34" s="1877"/>
      <c r="H34" s="1877"/>
      <c r="I34" s="1877"/>
      <c r="J34" s="1877"/>
      <c r="K34" s="1877"/>
      <c r="L34" s="1877"/>
      <c r="M34" s="1877"/>
      <c r="N34" s="1877"/>
      <c r="O34" s="1877"/>
      <c r="P34" s="1877"/>
      <c r="Q34" s="1877"/>
      <c r="R34" s="1877"/>
      <c r="S34" s="1877"/>
      <c r="T34" s="1877"/>
      <c r="U34" s="1877"/>
      <c r="V34" s="1877"/>
      <c r="W34" s="1877"/>
      <c r="X34" s="1877"/>
      <c r="Y34" s="1877"/>
      <c r="Z34" s="1877"/>
      <c r="AA34" s="1877"/>
      <c r="AB34" s="1877"/>
      <c r="AC34" s="1877"/>
      <c r="AD34" s="1877"/>
      <c r="AE34" s="1772"/>
      <c r="AF34" s="3382">
        <f>IF($AF$33="Yes",0.04,0)</f>
        <v>0</v>
      </c>
      <c r="AG34" s="1778"/>
      <c r="AH34" s="1920"/>
      <c r="AI34" s="3378"/>
      <c r="AJ34" s="3378"/>
      <c r="AK34" s="3378"/>
      <c r="AL34" s="1889"/>
      <c r="AQ34" s="1409" t="s">
        <v>127</v>
      </c>
      <c r="AR34" s="677">
        <v>360075</v>
      </c>
      <c r="AS34" s="678">
        <v>415163</v>
      </c>
      <c r="AT34" s="678">
        <v>500800</v>
      </c>
      <c r="AU34" s="678">
        <v>641024</v>
      </c>
      <c r="AV34" s="678">
        <v>714141</v>
      </c>
    </row>
    <row r="35" spans="1:49" ht="23.25" hidden="1" customHeight="1">
      <c r="B35" s="431"/>
      <c r="C35" s="3379" t="s">
        <v>3377</v>
      </c>
      <c r="D35" s="1953"/>
      <c r="E35" s="1953"/>
      <c r="F35" s="1953"/>
      <c r="G35" s="1953"/>
      <c r="H35" s="1953"/>
      <c r="I35" s="1953"/>
      <c r="J35" s="1953"/>
      <c r="K35" s="1953"/>
      <c r="L35" s="1953"/>
      <c r="M35" s="1953"/>
      <c r="N35" s="1953"/>
      <c r="O35" s="1953"/>
      <c r="P35" s="1953"/>
      <c r="Q35" s="1953"/>
      <c r="R35" s="1953"/>
      <c r="S35" s="1953"/>
      <c r="T35" s="1953"/>
      <c r="U35" s="1953"/>
      <c r="V35" s="1953"/>
      <c r="W35" s="1953"/>
      <c r="X35" s="1953"/>
      <c r="Y35" s="1953"/>
      <c r="Z35" s="1953"/>
      <c r="AA35" s="1953"/>
      <c r="AB35" s="1953"/>
      <c r="AC35" s="1953"/>
      <c r="AD35" s="1953"/>
      <c r="AE35" s="1770"/>
      <c r="AF35" s="3390"/>
      <c r="AG35" s="1862"/>
      <c r="AH35" s="1920"/>
      <c r="AI35" s="3378"/>
      <c r="AJ35" s="3378"/>
      <c r="AK35" s="3378"/>
      <c r="AL35" s="1889"/>
      <c r="AQ35" s="1410" t="s">
        <v>129</v>
      </c>
      <c r="AR35" s="679">
        <v>402640</v>
      </c>
      <c r="AS35" s="680">
        <v>464240</v>
      </c>
      <c r="AT35" s="680">
        <v>560000</v>
      </c>
      <c r="AU35" s="680">
        <v>716800</v>
      </c>
      <c r="AV35" s="680">
        <v>798560</v>
      </c>
    </row>
    <row r="36" spans="1:49" ht="23.25" hidden="1" customHeight="1">
      <c r="B36" s="431"/>
      <c r="C36" s="2479"/>
      <c r="D36" s="1877"/>
      <c r="E36" s="1877"/>
      <c r="F36" s="1877"/>
      <c r="G36" s="1877"/>
      <c r="H36" s="1877"/>
      <c r="I36" s="1877"/>
      <c r="J36" s="1877"/>
      <c r="K36" s="1877"/>
      <c r="L36" s="1877"/>
      <c r="M36" s="1877"/>
      <c r="N36" s="1877"/>
      <c r="O36" s="1877"/>
      <c r="P36" s="1877"/>
      <c r="Q36" s="1877"/>
      <c r="R36" s="1877"/>
      <c r="S36" s="1877"/>
      <c r="T36" s="1877"/>
      <c r="U36" s="1877"/>
      <c r="V36" s="1877"/>
      <c r="W36" s="1877"/>
      <c r="X36" s="1877"/>
      <c r="Y36" s="1877"/>
      <c r="Z36" s="1877"/>
      <c r="AA36" s="1877"/>
      <c r="AB36" s="1877"/>
      <c r="AC36" s="1877"/>
      <c r="AD36" s="1877"/>
      <c r="AE36" s="1772"/>
      <c r="AF36" s="3382">
        <f>IF($AF$35="Yes",0.01,0)</f>
        <v>0</v>
      </c>
      <c r="AG36" s="1778"/>
      <c r="AH36" s="1920"/>
      <c r="AI36" s="3378"/>
      <c r="AJ36" s="3378"/>
      <c r="AK36" s="3378"/>
      <c r="AL36" s="1889"/>
      <c r="AQ36" s="1409" t="s">
        <v>86</v>
      </c>
      <c r="AR36" s="677">
        <v>381933</v>
      </c>
      <c r="AS36" s="678">
        <v>440365</v>
      </c>
      <c r="AT36" s="678">
        <v>531200</v>
      </c>
      <c r="AU36" s="678">
        <v>679936</v>
      </c>
      <c r="AV36" s="678">
        <v>757491</v>
      </c>
    </row>
    <row r="37" spans="1:49" ht="26.25" hidden="1" customHeight="1">
      <c r="B37" s="431"/>
      <c r="C37" s="3379" t="s">
        <v>3378</v>
      </c>
      <c r="D37" s="1953"/>
      <c r="E37" s="1953"/>
      <c r="F37" s="1953"/>
      <c r="G37" s="1953"/>
      <c r="H37" s="1953"/>
      <c r="I37" s="1953"/>
      <c r="J37" s="1953"/>
      <c r="K37" s="1953"/>
      <c r="L37" s="1953"/>
      <c r="M37" s="1953"/>
      <c r="N37" s="1953"/>
      <c r="O37" s="1953"/>
      <c r="P37" s="1953"/>
      <c r="Q37" s="1953"/>
      <c r="R37" s="1953"/>
      <c r="S37" s="1953"/>
      <c r="T37" s="1953"/>
      <c r="U37" s="1953"/>
      <c r="V37" s="1953"/>
      <c r="W37" s="1953"/>
      <c r="X37" s="1953"/>
      <c r="Y37" s="1953"/>
      <c r="Z37" s="1953"/>
      <c r="AA37" s="1953"/>
      <c r="AB37" s="1953"/>
      <c r="AC37" s="1953"/>
      <c r="AD37" s="1953"/>
      <c r="AE37" s="1770"/>
      <c r="AF37" s="3390"/>
      <c r="AG37" s="1862"/>
      <c r="AH37" s="1920"/>
      <c r="AI37" s="3378"/>
      <c r="AJ37" s="3378"/>
      <c r="AK37" s="3378"/>
      <c r="AL37" s="1889"/>
      <c r="AQ37" s="1410" t="s">
        <v>134</v>
      </c>
      <c r="AR37" s="679">
        <v>360075</v>
      </c>
      <c r="AS37" s="680">
        <v>415163</v>
      </c>
      <c r="AT37" s="680">
        <v>500800</v>
      </c>
      <c r="AU37" s="680">
        <v>641024</v>
      </c>
      <c r="AV37" s="680">
        <v>714141</v>
      </c>
    </row>
    <row r="38" spans="1:49" ht="26.25" hidden="1" customHeight="1">
      <c r="B38" s="431"/>
      <c r="C38" s="2479"/>
      <c r="D38" s="1877"/>
      <c r="E38" s="1877"/>
      <c r="F38" s="1877"/>
      <c r="G38" s="1877"/>
      <c r="H38" s="1877"/>
      <c r="I38" s="1877"/>
      <c r="J38" s="1877"/>
      <c r="K38" s="1877"/>
      <c r="L38" s="1877"/>
      <c r="M38" s="1877"/>
      <c r="N38" s="1877"/>
      <c r="O38" s="1877"/>
      <c r="P38" s="1877"/>
      <c r="Q38" s="1877"/>
      <c r="R38" s="1877"/>
      <c r="S38" s="1877"/>
      <c r="T38" s="1877"/>
      <c r="U38" s="1877"/>
      <c r="V38" s="1877"/>
      <c r="W38" s="1877"/>
      <c r="X38" s="1877"/>
      <c r="Y38" s="1877"/>
      <c r="Z38" s="1877"/>
      <c r="AA38" s="1877"/>
      <c r="AB38" s="1877"/>
      <c r="AC38" s="1877"/>
      <c r="AD38" s="1877"/>
      <c r="AE38" s="1772"/>
      <c r="AF38" s="3382">
        <f>IF($AF$37="Yes",0.01,0)</f>
        <v>0</v>
      </c>
      <c r="AG38" s="1778"/>
      <c r="AH38" s="1920"/>
      <c r="AI38" s="3378"/>
      <c r="AJ38" s="3378"/>
      <c r="AK38" s="3378"/>
      <c r="AL38" s="1889"/>
      <c r="AQ38" s="1409" t="s">
        <v>137</v>
      </c>
      <c r="AR38" s="677">
        <v>402640</v>
      </c>
      <c r="AS38" s="678">
        <v>464240</v>
      </c>
      <c r="AT38" s="678">
        <v>560000</v>
      </c>
      <c r="AU38" s="678">
        <v>716800</v>
      </c>
      <c r="AV38" s="678">
        <v>798560</v>
      </c>
    </row>
    <row r="39" spans="1:49" ht="18" hidden="1" customHeight="1">
      <c r="B39" s="431"/>
      <c r="C39" s="3379" t="s">
        <v>3379</v>
      </c>
      <c r="D39" s="1953"/>
      <c r="E39" s="1953"/>
      <c r="F39" s="1953"/>
      <c r="G39" s="1953"/>
      <c r="H39" s="1953"/>
      <c r="I39" s="1953"/>
      <c r="J39" s="1953"/>
      <c r="K39" s="1953"/>
      <c r="L39" s="1953"/>
      <c r="M39" s="1953"/>
      <c r="N39" s="1953"/>
      <c r="O39" s="1953"/>
      <c r="P39" s="1953"/>
      <c r="Q39" s="1953"/>
      <c r="R39" s="1953"/>
      <c r="S39" s="1953"/>
      <c r="T39" s="1953"/>
      <c r="U39" s="1953"/>
      <c r="V39" s="1953"/>
      <c r="W39" s="1953"/>
      <c r="X39" s="1953"/>
      <c r="Y39" s="1953"/>
      <c r="Z39" s="1953"/>
      <c r="AA39" s="1953"/>
      <c r="AB39" s="1953"/>
      <c r="AC39" s="1953"/>
      <c r="AD39" s="1953"/>
      <c r="AE39" s="1770"/>
      <c r="AF39" s="3390"/>
      <c r="AG39" s="1862"/>
      <c r="AH39" s="1920"/>
      <c r="AI39" s="3378"/>
      <c r="AJ39" s="3378"/>
      <c r="AK39" s="3378"/>
      <c r="AL39" s="1889"/>
      <c r="AQ39" s="1410" t="s">
        <v>139</v>
      </c>
      <c r="AR39" s="679">
        <v>381933</v>
      </c>
      <c r="AS39" s="680">
        <v>440365</v>
      </c>
      <c r="AT39" s="680">
        <v>531200</v>
      </c>
      <c r="AU39" s="680">
        <v>679936</v>
      </c>
      <c r="AV39" s="680">
        <v>757491</v>
      </c>
    </row>
    <row r="40" spans="1:49" ht="18" hidden="1" customHeight="1">
      <c r="B40" s="431"/>
      <c r="C40" s="2479"/>
      <c r="D40" s="1877"/>
      <c r="E40" s="1877"/>
      <c r="F40" s="1877"/>
      <c r="G40" s="1877"/>
      <c r="H40" s="1877"/>
      <c r="I40" s="1877"/>
      <c r="J40" s="1877"/>
      <c r="K40" s="1877"/>
      <c r="L40" s="1877"/>
      <c r="M40" s="1877"/>
      <c r="N40" s="1877"/>
      <c r="O40" s="1877"/>
      <c r="P40" s="1877"/>
      <c r="Q40" s="1877"/>
      <c r="R40" s="1877"/>
      <c r="S40" s="1877"/>
      <c r="T40" s="1877"/>
      <c r="U40" s="1877"/>
      <c r="V40" s="1877"/>
      <c r="W40" s="1877"/>
      <c r="X40" s="1877"/>
      <c r="Y40" s="1877"/>
      <c r="Z40" s="1877"/>
      <c r="AA40" s="1877"/>
      <c r="AB40" s="1877"/>
      <c r="AC40" s="1877"/>
      <c r="AD40" s="1877"/>
      <c r="AE40" s="1772"/>
      <c r="AF40" s="3382">
        <f>IF($AF$39="Yes",0.01,0)</f>
        <v>0</v>
      </c>
      <c r="AG40" s="1778"/>
      <c r="AH40" s="1920"/>
      <c r="AI40" s="3378"/>
      <c r="AJ40" s="3378"/>
      <c r="AK40" s="3378"/>
      <c r="AL40" s="1889"/>
      <c r="AQ40" s="1409" t="s">
        <v>89</v>
      </c>
      <c r="AR40" s="677">
        <v>392286</v>
      </c>
      <c r="AS40" s="678">
        <v>452302</v>
      </c>
      <c r="AT40" s="678">
        <v>545600</v>
      </c>
      <c r="AU40" s="678">
        <v>698368</v>
      </c>
      <c r="AV40" s="678">
        <v>778026</v>
      </c>
    </row>
    <row r="41" spans="1:49" ht="18" hidden="1" customHeight="1">
      <c r="B41" s="431"/>
      <c r="C41" s="3379" t="s">
        <v>3380</v>
      </c>
      <c r="D41" s="1953"/>
      <c r="E41" s="1953"/>
      <c r="F41" s="1953"/>
      <c r="G41" s="1953"/>
      <c r="H41" s="1953"/>
      <c r="I41" s="1953"/>
      <c r="J41" s="1953"/>
      <c r="K41" s="1953"/>
      <c r="L41" s="1953"/>
      <c r="M41" s="1953"/>
      <c r="N41" s="1953"/>
      <c r="O41" s="1953"/>
      <c r="P41" s="1953"/>
      <c r="Q41" s="1953"/>
      <c r="R41" s="1953"/>
      <c r="S41" s="1953"/>
      <c r="T41" s="1953"/>
      <c r="U41" s="1953"/>
      <c r="V41" s="1953"/>
      <c r="W41" s="1953"/>
      <c r="X41" s="1953"/>
      <c r="Y41" s="1953"/>
      <c r="Z41" s="1953"/>
      <c r="AA41" s="1953"/>
      <c r="AB41" s="1953"/>
      <c r="AC41" s="1953"/>
      <c r="AD41" s="1953"/>
      <c r="AE41" s="1770"/>
      <c r="AF41" s="3390"/>
      <c r="AG41" s="1862"/>
      <c r="AH41" s="1920"/>
      <c r="AI41" s="3378"/>
      <c r="AJ41" s="3378"/>
      <c r="AK41" s="3378"/>
      <c r="AL41" s="1889"/>
      <c r="AQ41" s="1410" t="s">
        <v>143</v>
      </c>
      <c r="AR41" s="679">
        <v>694266</v>
      </c>
      <c r="AS41" s="680">
        <v>800482</v>
      </c>
      <c r="AT41" s="680">
        <v>965600</v>
      </c>
      <c r="AU41" s="680">
        <v>1235968</v>
      </c>
      <c r="AV41" s="680">
        <v>1376946</v>
      </c>
    </row>
    <row r="42" spans="1:49" ht="18" hidden="1" customHeight="1">
      <c r="B42" s="431"/>
      <c r="C42" s="2479"/>
      <c r="D42" s="1877"/>
      <c r="E42" s="1877"/>
      <c r="F42" s="1877"/>
      <c r="G42" s="1877"/>
      <c r="H42" s="1877"/>
      <c r="I42" s="1877"/>
      <c r="J42" s="1877"/>
      <c r="K42" s="1877"/>
      <c r="L42" s="1877"/>
      <c r="M42" s="1877"/>
      <c r="N42" s="1877"/>
      <c r="O42" s="1877"/>
      <c r="P42" s="1877"/>
      <c r="Q42" s="1877"/>
      <c r="R42" s="1877"/>
      <c r="S42" s="1877"/>
      <c r="T42" s="1877"/>
      <c r="U42" s="1877"/>
      <c r="V42" s="1877"/>
      <c r="W42" s="1877"/>
      <c r="X42" s="1877"/>
      <c r="Y42" s="1877"/>
      <c r="Z42" s="1877"/>
      <c r="AA42" s="1877"/>
      <c r="AB42" s="1877"/>
      <c r="AC42" s="1877"/>
      <c r="AD42" s="1877"/>
      <c r="AE42" s="1772"/>
      <c r="AF42" s="3382">
        <f>IF($AF$41="Yes",0.02,0)</f>
        <v>0</v>
      </c>
      <c r="AG42" s="1778"/>
      <c r="AH42" s="1920"/>
      <c r="AI42" s="3378"/>
      <c r="AJ42" s="3378"/>
      <c r="AK42" s="3378"/>
      <c r="AL42" s="1889"/>
      <c r="AQ42" s="1409" t="s">
        <v>58</v>
      </c>
      <c r="AR42" s="677">
        <v>323262</v>
      </c>
      <c r="AS42" s="678">
        <v>372718</v>
      </c>
      <c r="AT42" s="678">
        <v>449600</v>
      </c>
      <c r="AU42" s="678">
        <v>575488</v>
      </c>
      <c r="AV42" s="678">
        <v>641130</v>
      </c>
    </row>
    <row r="43" spans="1:49" ht="18" hidden="1" customHeight="1">
      <c r="B43" s="431"/>
      <c r="C43" s="3379" t="s">
        <v>3381</v>
      </c>
      <c r="D43" s="1953"/>
      <c r="E43" s="1953"/>
      <c r="F43" s="1953"/>
      <c r="G43" s="1953"/>
      <c r="H43" s="1953"/>
      <c r="I43" s="1953"/>
      <c r="J43" s="1953"/>
      <c r="K43" s="1953"/>
      <c r="L43" s="1953"/>
      <c r="M43" s="1953"/>
      <c r="N43" s="1953"/>
      <c r="O43" s="1953"/>
      <c r="P43" s="1953"/>
      <c r="Q43" s="1953"/>
      <c r="R43" s="1953"/>
      <c r="S43" s="1953"/>
      <c r="T43" s="1953"/>
      <c r="U43" s="1953"/>
      <c r="V43" s="1953"/>
      <c r="W43" s="1953"/>
      <c r="X43" s="1953"/>
      <c r="Y43" s="1953"/>
      <c r="Z43" s="1953"/>
      <c r="AA43" s="1953"/>
      <c r="AB43" s="1953"/>
      <c r="AC43" s="1953"/>
      <c r="AD43" s="1953"/>
      <c r="AE43" s="1770"/>
      <c r="AF43" s="3390"/>
      <c r="AG43" s="1862"/>
      <c r="AH43" s="1920"/>
      <c r="AI43" s="3378"/>
      <c r="AJ43" s="3378"/>
      <c r="AK43" s="3378"/>
      <c r="AL43" s="1889"/>
      <c r="AQ43" s="1410" t="s">
        <v>93</v>
      </c>
      <c r="AR43" s="679">
        <v>442904</v>
      </c>
      <c r="AS43" s="680">
        <v>510664</v>
      </c>
      <c r="AT43" s="680">
        <v>616000</v>
      </c>
      <c r="AU43" s="680">
        <v>788480</v>
      </c>
      <c r="AV43" s="680">
        <v>878416</v>
      </c>
    </row>
    <row r="44" spans="1:49" ht="18" hidden="1" customHeight="1">
      <c r="B44" s="431"/>
      <c r="C44" s="2479"/>
      <c r="D44" s="1877"/>
      <c r="E44" s="1877"/>
      <c r="F44" s="1877"/>
      <c r="G44" s="1877"/>
      <c r="H44" s="1877"/>
      <c r="I44" s="1877"/>
      <c r="J44" s="1877"/>
      <c r="K44" s="1877"/>
      <c r="L44" s="1877"/>
      <c r="M44" s="1877"/>
      <c r="N44" s="1877"/>
      <c r="O44" s="1877"/>
      <c r="P44" s="1877"/>
      <c r="Q44" s="1877"/>
      <c r="R44" s="1877"/>
      <c r="S44" s="1877"/>
      <c r="T44" s="1877"/>
      <c r="U44" s="1877"/>
      <c r="V44" s="1877"/>
      <c r="W44" s="1877"/>
      <c r="X44" s="1877"/>
      <c r="Y44" s="1877"/>
      <c r="Z44" s="1877"/>
      <c r="AA44" s="1877"/>
      <c r="AB44" s="1877"/>
      <c r="AC44" s="1877"/>
      <c r="AD44" s="1877"/>
      <c r="AE44" s="1772"/>
      <c r="AF44" s="3382">
        <f>IF($AF$43="Yes",0.02,0)</f>
        <v>0</v>
      </c>
      <c r="AG44" s="1778"/>
      <c r="AH44" s="2479"/>
      <c r="AI44" s="1877"/>
      <c r="AJ44" s="1877"/>
      <c r="AK44" s="1877"/>
      <c r="AL44" s="1772"/>
      <c r="AQ44" s="1409" t="s">
        <v>145</v>
      </c>
      <c r="AR44" s="677">
        <v>532060</v>
      </c>
      <c r="AS44" s="678">
        <v>613460</v>
      </c>
      <c r="AT44" s="678">
        <v>740000</v>
      </c>
      <c r="AU44" s="678">
        <v>947200</v>
      </c>
      <c r="AV44" s="678">
        <v>1055240</v>
      </c>
    </row>
    <row r="45" spans="1:49" ht="18" customHeight="1">
      <c r="B45" s="3430" t="s">
        <v>2743</v>
      </c>
      <c r="C45" s="3379" t="s">
        <v>3382</v>
      </c>
      <c r="D45" s="1953"/>
      <c r="E45" s="1953"/>
      <c r="F45" s="1953"/>
      <c r="G45" s="1953"/>
      <c r="H45" s="1953"/>
      <c r="I45" s="1953"/>
      <c r="J45" s="1953"/>
      <c r="K45" s="1953"/>
      <c r="L45" s="1953"/>
      <c r="M45" s="1953"/>
      <c r="N45" s="1953"/>
      <c r="O45" s="1953"/>
      <c r="P45" s="1953"/>
      <c r="Q45" s="1953"/>
      <c r="R45" s="1953"/>
      <c r="S45" s="1953"/>
      <c r="T45" s="1953"/>
      <c r="U45" s="1953"/>
      <c r="V45" s="1953"/>
      <c r="W45" s="1953"/>
      <c r="X45" s="1953"/>
      <c r="Y45" s="1953"/>
      <c r="Z45" s="1953"/>
      <c r="AA45" s="1953"/>
      <c r="AB45" s="1953"/>
      <c r="AC45" s="1953"/>
      <c r="AD45" s="1953"/>
      <c r="AE45" s="1770"/>
      <c r="AF45" s="3385"/>
      <c r="AG45" s="1862"/>
      <c r="AH45" s="3381">
        <f>IF($AF$45="Yes",MIN($AB$47,$AH$7*0.15),0)</f>
        <v>0</v>
      </c>
      <c r="AI45" s="1777"/>
      <c r="AJ45" s="1777"/>
      <c r="AK45" s="1777"/>
      <c r="AL45" s="1778"/>
      <c r="AN45" s="289"/>
      <c r="AQ45" s="1410" t="s">
        <v>65</v>
      </c>
      <c r="AR45" s="679">
        <v>442904</v>
      </c>
      <c r="AS45" s="680">
        <v>510664</v>
      </c>
      <c r="AT45" s="680">
        <v>616000</v>
      </c>
      <c r="AU45" s="680">
        <v>788480</v>
      </c>
      <c r="AV45" s="680">
        <v>878416</v>
      </c>
    </row>
    <row r="46" spans="1:49" ht="18" customHeight="1">
      <c r="B46" s="2464"/>
      <c r="C46" s="2479"/>
      <c r="D46" s="1877"/>
      <c r="E46" s="1877"/>
      <c r="F46" s="1877"/>
      <c r="G46" s="1877"/>
      <c r="H46" s="1877"/>
      <c r="I46" s="1877"/>
      <c r="J46" s="1877"/>
      <c r="K46" s="1877"/>
      <c r="L46" s="1877"/>
      <c r="M46" s="1877"/>
      <c r="N46" s="1877"/>
      <c r="O46" s="1877"/>
      <c r="P46" s="1877"/>
      <c r="Q46" s="1877"/>
      <c r="R46" s="1877"/>
      <c r="S46" s="1877"/>
      <c r="T46" s="1877"/>
      <c r="U46" s="1877"/>
      <c r="V46" s="1877"/>
      <c r="W46" s="1877"/>
      <c r="X46" s="1877"/>
      <c r="Y46" s="1877"/>
      <c r="Z46" s="1877"/>
      <c r="AA46" s="1877"/>
      <c r="AB46" s="1877"/>
      <c r="AC46" s="1877"/>
      <c r="AD46" s="1877"/>
      <c r="AE46" s="1772"/>
      <c r="AF46" s="3422"/>
      <c r="AG46" s="1953"/>
      <c r="AH46" s="1953"/>
      <c r="AI46" s="1953"/>
      <c r="AJ46" s="1953"/>
      <c r="AK46" s="1953"/>
      <c r="AL46" s="1770"/>
      <c r="AQ46" s="1409" t="s">
        <v>150</v>
      </c>
      <c r="AR46" s="677">
        <v>532060</v>
      </c>
      <c r="AS46" s="678">
        <v>613460</v>
      </c>
      <c r="AT46" s="678">
        <v>740000</v>
      </c>
      <c r="AU46" s="678">
        <v>947200</v>
      </c>
      <c r="AV46" s="678">
        <v>1055240</v>
      </c>
    </row>
    <row r="47" spans="1:49" ht="18" customHeight="1">
      <c r="B47" s="2465"/>
      <c r="C47" s="3380" t="s">
        <v>3383</v>
      </c>
      <c r="D47" s="1777"/>
      <c r="E47" s="1777"/>
      <c r="F47" s="1777"/>
      <c r="G47" s="1777"/>
      <c r="H47" s="1777"/>
      <c r="I47" s="1777"/>
      <c r="J47" s="1778"/>
      <c r="K47" s="3410"/>
      <c r="L47" s="1861"/>
      <c r="M47" s="1861"/>
      <c r="N47" s="1861"/>
      <c r="O47" s="1861"/>
      <c r="P47" s="1861"/>
      <c r="Q47" s="1862"/>
      <c r="R47" s="3438" t="s">
        <v>3384</v>
      </c>
      <c r="S47" s="1777"/>
      <c r="T47" s="1777"/>
      <c r="U47" s="1777"/>
      <c r="V47" s="1777"/>
      <c r="W47" s="1777"/>
      <c r="X47" s="1777"/>
      <c r="Y47" s="1777"/>
      <c r="Z47" s="1777"/>
      <c r="AA47" s="1778"/>
      <c r="AB47" s="3436"/>
      <c r="AC47" s="1861"/>
      <c r="AD47" s="1861"/>
      <c r="AE47" s="1862"/>
      <c r="AF47" s="2479"/>
      <c r="AG47" s="1877"/>
      <c r="AH47" s="1877"/>
      <c r="AI47" s="1877"/>
      <c r="AJ47" s="1877"/>
      <c r="AK47" s="1877"/>
      <c r="AL47" s="1772"/>
      <c r="AQ47" s="1410" t="s">
        <v>98</v>
      </c>
      <c r="AR47" s="679">
        <v>442904</v>
      </c>
      <c r="AS47" s="680">
        <v>510664</v>
      </c>
      <c r="AT47" s="680">
        <v>616000</v>
      </c>
      <c r="AU47" s="680">
        <v>788480</v>
      </c>
      <c r="AV47" s="680">
        <v>878416</v>
      </c>
    </row>
    <row r="48" spans="1:49" s="129" customFormat="1" ht="18" customHeight="1">
      <c r="A48" s="126"/>
      <c r="B48" s="3407" t="s">
        <v>2744</v>
      </c>
      <c r="C48" s="3379" t="s">
        <v>3385</v>
      </c>
      <c r="D48" s="1953"/>
      <c r="E48" s="1953"/>
      <c r="F48" s="1953"/>
      <c r="G48" s="1953"/>
      <c r="H48" s="1953"/>
      <c r="I48" s="1953"/>
      <c r="J48" s="1953"/>
      <c r="K48" s="1953"/>
      <c r="L48" s="1953"/>
      <c r="M48" s="1953"/>
      <c r="N48" s="1953"/>
      <c r="O48" s="1953"/>
      <c r="P48" s="1953"/>
      <c r="Q48" s="1953"/>
      <c r="R48" s="1953"/>
      <c r="S48" s="1953"/>
      <c r="T48" s="1953"/>
      <c r="U48" s="1953"/>
      <c r="V48" s="1953"/>
      <c r="W48" s="1953"/>
      <c r="X48" s="1953"/>
      <c r="Y48" s="1953"/>
      <c r="Z48" s="1953"/>
      <c r="AA48" s="1953"/>
      <c r="AB48" s="1953"/>
      <c r="AC48" s="1953"/>
      <c r="AD48" s="1953"/>
      <c r="AE48" s="1770"/>
      <c r="AF48" s="3391"/>
      <c r="AG48" s="1862"/>
      <c r="AH48" s="3421"/>
      <c r="AI48" s="1861"/>
      <c r="AJ48" s="1861"/>
      <c r="AK48" s="1861"/>
      <c r="AL48" s="1862"/>
      <c r="AM48" s="126"/>
      <c r="AN48" s="126"/>
      <c r="AQ48" s="1409" t="s">
        <v>154</v>
      </c>
      <c r="AR48" s="677">
        <v>369278</v>
      </c>
      <c r="AS48" s="678">
        <v>425774</v>
      </c>
      <c r="AT48" s="678">
        <v>513600</v>
      </c>
      <c r="AU48" s="678">
        <v>657408</v>
      </c>
      <c r="AV48" s="678">
        <v>732394</v>
      </c>
      <c r="AW48" s="126"/>
    </row>
    <row r="49" spans="1:48" ht="18" customHeight="1">
      <c r="B49" s="2465"/>
      <c r="C49" s="2479"/>
      <c r="D49" s="1877"/>
      <c r="E49" s="1877"/>
      <c r="F49" s="1877"/>
      <c r="G49" s="1877"/>
      <c r="H49" s="1877"/>
      <c r="I49" s="1877"/>
      <c r="J49" s="1877"/>
      <c r="K49" s="1877"/>
      <c r="L49" s="1877"/>
      <c r="M49" s="1877"/>
      <c r="N49" s="1877"/>
      <c r="O49" s="1877"/>
      <c r="P49" s="1877"/>
      <c r="Q49" s="1877"/>
      <c r="R49" s="1877"/>
      <c r="S49" s="1877"/>
      <c r="T49" s="1877"/>
      <c r="U49" s="1877"/>
      <c r="V49" s="1877"/>
      <c r="W49" s="1877"/>
      <c r="X49" s="1877"/>
      <c r="Y49" s="1877"/>
      <c r="Z49" s="1877"/>
      <c r="AA49" s="1877"/>
      <c r="AB49" s="1877"/>
      <c r="AC49" s="1877"/>
      <c r="AD49" s="1877"/>
      <c r="AE49" s="1772"/>
      <c r="AF49" s="3420">
        <f>IF($AF$48="yes","Please Enter Amount Above:",0)</f>
        <v>0</v>
      </c>
      <c r="AG49" s="1877"/>
      <c r="AH49" s="1877"/>
      <c r="AI49" s="1877"/>
      <c r="AJ49" s="1877"/>
      <c r="AK49" s="1877"/>
      <c r="AL49" s="1772"/>
      <c r="AQ49" s="1410" t="s">
        <v>156</v>
      </c>
      <c r="AR49" s="679">
        <v>402640</v>
      </c>
      <c r="AS49" s="680">
        <v>464240</v>
      </c>
      <c r="AT49" s="680">
        <v>560000</v>
      </c>
      <c r="AU49" s="680">
        <v>716800</v>
      </c>
      <c r="AV49" s="680">
        <v>798560</v>
      </c>
    </row>
    <row r="50" spans="1:48" ht="18" customHeight="1">
      <c r="A50" s="130"/>
      <c r="B50" s="1738" t="s">
        <v>2745</v>
      </c>
      <c r="C50" s="3379" t="s">
        <v>3386</v>
      </c>
      <c r="D50" s="1777"/>
      <c r="E50" s="1777"/>
      <c r="F50" s="1777"/>
      <c r="G50" s="1777"/>
      <c r="H50" s="1777"/>
      <c r="I50" s="1777"/>
      <c r="J50" s="1777"/>
      <c r="K50" s="1777"/>
      <c r="L50" s="1777"/>
      <c r="M50" s="1777"/>
      <c r="N50" s="1777"/>
      <c r="O50" s="1777"/>
      <c r="P50" s="1777"/>
      <c r="Q50" s="1777"/>
      <c r="R50" s="1777"/>
      <c r="S50" s="1777"/>
      <c r="T50" s="1777"/>
      <c r="U50" s="1777"/>
      <c r="V50" s="1777"/>
      <c r="W50" s="1777"/>
      <c r="X50" s="1777"/>
      <c r="Y50" s="1777"/>
      <c r="Z50" s="1777"/>
      <c r="AA50" s="1777"/>
      <c r="AB50" s="1777"/>
      <c r="AC50" s="1777"/>
      <c r="AD50" s="1777"/>
      <c r="AE50" s="1778"/>
      <c r="AF50" s="3391"/>
      <c r="AG50" s="1862"/>
      <c r="AH50" s="3381">
        <f>ROUND(IF($AF$50="yes",($AH$7*0.1),0),0)</f>
        <v>0</v>
      </c>
      <c r="AI50" s="1777"/>
      <c r="AJ50" s="1777"/>
      <c r="AK50" s="1777"/>
      <c r="AL50" s="1778"/>
      <c r="AQ50" s="1409" t="s">
        <v>158</v>
      </c>
      <c r="AR50" s="677">
        <v>402640</v>
      </c>
      <c r="AS50" s="678">
        <v>464240</v>
      </c>
      <c r="AT50" s="678">
        <v>560000</v>
      </c>
      <c r="AU50" s="678">
        <v>716800</v>
      </c>
      <c r="AV50" s="678">
        <v>798560</v>
      </c>
    </row>
    <row r="51" spans="1:48" ht="36" customHeight="1">
      <c r="A51" s="130"/>
      <c r="B51" s="1738" t="s">
        <v>2746</v>
      </c>
      <c r="C51" s="3379" t="s">
        <v>3387</v>
      </c>
      <c r="D51" s="1777"/>
      <c r="E51" s="1777"/>
      <c r="F51" s="1777"/>
      <c r="G51" s="1777"/>
      <c r="H51" s="1777"/>
      <c r="I51" s="1777"/>
      <c r="J51" s="1777"/>
      <c r="K51" s="1777"/>
      <c r="L51" s="1777"/>
      <c r="M51" s="1777"/>
      <c r="N51" s="1777"/>
      <c r="O51" s="1777"/>
      <c r="P51" s="1777"/>
      <c r="Q51" s="1777"/>
      <c r="R51" s="1777"/>
      <c r="S51" s="1777"/>
      <c r="T51" s="1777"/>
      <c r="U51" s="1777"/>
      <c r="V51" s="1777"/>
      <c r="W51" s="1777"/>
      <c r="X51" s="1777"/>
      <c r="Y51" s="1777"/>
      <c r="Z51" s="1777"/>
      <c r="AA51" s="1777"/>
      <c r="AB51" s="1777"/>
      <c r="AC51" s="1777"/>
      <c r="AD51" s="1777"/>
      <c r="AE51" s="1778"/>
      <c r="AF51" s="3385"/>
      <c r="AG51" s="1862"/>
      <c r="AH51" s="3381">
        <f>ROUND(IF(AF51="Yes",(AH7*0.15),0),0)</f>
        <v>0</v>
      </c>
      <c r="AI51" s="1777"/>
      <c r="AJ51" s="1777"/>
      <c r="AK51" s="1777"/>
      <c r="AL51" s="1778"/>
      <c r="AQ51" s="1410" t="s">
        <v>160</v>
      </c>
      <c r="AR51" s="679">
        <v>406666</v>
      </c>
      <c r="AS51" s="680">
        <v>468882</v>
      </c>
      <c r="AT51" s="680">
        <v>565600</v>
      </c>
      <c r="AU51" s="680">
        <v>723968</v>
      </c>
      <c r="AV51" s="680">
        <v>806546</v>
      </c>
    </row>
    <row r="52" spans="1:48" s="130" customFormat="1" ht="36" customHeight="1">
      <c r="B52" s="1738" t="s">
        <v>2747</v>
      </c>
      <c r="C52" s="3379" t="s">
        <v>3388</v>
      </c>
      <c r="D52" s="1777"/>
      <c r="E52" s="1777"/>
      <c r="F52" s="1777"/>
      <c r="G52" s="1777"/>
      <c r="H52" s="1777"/>
      <c r="I52" s="1777"/>
      <c r="J52" s="1777"/>
      <c r="K52" s="1777"/>
      <c r="L52" s="1777"/>
      <c r="M52" s="1777"/>
      <c r="N52" s="1777"/>
      <c r="O52" s="1777"/>
      <c r="P52" s="1777"/>
      <c r="Q52" s="1777"/>
      <c r="R52" s="1777"/>
      <c r="S52" s="1777"/>
      <c r="T52" s="1777"/>
      <c r="U52" s="1777"/>
      <c r="V52" s="1777"/>
      <c r="W52" s="1777"/>
      <c r="X52" s="1777"/>
      <c r="Y52" s="1777"/>
      <c r="Z52" s="1777"/>
      <c r="AA52" s="1777"/>
      <c r="AB52" s="1777"/>
      <c r="AC52" s="1777"/>
      <c r="AD52" s="1777"/>
      <c r="AE52" s="1778"/>
      <c r="AF52" s="3385"/>
      <c r="AG52" s="1862"/>
      <c r="AH52" s="3381">
        <f>ROUND(IF(AND(AF51="Yes",AF52="Yes"),0,IF(AF52="Yes",(AH7*0.1),0)),0)</f>
        <v>0</v>
      </c>
      <c r="AI52" s="1777"/>
      <c r="AJ52" s="1777"/>
      <c r="AK52" s="1777"/>
      <c r="AL52" s="1778"/>
      <c r="AN52" s="126"/>
      <c r="AO52" s="126"/>
      <c r="AQ52" s="1409" t="s">
        <v>104</v>
      </c>
      <c r="AR52" s="677">
        <v>406666</v>
      </c>
      <c r="AS52" s="678">
        <v>468882</v>
      </c>
      <c r="AT52" s="678">
        <v>565600</v>
      </c>
      <c r="AU52" s="678">
        <v>723968</v>
      </c>
      <c r="AV52" s="678">
        <v>806546</v>
      </c>
    </row>
    <row r="53" spans="1:48" ht="18" customHeight="1">
      <c r="B53" s="3439" t="s">
        <v>3389</v>
      </c>
      <c r="C53" s="3379" t="s">
        <v>3390</v>
      </c>
      <c r="D53" s="1953"/>
      <c r="E53" s="1953"/>
      <c r="F53" s="1953"/>
      <c r="G53" s="1953"/>
      <c r="H53" s="1953"/>
      <c r="I53" s="1953"/>
      <c r="J53" s="1953"/>
      <c r="K53" s="1953"/>
      <c r="L53" s="1953"/>
      <c r="M53" s="1953"/>
      <c r="N53" s="1953"/>
      <c r="O53" s="1953"/>
      <c r="P53" s="1953"/>
      <c r="Q53" s="1953"/>
      <c r="R53" s="1953"/>
      <c r="S53" s="1953"/>
      <c r="T53" s="1953"/>
      <c r="U53" s="1953"/>
      <c r="V53" s="1953"/>
      <c r="W53" s="1953"/>
      <c r="X53" s="1953"/>
      <c r="Y53" s="1953"/>
      <c r="Z53" s="1953"/>
      <c r="AA53" s="1953"/>
      <c r="AB53" s="1953"/>
      <c r="AC53" s="1953"/>
      <c r="AD53" s="1953"/>
      <c r="AE53" s="1770"/>
      <c r="AF53" s="3437" t="str">
        <f>IF(AND($F$55="Yes",OR($Y$55="Highest Resource",$Y$55="High Resource")),"Yes","No")</f>
        <v>No</v>
      </c>
      <c r="AG53" s="1772"/>
      <c r="AH53" s="3406">
        <f>ROUND(IF(AND($F$55="Yes",OR($Y$55="High Resource",$Y$55="Highest Resource"),$AF$53="Yes"),$AH$7*0.1,0),0)</f>
        <v>0</v>
      </c>
      <c r="AI53" s="1777"/>
      <c r="AJ53" s="1777"/>
      <c r="AK53" s="1777"/>
      <c r="AL53" s="1778"/>
      <c r="AM53" s="128"/>
      <c r="AQ53" s="1410" t="s">
        <v>110</v>
      </c>
      <c r="AR53" s="679">
        <v>323262</v>
      </c>
      <c r="AS53" s="680">
        <v>372718</v>
      </c>
      <c r="AT53" s="680">
        <v>449600</v>
      </c>
      <c r="AU53" s="680">
        <v>575488</v>
      </c>
      <c r="AV53" s="680">
        <v>641130</v>
      </c>
    </row>
    <row r="54" spans="1:48" ht="18" customHeight="1">
      <c r="B54" s="2464"/>
      <c r="C54" s="2479"/>
      <c r="D54" s="1877"/>
      <c r="E54" s="1877"/>
      <c r="F54" s="1877"/>
      <c r="G54" s="1877"/>
      <c r="H54" s="1877"/>
      <c r="I54" s="1877"/>
      <c r="J54" s="1877"/>
      <c r="K54" s="1877"/>
      <c r="L54" s="1877"/>
      <c r="M54" s="1877"/>
      <c r="N54" s="1877"/>
      <c r="O54" s="1877"/>
      <c r="P54" s="1877"/>
      <c r="Q54" s="1877"/>
      <c r="R54" s="1877"/>
      <c r="S54" s="1877"/>
      <c r="T54" s="1877"/>
      <c r="U54" s="1877"/>
      <c r="V54" s="1877"/>
      <c r="W54" s="1877"/>
      <c r="X54" s="1877"/>
      <c r="Y54" s="1877"/>
      <c r="Z54" s="1877"/>
      <c r="AA54" s="1877"/>
      <c r="AB54" s="1877"/>
      <c r="AC54" s="1877"/>
      <c r="AD54" s="1877"/>
      <c r="AE54" s="1772"/>
      <c r="AF54" s="3441"/>
      <c r="AG54" s="1953"/>
      <c r="AH54" s="1953"/>
      <c r="AI54" s="1953"/>
      <c r="AJ54" s="1953"/>
      <c r="AK54" s="1953"/>
      <c r="AL54" s="1770"/>
      <c r="AQ54" s="1409" t="s">
        <v>165</v>
      </c>
      <c r="AR54" s="677">
        <v>360075</v>
      </c>
      <c r="AS54" s="678">
        <v>415163</v>
      </c>
      <c r="AT54" s="678">
        <v>500800</v>
      </c>
      <c r="AU54" s="678">
        <v>641024</v>
      </c>
      <c r="AV54" s="678">
        <v>714141</v>
      </c>
    </row>
    <row r="55" spans="1:48" ht="43.5" customHeight="1">
      <c r="B55" s="2465"/>
      <c r="C55" s="3419" t="s">
        <v>3391</v>
      </c>
      <c r="D55" s="1777"/>
      <c r="E55" s="1778"/>
      <c r="F55" s="3392" t="str">
        <f>IFERROR(IF(VLOOKUP($W$4,$AQ$3:$AV$61,$AO$9,FALSE)&lt;=500000,"Yes","No"),"")</f>
        <v/>
      </c>
      <c r="G55" s="1778"/>
      <c r="H55" s="3405" t="s">
        <v>3392</v>
      </c>
      <c r="I55" s="1777"/>
      <c r="J55" s="1777"/>
      <c r="K55" s="1777"/>
      <c r="L55" s="1778"/>
      <c r="M55" s="3397"/>
      <c r="N55" s="3398"/>
      <c r="O55" s="3398"/>
      <c r="P55" s="3398"/>
      <c r="Q55" s="3398"/>
      <c r="R55" s="3399"/>
      <c r="S55" s="3432" t="s">
        <v>3393</v>
      </c>
      <c r="T55" s="1777"/>
      <c r="U55" s="1777"/>
      <c r="V55" s="1777"/>
      <c r="W55" s="1777"/>
      <c r="X55" s="1778"/>
      <c r="Y55" s="2731"/>
      <c r="Z55" s="3398"/>
      <c r="AA55" s="3398"/>
      <c r="AB55" s="3398"/>
      <c r="AC55" s="3398"/>
      <c r="AD55" s="3398"/>
      <c r="AE55" s="3399"/>
      <c r="AF55" s="2479"/>
      <c r="AG55" s="1877"/>
      <c r="AH55" s="1877"/>
      <c r="AI55" s="1877"/>
      <c r="AJ55" s="1877"/>
      <c r="AK55" s="1877"/>
      <c r="AL55" s="1772"/>
      <c r="AQ55" s="1410" t="s">
        <v>167</v>
      </c>
      <c r="AR55" s="679">
        <v>402640</v>
      </c>
      <c r="AS55" s="680">
        <v>464240</v>
      </c>
      <c r="AT55" s="680">
        <v>560000</v>
      </c>
      <c r="AU55" s="680">
        <v>716800</v>
      </c>
      <c r="AV55" s="680">
        <v>798560</v>
      </c>
    </row>
    <row r="56" spans="1:48" ht="18" customHeight="1">
      <c r="B56" s="254"/>
      <c r="C56" s="254"/>
      <c r="D56" s="254"/>
      <c r="E56" s="254"/>
      <c r="F56" s="254"/>
      <c r="G56" s="254"/>
      <c r="H56" s="254"/>
      <c r="I56" s="254"/>
      <c r="J56" s="254"/>
      <c r="K56" s="254"/>
      <c r="L56" s="254"/>
      <c r="M56" s="254"/>
      <c r="N56" s="254"/>
      <c r="O56" s="254"/>
      <c r="P56" s="254"/>
      <c r="Q56" s="254"/>
      <c r="R56" s="254"/>
      <c r="S56" s="254"/>
      <c r="T56" s="254"/>
      <c r="U56" s="254"/>
      <c r="V56" s="254"/>
      <c r="W56" s="254"/>
      <c r="X56" s="254"/>
      <c r="Y56" s="254"/>
      <c r="Z56" s="254"/>
      <c r="AA56" s="254"/>
      <c r="AB56" s="254"/>
      <c r="AC56" s="254"/>
      <c r="AD56" s="254"/>
      <c r="AE56" s="254"/>
      <c r="AF56" s="254"/>
      <c r="AG56" s="254"/>
      <c r="AH56" s="254"/>
      <c r="AI56" s="254"/>
      <c r="AJ56" s="254"/>
      <c r="AK56" s="254"/>
      <c r="AL56" s="254"/>
      <c r="AM56" s="128"/>
      <c r="AQ56" s="1409" t="s">
        <v>169</v>
      </c>
      <c r="AR56" s="677">
        <v>402640</v>
      </c>
      <c r="AS56" s="678">
        <v>464240</v>
      </c>
      <c r="AT56" s="678">
        <v>560000</v>
      </c>
      <c r="AU56" s="678">
        <v>716800</v>
      </c>
      <c r="AV56" s="678">
        <v>798560</v>
      </c>
    </row>
    <row r="57" spans="1:48" ht="18" customHeight="1">
      <c r="C57" s="2529" t="s">
        <v>461</v>
      </c>
      <c r="D57" s="3378"/>
      <c r="E57" s="3378"/>
      <c r="F57" s="3378"/>
      <c r="G57" s="3378"/>
      <c r="H57" s="3378"/>
      <c r="I57" s="3378"/>
      <c r="J57" s="3378"/>
      <c r="K57" s="3378"/>
      <c r="L57" s="3378"/>
      <c r="M57" s="3378"/>
      <c r="N57" s="3378"/>
      <c r="O57" s="3378"/>
      <c r="P57" s="3378"/>
      <c r="Q57" s="3378"/>
      <c r="R57" s="3378"/>
      <c r="S57" s="3378"/>
      <c r="T57" s="3378"/>
      <c r="U57" s="3378"/>
      <c r="V57" s="3378"/>
      <c r="W57" s="3378"/>
      <c r="X57" s="3378"/>
      <c r="Y57" s="3378"/>
      <c r="Z57" s="3378"/>
      <c r="AA57" s="3378"/>
      <c r="AB57" s="3378"/>
      <c r="AC57" s="3378"/>
      <c r="AD57" s="3378"/>
      <c r="AE57" s="3378"/>
      <c r="AF57" s="3378"/>
      <c r="AG57" s="3378"/>
      <c r="AH57" s="3378"/>
      <c r="AI57" s="3378"/>
      <c r="AJ57" s="3378"/>
      <c r="AK57" s="3378"/>
      <c r="AL57" s="3378"/>
      <c r="AO57" s="1736"/>
      <c r="AQ57" s="1410" t="s">
        <v>70</v>
      </c>
      <c r="AR57" s="679">
        <v>323262</v>
      </c>
      <c r="AS57" s="680">
        <v>372718</v>
      </c>
      <c r="AT57" s="680">
        <v>449600</v>
      </c>
      <c r="AU57" s="680">
        <v>575488</v>
      </c>
      <c r="AV57" s="680">
        <v>641130</v>
      </c>
    </row>
    <row r="58" spans="1:48" ht="18" customHeight="1">
      <c r="B58" s="254"/>
      <c r="C58" s="254"/>
      <c r="D58" s="254"/>
      <c r="E58" s="254"/>
      <c r="F58" s="254"/>
      <c r="G58" s="254"/>
      <c r="H58" s="254"/>
      <c r="I58" s="254"/>
      <c r="J58" s="254"/>
      <c r="K58" s="254"/>
      <c r="L58" s="254"/>
      <c r="M58" s="254"/>
      <c r="N58" s="254"/>
      <c r="O58" s="254"/>
      <c r="P58" s="254"/>
      <c r="Q58" s="254"/>
      <c r="R58" s="254"/>
      <c r="S58" s="254"/>
      <c r="T58" s="254"/>
      <c r="U58" s="254"/>
      <c r="V58" s="254"/>
      <c r="W58" s="254"/>
      <c r="X58" s="254"/>
      <c r="Y58" s="254"/>
      <c r="Z58" s="254"/>
      <c r="AA58" s="254"/>
      <c r="AB58" s="254"/>
      <c r="AC58" s="254"/>
      <c r="AD58" s="254"/>
      <c r="AE58" s="254"/>
      <c r="AF58" s="254"/>
      <c r="AG58" s="254"/>
      <c r="AH58" s="254"/>
      <c r="AI58" s="254"/>
      <c r="AJ58" s="254"/>
      <c r="AK58" s="254"/>
      <c r="AL58" s="254"/>
      <c r="AQ58" s="1409" t="s">
        <v>172</v>
      </c>
      <c r="AR58" s="677">
        <v>402640</v>
      </c>
      <c r="AS58" s="678">
        <v>464240</v>
      </c>
      <c r="AT58" s="678">
        <v>560000</v>
      </c>
      <c r="AU58" s="678">
        <v>716800</v>
      </c>
      <c r="AV58" s="678">
        <v>798560</v>
      </c>
    </row>
    <row r="59" spans="1:48" ht="18" customHeight="1">
      <c r="B59" s="254"/>
      <c r="C59" s="254"/>
      <c r="D59" s="254"/>
      <c r="E59" s="254"/>
      <c r="F59" s="254"/>
      <c r="G59" s="254"/>
      <c r="H59" s="254"/>
      <c r="I59" s="254"/>
      <c r="J59" s="254"/>
      <c r="K59" s="254"/>
      <c r="L59" s="254"/>
      <c r="M59" s="254"/>
      <c r="N59" s="254"/>
      <c r="O59" s="254"/>
      <c r="P59" s="254"/>
      <c r="Q59" s="254"/>
      <c r="R59" s="254"/>
      <c r="S59" s="254"/>
      <c r="T59" s="254"/>
      <c r="U59" s="254"/>
      <c r="V59" s="254"/>
      <c r="W59" s="254"/>
      <c r="X59" s="254"/>
      <c r="Y59" s="254"/>
      <c r="Z59" s="254"/>
      <c r="AA59" s="254"/>
      <c r="AB59" s="254"/>
      <c r="AC59" s="254"/>
      <c r="AD59" s="254"/>
      <c r="AE59" s="254"/>
      <c r="AF59" s="254"/>
      <c r="AG59" s="254"/>
      <c r="AH59" s="254"/>
      <c r="AI59" s="254"/>
      <c r="AJ59" s="254"/>
      <c r="AK59" s="254"/>
      <c r="AL59" s="254"/>
      <c r="AQ59" s="1410" t="s">
        <v>74</v>
      </c>
      <c r="AR59" s="679">
        <v>442904</v>
      </c>
      <c r="AS59" s="680">
        <v>510664</v>
      </c>
      <c r="AT59" s="680">
        <v>616000</v>
      </c>
      <c r="AU59" s="680">
        <v>788480</v>
      </c>
      <c r="AV59" s="680">
        <v>878416</v>
      </c>
    </row>
    <row r="60" spans="1:48" ht="18" customHeight="1">
      <c r="AQ60" s="1409" t="s">
        <v>174</v>
      </c>
      <c r="AR60" s="677">
        <v>360075</v>
      </c>
      <c r="AS60" s="678">
        <v>415163</v>
      </c>
      <c r="AT60" s="678">
        <v>500800</v>
      </c>
      <c r="AU60" s="678">
        <v>641024</v>
      </c>
      <c r="AV60" s="678">
        <v>714141</v>
      </c>
    </row>
    <row r="61" spans="1:48" ht="18" customHeight="1">
      <c r="AQ61" s="1410" t="s">
        <v>176</v>
      </c>
      <c r="AR61" s="679">
        <v>360075</v>
      </c>
      <c r="AS61" s="680">
        <v>415163</v>
      </c>
      <c r="AT61" s="680">
        <v>500800</v>
      </c>
      <c r="AU61" s="680">
        <v>641024</v>
      </c>
      <c r="AV61" s="680">
        <v>714141</v>
      </c>
    </row>
    <row r="63" spans="1:48" ht="18" customHeight="1">
      <c r="AR63" s="676"/>
      <c r="AS63" s="676"/>
      <c r="AT63" s="676"/>
      <c r="AU63" s="676"/>
      <c r="AV63" s="676"/>
    </row>
  </sheetData>
  <sheetProtection algorithmName="SHA-512" hashValue="F+qXjaP9BgjnUuMEL5GZNTYWHeb3huHXW2sPrX8/Cq1MaKRbOmVPOuweCduekGkEooR9PabsMUA9GBSWcbYs4w==" saltValue="FtoqRKxYizGJnPdbWY6FQw==" spinCount="100000" sheet="1" objects="1" scenarios="1"/>
  <protectedRanges>
    <protectedRange sqref="F5:I5" name="Range1"/>
  </protectedRanges>
  <mergeCells count="140">
    <mergeCell ref="AH8:AL8"/>
    <mergeCell ref="B45:B47"/>
    <mergeCell ref="N12:O12"/>
    <mergeCell ref="AF25:AG25"/>
    <mergeCell ref="AH50:AL50"/>
    <mergeCell ref="S55:X55"/>
    <mergeCell ref="C50:AE50"/>
    <mergeCell ref="T9:AG9"/>
    <mergeCell ref="AB47:AE47"/>
    <mergeCell ref="AF53:AG53"/>
    <mergeCell ref="AH52:AL52"/>
    <mergeCell ref="AF18:AG18"/>
    <mergeCell ref="R47:AA47"/>
    <mergeCell ref="B53:B55"/>
    <mergeCell ref="K14:N14"/>
    <mergeCell ref="N11:O11"/>
    <mergeCell ref="AF33:AG33"/>
    <mergeCell ref="AH18:AL18"/>
    <mergeCell ref="C31:AE32"/>
    <mergeCell ref="AF54:AL55"/>
    <mergeCell ref="W4:AB4"/>
    <mergeCell ref="B11:H11"/>
    <mergeCell ref="I8:M8"/>
    <mergeCell ref="AF32:AG32"/>
    <mergeCell ref="AH23:AL44"/>
    <mergeCell ref="AF26:AG26"/>
    <mergeCell ref="AF40:AG40"/>
    <mergeCell ref="B2:AL2"/>
    <mergeCell ref="AF38:AG38"/>
    <mergeCell ref="I10:M10"/>
    <mergeCell ref="AH22:AL22"/>
    <mergeCell ref="U4:V4"/>
    <mergeCell ref="AF43:AG43"/>
    <mergeCell ref="I9:M9"/>
    <mergeCell ref="AH12:AL12"/>
    <mergeCell ref="AF37:AG37"/>
    <mergeCell ref="N7:O7"/>
    <mergeCell ref="AH21:AL21"/>
    <mergeCell ref="AF24:AG24"/>
    <mergeCell ref="B17:B18"/>
    <mergeCell ref="I11:M11"/>
    <mergeCell ref="AK4:AL4"/>
    <mergeCell ref="C23:AE24"/>
    <mergeCell ref="AF16:AG16"/>
    <mergeCell ref="B7:H7"/>
    <mergeCell ref="P10:S10"/>
    <mergeCell ref="I12:M12"/>
    <mergeCell ref="C48:AE49"/>
    <mergeCell ref="Y55:AE55"/>
    <mergeCell ref="AF30:AG30"/>
    <mergeCell ref="AF45:AG45"/>
    <mergeCell ref="O14:Q14"/>
    <mergeCell ref="P9:S9"/>
    <mergeCell ref="AF20:AG20"/>
    <mergeCell ref="AF42:AG42"/>
    <mergeCell ref="AF48:AG48"/>
    <mergeCell ref="C55:E55"/>
    <mergeCell ref="AF49:AL49"/>
    <mergeCell ref="C53:AE54"/>
    <mergeCell ref="AH51:AL51"/>
    <mergeCell ref="C51:AE51"/>
    <mergeCell ref="AH48:AL48"/>
    <mergeCell ref="AF51:AG51"/>
    <mergeCell ref="AF50:AG50"/>
    <mergeCell ref="C52:AE52"/>
    <mergeCell ref="AF52:AG52"/>
    <mergeCell ref="AF46:AL47"/>
    <mergeCell ref="AF36:AG36"/>
    <mergeCell ref="F5:I5"/>
    <mergeCell ref="K47:Q47"/>
    <mergeCell ref="P11:S11"/>
    <mergeCell ref="T10:AG11"/>
    <mergeCell ref="T8:AG8"/>
    <mergeCell ref="B8:H8"/>
    <mergeCell ref="AF31:AG31"/>
    <mergeCell ref="AH16:AL16"/>
    <mergeCell ref="C17:AE17"/>
    <mergeCell ref="AF28:AG28"/>
    <mergeCell ref="C33:AE34"/>
    <mergeCell ref="B10:H10"/>
    <mergeCell ref="C19:AE19"/>
    <mergeCell ref="B9:H9"/>
    <mergeCell ref="C35:AE36"/>
    <mergeCell ref="C25:AE26"/>
    <mergeCell ref="AH20:AL20"/>
    <mergeCell ref="B16:N16"/>
    <mergeCell ref="N8:O8"/>
    <mergeCell ref="C39:AE40"/>
    <mergeCell ref="N10:O10"/>
    <mergeCell ref="C21:AE21"/>
    <mergeCell ref="C37:AE38"/>
    <mergeCell ref="AF27:AG27"/>
    <mergeCell ref="F4:T4"/>
    <mergeCell ref="C57:AL57"/>
    <mergeCell ref="N9:O9"/>
    <mergeCell ref="M55:R55"/>
    <mergeCell ref="AF17:AG17"/>
    <mergeCell ref="T7:AG7"/>
    <mergeCell ref="AH7:AL7"/>
    <mergeCell ref="AF22:AG22"/>
    <mergeCell ref="C29:AE30"/>
    <mergeCell ref="AF19:AG19"/>
    <mergeCell ref="AH10:AL11"/>
    <mergeCell ref="AF34:AG34"/>
    <mergeCell ref="AF39:AG39"/>
    <mergeCell ref="C18:AE18"/>
    <mergeCell ref="P12:S12"/>
    <mergeCell ref="B5:E5"/>
    <mergeCell ref="C41:AE42"/>
    <mergeCell ref="H55:L55"/>
    <mergeCell ref="AH17:AL17"/>
    <mergeCell ref="F55:G55"/>
    <mergeCell ref="AH53:AL53"/>
    <mergeCell ref="B48:B49"/>
    <mergeCell ref="AF29:AG29"/>
    <mergeCell ref="I7:M7"/>
    <mergeCell ref="B4:E4"/>
    <mergeCell ref="C43:AE44"/>
    <mergeCell ref="C47:J47"/>
    <mergeCell ref="AH19:AL19"/>
    <mergeCell ref="AF44:AG44"/>
    <mergeCell ref="C27:AE28"/>
    <mergeCell ref="C20:AE20"/>
    <mergeCell ref="AM5:AN5"/>
    <mergeCell ref="AH9:AL9"/>
    <mergeCell ref="AC4:AJ4"/>
    <mergeCell ref="AF21:AG21"/>
    <mergeCell ref="C22:AE22"/>
    <mergeCell ref="T12:AG12"/>
    <mergeCell ref="B12:H12"/>
    <mergeCell ref="I14:J14"/>
    <mergeCell ref="P8:S8"/>
    <mergeCell ref="AF41:AG41"/>
    <mergeCell ref="AF23:AG23"/>
    <mergeCell ref="AF35:AG35"/>
    <mergeCell ref="B14:H14"/>
    <mergeCell ref="C45:AE46"/>
    <mergeCell ref="AH45:AL45"/>
    <mergeCell ref="P7:S7"/>
    <mergeCell ref="AC13:AL14"/>
  </mergeCells>
  <conditionalFormatting sqref="AF49">
    <cfRule type="cellIs" dxfId="626" priority="19" stopIfTrue="1" operator="equal">
      <formula>"Please Enter Amount Above:"</formula>
    </cfRule>
  </conditionalFormatting>
  <conditionalFormatting sqref="AF46">
    <cfRule type="cellIs" dxfId="625" priority="18" operator="equal">
      <formula>"Please Select Type of Work and Enter Cost:"</formula>
    </cfRule>
  </conditionalFormatting>
  <conditionalFormatting sqref="AH48:AL48">
    <cfRule type="expression" dxfId="624" priority="17">
      <formula>$AF$48="Yes"</formula>
    </cfRule>
  </conditionalFormatting>
  <conditionalFormatting sqref="K47:Q47 AB47">
    <cfRule type="expression" dxfId="623" priority="16">
      <formula>$AF$45="Yes"</formula>
    </cfRule>
  </conditionalFormatting>
  <conditionalFormatting sqref="AF27:AG27 AF29:AG29 AF31:AG31 AF33:AG33 AF35:AG35 AF37:AG37 AF39:AG39 AF41:AG41 AF43:AG43">
    <cfRule type="expression" dxfId="622" priority="3">
      <formula>$AF$22="No"</formula>
    </cfRule>
    <cfRule type="expression" dxfId="621" priority="14">
      <formula>$AF$22="Yes"</formula>
    </cfRule>
  </conditionalFormatting>
  <conditionalFormatting sqref="AC13:AL14">
    <cfRule type="cellIs" dxfId="620" priority="7" operator="equal">
      <formula>"Costs too high &gt; 160%"</formula>
    </cfRule>
    <cfRule type="cellIs" dxfId="619" priority="8" operator="equal">
      <formula>"Costs Reasonable"</formula>
    </cfRule>
  </conditionalFormatting>
  <conditionalFormatting sqref="AF28:AG28 AF30:AG30 AF32:AG32 AF34:AG34 AF36:AG36 AF38:AG38 AF40:AG40 AF42:AG42 AF44:AG44">
    <cfRule type="expression" dxfId="618" priority="5">
      <formula>$AF$22="Yes"</formula>
    </cfRule>
  </conditionalFormatting>
  <conditionalFormatting sqref="AB47:AE47">
    <cfRule type="cellIs" dxfId="617" priority="4" operator="equal">
      <formula>0</formula>
    </cfRule>
  </conditionalFormatting>
  <conditionalFormatting sqref="AF26:AG26">
    <cfRule type="expression" dxfId="616" priority="2">
      <formula>$AF$22="Yes"</formula>
    </cfRule>
  </conditionalFormatting>
  <conditionalFormatting sqref="AF24:AG24">
    <cfRule type="expression" dxfId="615" priority="1">
      <formula>$AF$22="Yes"</formula>
    </cfRule>
  </conditionalFormatting>
  <dataValidations count="4">
    <dataValidation type="list" allowBlank="1" showInputMessage="1" showErrorMessage="1" sqref="AF17:AG22 AF23 AF25 AF27:AG27 AF29:AG29 AF31:AG31 AF33:AG33 AF35:AG35 AF37:AG37 AF39:AG39 AF41:AG41 AF43:AG43 AF45:AG45 AF48:AG48 AF50:AG52" xr:uid="{00000000-0002-0000-1F00-000000000000}">
      <formula1>"Yes,No"</formula1>
    </dataValidation>
    <dataValidation type="list" allowBlank="1" showInputMessage="1" showErrorMessage="1" sqref="K47:Q47" xr:uid="{00000000-0002-0000-1F00-000001000000}">
      <formula1>"N/A,Seismic Upgrading, Environmental Mitigation,Both"</formula1>
    </dataValidation>
    <dataValidation type="list" allowBlank="1" showInputMessage="1" showErrorMessage="1" sqref="F5:I5" xr:uid="{67F7442E-9F1E-416B-8683-F907989165E9}">
      <formula1>"Origination,Constrcution Close, Perm Close"</formula1>
    </dataValidation>
    <dataValidation type="list" allowBlank="1" showInputMessage="1" showErrorMessage="1" sqref="Y55:AE55" xr:uid="{1F22535E-DEA0-476A-A879-DD016BB67198}">
      <formula1>"High Resource, Highest Resource, N/A"</formula1>
    </dataValidation>
  </dataValidations>
  <hyperlinks>
    <hyperlink ref="AQ2" r:id="rId1" display="2025 BASIS LIMITS" xr:uid="{00000000-0004-0000-1F00-000001000000}"/>
    <hyperlink ref="H55" r:id="rId2" display="TCAC Opportunity Area Map Tract ID #:" xr:uid="{00000000-0004-0000-1F00-000002000000}"/>
  </hyperlinks>
  <printOptions horizontalCentered="1"/>
  <pageMargins left="0" right="0.25" top="0" bottom="0" header="0.25" footer="0.25"/>
  <pageSetup scale="65" orientation="portrait" r:id="rId3"/>
  <headerFooter>
    <oddFooter>&amp;L&amp;F&amp;C&amp;P of &amp;N&amp;R &amp;A</oddFooter>
  </headerFooter>
  <legacyDrawing r:id="rId4"/>
  <tableParts count="1">
    <tablePart r:id="rId5"/>
  </tableParts>
</worksheet>
</file>

<file path=xl/worksheets/sheet3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Scoring"/>
  <dimension ref="A1:CB337"/>
  <sheetViews>
    <sheetView showGridLines="0" zoomScaleNormal="100" zoomScaleSheetLayoutView="100" workbookViewId="0">
      <selection activeCell="AE21" sqref="AE21:AM21"/>
    </sheetView>
  </sheetViews>
  <sheetFormatPr defaultColWidth="10" defaultRowHeight="18" customHeight="1"/>
  <cols>
    <col min="1" max="1" width="8.7109375" style="55" customWidth="1"/>
    <col min="2" max="36" width="4.28515625" style="55" customWidth="1"/>
    <col min="37" max="38" width="4.7109375" style="55" customWidth="1"/>
    <col min="39" max="39" width="5.5703125" style="55" customWidth="1"/>
    <col min="40" max="40" width="10.7109375" style="138" customWidth="1"/>
    <col min="41" max="41" width="16.7109375" style="55" hidden="1" customWidth="1"/>
    <col min="42" max="42" width="19.7109375" style="55" hidden="1" customWidth="1"/>
    <col min="43" max="43" width="19" style="138" hidden="1" customWidth="1"/>
    <col min="44" max="44" width="21.28515625" style="138" hidden="1" customWidth="1"/>
    <col min="45" max="45" width="19" style="138" customWidth="1"/>
    <col min="46" max="46" width="27.28515625" style="55" customWidth="1"/>
    <col min="47" max="47" width="20.5703125" style="55" customWidth="1"/>
    <col min="48" max="48" width="27.28515625" style="55" customWidth="1"/>
    <col min="49" max="49" width="17.28515625" style="55" customWidth="1"/>
    <col min="50" max="51" width="10.7109375" style="55" customWidth="1"/>
    <col min="52" max="446" width="10" style="55" customWidth="1"/>
    <col min="447" max="16384" width="10" style="55"/>
  </cols>
  <sheetData>
    <row r="1" spans="1:52" ht="18" customHeight="1">
      <c r="B1" s="139"/>
      <c r="C1" s="139"/>
      <c r="D1" s="139"/>
      <c r="E1" s="139"/>
      <c r="F1" s="139"/>
      <c r="G1" s="139"/>
      <c r="H1" s="139"/>
      <c r="I1" s="139"/>
      <c r="J1" s="139"/>
      <c r="K1" s="139"/>
      <c r="L1" s="139"/>
      <c r="M1" s="139"/>
      <c r="N1" s="139"/>
      <c r="O1" s="139"/>
      <c r="P1" s="139"/>
      <c r="Q1" s="139"/>
      <c r="R1" s="139"/>
      <c r="S1" s="139"/>
      <c r="T1" s="139"/>
      <c r="U1" s="139"/>
      <c r="V1" s="139"/>
      <c r="W1" s="139"/>
      <c r="X1" s="139"/>
      <c r="Y1" s="139"/>
      <c r="Z1" s="139"/>
      <c r="AA1" s="139"/>
      <c r="AB1" s="139"/>
      <c r="AC1" s="139"/>
      <c r="AD1" s="139"/>
      <c r="AE1" s="139"/>
      <c r="AF1" s="139"/>
      <c r="AG1" s="139"/>
      <c r="AH1" s="139"/>
      <c r="AI1" s="139"/>
      <c r="AJ1" s="139"/>
      <c r="AK1" s="139"/>
      <c r="AL1" s="139"/>
      <c r="AM1" s="139"/>
    </row>
    <row r="2" spans="1:52" ht="18" customHeight="1">
      <c r="B2" s="3650" t="s">
        <v>3394</v>
      </c>
      <c r="C2" s="3651"/>
      <c r="D2" s="3651"/>
      <c r="E2" s="3651"/>
      <c r="F2" s="3651"/>
      <c r="G2" s="3651"/>
      <c r="H2" s="3651"/>
      <c r="I2" s="3651"/>
      <c r="J2" s="3651"/>
      <c r="K2" s="3651"/>
      <c r="L2" s="3651"/>
      <c r="M2" s="3651"/>
      <c r="N2" s="3651"/>
      <c r="O2" s="3651"/>
      <c r="P2" s="3651"/>
      <c r="Q2" s="3651"/>
      <c r="R2" s="3651"/>
      <c r="S2" s="3651"/>
      <c r="T2" s="3651"/>
      <c r="U2" s="3651"/>
      <c r="V2" s="3651"/>
      <c r="W2" s="3651"/>
      <c r="X2" s="3651"/>
      <c r="Y2" s="3651"/>
      <c r="Z2" s="3651"/>
      <c r="AA2" s="3652"/>
      <c r="AB2" s="3647" t="s">
        <v>3395</v>
      </c>
      <c r="AC2" s="1910"/>
      <c r="AD2" s="1910"/>
      <c r="AE2" s="1910"/>
      <c r="AF2" s="1910"/>
      <c r="AG2" s="1910"/>
      <c r="AH2" s="1910"/>
      <c r="AI2" s="1910"/>
      <c r="AJ2" s="1910"/>
      <c r="AK2" s="3595">
        <v>46178</v>
      </c>
      <c r="AL2" s="3596"/>
      <c r="AM2" s="3596"/>
      <c r="AO2" s="476"/>
      <c r="AZ2" s="474"/>
    </row>
    <row r="3" spans="1:52" ht="18" customHeight="1">
      <c r="B3" s="3653"/>
      <c r="C3" s="3654"/>
      <c r="D3" s="3654"/>
      <c r="E3" s="3654"/>
      <c r="F3" s="3654"/>
      <c r="G3" s="3654"/>
      <c r="H3" s="3654"/>
      <c r="I3" s="3654"/>
      <c r="J3" s="3654"/>
      <c r="K3" s="3654"/>
      <c r="L3" s="3654"/>
      <c r="M3" s="3654"/>
      <c r="N3" s="3654"/>
      <c r="O3" s="3654"/>
      <c r="P3" s="3654"/>
      <c r="Q3" s="3654"/>
      <c r="R3" s="3654"/>
      <c r="S3" s="3654"/>
      <c r="T3" s="3654"/>
      <c r="U3" s="3654"/>
      <c r="V3" s="3654"/>
      <c r="W3" s="3654"/>
      <c r="X3" s="3654"/>
      <c r="Y3" s="3654"/>
      <c r="Z3" s="3654"/>
      <c r="AA3" s="3655"/>
      <c r="AB3" s="3559" t="s">
        <v>3396</v>
      </c>
      <c r="AC3" s="1910"/>
      <c r="AD3" s="1910"/>
      <c r="AE3" s="1910"/>
      <c r="AF3" s="1910"/>
      <c r="AG3" s="1910"/>
      <c r="AH3" s="1910"/>
      <c r="AI3" s="1910"/>
      <c r="AJ3" s="1910"/>
      <c r="AK3" s="3586">
        <f>SUM($AL$24,$AL$54,$AL$164,$AL$266)</f>
        <v>0</v>
      </c>
      <c r="AL3" s="1910"/>
      <c r="AM3" s="1910"/>
      <c r="AO3" s="476"/>
      <c r="AZ3" s="474"/>
    </row>
    <row r="4" spans="1:52" s="474" customFormat="1" ht="18" customHeight="1">
      <c r="A4" s="55"/>
      <c r="B4" s="3653"/>
      <c r="C4" s="3654"/>
      <c r="D4" s="3654"/>
      <c r="E4" s="3654"/>
      <c r="F4" s="3654"/>
      <c r="G4" s="3654"/>
      <c r="H4" s="3654"/>
      <c r="I4" s="3654"/>
      <c r="J4" s="3654"/>
      <c r="K4" s="3654"/>
      <c r="L4" s="3654"/>
      <c r="M4" s="3654"/>
      <c r="N4" s="3654"/>
      <c r="O4" s="3654"/>
      <c r="P4" s="3654"/>
      <c r="Q4" s="3654"/>
      <c r="R4" s="3654"/>
      <c r="S4" s="3654"/>
      <c r="T4" s="3654"/>
      <c r="U4" s="3654"/>
      <c r="V4" s="3654"/>
      <c r="W4" s="3654"/>
      <c r="X4" s="3654"/>
      <c r="Y4" s="3654"/>
      <c r="Z4" s="3654"/>
      <c r="AA4" s="3655"/>
      <c r="AB4" s="3559" t="s">
        <v>3397</v>
      </c>
      <c r="AC4" s="1964"/>
      <c r="AD4" s="1964"/>
      <c r="AE4" s="1964"/>
      <c r="AF4" s="1964"/>
      <c r="AG4" s="1964"/>
      <c r="AH4" s="1964"/>
      <c r="AI4" s="1964"/>
      <c r="AJ4" s="1964"/>
      <c r="AK4" s="3649">
        <v>75</v>
      </c>
      <c r="AL4" s="1964"/>
      <c r="AM4" s="1964"/>
      <c r="AN4" s="138"/>
      <c r="AO4" s="1701"/>
      <c r="AQ4" s="1667"/>
      <c r="AR4" s="1667"/>
      <c r="AS4" s="1667"/>
    </row>
    <row r="5" spans="1:52" s="474" customFormat="1" ht="32.25" customHeight="1">
      <c r="A5" s="55"/>
      <c r="B5" s="3656"/>
      <c r="C5" s="3657"/>
      <c r="D5" s="3657"/>
      <c r="E5" s="3657"/>
      <c r="F5" s="3657"/>
      <c r="G5" s="3657"/>
      <c r="H5" s="3657"/>
      <c r="I5" s="3657"/>
      <c r="J5" s="3657"/>
      <c r="K5" s="3657"/>
      <c r="L5" s="3657"/>
      <c r="M5" s="3657"/>
      <c r="N5" s="3657"/>
      <c r="O5" s="3657"/>
      <c r="P5" s="3657"/>
      <c r="Q5" s="3657"/>
      <c r="R5" s="3657"/>
      <c r="S5" s="3657"/>
      <c r="T5" s="3657"/>
      <c r="U5" s="3657"/>
      <c r="V5" s="3657"/>
      <c r="W5" s="3657"/>
      <c r="X5" s="3657"/>
      <c r="Y5" s="3657"/>
      <c r="Z5" s="3657"/>
      <c r="AA5" s="3658"/>
      <c r="AB5" s="3659" t="s">
        <v>3398</v>
      </c>
      <c r="AC5" s="3660"/>
      <c r="AD5" s="3660"/>
      <c r="AE5" s="3660"/>
      <c r="AF5" s="3660"/>
      <c r="AG5" s="3660"/>
      <c r="AH5" s="3660"/>
      <c r="AI5" s="3660"/>
      <c r="AJ5" s="3660"/>
      <c r="AK5" s="3587">
        <f>M78</f>
        <v>0</v>
      </c>
      <c r="AL5" s="3588"/>
      <c r="AM5" s="3588"/>
      <c r="AN5" s="138"/>
      <c r="AO5" s="1701"/>
      <c r="AQ5" s="1667"/>
      <c r="AR5" s="1667"/>
      <c r="AS5" s="1667"/>
    </row>
    <row r="6" spans="1:52" s="474" customFormat="1" ht="18" hidden="1" customHeight="1">
      <c r="A6" s="55"/>
      <c r="B6" s="165"/>
      <c r="C6" s="165"/>
      <c r="D6" s="165"/>
      <c r="E6" s="165"/>
      <c r="F6" s="166"/>
      <c r="G6" s="166"/>
      <c r="H6" s="167"/>
      <c r="I6" s="167"/>
      <c r="J6" s="167"/>
      <c r="K6" s="167"/>
      <c r="L6" s="167"/>
      <c r="M6" s="167"/>
      <c r="N6" s="167"/>
      <c r="O6" s="167"/>
      <c r="P6" s="167"/>
      <c r="Q6" s="167"/>
      <c r="R6" s="167"/>
      <c r="S6" s="168"/>
      <c r="T6" s="168"/>
      <c r="U6" s="168"/>
      <c r="V6" s="168"/>
      <c r="W6" s="167"/>
      <c r="X6" s="167"/>
      <c r="Y6" s="167"/>
      <c r="Z6" s="167"/>
      <c r="AA6" s="167"/>
      <c r="AB6" s="167"/>
      <c r="AC6" s="167"/>
      <c r="AD6" s="167"/>
      <c r="AE6" s="167"/>
      <c r="AF6" s="167"/>
      <c r="AG6" s="169"/>
      <c r="AH6" s="169"/>
      <c r="AI6" s="169"/>
      <c r="AJ6" s="169"/>
      <c r="AK6" s="170"/>
      <c r="AL6" s="170"/>
      <c r="AM6" s="170"/>
      <c r="AN6" s="1667"/>
      <c r="AO6" s="1701"/>
      <c r="AQ6" s="1667"/>
      <c r="AR6" s="1667"/>
      <c r="AS6" s="1667"/>
    </row>
    <row r="7" spans="1:52" s="474" customFormat="1" ht="18" hidden="1" customHeight="1">
      <c r="A7" s="55"/>
      <c r="B7" s="3629" t="s">
        <v>3399</v>
      </c>
      <c r="C7" s="3629"/>
      <c r="D7" s="3629"/>
      <c r="E7" s="3629"/>
      <c r="F7" s="3629"/>
      <c r="G7" s="3629"/>
      <c r="H7" s="3629"/>
      <c r="I7" s="3629"/>
      <c r="J7" s="3629"/>
      <c r="K7" s="3629"/>
      <c r="L7" s="3629"/>
      <c r="M7" s="3629"/>
      <c r="N7" s="3629"/>
      <c r="O7" s="3629"/>
      <c r="P7" s="3629"/>
      <c r="Q7" s="3629"/>
      <c r="R7" s="3629"/>
      <c r="S7" s="3629"/>
      <c r="T7" s="3629"/>
      <c r="U7" s="3629"/>
      <c r="V7" s="3629"/>
      <c r="W7" s="3629"/>
      <c r="X7" s="3629"/>
      <c r="Y7" s="3629"/>
      <c r="Z7" s="3629"/>
      <c r="AA7" s="3629"/>
      <c r="AB7" s="3629"/>
      <c r="AC7" s="3629"/>
      <c r="AD7" s="3629"/>
      <c r="AE7" s="3629"/>
      <c r="AF7" s="3629"/>
      <c r="AG7" s="3629"/>
      <c r="AH7" s="3629"/>
      <c r="AI7" s="3629"/>
      <c r="AJ7" s="3629"/>
      <c r="AK7" s="3629"/>
      <c r="AL7" s="3629"/>
      <c r="AM7" s="3629"/>
      <c r="AN7" s="1667"/>
      <c r="AO7" s="1701"/>
      <c r="AQ7" s="1667"/>
      <c r="AR7" s="1667"/>
      <c r="AS7" s="1667"/>
    </row>
    <row r="8" spans="1:52" ht="54.75" hidden="1" customHeight="1">
      <c r="B8" s="1802" t="s">
        <v>3400</v>
      </c>
      <c r="C8" s="1910"/>
      <c r="D8" s="1910"/>
      <c r="E8" s="1910"/>
      <c r="F8" s="1910"/>
      <c r="G8" s="1910"/>
      <c r="H8" s="1910"/>
      <c r="I8" s="1910"/>
      <c r="J8" s="1910"/>
      <c r="K8" s="1910"/>
      <c r="L8" s="1910"/>
      <c r="M8" s="1910"/>
      <c r="N8" s="1910"/>
      <c r="O8" s="1910"/>
      <c r="P8" s="1910"/>
      <c r="Q8" s="1910"/>
      <c r="R8" s="1910"/>
      <c r="S8" s="1910"/>
      <c r="T8" s="1910"/>
      <c r="U8" s="1910"/>
      <c r="V8" s="1910"/>
      <c r="W8" s="1910"/>
      <c r="X8" s="1910"/>
      <c r="Y8" s="1910"/>
      <c r="Z8" s="1910"/>
      <c r="AA8" s="1910"/>
      <c r="AB8" s="1910"/>
      <c r="AC8" s="1910"/>
      <c r="AD8" s="1910"/>
      <c r="AE8" s="1910"/>
      <c r="AF8" s="1910"/>
      <c r="AG8" s="1910"/>
      <c r="AH8" s="1910"/>
      <c r="AI8" s="1910"/>
      <c r="AJ8" s="1910"/>
      <c r="AK8" s="1910"/>
      <c r="AL8" s="1910"/>
      <c r="AM8" s="1910"/>
      <c r="AN8" s="1667"/>
      <c r="AO8" s="476"/>
      <c r="AZ8" s="474"/>
    </row>
    <row r="9" spans="1:52" ht="18" customHeight="1">
      <c r="B9" s="478"/>
      <c r="C9" s="478"/>
      <c r="D9" s="478"/>
      <c r="E9" s="478"/>
      <c r="F9" s="478"/>
      <c r="G9" s="478"/>
      <c r="H9" s="478"/>
      <c r="I9" s="478"/>
      <c r="J9" s="478"/>
      <c r="K9" s="478"/>
      <c r="L9" s="478"/>
      <c r="M9" s="478"/>
      <c r="N9" s="478"/>
      <c r="O9" s="478"/>
      <c r="P9" s="478"/>
      <c r="Q9" s="478"/>
      <c r="R9" s="478"/>
      <c r="S9" s="478"/>
      <c r="T9" s="478"/>
      <c r="U9" s="478"/>
      <c r="V9" s="478"/>
      <c r="W9" s="478"/>
      <c r="X9" s="478"/>
      <c r="Y9" s="478"/>
      <c r="Z9" s="478"/>
      <c r="AA9" s="478"/>
      <c r="AB9" s="478"/>
      <c r="AC9" s="478"/>
      <c r="AD9" s="478"/>
      <c r="AE9" s="478"/>
      <c r="AF9" s="478"/>
      <c r="AG9" s="478"/>
      <c r="AH9" s="478"/>
      <c r="AI9" s="478"/>
      <c r="AJ9" s="478"/>
      <c r="AK9" s="478"/>
      <c r="AL9" s="478"/>
      <c r="AM9" s="478"/>
      <c r="AN9" s="1667"/>
      <c r="AO9" s="476"/>
      <c r="AZ9" s="474"/>
    </row>
    <row r="10" spans="1:52" ht="18" customHeight="1">
      <c r="B10" s="565" t="s">
        <v>3401</v>
      </c>
      <c r="C10" s="3503" t="s">
        <v>3402</v>
      </c>
      <c r="D10" s="1953"/>
      <c r="E10" s="1953"/>
      <c r="F10" s="1953"/>
      <c r="G10" s="1953"/>
      <c r="H10" s="1953"/>
      <c r="I10" s="1953"/>
      <c r="J10" s="1953"/>
      <c r="K10" s="1953"/>
      <c r="L10" s="1953"/>
      <c r="M10" s="1953"/>
      <c r="N10" s="1953"/>
      <c r="O10" s="1953"/>
      <c r="P10" s="1953"/>
      <c r="Q10" s="1953"/>
      <c r="R10" s="1953"/>
      <c r="S10" s="1953"/>
      <c r="T10" s="1953"/>
      <c r="U10" s="1953"/>
      <c r="V10" s="1953"/>
      <c r="W10" s="1953"/>
      <c r="X10" s="1953"/>
      <c r="Y10" s="1953"/>
      <c r="Z10" s="1953"/>
      <c r="AA10" s="1953"/>
      <c r="AB10" s="1953"/>
      <c r="AC10" s="1953"/>
      <c r="AD10" s="1953"/>
      <c r="AE10" s="1953"/>
      <c r="AF10" s="1953"/>
      <c r="AG10" s="1953"/>
      <c r="AH10" s="1953"/>
      <c r="AI10" s="1953"/>
      <c r="AJ10" s="1953"/>
      <c r="AK10" s="1953"/>
      <c r="AL10" s="3513"/>
      <c r="AM10" s="1770"/>
      <c r="AN10" s="1667"/>
      <c r="AO10" s="476"/>
      <c r="AZ10" s="474"/>
    </row>
    <row r="11" spans="1:52" ht="18" customHeight="1">
      <c r="B11" s="360"/>
      <c r="C11" s="790" t="s">
        <v>3403</v>
      </c>
      <c r="D11" s="3602" t="s">
        <v>3404</v>
      </c>
      <c r="E11" s="1910"/>
      <c r="F11" s="1910"/>
      <c r="G11" s="1910"/>
      <c r="H11" s="1910"/>
      <c r="I11" s="1910"/>
      <c r="J11" s="1910"/>
      <c r="K11" s="1910"/>
      <c r="L11" s="1910"/>
      <c r="M11" s="1910"/>
      <c r="N11" s="1910"/>
      <c r="O11" s="1910"/>
      <c r="P11" s="1910"/>
      <c r="Q11" s="1910"/>
      <c r="R11" s="1910"/>
      <c r="S11" s="1910"/>
      <c r="T11" s="1910"/>
      <c r="U11" s="1910"/>
      <c r="V11" s="1910"/>
      <c r="W11" s="1910"/>
      <c r="X11" s="1910"/>
      <c r="Y11" s="1910"/>
      <c r="Z11" s="1910"/>
      <c r="AA11" s="1910"/>
      <c r="AB11" s="1910"/>
      <c r="AC11" s="1910"/>
      <c r="AD11" s="1910"/>
      <c r="AE11" s="1910"/>
      <c r="AF11" s="1910"/>
      <c r="AG11" s="1910"/>
      <c r="AH11" s="1910"/>
      <c r="AI11" s="1910"/>
      <c r="AJ11" s="1910"/>
      <c r="AK11" s="1910"/>
      <c r="AL11" s="1910"/>
      <c r="AM11" s="1889"/>
      <c r="AN11" s="1667"/>
      <c r="AO11" s="476"/>
      <c r="AZ11" s="474"/>
    </row>
    <row r="12" spans="1:52" s="122" customFormat="1" ht="18" customHeight="1">
      <c r="A12" s="95"/>
      <c r="B12" s="361"/>
      <c r="D12" s="2996" t="s">
        <v>3405</v>
      </c>
      <c r="E12" s="1913"/>
      <c r="F12" s="1913"/>
      <c r="G12" s="1913"/>
      <c r="H12" s="1913"/>
      <c r="I12" s="1913"/>
      <c r="J12" s="1913"/>
      <c r="K12" s="1913"/>
      <c r="L12" s="1913"/>
      <c r="M12" s="1913"/>
      <c r="N12" s="1913"/>
      <c r="O12" s="1913"/>
      <c r="P12" s="1913"/>
      <c r="Q12" s="1913"/>
      <c r="R12" s="1913"/>
      <c r="S12" s="1913"/>
      <c r="T12" s="1913"/>
      <c r="U12" s="1913"/>
      <c r="V12" s="1913"/>
      <c r="W12" s="1913"/>
      <c r="X12" s="1913"/>
      <c r="Y12" s="1913"/>
      <c r="Z12" s="1913"/>
      <c r="AA12" s="1913"/>
      <c r="AB12" s="1913"/>
      <c r="AC12" s="1913"/>
      <c r="AD12" s="1913"/>
      <c r="AE12" s="1913"/>
      <c r="AF12" s="1913"/>
      <c r="AG12" s="1913"/>
      <c r="AH12" s="1913"/>
      <c r="AI12" s="1913"/>
      <c r="AJ12" s="1913"/>
      <c r="AK12" s="1913"/>
      <c r="AL12" s="1913"/>
      <c r="AM12" s="1889"/>
    </row>
    <row r="13" spans="1:52" s="122" customFormat="1" ht="36" customHeight="1">
      <c r="A13" s="95"/>
      <c r="B13" s="361"/>
      <c r="D13" s="3630" t="s">
        <v>3406</v>
      </c>
      <c r="E13" s="1777"/>
      <c r="F13" s="1777"/>
      <c r="G13" s="1777"/>
      <c r="H13" s="1777"/>
      <c r="I13" s="1777"/>
      <c r="J13" s="1777"/>
      <c r="K13" s="1777"/>
      <c r="L13" s="1777"/>
      <c r="M13" s="1777"/>
      <c r="N13" s="1777"/>
      <c r="O13" s="1777"/>
      <c r="P13" s="1777"/>
      <c r="Q13" s="1777"/>
      <c r="R13" s="1777"/>
      <c r="S13" s="1777"/>
      <c r="T13" s="1777"/>
      <c r="U13" s="1777"/>
      <c r="V13" s="1777"/>
      <c r="W13" s="1777"/>
      <c r="X13" s="1777"/>
      <c r="Y13" s="1777"/>
      <c r="Z13" s="1778"/>
      <c r="AB13" s="3280" t="s">
        <v>3407</v>
      </c>
      <c r="AC13" s="1953"/>
      <c r="AD13" s="1770"/>
      <c r="AE13" s="476"/>
      <c r="AF13" s="476"/>
      <c r="AG13" s="476"/>
      <c r="AH13" s="476"/>
      <c r="AI13" s="476"/>
      <c r="AJ13" s="476"/>
      <c r="AK13" s="476"/>
      <c r="AL13" s="476"/>
      <c r="AM13" s="1702"/>
    </row>
    <row r="14" spans="1:52" s="122" customFormat="1" ht="32.1" customHeight="1">
      <c r="A14" s="95"/>
      <c r="B14" s="361"/>
      <c r="D14" s="3517" t="s">
        <v>3408</v>
      </c>
      <c r="E14" s="3515"/>
      <c r="F14" s="1777"/>
      <c r="G14" s="1777"/>
      <c r="H14" s="1777"/>
      <c r="I14" s="1777"/>
      <c r="J14" s="1777"/>
      <c r="K14" s="1777"/>
      <c r="L14" s="1777"/>
      <c r="M14" s="1777"/>
      <c r="N14" s="1777"/>
      <c r="O14" s="1777"/>
      <c r="P14" s="1777"/>
      <c r="Q14" s="1777"/>
      <c r="R14" s="1777"/>
      <c r="S14" s="1777"/>
      <c r="T14" s="1777"/>
      <c r="U14" s="1777"/>
      <c r="V14" s="1777"/>
      <c r="W14" s="1778"/>
      <c r="X14" s="3280" t="s">
        <v>3409</v>
      </c>
      <c r="Y14" s="1777"/>
      <c r="Z14" s="1778"/>
      <c r="AB14" s="2479"/>
      <c r="AC14" s="1877"/>
      <c r="AD14" s="1772"/>
      <c r="AE14" s="476"/>
      <c r="AF14" s="476"/>
      <c r="AG14" s="476"/>
      <c r="AH14" s="476"/>
      <c r="AI14" s="476"/>
      <c r="AJ14" s="476"/>
      <c r="AK14" s="476"/>
      <c r="AL14" s="476"/>
      <c r="AM14" s="1702"/>
    </row>
    <row r="15" spans="1:52" s="122" customFormat="1" ht="18" customHeight="1">
      <c r="A15" s="95"/>
      <c r="B15" s="361"/>
      <c r="D15" s="3518"/>
      <c r="E15" s="2029" t="s">
        <v>3410</v>
      </c>
      <c r="F15" s="1777"/>
      <c r="G15" s="1777"/>
      <c r="H15" s="1777"/>
      <c r="I15" s="1777"/>
      <c r="J15" s="1777"/>
      <c r="K15" s="1777"/>
      <c r="L15" s="1777"/>
      <c r="M15" s="1777"/>
      <c r="N15" s="1777"/>
      <c r="O15" s="1777"/>
      <c r="P15" s="1777"/>
      <c r="Q15" s="1777"/>
      <c r="R15" s="1777"/>
      <c r="S15" s="1777"/>
      <c r="T15" s="1777"/>
      <c r="U15" s="1777"/>
      <c r="V15" s="1777"/>
      <c r="W15" s="1778"/>
      <c r="X15" s="3516">
        <v>30</v>
      </c>
      <c r="Y15" s="1777"/>
      <c r="Z15" s="1778"/>
      <c r="AB15" s="3516">
        <f>$AL$24</f>
        <v>0</v>
      </c>
      <c r="AC15" s="1777"/>
      <c r="AD15" s="1778"/>
      <c r="AE15" s="476"/>
      <c r="AF15" s="476"/>
      <c r="AG15" s="476"/>
      <c r="AH15" s="476"/>
      <c r="AI15" s="476"/>
      <c r="AJ15" s="476"/>
      <c r="AK15" s="476"/>
      <c r="AL15" s="476"/>
      <c r="AM15" s="1702"/>
      <c r="AN15" s="95"/>
    </row>
    <row r="16" spans="1:52" s="122" customFormat="1" ht="18" customHeight="1">
      <c r="A16" s="95"/>
      <c r="B16" s="361"/>
      <c r="D16" s="3518"/>
      <c r="E16" s="2029" t="s">
        <v>3411</v>
      </c>
      <c r="F16" s="1777"/>
      <c r="G16" s="1777"/>
      <c r="H16" s="1777"/>
      <c r="I16" s="1777"/>
      <c r="J16" s="1777"/>
      <c r="K16" s="1777"/>
      <c r="L16" s="1777"/>
      <c r="M16" s="1777"/>
      <c r="N16" s="1777"/>
      <c r="O16" s="1777"/>
      <c r="P16" s="1777"/>
      <c r="Q16" s="1777"/>
      <c r="R16" s="1777"/>
      <c r="S16" s="1777"/>
      <c r="T16" s="1777"/>
      <c r="U16" s="1777"/>
      <c r="V16" s="1777"/>
      <c r="W16" s="1778"/>
      <c r="X16" s="3516">
        <v>20</v>
      </c>
      <c r="Y16" s="1777"/>
      <c r="Z16" s="1778"/>
      <c r="AB16" s="3569">
        <f>$AL$54</f>
        <v>0</v>
      </c>
      <c r="AC16" s="3562"/>
      <c r="AD16" s="3563"/>
      <c r="AE16" s="2024"/>
      <c r="AF16" s="1931"/>
      <c r="AG16" s="1931"/>
      <c r="AH16" s="1931"/>
      <c r="AI16" s="1931"/>
      <c r="AJ16" s="1931"/>
      <c r="AK16" s="1931"/>
      <c r="AL16" s="1931"/>
      <c r="AM16" s="3634"/>
      <c r="AN16" s="95"/>
    </row>
    <row r="17" spans="1:42" s="122" customFormat="1" ht="14.25" hidden="1">
      <c r="A17" s="95"/>
      <c r="B17" s="361"/>
      <c r="D17" s="3518"/>
      <c r="E17" s="2029"/>
      <c r="F17" s="1777"/>
      <c r="G17" s="1777"/>
      <c r="H17" s="1777"/>
      <c r="I17" s="1777"/>
      <c r="J17" s="1777"/>
      <c r="K17" s="1777"/>
      <c r="L17" s="1777"/>
      <c r="M17" s="1777"/>
      <c r="N17" s="1777"/>
      <c r="O17" s="1777"/>
      <c r="P17" s="1777"/>
      <c r="Q17" s="1777"/>
      <c r="R17" s="1777"/>
      <c r="S17" s="1777"/>
      <c r="T17" s="1777"/>
      <c r="U17" s="1777"/>
      <c r="V17" s="1777"/>
      <c r="W17" s="1778"/>
      <c r="X17" s="3516"/>
      <c r="Y17" s="1777"/>
      <c r="Z17" s="1778"/>
      <c r="AB17" s="3516">
        <f>$AL$91</f>
        <v>0</v>
      </c>
      <c r="AC17" s="1777"/>
      <c r="AD17" s="1778"/>
      <c r="AE17" s="476"/>
      <c r="AF17" s="476"/>
      <c r="AG17" s="476"/>
      <c r="AH17" s="476"/>
      <c r="AI17" s="476"/>
      <c r="AJ17" s="476"/>
      <c r="AK17" s="476"/>
      <c r="AL17" s="476"/>
      <c r="AM17" s="1702"/>
      <c r="AN17" s="95"/>
      <c r="AP17" s="834"/>
    </row>
    <row r="18" spans="1:42" s="122" customFormat="1" ht="18" customHeight="1">
      <c r="A18" s="95"/>
      <c r="B18" s="361"/>
      <c r="D18" s="3518"/>
      <c r="E18" s="2029" t="s">
        <v>3412</v>
      </c>
      <c r="F18" s="1777"/>
      <c r="G18" s="1777"/>
      <c r="H18" s="1777"/>
      <c r="I18" s="1777"/>
      <c r="J18" s="1777"/>
      <c r="K18" s="1777"/>
      <c r="L18" s="1777"/>
      <c r="M18" s="1777"/>
      <c r="N18" s="1777"/>
      <c r="O18" s="1777"/>
      <c r="P18" s="1777"/>
      <c r="Q18" s="1777"/>
      <c r="R18" s="1777"/>
      <c r="S18" s="1777"/>
      <c r="T18" s="1777"/>
      <c r="U18" s="1777"/>
      <c r="V18" s="1777"/>
      <c r="W18" s="1778"/>
      <c r="X18" s="3516">
        <v>20</v>
      </c>
      <c r="Y18" s="1777"/>
      <c r="Z18" s="1778"/>
      <c r="AB18" s="3516">
        <f>$AL$164</f>
        <v>0</v>
      </c>
      <c r="AC18" s="1777"/>
      <c r="AD18" s="1778"/>
      <c r="AE18" s="2024" t="str">
        <f>IF(AB18&gt;=20,"Minimum point score achieved","Minimum point score NOT achieved")</f>
        <v>Minimum point score NOT achieved</v>
      </c>
      <c r="AF18" s="1913"/>
      <c r="AG18" s="1913"/>
      <c r="AH18" s="1913"/>
      <c r="AI18" s="1913"/>
      <c r="AJ18" s="1913"/>
      <c r="AK18" s="1913"/>
      <c r="AL18" s="1913"/>
      <c r="AM18" s="1889"/>
      <c r="AN18" s="95"/>
    </row>
    <row r="19" spans="1:42" s="122" customFormat="1" ht="18" hidden="1" customHeight="1">
      <c r="A19" s="95"/>
      <c r="B19" s="361"/>
      <c r="D19" s="3518"/>
      <c r="E19" s="2029" t="s">
        <v>3413</v>
      </c>
      <c r="F19" s="1777"/>
      <c r="G19" s="1777"/>
      <c r="H19" s="1777"/>
      <c r="I19" s="1777"/>
      <c r="J19" s="1777"/>
      <c r="K19" s="1777"/>
      <c r="L19" s="1777"/>
      <c r="M19" s="1777"/>
      <c r="N19" s="1777"/>
      <c r="O19" s="1777"/>
      <c r="P19" s="1777"/>
      <c r="Q19" s="1777"/>
      <c r="R19" s="1777"/>
      <c r="S19" s="1777"/>
      <c r="T19" s="1777"/>
      <c r="U19" s="1777"/>
      <c r="V19" s="1777"/>
      <c r="W19" s="1778"/>
      <c r="X19" s="3516"/>
      <c r="Y19" s="1777"/>
      <c r="Z19" s="1778"/>
      <c r="AB19" s="3516">
        <f>$AL$239</f>
        <v>0</v>
      </c>
      <c r="AC19" s="1777"/>
      <c r="AD19" s="1778"/>
      <c r="AE19" s="476"/>
      <c r="AF19" s="476"/>
      <c r="AG19" s="476"/>
      <c r="AH19" s="476"/>
      <c r="AI19" s="476"/>
      <c r="AJ19" s="476"/>
      <c r="AK19" s="476"/>
      <c r="AL19" s="476"/>
      <c r="AM19" s="1702"/>
      <c r="AN19" s="95"/>
    </row>
    <row r="20" spans="1:42" s="122" customFormat="1" ht="18" customHeight="1">
      <c r="A20" s="95"/>
      <c r="B20" s="361"/>
      <c r="D20" s="3519"/>
      <c r="E20" s="2029" t="s">
        <v>3414</v>
      </c>
      <c r="F20" s="1777"/>
      <c r="G20" s="1777"/>
      <c r="H20" s="1777"/>
      <c r="I20" s="1777"/>
      <c r="J20" s="1777"/>
      <c r="K20" s="1777"/>
      <c r="L20" s="1777"/>
      <c r="M20" s="1777"/>
      <c r="N20" s="1777"/>
      <c r="O20" s="1777"/>
      <c r="P20" s="1777"/>
      <c r="Q20" s="1777"/>
      <c r="R20" s="1777"/>
      <c r="S20" s="1777"/>
      <c r="T20" s="1777"/>
      <c r="U20" s="1777"/>
      <c r="V20" s="1777"/>
      <c r="W20" s="1778"/>
      <c r="X20" s="3516">
        <v>5</v>
      </c>
      <c r="Y20" s="1777"/>
      <c r="Z20" s="1778"/>
      <c r="AB20" s="3516">
        <f>$AL$266</f>
        <v>0</v>
      </c>
      <c r="AC20" s="1777"/>
      <c r="AD20" s="1778"/>
      <c r="AE20" s="476"/>
      <c r="AF20" s="476"/>
      <c r="AG20" s="476"/>
      <c r="AH20" s="476"/>
      <c r="AI20" s="476"/>
      <c r="AJ20" s="476"/>
      <c r="AK20" s="476"/>
      <c r="AL20" s="476"/>
      <c r="AM20" s="1702"/>
      <c r="AN20" s="95"/>
    </row>
    <row r="21" spans="1:42" s="122" customFormat="1" ht="18" customHeight="1">
      <c r="A21" s="95"/>
      <c r="B21" s="361"/>
      <c r="D21" s="3478" t="s">
        <v>3415</v>
      </c>
      <c r="E21" s="1777"/>
      <c r="F21" s="1777"/>
      <c r="G21" s="1777"/>
      <c r="H21" s="1777"/>
      <c r="I21" s="1777"/>
      <c r="J21" s="1777"/>
      <c r="K21" s="1777"/>
      <c r="L21" s="1777"/>
      <c r="M21" s="1777"/>
      <c r="N21" s="1777"/>
      <c r="O21" s="1777"/>
      <c r="P21" s="1777"/>
      <c r="Q21" s="1777"/>
      <c r="R21" s="1777"/>
      <c r="S21" s="1777"/>
      <c r="T21" s="1777"/>
      <c r="U21" s="1777"/>
      <c r="V21" s="1777"/>
      <c r="W21" s="1778"/>
      <c r="X21" s="3648">
        <f>SUM(X15:Z20)</f>
        <v>75</v>
      </c>
      <c r="Y21" s="1777"/>
      <c r="Z21" s="1778"/>
      <c r="AB21" s="3561">
        <f>SUM(AB15:AD20)</f>
        <v>0</v>
      </c>
      <c r="AC21" s="3562"/>
      <c r="AD21" s="3563"/>
      <c r="AE21" s="2024" t="str">
        <f>IF(AB21&gt;55,"Minimum point score achieved","Minimum point score NOT achieved")</f>
        <v>Minimum point score NOT achieved</v>
      </c>
      <c r="AF21" s="1913"/>
      <c r="AG21" s="1913"/>
      <c r="AH21" s="1913"/>
      <c r="AI21" s="1913"/>
      <c r="AJ21" s="1913"/>
      <c r="AK21" s="1913"/>
      <c r="AL21" s="1913"/>
      <c r="AM21" s="1889"/>
      <c r="AN21" s="95"/>
    </row>
    <row r="22" spans="1:42" s="122" customFormat="1" ht="18" customHeight="1">
      <c r="A22" s="95"/>
      <c r="B22" s="807"/>
      <c r="C22" s="1423"/>
      <c r="D22" s="1423"/>
      <c r="E22" s="1423"/>
      <c r="F22" s="1423"/>
      <c r="G22" s="1423"/>
      <c r="H22" s="1423"/>
      <c r="I22" s="1423"/>
      <c r="J22" s="1423"/>
      <c r="K22" s="1423"/>
      <c r="L22" s="1423"/>
      <c r="M22" s="1423"/>
      <c r="N22" s="1423"/>
      <c r="O22" s="1423"/>
      <c r="P22" s="1423"/>
      <c r="Q22" s="1423"/>
      <c r="R22" s="1423"/>
      <c r="S22" s="1423"/>
      <c r="T22" s="1423"/>
      <c r="U22" s="1423"/>
      <c r="V22" s="1423"/>
      <c r="W22" s="1423"/>
      <c r="X22" s="1423"/>
      <c r="Y22" s="1423"/>
      <c r="Z22" s="1423"/>
      <c r="AA22" s="1423"/>
      <c r="AB22" s="1423"/>
      <c r="AC22" s="1423"/>
      <c r="AD22" s="1423"/>
      <c r="AE22" s="1423"/>
      <c r="AF22" s="1423"/>
      <c r="AG22" s="1423"/>
      <c r="AH22" s="1423"/>
      <c r="AI22" s="1423"/>
      <c r="AJ22" s="1423"/>
      <c r="AK22" s="1423"/>
      <c r="AL22" s="1423"/>
      <c r="AM22" s="1477"/>
    </row>
    <row r="23" spans="1:42" s="122" customFormat="1" ht="18" customHeight="1">
      <c r="A23" s="95"/>
    </row>
    <row r="24" spans="1:42" ht="18" customHeight="1">
      <c r="B24" s="780"/>
      <c r="C24" s="1424" t="s">
        <v>3416</v>
      </c>
      <c r="D24" s="3520" t="s">
        <v>3417</v>
      </c>
      <c r="E24" s="1953"/>
      <c r="F24" s="1953"/>
      <c r="G24" s="1953"/>
      <c r="H24" s="1953"/>
      <c r="I24" s="1953"/>
      <c r="J24" s="1953"/>
      <c r="K24" s="1953"/>
      <c r="L24" s="1953"/>
      <c r="M24" s="1953"/>
      <c r="N24" s="1953"/>
      <c r="O24" s="1953"/>
      <c r="P24" s="1953"/>
      <c r="Q24" s="1953"/>
      <c r="R24" s="1953"/>
      <c r="S24" s="1953"/>
      <c r="T24" s="1953"/>
      <c r="U24" s="1953"/>
      <c r="V24" s="1953"/>
      <c r="W24" s="1953"/>
      <c r="X24" s="1953"/>
      <c r="Y24" s="1953"/>
      <c r="Z24" s="1953"/>
      <c r="AA24" s="1953"/>
      <c r="AB24" s="1953"/>
      <c r="AC24" s="1953"/>
      <c r="AD24" s="1953"/>
      <c r="AE24" s="1953"/>
      <c r="AF24" s="1953"/>
      <c r="AG24" s="1953"/>
      <c r="AH24" s="1953"/>
      <c r="AI24" s="1953"/>
      <c r="AJ24" s="1953"/>
      <c r="AK24" s="1953"/>
      <c r="AL24" s="3486">
        <f>IF(AND($AL$42,$AD$51),MIN(SUM($AL$31:$AM$39),30),0)</f>
        <v>0</v>
      </c>
      <c r="AM24" s="1778"/>
      <c r="AN24" s="1752"/>
    </row>
    <row r="25" spans="1:42" ht="36" customHeight="1">
      <c r="B25" s="1644"/>
      <c r="D25" s="3493" t="s">
        <v>3418</v>
      </c>
      <c r="E25" s="1910"/>
      <c r="F25" s="1910"/>
      <c r="G25" s="1910"/>
      <c r="H25" s="1910"/>
      <c r="I25" s="1910"/>
      <c r="J25" s="1910"/>
      <c r="K25" s="1910"/>
      <c r="L25" s="1910"/>
      <c r="M25" s="1910"/>
      <c r="N25" s="1910"/>
      <c r="O25" s="1910"/>
      <c r="P25" s="1910"/>
      <c r="Q25" s="1910"/>
      <c r="R25" s="1910"/>
      <c r="S25" s="1910"/>
      <c r="T25" s="1910"/>
      <c r="U25" s="1910"/>
      <c r="V25" s="1910"/>
      <c r="W25" s="1910"/>
      <c r="X25" s="1910"/>
      <c r="Y25" s="1910"/>
      <c r="Z25" s="1910"/>
      <c r="AA25" s="1910"/>
      <c r="AB25" s="1910"/>
      <c r="AC25" s="1910"/>
      <c r="AD25" s="1910"/>
      <c r="AE25" s="1910"/>
      <c r="AF25" s="1910"/>
      <c r="AG25" s="1910"/>
      <c r="AH25" s="1910"/>
      <c r="AI25" s="1910"/>
      <c r="AJ25" s="1910"/>
      <c r="AK25" s="1910"/>
      <c r="AL25" s="353"/>
      <c r="AM25" s="1425"/>
      <c r="AN25" s="1752"/>
    </row>
    <row r="26" spans="1:42" ht="18" customHeight="1">
      <c r="B26" s="1644"/>
      <c r="D26" s="3524" t="s">
        <v>3419</v>
      </c>
      <c r="E26" s="1910"/>
      <c r="F26" s="1910"/>
      <c r="G26" s="1910"/>
      <c r="H26" s="1910"/>
      <c r="I26" s="1910"/>
      <c r="J26" s="1910"/>
      <c r="K26" s="1910"/>
      <c r="L26" s="1910"/>
      <c r="M26" s="1910"/>
      <c r="N26" s="1910"/>
      <c r="O26" s="1910"/>
      <c r="P26" s="1910"/>
      <c r="Q26" s="1910"/>
      <c r="R26" s="1910"/>
      <c r="S26" s="1910"/>
      <c r="T26" s="1910"/>
      <c r="U26" s="1910"/>
      <c r="V26" s="1910"/>
      <c r="W26" s="1910"/>
      <c r="X26" s="1910"/>
      <c r="Y26" s="1910"/>
      <c r="Z26" s="1910"/>
      <c r="AA26" s="1910"/>
      <c r="AB26" s="1910"/>
      <c r="AC26" s="1910"/>
      <c r="AD26" s="1910"/>
      <c r="AE26" s="1910"/>
      <c r="AF26" s="1910"/>
      <c r="AG26" s="1910"/>
      <c r="AH26" s="1910"/>
      <c r="AI26" s="1910"/>
      <c r="AJ26" s="1910"/>
      <c r="AK26" s="1910"/>
      <c r="AL26" s="1651"/>
      <c r="AM26" s="1426"/>
      <c r="AN26" s="1752"/>
    </row>
    <row r="27" spans="1:42" s="95" customFormat="1" ht="80.25" customHeight="1">
      <c r="B27" s="1642"/>
      <c r="D27" s="2006" t="s">
        <v>3420</v>
      </c>
      <c r="E27" s="1888"/>
      <c r="F27" s="1888"/>
      <c r="G27" s="1888"/>
      <c r="H27" s="1888"/>
      <c r="I27" s="1888"/>
      <c r="J27" s="1888"/>
      <c r="K27" s="1888"/>
      <c r="L27" s="1888"/>
      <c r="M27" s="1888"/>
      <c r="N27" s="1888"/>
      <c r="O27" s="1888"/>
      <c r="P27" s="1888"/>
      <c r="Q27" s="1888"/>
      <c r="R27" s="1888"/>
      <c r="S27" s="1888"/>
      <c r="T27" s="1888"/>
      <c r="U27" s="1888"/>
      <c r="V27" s="1888"/>
      <c r="W27" s="1888"/>
      <c r="X27" s="1888"/>
      <c r="Y27" s="1888"/>
      <c r="Z27" s="1888"/>
      <c r="AA27" s="1888"/>
      <c r="AB27" s="1888"/>
      <c r="AC27" s="1888"/>
      <c r="AD27" s="1888"/>
      <c r="AE27" s="1888"/>
      <c r="AF27" s="1888"/>
      <c r="AG27" s="1888"/>
      <c r="AH27" s="1888"/>
      <c r="AI27" s="1888"/>
      <c r="AJ27" s="1888"/>
      <c r="AK27" s="1888"/>
      <c r="AM27" s="846"/>
    </row>
    <row r="28" spans="1:42" s="95" customFormat="1" ht="18" customHeight="1">
      <c r="B28" s="808"/>
      <c r="C28" s="1748"/>
      <c r="D28" s="847" t="s">
        <v>3421</v>
      </c>
      <c r="E28" s="1625"/>
      <c r="F28" s="1625"/>
      <c r="G28" s="1625"/>
      <c r="H28" s="1625"/>
      <c r="I28" s="1625"/>
      <c r="J28" s="1625"/>
      <c r="K28" s="1625"/>
      <c r="L28" s="1625"/>
      <c r="M28" s="1625"/>
      <c r="N28" s="1625"/>
      <c r="O28" s="1625"/>
      <c r="P28" s="1625"/>
      <c r="Q28" s="1625"/>
      <c r="R28" s="1625"/>
      <c r="S28" s="1625"/>
      <c r="W28" s="3631" t="s">
        <v>3422</v>
      </c>
      <c r="X28" s="3632"/>
      <c r="Y28" s="1748"/>
      <c r="Z28" s="1748"/>
      <c r="AA28" s="1748"/>
      <c r="AB28" s="3523"/>
      <c r="AC28" s="1877"/>
      <c r="AD28" s="1748"/>
      <c r="AE28" s="1748"/>
      <c r="AF28" s="1748"/>
      <c r="AG28" s="1748"/>
      <c r="AH28" s="1748"/>
      <c r="AI28" s="1748"/>
      <c r="AJ28" s="1748"/>
      <c r="AK28" s="1748"/>
      <c r="AL28" s="1748"/>
      <c r="AM28" s="1478"/>
    </row>
    <row r="29" spans="1:42" ht="22.5" customHeight="1">
      <c r="B29" s="3461" t="s">
        <v>3423</v>
      </c>
      <c r="C29" s="1770"/>
      <c r="D29" s="2715" t="s">
        <v>3424</v>
      </c>
      <c r="E29" s="1778"/>
      <c r="F29" s="3476">
        <v>0.55000000000000004</v>
      </c>
      <c r="G29" s="1777"/>
      <c r="H29" s="1777"/>
      <c r="I29" s="1778"/>
      <c r="J29" s="3476">
        <v>0.5</v>
      </c>
      <c r="K29" s="1777"/>
      <c r="L29" s="1777"/>
      <c r="M29" s="1778"/>
      <c r="N29" s="3476">
        <v>0.45</v>
      </c>
      <c r="O29" s="1777"/>
      <c r="P29" s="1777"/>
      <c r="Q29" s="1778"/>
      <c r="R29" s="3476">
        <v>0.4</v>
      </c>
      <c r="S29" s="1777"/>
      <c r="T29" s="1777"/>
      <c r="U29" s="1778"/>
      <c r="V29" s="3476">
        <v>0.35</v>
      </c>
      <c r="W29" s="1777"/>
      <c r="X29" s="1777"/>
      <c r="Y29" s="1778"/>
      <c r="Z29" s="3476">
        <v>0.3</v>
      </c>
      <c r="AA29" s="1777"/>
      <c r="AB29" s="1877"/>
      <c r="AC29" s="1772"/>
      <c r="AD29" s="3476">
        <v>0.25</v>
      </c>
      <c r="AE29" s="1777"/>
      <c r="AF29" s="1777"/>
      <c r="AG29" s="1778"/>
      <c r="AH29" s="3476" t="s">
        <v>1645</v>
      </c>
      <c r="AI29" s="1777"/>
      <c r="AJ29" s="1777"/>
      <c r="AK29" s="1778"/>
      <c r="AL29" s="3477" t="s">
        <v>3425</v>
      </c>
      <c r="AM29" s="1770"/>
      <c r="AN29" s="1752"/>
    </row>
    <row r="30" spans="1:42" ht="54" customHeight="1">
      <c r="B30" s="1920"/>
      <c r="C30" s="1889"/>
      <c r="D30" s="3639" t="s">
        <v>3426</v>
      </c>
      <c r="E30" s="1772"/>
      <c r="F30" s="3448" t="s">
        <v>3427</v>
      </c>
      <c r="G30" s="1772"/>
      <c r="H30" s="3449" t="s">
        <v>3428</v>
      </c>
      <c r="I30" s="1772"/>
      <c r="J30" s="3448" t="s">
        <v>3427</v>
      </c>
      <c r="K30" s="1772"/>
      <c r="L30" s="3449" t="s">
        <v>3428</v>
      </c>
      <c r="M30" s="1772"/>
      <c r="N30" s="3448" t="s">
        <v>3427</v>
      </c>
      <c r="O30" s="1772"/>
      <c r="P30" s="3449" t="s">
        <v>3428</v>
      </c>
      <c r="Q30" s="1772"/>
      <c r="R30" s="3448" t="s">
        <v>3427</v>
      </c>
      <c r="S30" s="1772"/>
      <c r="T30" s="3449" t="s">
        <v>3428</v>
      </c>
      <c r="U30" s="1772"/>
      <c r="V30" s="3448" t="s">
        <v>3427</v>
      </c>
      <c r="W30" s="1772"/>
      <c r="X30" s="3449" t="s">
        <v>3428</v>
      </c>
      <c r="Y30" s="1772"/>
      <c r="Z30" s="3448" t="s">
        <v>3427</v>
      </c>
      <c r="AA30" s="1772"/>
      <c r="AB30" s="3449" t="s">
        <v>3428</v>
      </c>
      <c r="AC30" s="1772"/>
      <c r="AD30" s="3448" t="s">
        <v>3427</v>
      </c>
      <c r="AE30" s="1772"/>
      <c r="AF30" s="3449" t="s">
        <v>3428</v>
      </c>
      <c r="AG30" s="1772"/>
      <c r="AH30" s="3448" t="s">
        <v>3427</v>
      </c>
      <c r="AI30" s="1772"/>
      <c r="AJ30" s="3449" t="s">
        <v>3428</v>
      </c>
      <c r="AK30" s="1772"/>
      <c r="AL30" s="1877"/>
      <c r="AM30" s="1772"/>
      <c r="AN30" s="1752"/>
      <c r="AO30" s="1559"/>
    </row>
    <row r="31" spans="1:42" ht="18" customHeight="1">
      <c r="B31" s="1920"/>
      <c r="C31" s="1889"/>
      <c r="D31" s="3457">
        <v>0.5</v>
      </c>
      <c r="E31" s="1778"/>
      <c r="F31" s="3489">
        <v>5</v>
      </c>
      <c r="G31" s="1778"/>
      <c r="H31" s="3443" t="str">
        <f>IF(AND('Project Overview'!$AL$225="Yes",'Unit Mix'!$BZ$73&gt;=0.5),Scoring!F31,"")</f>
        <v/>
      </c>
      <c r="I31" s="1778"/>
      <c r="J31" s="3489">
        <v>12.5</v>
      </c>
      <c r="K31" s="1778"/>
      <c r="L31" s="3443" t="str">
        <f>IF(AND('Project Overview'!$AL$225="Yes",'Unit Mix'!$BZ$72&gt;=0.5),Scoring!J31,"")</f>
        <v/>
      </c>
      <c r="M31" s="1778"/>
      <c r="N31" s="3443">
        <v>16.899999999999999</v>
      </c>
      <c r="O31" s="1778"/>
      <c r="P31" s="3443" t="str">
        <f>IF('Unit Mix'!$BZ$71&gt;=0.5,Scoring!N31,"")</f>
        <v/>
      </c>
      <c r="Q31" s="1778"/>
      <c r="R31" s="3443">
        <v>17.5</v>
      </c>
      <c r="S31" s="1778"/>
      <c r="T31" s="3443" t="str">
        <f>IF('Unit Mix'!$BZ$70&gt;=0.5,Scoring!R31,"")</f>
        <v/>
      </c>
      <c r="U31" s="1778"/>
      <c r="V31" s="2074">
        <v>18.75</v>
      </c>
      <c r="W31" s="1778"/>
      <c r="X31" s="3459" t="str">
        <f>IF('Unit Mix'!$BZ$69&gt;=0.5,Scoring!V31,"")</f>
        <v/>
      </c>
      <c r="Y31" s="1778"/>
      <c r="Z31" s="2074">
        <v>30</v>
      </c>
      <c r="AA31" s="1778"/>
      <c r="AB31" s="2074" t="str">
        <f>IF('Unit Mix'!$BZ$68&gt;=0.5,Scoring!Z31,"")</f>
        <v/>
      </c>
      <c r="AC31" s="1778"/>
      <c r="AD31" s="3443">
        <v>30</v>
      </c>
      <c r="AE31" s="1778"/>
      <c r="AF31" s="3443" t="str">
        <f>IF('Unit Mix'!$BZ$67&gt;=0.5,Scoring!AD31,"")</f>
        <v/>
      </c>
      <c r="AG31" s="1778"/>
      <c r="AH31" s="2074">
        <v>30</v>
      </c>
      <c r="AI31" s="1778"/>
      <c r="AJ31" s="3458" t="str">
        <f>IF('Unit Mix'!$CA$86&gt;=0.5,Scoring!AH31,"")</f>
        <v/>
      </c>
      <c r="AK31" s="1778"/>
      <c r="AL31" s="3456">
        <f>SUM($H$31,$L$31,$P$31,$T$31,$X$31,$AB$31,$AF$31,$AJ$31)</f>
        <v>0</v>
      </c>
      <c r="AM31" s="1778"/>
      <c r="AN31" s="1653"/>
      <c r="AO31" s="1559"/>
    </row>
    <row r="32" spans="1:42" ht="18" customHeight="1">
      <c r="B32" s="1920"/>
      <c r="C32" s="1889"/>
      <c r="D32" s="3457">
        <v>0.45</v>
      </c>
      <c r="E32" s="1778"/>
      <c r="F32" s="3489">
        <v>5</v>
      </c>
      <c r="G32" s="1778"/>
      <c r="H32" s="3443" t="str">
        <f>IF(AND('Project Overview'!$AL$225="Yes",'Unit Mix'!$BZ$73&gt;=0.45,'Unit Mix'!$BZ$73&lt;0.5),Scoring!F32,"")</f>
        <v/>
      </c>
      <c r="I32" s="1778"/>
      <c r="J32" s="3489">
        <v>11.25</v>
      </c>
      <c r="K32" s="1778"/>
      <c r="L32" s="3443" t="str">
        <f>IF(AND('Project Overview'!$AL$225="Yes",'Unit Mix'!$BZ$72&gt;=0.45,'Unit Mix'!$BZ$72&lt;0.5),Scoring!J32,"")</f>
        <v/>
      </c>
      <c r="M32" s="1778"/>
      <c r="N32" s="3443">
        <v>16.899999999999999</v>
      </c>
      <c r="O32" s="1778"/>
      <c r="P32" s="3443" t="str">
        <f>IF(AND('Unit Mix'!$BZ$71&gt;=0.45,'Unit Mix'!$BZ$71&lt;0.5),Scoring!N32,"")</f>
        <v/>
      </c>
      <c r="Q32" s="1778"/>
      <c r="R32" s="3443">
        <v>17.5</v>
      </c>
      <c r="S32" s="1778"/>
      <c r="T32" s="3443" t="str">
        <f>IF(AND('Unit Mix'!$BZ$70&gt;=0.45,'Unit Mix'!$BZ$70&lt;0.5),Scoring!R32,"")</f>
        <v/>
      </c>
      <c r="U32" s="1778"/>
      <c r="V32" s="2074">
        <v>18.75</v>
      </c>
      <c r="W32" s="1778"/>
      <c r="X32" s="3459" t="str">
        <f>IF(AND('Unit Mix'!$BZ$69&gt;=0.45,'Unit Mix'!$BZ$69&lt;0.5),Scoring!V32,"")</f>
        <v/>
      </c>
      <c r="Y32" s="1778"/>
      <c r="Z32" s="2074">
        <v>30</v>
      </c>
      <c r="AA32" s="1778"/>
      <c r="AB32" s="2074" t="str">
        <f>IF(AND('Unit Mix'!$BZ$68&gt;=0.45,'Unit Mix'!$BZ$68&lt;0.5),Scoring!Z32,"")</f>
        <v/>
      </c>
      <c r="AC32" s="1778"/>
      <c r="AD32" s="3443">
        <v>30</v>
      </c>
      <c r="AE32" s="1778"/>
      <c r="AF32" s="3443" t="str">
        <f>IF(AND('Unit Mix'!$BZ$67&gt;=0.45,'Unit Mix'!$BZ$67&lt;0.5),Scoring!AD32,"")</f>
        <v/>
      </c>
      <c r="AG32" s="1778"/>
      <c r="AH32" s="2074">
        <v>30</v>
      </c>
      <c r="AI32" s="1778"/>
      <c r="AJ32" s="3458" t="str">
        <f>IF(AND('Unit Mix'!$CA$86&gt;=0.45,'Unit Mix'!$CA$86&lt;0.5),Scoring!AH32,"")</f>
        <v/>
      </c>
      <c r="AK32" s="1778"/>
      <c r="AL32" s="3456">
        <f>SUM($H$32,$L$32,$P$32,$T$32,$X$32,$AB$32,$AF$32,$AJ$32)</f>
        <v>0</v>
      </c>
      <c r="AM32" s="1778"/>
      <c r="AN32" s="1752"/>
    </row>
    <row r="33" spans="2:47" ht="18" customHeight="1">
      <c r="B33" s="1920"/>
      <c r="C33" s="1889"/>
      <c r="D33" s="3457">
        <v>0.4</v>
      </c>
      <c r="E33" s="1778"/>
      <c r="F33" s="3489">
        <v>5</v>
      </c>
      <c r="G33" s="1778"/>
      <c r="H33" s="3443" t="str">
        <f>IF(AND('Project Overview'!$AL$225="Yes",'Unit Mix'!$BZ$73&gt;=0.4,'Unit Mix'!$BZ$73&lt;0.45),Scoring!F33,"")</f>
        <v/>
      </c>
      <c r="I33" s="1778"/>
      <c r="J33" s="3443">
        <v>10</v>
      </c>
      <c r="K33" s="1778"/>
      <c r="L33" s="3443" t="str">
        <f>IF(OR($L$31&lt;&gt;"",$L$32&lt;&gt;""),"",IF(AND('Unit Mix'!$BZ$72&gt;=0.4),Scoring!J33,""))</f>
        <v/>
      </c>
      <c r="M33" s="1778"/>
      <c r="N33" s="3443">
        <v>15</v>
      </c>
      <c r="O33" s="1778"/>
      <c r="P33" s="3443" t="str">
        <f>IF(AND('Unit Mix'!$BZ$71&gt;=0.4,'Unit Mix'!$BZ$71&lt;0.45),Scoring!N33,"")</f>
        <v/>
      </c>
      <c r="Q33" s="1778"/>
      <c r="R33" s="3443">
        <v>17.5</v>
      </c>
      <c r="S33" s="1778"/>
      <c r="T33" s="3443" t="str">
        <f>IF(AND('Unit Mix'!$BZ$70&gt;=0.4,'Unit Mix'!$BZ$70&lt;0.45),Scoring!R33,"")</f>
        <v/>
      </c>
      <c r="U33" s="1778"/>
      <c r="V33" s="2074">
        <v>18.75</v>
      </c>
      <c r="W33" s="1778"/>
      <c r="X33" s="3459" t="str">
        <f>IF(AND('Unit Mix'!$BZ$69&gt;=0.4,'Unit Mix'!$BZ$69&lt;0.45),Scoring!V33,"")</f>
        <v/>
      </c>
      <c r="Y33" s="1778"/>
      <c r="Z33" s="2074">
        <v>27.5</v>
      </c>
      <c r="AA33" s="1778"/>
      <c r="AB33" s="2074" t="str">
        <f>IF(AND('Unit Mix'!$BZ$68&gt;=0.4,'Unit Mix'!$BZ$68&lt;0.45),Scoring!Z33,"")</f>
        <v/>
      </c>
      <c r="AC33" s="1778"/>
      <c r="AD33" s="3443">
        <v>30</v>
      </c>
      <c r="AE33" s="1778"/>
      <c r="AF33" s="3443" t="str">
        <f>IF(AND('Unit Mix'!$BZ$67&gt;=0.4,'Unit Mix'!$BZ$67&lt;0.45),Scoring!AD33,"")</f>
        <v/>
      </c>
      <c r="AG33" s="1778"/>
      <c r="AH33" s="2074">
        <v>30</v>
      </c>
      <c r="AI33" s="1778"/>
      <c r="AJ33" s="3458" t="str">
        <f>IF(AND('Unit Mix'!$CA$86&gt;=0.4,'Unit Mix'!$CA$86&lt;0.45),Scoring!AH33,"")</f>
        <v/>
      </c>
      <c r="AK33" s="1778"/>
      <c r="AL33" s="3456">
        <f>SUM($H$33,$L$33,$P$33,$T$33,$X$33,$AB$33,$AF$33,$AJ$33)</f>
        <v>0</v>
      </c>
      <c r="AM33" s="1778"/>
      <c r="AN33" s="1752"/>
    </row>
    <row r="34" spans="2:47" ht="18" customHeight="1">
      <c r="B34" s="1920"/>
      <c r="C34" s="1889"/>
      <c r="D34" s="3457">
        <v>0.35</v>
      </c>
      <c r="E34" s="1778"/>
      <c r="F34" s="3489">
        <v>4.4000000000000004</v>
      </c>
      <c r="G34" s="1778"/>
      <c r="H34" s="3443" t="str">
        <f>IF(AND('Project Overview'!$AL$225="Yes",'Unit Mix'!$BZ$73&gt;=0.35,'Unit Mix'!$BZ$73&lt;0.4),Scoring!F34,"")</f>
        <v/>
      </c>
      <c r="I34" s="1778"/>
      <c r="J34" s="3443">
        <v>8.75</v>
      </c>
      <c r="K34" s="1778"/>
      <c r="L34" s="3443" t="str">
        <f>IF(OR($L$31&lt;&gt;"",$L$32&lt;&gt;""),"",IF(AND('Unit Mix'!$BZ$72&gt;=0.35,'Unit Mix'!$BZ$72&lt;0.4),Scoring!J34,""))</f>
        <v/>
      </c>
      <c r="M34" s="1778"/>
      <c r="N34" s="3443">
        <v>13.15</v>
      </c>
      <c r="O34" s="1778"/>
      <c r="P34" s="3443" t="str">
        <f>IF(AND('Unit Mix'!$BZ$71&gt;=0.35,'Unit Mix'!$BZ$71&lt;0.4),Scoring!N34,"")</f>
        <v/>
      </c>
      <c r="Q34" s="1778"/>
      <c r="R34" s="3443">
        <v>17.5</v>
      </c>
      <c r="S34" s="1778"/>
      <c r="T34" s="3443" t="str">
        <f>IF(AND('Unit Mix'!$BZ$70&gt;=0.35,'Unit Mix'!$BZ$70&lt;0.4),Scoring!R34,"")</f>
        <v/>
      </c>
      <c r="U34" s="1778"/>
      <c r="V34" s="2074">
        <v>18.75</v>
      </c>
      <c r="W34" s="1778"/>
      <c r="X34" s="3459" t="str">
        <f>IF(AND('Unit Mix'!$BZ$69&gt;=0.35,'Unit Mix'!$BZ$69&lt;0.4),Scoring!V34,"")</f>
        <v/>
      </c>
      <c r="Y34" s="1778"/>
      <c r="Z34" s="2074">
        <v>25</v>
      </c>
      <c r="AA34" s="1778"/>
      <c r="AB34" s="2074" t="str">
        <f>IF(AND('Unit Mix'!$BZ$68&gt;=0.35,'Unit Mix'!$BZ$68&lt;0.4),Scoring!Z34,"")</f>
        <v/>
      </c>
      <c r="AC34" s="1778"/>
      <c r="AD34" s="3443">
        <v>27.5</v>
      </c>
      <c r="AE34" s="1778"/>
      <c r="AF34" s="3443" t="str">
        <f>IF(AND('Unit Mix'!$BZ$67&gt;=0.35,'Unit Mix'!$BZ$67&lt;0.4),Scoring!AD34,"")</f>
        <v/>
      </c>
      <c r="AG34" s="1778"/>
      <c r="AH34" s="2074">
        <v>30</v>
      </c>
      <c r="AI34" s="1778"/>
      <c r="AJ34" s="3458" t="str">
        <f>IF(AND('Unit Mix'!$CA$86&gt;=0.35,'Unit Mix'!$CA$86&lt;0.4),Scoring!AH34,"")</f>
        <v/>
      </c>
      <c r="AK34" s="1778"/>
      <c r="AL34" s="3456">
        <f>SUM($H$34,$L$34,$P$34,$T$34,$X$34,$AB$34,$AF$34,$AJ$34)</f>
        <v>0</v>
      </c>
      <c r="AM34" s="1778"/>
      <c r="AN34" s="1752"/>
    </row>
    <row r="35" spans="2:47" ht="18" customHeight="1">
      <c r="B35" s="1920"/>
      <c r="C35" s="1889"/>
      <c r="D35" s="3457">
        <v>0.3</v>
      </c>
      <c r="E35" s="1778"/>
      <c r="F35" s="3489">
        <v>3.75</v>
      </c>
      <c r="G35" s="1778"/>
      <c r="H35" s="3443" t="str">
        <f>IF(AND('Project Overview'!$AL$225="Yes",'Unit Mix'!$BZ$73&gt;=0.3,'Unit Mix'!$BZ$73&lt;0.35),Scoring!F35,"")</f>
        <v/>
      </c>
      <c r="I35" s="1778"/>
      <c r="J35" s="3443">
        <v>7.5</v>
      </c>
      <c r="K35" s="1778"/>
      <c r="L35" s="3443" t="str">
        <f>IF(OR($L$31&lt;&gt;"",$L$32&lt;&gt;""),"",IF(AND('Unit Mix'!$BZ$72&gt;=0.3,'Unit Mix'!$BZ$72&lt;0.35),Scoring!J35,""))</f>
        <v/>
      </c>
      <c r="M35" s="1778"/>
      <c r="N35" s="3443">
        <v>11.25</v>
      </c>
      <c r="O35" s="1778"/>
      <c r="P35" s="3443" t="str">
        <f>IF(AND('Unit Mix'!$BZ$71&gt;=0.3,'Unit Mix'!$BZ$71&lt;0.35),Scoring!N35,"")</f>
        <v/>
      </c>
      <c r="Q35" s="1778"/>
      <c r="R35" s="3443">
        <v>15</v>
      </c>
      <c r="S35" s="1778"/>
      <c r="T35" s="3443" t="str">
        <f>IF(AND('Unit Mix'!$BZ$70&gt;=0.3,'Unit Mix'!$BZ$70&lt;0.35),Scoring!R35,"")</f>
        <v/>
      </c>
      <c r="U35" s="1778"/>
      <c r="V35" s="2074">
        <v>18.75</v>
      </c>
      <c r="W35" s="1778"/>
      <c r="X35" s="3459" t="str">
        <f>IF(AND('Unit Mix'!$BZ$69&gt;=0.3,'Unit Mix'!$BZ$69&lt;0.35),Scoring!V35,"")</f>
        <v/>
      </c>
      <c r="Y35" s="1778"/>
      <c r="Z35" s="2074">
        <v>22.5</v>
      </c>
      <c r="AA35" s="1778"/>
      <c r="AB35" s="2074" t="str">
        <f>IF(AND('Unit Mix'!$BZ$68&gt;=0.3,'Unit Mix'!$BZ$68&lt;0.35),Scoring!Z35,"")</f>
        <v/>
      </c>
      <c r="AC35" s="1778"/>
      <c r="AD35" s="3443">
        <v>25</v>
      </c>
      <c r="AE35" s="1778"/>
      <c r="AF35" s="3443" t="str">
        <f>IF(AND('Unit Mix'!$BZ$67&gt;=0.3,'Unit Mix'!$BZ$67&lt;0.35),Scoring!AD35,"")</f>
        <v/>
      </c>
      <c r="AG35" s="1778"/>
      <c r="AH35" s="2074">
        <v>30</v>
      </c>
      <c r="AI35" s="1778"/>
      <c r="AJ35" s="3458" t="str">
        <f>IF(AND('Unit Mix'!$CA$86&gt;=0.3,'Unit Mix'!$CA$86&lt;0.35),Scoring!AH35,"")</f>
        <v/>
      </c>
      <c r="AK35" s="1778"/>
      <c r="AL35" s="3456">
        <f>SUM($H$35,$L$35,$P$35,$T$35,$X$35,$AB$35,$AF$35,$AJ$35)</f>
        <v>0</v>
      </c>
      <c r="AM35" s="1778"/>
      <c r="AN35" s="1752"/>
    </row>
    <row r="36" spans="2:47" ht="18" customHeight="1">
      <c r="B36" s="1920"/>
      <c r="C36" s="1889"/>
      <c r="D36" s="3457">
        <v>0.25</v>
      </c>
      <c r="E36" s="1778"/>
      <c r="F36" s="3489">
        <v>3.15</v>
      </c>
      <c r="G36" s="1778"/>
      <c r="H36" s="3443" t="str">
        <f>IF(AND('Project Overview'!$AL$225="Yes",'Unit Mix'!$BZ$73&gt;=0.25,'Unit Mix'!$BZ$73&lt;0.3),Scoring!F36,"")</f>
        <v/>
      </c>
      <c r="I36" s="1778"/>
      <c r="J36" s="3443">
        <v>6.25</v>
      </c>
      <c r="K36" s="1778"/>
      <c r="L36" s="3443" t="str">
        <f>IF(OR($L$31&lt;&gt;"",$L$32&lt;&gt;""),"",IF(AND('Unit Mix'!$BZ$72&gt;=0.25,'Unit Mix'!$BZ$72&lt;0.3),Scoring!J36,""))</f>
        <v/>
      </c>
      <c r="M36" s="1778"/>
      <c r="N36" s="3443">
        <v>9.4</v>
      </c>
      <c r="O36" s="1778"/>
      <c r="P36" s="3443" t="str">
        <f>IF(AND('Unit Mix'!$BZ$71&gt;=0.25,'Unit Mix'!$BZ$71&lt;0.3),Scoring!N36,"")</f>
        <v/>
      </c>
      <c r="Q36" s="1778"/>
      <c r="R36" s="3443">
        <v>12.5</v>
      </c>
      <c r="S36" s="1778"/>
      <c r="T36" s="3443" t="str">
        <f>IF(AND('Unit Mix'!$BZ$70&gt;=0.25,'Unit Mix'!$BZ$70&lt;0.3),Scoring!R36,"")</f>
        <v/>
      </c>
      <c r="U36" s="1778"/>
      <c r="V36" s="2074">
        <v>15.65</v>
      </c>
      <c r="W36" s="1778"/>
      <c r="X36" s="3459" t="str">
        <f>IF(AND('Unit Mix'!$BZ$69&gt;=0.25,'Unit Mix'!$BZ$69&lt;0.3),Scoring!V36,"")</f>
        <v/>
      </c>
      <c r="Y36" s="1778"/>
      <c r="Z36" s="2074">
        <v>18.75</v>
      </c>
      <c r="AA36" s="1778"/>
      <c r="AB36" s="2074" t="str">
        <f>IF(AND('Unit Mix'!$BZ$68&gt;=0.25,'Unit Mix'!$BZ$68&lt;0.3),Scoring!Z36,"")</f>
        <v/>
      </c>
      <c r="AC36" s="1778"/>
      <c r="AD36" s="2074">
        <v>21.9</v>
      </c>
      <c r="AE36" s="1778"/>
      <c r="AF36" s="3443" t="str">
        <f>IF(AND('Unit Mix'!$BZ$67&gt;=0.25,'Unit Mix'!$BZ$67&lt;0.3),Scoring!AD36,"")</f>
        <v/>
      </c>
      <c r="AG36" s="1778"/>
      <c r="AH36" s="2074">
        <v>25</v>
      </c>
      <c r="AI36" s="1778"/>
      <c r="AJ36" s="3458" t="str">
        <f>IF(AND('Unit Mix'!$CA$86&gt;=0.25,'Unit Mix'!$CA$86&lt;0.3),Scoring!AH36,"")</f>
        <v/>
      </c>
      <c r="AK36" s="1778"/>
      <c r="AL36" s="3456">
        <f>SUM($H$36,$L$36,$P$36,$T$36,$X$36,$AB$36,$AF$36,$AJ$36)</f>
        <v>0</v>
      </c>
      <c r="AM36" s="1778"/>
      <c r="AN36" s="1752"/>
    </row>
    <row r="37" spans="2:47" ht="18" customHeight="1">
      <c r="B37" s="1920"/>
      <c r="C37" s="1889"/>
      <c r="D37" s="3457">
        <v>0.2</v>
      </c>
      <c r="E37" s="1778"/>
      <c r="F37" s="3489">
        <v>2.5</v>
      </c>
      <c r="G37" s="1778"/>
      <c r="H37" s="3443" t="str">
        <f>IF(AND('Project Overview'!$AL$225="Yes",'Unit Mix'!$BZ$73&gt;=0.2,'Unit Mix'!$BZ$73&lt;0.25),Scoring!F37,"")</f>
        <v/>
      </c>
      <c r="I37" s="1778"/>
      <c r="J37" s="3443">
        <v>5</v>
      </c>
      <c r="K37" s="1778"/>
      <c r="L37" s="3443" t="str">
        <f>IF(OR($L$31&lt;&gt;"",$L$32&lt;&gt;""),"",IF(AND('Unit Mix'!$BZ$72&gt;=0.2,'Unit Mix'!$BZ$72&lt;0.25),Scoring!J37,""))</f>
        <v/>
      </c>
      <c r="M37" s="1778"/>
      <c r="N37" s="3443">
        <v>7.5</v>
      </c>
      <c r="O37" s="1778"/>
      <c r="P37" s="3443" t="str">
        <f>IF(AND('Unit Mix'!$BZ$71&gt;=0.2,'Unit Mix'!$BZ$71&lt;0.25),Scoring!N37,"")</f>
        <v/>
      </c>
      <c r="Q37" s="1778"/>
      <c r="R37" s="3443">
        <v>10</v>
      </c>
      <c r="S37" s="1778"/>
      <c r="T37" s="3443" t="str">
        <f>IF(AND('Unit Mix'!$BZ$70&gt;=0.2,'Unit Mix'!$BZ$70&lt;0.25),Scoring!R37,"")</f>
        <v/>
      </c>
      <c r="U37" s="1778"/>
      <c r="V37" s="2074">
        <v>12.5</v>
      </c>
      <c r="W37" s="1778"/>
      <c r="X37" s="3459" t="str">
        <f>IF(AND('Unit Mix'!$BZ$69&gt;=0.2,'Unit Mix'!$BZ$69&lt;0.25),Scoring!V37,"")</f>
        <v/>
      </c>
      <c r="Y37" s="1778"/>
      <c r="Z37" s="2074">
        <v>15</v>
      </c>
      <c r="AA37" s="1778"/>
      <c r="AB37" s="2074" t="str">
        <f>IF(AND('Unit Mix'!$BZ$68&gt;=0.2,'Unit Mix'!$BZ$68&lt;0.25),Scoring!Z37,"")</f>
        <v/>
      </c>
      <c r="AC37" s="1778"/>
      <c r="AD37" s="2074">
        <v>17.5</v>
      </c>
      <c r="AE37" s="1778"/>
      <c r="AF37" s="3443" t="str">
        <f>IF(AND('Unit Mix'!$BZ$67&gt;=0.2,'Unit Mix'!$BZ$67&lt;0.25),Scoring!AD37,"")</f>
        <v/>
      </c>
      <c r="AG37" s="1778"/>
      <c r="AH37" s="2074">
        <v>20</v>
      </c>
      <c r="AI37" s="1778"/>
      <c r="AJ37" s="3458" t="str">
        <f>IF(AND('Unit Mix'!$CA$86&gt;=0.2,'Unit Mix'!$CA$86&lt;0.25),Scoring!AH37,"")</f>
        <v/>
      </c>
      <c r="AK37" s="1778"/>
      <c r="AL37" s="3456">
        <f>SUM($H$37,$L$37,$P$37,$T$37,$X$37,$AB$37,$AF$37,$AJ$37)</f>
        <v>0</v>
      </c>
      <c r="AM37" s="1778"/>
      <c r="AN37" s="1752"/>
    </row>
    <row r="38" spans="2:47" ht="18" customHeight="1">
      <c r="B38" s="1920"/>
      <c r="C38" s="1889"/>
      <c r="D38" s="3457">
        <v>0.15</v>
      </c>
      <c r="E38" s="1778"/>
      <c r="F38" s="3489">
        <v>1.9</v>
      </c>
      <c r="G38" s="1778"/>
      <c r="H38" s="3443" t="str">
        <f>IF(AND('Project Overview'!$AL$225="Yes",'Unit Mix'!$BZ$73&gt;=0.15,'Unit Mix'!$BZ$73&lt;0.2),Scoring!F38,"")</f>
        <v/>
      </c>
      <c r="I38" s="1778"/>
      <c r="J38" s="3443">
        <v>3.75</v>
      </c>
      <c r="K38" s="1778"/>
      <c r="L38" s="3443" t="str">
        <f>IF(OR($L$31&lt;&gt;"",$L$32&lt;&gt;""),"",IF(AND('Unit Mix'!$BZ$72&gt;=0.15,'Unit Mix'!$BZ$72&lt;0.2),Scoring!J38,""))</f>
        <v/>
      </c>
      <c r="M38" s="1778"/>
      <c r="N38" s="3443">
        <v>5.65</v>
      </c>
      <c r="O38" s="1778"/>
      <c r="P38" s="3443" t="str">
        <f>IF(AND('Unit Mix'!$BZ$71&gt;=0.15,'Unit Mix'!$BZ$71&lt;0.2),Scoring!N38,"")</f>
        <v/>
      </c>
      <c r="Q38" s="1778"/>
      <c r="R38" s="3443">
        <v>7.5</v>
      </c>
      <c r="S38" s="1778"/>
      <c r="T38" s="3443" t="str">
        <f>IF(AND('Unit Mix'!$BZ$70&gt;=0.15,'Unit Mix'!$BZ$70&lt;0.2),Scoring!R38,"")</f>
        <v/>
      </c>
      <c r="U38" s="1778"/>
      <c r="V38" s="2074">
        <v>9.4</v>
      </c>
      <c r="W38" s="1778"/>
      <c r="X38" s="3459" t="str">
        <f>IF(AND('Unit Mix'!$BZ$69&gt;=0.15,'Unit Mix'!$BZ$69&lt;0.2),Scoring!V38,"")</f>
        <v/>
      </c>
      <c r="Y38" s="1778"/>
      <c r="Z38" s="2074">
        <v>11.25</v>
      </c>
      <c r="AA38" s="1778"/>
      <c r="AB38" s="2074" t="str">
        <f>IF(AND('Unit Mix'!$BZ$68&gt;=0.15,'Unit Mix'!$BZ$68&lt;0.2),Scoring!Z38,"")</f>
        <v/>
      </c>
      <c r="AC38" s="1778"/>
      <c r="AD38" s="2074">
        <v>13.1</v>
      </c>
      <c r="AE38" s="1778"/>
      <c r="AF38" s="3443" t="str">
        <f>IF(AND('Unit Mix'!$BZ$67&gt;=0.15,'Unit Mix'!$BZ$67&lt;0.2),Scoring!AD38,"")</f>
        <v/>
      </c>
      <c r="AG38" s="1778"/>
      <c r="AH38" s="2074">
        <v>15</v>
      </c>
      <c r="AI38" s="1778"/>
      <c r="AJ38" s="3458" t="str">
        <f>IF(AND('Unit Mix'!$CA$86&gt;=0.15,'Unit Mix'!$CA$86&lt;0.2),Scoring!AH38,"")</f>
        <v/>
      </c>
      <c r="AK38" s="1778"/>
      <c r="AL38" s="3456">
        <f>SUM($H$38,$L$38,$P$38,$T$38,$X$38,$AB$38,$AF$38,$AJ$38)</f>
        <v>0</v>
      </c>
      <c r="AM38" s="1778"/>
      <c r="AN38" s="1752"/>
    </row>
    <row r="39" spans="2:47" ht="18" customHeight="1">
      <c r="B39" s="2479"/>
      <c r="C39" s="1772"/>
      <c r="D39" s="3457">
        <v>0.1</v>
      </c>
      <c r="E39" s="1778"/>
      <c r="F39" s="3489">
        <v>1.25</v>
      </c>
      <c r="G39" s="1778"/>
      <c r="H39" s="3443" t="str">
        <f>IF(AND('Project Overview'!$AL$225="Yes",'Unit Mix'!$BZ$73&gt;=0.1,'Unit Mix'!$BZ$73&lt;0.15),Scoring!F39,"")</f>
        <v/>
      </c>
      <c r="I39" s="1778"/>
      <c r="J39" s="3443">
        <v>2.5</v>
      </c>
      <c r="K39" s="1778"/>
      <c r="L39" s="3443" t="str">
        <f>IF(OR($L$31&lt;&gt;"",$L$32&lt;&gt;""),"",IF(AND('Unit Mix'!$BZ$72&gt;=0.1,'Unit Mix'!$BZ$72&lt;0.15),Scoring!J39,""))</f>
        <v/>
      </c>
      <c r="M39" s="1778"/>
      <c r="N39" s="3443">
        <v>3.75</v>
      </c>
      <c r="O39" s="1778"/>
      <c r="P39" s="3443" t="str">
        <f>IF(AND('Unit Mix'!$BZ$71&gt;=0.1,'Unit Mix'!$BZ$71&lt;0.15),Scoring!N39,"")</f>
        <v/>
      </c>
      <c r="Q39" s="1778"/>
      <c r="R39" s="3443">
        <v>5</v>
      </c>
      <c r="S39" s="1778"/>
      <c r="T39" s="3443" t="str">
        <f>IF(AND('Unit Mix'!$BZ$70&gt;=0.1,'Unit Mix'!$BZ$70&lt;0.15),Scoring!R39,"")</f>
        <v/>
      </c>
      <c r="U39" s="1778"/>
      <c r="V39" s="2074">
        <v>6.25</v>
      </c>
      <c r="W39" s="1778"/>
      <c r="X39" s="3459" t="str">
        <f>IF(AND('Unit Mix'!$BZ$69&gt;=0.1,'Unit Mix'!$BZ$69&lt;0.15),Scoring!V39,"")</f>
        <v/>
      </c>
      <c r="Y39" s="1778"/>
      <c r="Z39" s="2074">
        <v>7.5</v>
      </c>
      <c r="AA39" s="1778"/>
      <c r="AB39" s="2074" t="str">
        <f>IF(AND('Unit Mix'!$BZ$68&gt;=0.1,'Unit Mix'!$BZ$68&lt;0.15),Scoring!Z39,"")</f>
        <v/>
      </c>
      <c r="AC39" s="1778"/>
      <c r="AD39" s="2074">
        <v>8.75</v>
      </c>
      <c r="AE39" s="1778"/>
      <c r="AF39" s="3443" t="str">
        <f>IF(AND('Unit Mix'!$BZ$67&gt;=0.1,'Unit Mix'!$BZ$67&lt;0.15),Scoring!AD39,"")</f>
        <v/>
      </c>
      <c r="AG39" s="1778"/>
      <c r="AH39" s="2074">
        <v>10</v>
      </c>
      <c r="AI39" s="1778"/>
      <c r="AJ39" s="3458" t="str">
        <f>IF(AND('Unit Mix'!$CA$86&gt;=0.1,'Unit Mix'!$CA$86&lt;0.15),Scoring!AH39,"")</f>
        <v/>
      </c>
      <c r="AK39" s="1778"/>
      <c r="AL39" s="3456">
        <f>SUM($H$39,$L$39,$P$39,$T$39,$X$39,$AB$39,$AF$39,$AJ$39)</f>
        <v>0</v>
      </c>
      <c r="AM39" s="1778"/>
      <c r="AN39" s="1752"/>
    </row>
    <row r="40" spans="2:47" s="95" customFormat="1" ht="9" customHeight="1">
      <c r="B40" s="357"/>
      <c r="C40" s="845"/>
      <c r="X40" s="845"/>
      <c r="Y40" s="845"/>
      <c r="Z40" s="845"/>
      <c r="AA40" s="845"/>
      <c r="AB40" s="845"/>
      <c r="AC40" s="845"/>
      <c r="AD40" s="845"/>
      <c r="AE40" s="845"/>
      <c r="AF40" s="845"/>
      <c r="AG40" s="845"/>
      <c r="AH40" s="845"/>
      <c r="AI40" s="845"/>
      <c r="AJ40" s="845"/>
      <c r="AK40" s="845"/>
      <c r="AL40" s="845"/>
      <c r="AM40" s="949"/>
    </row>
    <row r="41" spans="2:47" s="95" customFormat="1" ht="36" customHeight="1">
      <c r="B41" s="1642"/>
      <c r="D41" s="2989" t="s">
        <v>3429</v>
      </c>
      <c r="E41" s="1888"/>
      <c r="F41" s="1888"/>
      <c r="G41" s="1888"/>
      <c r="H41" s="1888"/>
      <c r="I41" s="1888"/>
      <c r="J41" s="1888"/>
      <c r="K41" s="1888"/>
      <c r="L41" s="1888"/>
      <c r="M41" s="1888"/>
      <c r="N41" s="1888"/>
      <c r="O41" s="1888"/>
      <c r="P41" s="1888"/>
      <c r="Q41" s="1888"/>
      <c r="R41" s="1888"/>
      <c r="S41" s="1888"/>
      <c r="T41" s="1888"/>
      <c r="U41" s="1888"/>
      <c r="V41" s="1888"/>
      <c r="W41" s="1888"/>
      <c r="X41" s="1888"/>
      <c r="Y41" s="1888"/>
      <c r="Z41" s="1888"/>
      <c r="AA41" s="1888"/>
      <c r="AB41" s="1888"/>
      <c r="AC41" s="1888"/>
      <c r="AD41" s="1888"/>
      <c r="AE41" s="1888"/>
      <c r="AF41" s="1888"/>
      <c r="AG41" s="1889"/>
      <c r="AH41" s="3442" t="s">
        <v>3430</v>
      </c>
      <c r="AI41" s="1777"/>
      <c r="AJ41" s="1777"/>
      <c r="AK41" s="1778"/>
      <c r="AL41" s="3442">
        <f>SUMIFS(UnitsTbl[Total restricted units],UnitsTbl[Restricted Income Level],15%)+SUMIFS(UnitsTbl[Total restricted units],UnitsTbl[Restricted Income Level],20%)+SUMIFS(UnitsTbl[Total restricted units],UnitsTbl[Restricted Income Level],25%)+SUMIFS(UnitsTbl[Total restricted units],UnitsTbl[Restricted Income Level],30%)</f>
        <v>0</v>
      </c>
      <c r="AM41" s="1778"/>
      <c r="AO41" s="215"/>
    </row>
    <row r="42" spans="2:47" ht="18" customHeight="1">
      <c r="B42" s="1644"/>
      <c r="D42" s="3597" t="s">
        <v>3431</v>
      </c>
      <c r="E42" s="1910"/>
      <c r="F42" s="1910"/>
      <c r="G42" s="1910"/>
      <c r="H42" s="1910"/>
      <c r="I42" s="1910"/>
      <c r="J42" s="1910"/>
      <c r="K42" s="1910"/>
      <c r="L42" s="1910"/>
      <c r="M42" s="1910"/>
      <c r="N42" s="1910"/>
      <c r="O42" s="1910"/>
      <c r="P42" s="1910"/>
      <c r="Q42" s="1910"/>
      <c r="R42" s="1910"/>
      <c r="S42" s="1910"/>
      <c r="T42" s="1910"/>
      <c r="U42" s="1910"/>
      <c r="V42" s="1910"/>
      <c r="W42" s="1910"/>
      <c r="X42" s="1910"/>
      <c r="Y42" s="1910"/>
      <c r="Z42" s="1910"/>
      <c r="AA42" s="1910"/>
      <c r="AB42" s="1910"/>
      <c r="AC42" s="1910"/>
      <c r="AD42" s="1910"/>
      <c r="AE42" s="1910"/>
      <c r="AF42" s="1910"/>
      <c r="AG42" s="1910"/>
      <c r="AH42" s="1910"/>
      <c r="AI42" s="1910"/>
      <c r="AJ42" s="1910"/>
      <c r="AK42" s="1889"/>
      <c r="AL42" s="3442" t="b">
        <f>IFERROR(IF($AL$41/TotalRestrictedUnits&gt;=10%,TRUE,FALSE),FALSE)</f>
        <v>0</v>
      </c>
      <c r="AM42" s="1778"/>
      <c r="AN42" s="1752"/>
      <c r="AO42" s="215"/>
      <c r="AP42" s="355"/>
    </row>
    <row r="43" spans="2:47" s="95" customFormat="1" ht="63" customHeight="1">
      <c r="B43" s="1642"/>
      <c r="D43" s="1802" t="s">
        <v>3432</v>
      </c>
      <c r="E43" s="1888"/>
      <c r="F43" s="1888"/>
      <c r="G43" s="1888"/>
      <c r="H43" s="1888"/>
      <c r="I43" s="1888"/>
      <c r="J43" s="1888"/>
      <c r="K43" s="1888"/>
      <c r="L43" s="1888"/>
      <c r="M43" s="1888"/>
      <c r="N43" s="1888"/>
      <c r="O43" s="1888"/>
      <c r="P43" s="1888"/>
      <c r="Q43" s="1888"/>
      <c r="R43" s="1888"/>
      <c r="S43" s="1888"/>
      <c r="T43" s="1888"/>
      <c r="U43" s="1888"/>
      <c r="V43" s="1888"/>
      <c r="W43" s="1888"/>
      <c r="X43" s="1888"/>
      <c r="Y43" s="1888"/>
      <c r="Z43" s="1888"/>
      <c r="AA43" s="1888"/>
      <c r="AB43" s="1888"/>
      <c r="AC43" s="1888"/>
      <c r="AD43" s="1888"/>
      <c r="AE43" s="1888"/>
      <c r="AF43" s="1888"/>
      <c r="AG43" s="1888"/>
      <c r="AH43" s="1888"/>
      <c r="AI43" s="1888"/>
      <c r="AJ43" s="1888"/>
      <c r="AK43" s="1888"/>
      <c r="AL43" s="382"/>
      <c r="AM43" s="1720"/>
      <c r="AO43" s="215"/>
      <c r="AP43" s="55"/>
      <c r="AR43" s="138"/>
      <c r="AS43" s="138"/>
    </row>
    <row r="44" spans="2:47" s="95" customFormat="1" ht="51" customHeight="1">
      <c r="B44" s="1642"/>
      <c r="E44" s="478"/>
      <c r="F44" s="478"/>
      <c r="G44" s="478"/>
      <c r="H44" s="478"/>
      <c r="I44" s="478"/>
      <c r="J44" s="478"/>
      <c r="K44" s="478"/>
      <c r="L44" s="478"/>
      <c r="M44" s="478"/>
      <c r="N44" s="478"/>
      <c r="O44" s="478"/>
      <c r="P44" s="478"/>
      <c r="Q44" s="478"/>
      <c r="R44" s="478"/>
      <c r="S44" s="478"/>
      <c r="T44" s="3481" t="s">
        <v>3433</v>
      </c>
      <c r="U44" s="1770"/>
      <c r="V44" s="3455" t="s">
        <v>3434</v>
      </c>
      <c r="W44" s="1770"/>
      <c r="X44" s="3455" t="s">
        <v>3435</v>
      </c>
      <c r="Y44" s="1770"/>
      <c r="Z44" s="3455" t="s">
        <v>3436</v>
      </c>
      <c r="AA44" s="1770"/>
      <c r="AB44" s="3455" t="s">
        <v>3437</v>
      </c>
      <c r="AC44" s="1770"/>
      <c r="AD44" s="3643"/>
      <c r="AE44" s="1888"/>
      <c r="AF44" s="478"/>
      <c r="AG44" s="478"/>
      <c r="AH44" s="478"/>
      <c r="AI44" s="478"/>
      <c r="AJ44" s="478"/>
      <c r="AK44" s="478"/>
      <c r="AL44" s="478"/>
      <c r="AM44" s="1699"/>
      <c r="AN44" s="478"/>
      <c r="AO44" s="215"/>
      <c r="AR44" s="55"/>
      <c r="AT44" s="138"/>
      <c r="AU44" s="138"/>
    </row>
    <row r="45" spans="2:47" s="95" customFormat="1" ht="18" customHeight="1">
      <c r="B45" s="909"/>
      <c r="C45" s="2124" t="s">
        <v>3438</v>
      </c>
      <c r="D45" s="1777"/>
      <c r="E45" s="1777"/>
      <c r="F45" s="1777"/>
      <c r="G45" s="1777"/>
      <c r="H45" s="1777"/>
      <c r="I45" s="1777"/>
      <c r="J45" s="1778"/>
      <c r="K45" s="1902">
        <f>SUMIFS(UnitsTbl[Total restricted units],UnitsTbl[Number of Bedrooms],5)</f>
        <v>0</v>
      </c>
      <c r="L45" s="1778"/>
      <c r="M45" s="3471" t="s">
        <v>3439</v>
      </c>
      <c r="N45" s="1777"/>
      <c r="O45" s="1777"/>
      <c r="P45" s="1777"/>
      <c r="Q45" s="1777"/>
      <c r="R45" s="1777"/>
      <c r="S45" s="1778"/>
      <c r="T45" s="3473">
        <f>SUMIFS('Unit Mix'!$AD$10:$AD$50,'Unit Mix'!$B$10:$B$50,5,'Unit Mix'!$C$10:$C$50,15%)+SUMIFS('Unit Mix'!$AD$10:$AD$50,'Unit Mix'!$B$10:$B$50,5,'Unit Mix'!$C$10:$C$50,20%)+SUMIFS('Unit Mix'!$AD$10:$AD$50,'Unit Mix'!$B$10:$B$50,5,'Unit Mix'!$C$10:$C$50,25%)+SUMIFS('Unit Mix'!$AD$10:$AD$50,'Unit Mix'!$B$10:$B$50,5,'Unit Mix'!$C$10:$C$50,30%)</f>
        <v>0</v>
      </c>
      <c r="U45" s="1778"/>
      <c r="V45" s="2124">
        <f>IF(T46=0,ROUNDDOWN($K$45*10%,0),ROUNDUP($K$45*10%,0))</f>
        <v>0</v>
      </c>
      <c r="W45" s="1778"/>
      <c r="X45" s="1902">
        <f>SUM($V$45:W45)</f>
        <v>0</v>
      </c>
      <c r="Y45" s="1778"/>
      <c r="Z45" s="1902">
        <f>MAX(0,$T$45-$V$45)</f>
        <v>0</v>
      </c>
      <c r="AA45" s="1778"/>
      <c r="AB45" s="1902">
        <f>SUM($T$45:T45)</f>
        <v>0</v>
      </c>
      <c r="AC45" s="1778"/>
      <c r="AD45" s="1902" t="b">
        <f>$AB$45&gt;=$X$45</f>
        <v>1</v>
      </c>
      <c r="AE45" s="1778"/>
      <c r="AM45" s="846"/>
      <c r="AO45" s="215"/>
    </row>
    <row r="46" spans="2:47" s="95" customFormat="1" ht="18" customHeight="1">
      <c r="B46" s="1642"/>
      <c r="C46" s="2018" t="s">
        <v>3440</v>
      </c>
      <c r="D46" s="1877"/>
      <c r="E46" s="1877"/>
      <c r="F46" s="1877"/>
      <c r="G46" s="1877"/>
      <c r="H46" s="1877"/>
      <c r="I46" s="1877"/>
      <c r="J46" s="1772"/>
      <c r="K46" s="3454">
        <f>SUMIFS(UnitsTbl[Total restricted units],UnitsTbl[Number of Bedrooms],4)</f>
        <v>0</v>
      </c>
      <c r="L46" s="1772"/>
      <c r="M46" s="3560" t="s">
        <v>3439</v>
      </c>
      <c r="N46" s="1877"/>
      <c r="O46" s="1877"/>
      <c r="P46" s="1877"/>
      <c r="Q46" s="1877"/>
      <c r="R46" s="1877"/>
      <c r="S46" s="1772"/>
      <c r="T46" s="3504">
        <f>SUMIFS('Unit Mix'!$AD$10:$AD$50,'Unit Mix'!$B$10:$B$50,4,'Unit Mix'!$C$10:$C$50,15%)+SUMIFS('Unit Mix'!$AD$10:$AD$50,'Unit Mix'!$B$10:$B$50,4,'Unit Mix'!$C$10:$C$50,20%)+SUMIFS('Unit Mix'!$AD$10:$AD$50,'Unit Mix'!$B$10:$B$50,4,'Unit Mix'!$C$10:$C$50,25%)+SUMIFS('Unit Mix'!$AD$10:$AD$50,'Unit Mix'!$B$10:$B$50,4,'Unit Mix'!$C$10:$C$50,30%)</f>
        <v>0</v>
      </c>
      <c r="U46" s="1772"/>
      <c r="V46" s="2018">
        <f>IF(T47=0,ROUNDDOWN($K$46*10%,0),ROUNDUP($K$46*10%,0))</f>
        <v>0</v>
      </c>
      <c r="W46" s="1772"/>
      <c r="X46" s="3454">
        <f>SUM($V$45:W46)</f>
        <v>0</v>
      </c>
      <c r="Y46" s="1772"/>
      <c r="Z46" s="3454">
        <f>MAX(0,$T$46-$V$46)</f>
        <v>0</v>
      </c>
      <c r="AA46" s="1772"/>
      <c r="AB46" s="3454">
        <f>SUM($T$45:U46)</f>
        <v>0</v>
      </c>
      <c r="AC46" s="1772"/>
      <c r="AD46" s="3454" t="b">
        <f>$AB$46&gt;=$X$46</f>
        <v>1</v>
      </c>
      <c r="AE46" s="1772"/>
      <c r="AM46" s="846"/>
      <c r="AO46" s="215"/>
    </row>
    <row r="47" spans="2:47" s="95" customFormat="1" ht="18" customHeight="1">
      <c r="B47" s="1642"/>
      <c r="C47" s="2124" t="s">
        <v>3441</v>
      </c>
      <c r="D47" s="1777"/>
      <c r="E47" s="1777"/>
      <c r="F47" s="1777"/>
      <c r="G47" s="1777"/>
      <c r="H47" s="1777"/>
      <c r="I47" s="1777"/>
      <c r="J47" s="1778"/>
      <c r="K47" s="1902">
        <f>SUMIFS(UnitsTbl[Total restricted units],UnitsTbl[Number of Bedrooms],3)</f>
        <v>0</v>
      </c>
      <c r="L47" s="1778"/>
      <c r="M47" s="3471" t="s">
        <v>3439</v>
      </c>
      <c r="N47" s="1777"/>
      <c r="O47" s="1777"/>
      <c r="P47" s="1777"/>
      <c r="Q47" s="1777"/>
      <c r="R47" s="1777"/>
      <c r="S47" s="1778"/>
      <c r="T47" s="3473">
        <f>SUMIFS('Unit Mix'!$AD$10:$AD$50,'Unit Mix'!$B$10:$B$50,3,'Unit Mix'!$C$10:$C$50,15%)+SUMIFS('Unit Mix'!$AD$10:$AD$50,'Unit Mix'!$B$10:$B$50,3,'Unit Mix'!$C$10:$C$50,20%)+SUMIFS('Unit Mix'!$AD$10:$AD$50,'Unit Mix'!$B$10:$B$50,3,'Unit Mix'!$C$10:$C$50,25%)+SUMIFS('Unit Mix'!$AD$10:$AD$50,'Unit Mix'!$B$10:$B$50,3,'Unit Mix'!$C$10:$C$50,30%)</f>
        <v>0</v>
      </c>
      <c r="U47" s="1778"/>
      <c r="V47" s="2124">
        <f>IF(T48=0,ROUNDDOWN($K$47*10%,0),ROUNDUP($K$47*10%,0))</f>
        <v>0</v>
      </c>
      <c r="W47" s="1778"/>
      <c r="X47" s="1902">
        <f>SUM($V$45:W47)</f>
        <v>0</v>
      </c>
      <c r="Y47" s="1778"/>
      <c r="Z47" s="1902">
        <f>MAX(0,$T$47-$V$47)</f>
        <v>0</v>
      </c>
      <c r="AA47" s="1778"/>
      <c r="AB47" s="1902">
        <f>SUM($T$45:U47)</f>
        <v>0</v>
      </c>
      <c r="AC47" s="1778"/>
      <c r="AD47" s="1902" t="b">
        <f>$AB$47&gt;=$X$47</f>
        <v>1</v>
      </c>
      <c r="AE47" s="1778"/>
      <c r="AM47" s="846"/>
      <c r="AO47" s="215"/>
    </row>
    <row r="48" spans="2:47" s="95" customFormat="1" ht="18" customHeight="1">
      <c r="B48" s="1642"/>
      <c r="C48" s="2124" t="s">
        <v>3442</v>
      </c>
      <c r="D48" s="1777"/>
      <c r="E48" s="1777"/>
      <c r="F48" s="1777"/>
      <c r="G48" s="1777"/>
      <c r="H48" s="1777"/>
      <c r="I48" s="1777"/>
      <c r="J48" s="1778"/>
      <c r="K48" s="1902">
        <f>SUMIFS(UnitsTbl[Total restricted units],UnitsTbl[Number of Bedrooms],2)</f>
        <v>0</v>
      </c>
      <c r="L48" s="1778"/>
      <c r="M48" s="3471" t="s">
        <v>3439</v>
      </c>
      <c r="N48" s="1777"/>
      <c r="O48" s="1777"/>
      <c r="P48" s="1777"/>
      <c r="Q48" s="1777"/>
      <c r="R48" s="1777"/>
      <c r="S48" s="1778"/>
      <c r="T48" s="3473">
        <f>SUMIFS('Unit Mix'!$AD$10:$AD$50,'Unit Mix'!$B$10:$B$50,2,'Unit Mix'!$C$10:$C$50,15%)+SUMIFS('Unit Mix'!$AD$10:$AD$50,'Unit Mix'!$B$10:$B$50,2,'Unit Mix'!$C$10:$C$50,20%)+SUMIFS('Unit Mix'!$AD$10:$AD$50,'Unit Mix'!$B$10:$B$50,2,'Unit Mix'!$C$10:$C$50,25%)+SUMIFS('Unit Mix'!$AD$10:$AD$50,'Unit Mix'!$B$10:$B$50,2,'Unit Mix'!$C$10:$C$50,30%)</f>
        <v>0</v>
      </c>
      <c r="U48" s="1778"/>
      <c r="V48" s="2124">
        <f>IF(T49=0,ROUNDDOWN($K$48*10%,0),ROUNDUP($K$48*10%,0))</f>
        <v>0</v>
      </c>
      <c r="W48" s="1778"/>
      <c r="X48" s="1902">
        <f>SUM($V$45:W48)</f>
        <v>0</v>
      </c>
      <c r="Y48" s="1778"/>
      <c r="Z48" s="1902">
        <f>MAX(0,$T$48-$V$48)</f>
        <v>0</v>
      </c>
      <c r="AA48" s="1778"/>
      <c r="AB48" s="1902">
        <f>SUM($T$45:U48)</f>
        <v>0</v>
      </c>
      <c r="AC48" s="1778"/>
      <c r="AD48" s="1902" t="b">
        <f>$AB$48&gt;=$X$48</f>
        <v>1</v>
      </c>
      <c r="AE48" s="1778"/>
      <c r="AM48" s="846"/>
      <c r="AO48" s="215"/>
    </row>
    <row r="49" spans="2:79" s="95" customFormat="1" ht="18" customHeight="1">
      <c r="B49" s="1642"/>
      <c r="C49" s="2124" t="s">
        <v>3443</v>
      </c>
      <c r="D49" s="1777"/>
      <c r="E49" s="1777"/>
      <c r="F49" s="1777"/>
      <c r="G49" s="1777"/>
      <c r="H49" s="1777"/>
      <c r="I49" s="1777"/>
      <c r="J49" s="1778"/>
      <c r="K49" s="1902">
        <f>SUMIFS(UnitsTbl[Total restricted units],UnitsTbl[Number of Bedrooms],1)</f>
        <v>0</v>
      </c>
      <c r="L49" s="1778"/>
      <c r="M49" s="3471" t="s">
        <v>3439</v>
      </c>
      <c r="N49" s="1777"/>
      <c r="O49" s="1777"/>
      <c r="P49" s="1777"/>
      <c r="Q49" s="1777"/>
      <c r="R49" s="1777"/>
      <c r="S49" s="1778"/>
      <c r="T49" s="3473">
        <f>SUMIFS('Unit Mix'!$AD$10:$AD$50,'Unit Mix'!$B$10:$B$50,1,'Unit Mix'!$C$10:$C$50,15%)+SUMIFS('Unit Mix'!$AD$10:$AD$50,'Unit Mix'!$B$10:$B$50,1,'Unit Mix'!$C$10:$C$50,20%)+SUMIFS('Unit Mix'!$AD$10:$AD$50,'Unit Mix'!$B$10:$B$50,1,'Unit Mix'!$C$10:$C$50,25%)+SUMIFS('Unit Mix'!$AD$10:$AD$50,'Unit Mix'!$B$10:$B$50,1,'Unit Mix'!$C$10:$C$50,30%)</f>
        <v>0</v>
      </c>
      <c r="U49" s="1778"/>
      <c r="V49" s="2124">
        <f>IF(T50=0,ROUNDDOWN($K$49*10%,0),ROUNDUP($K$49*10%,0))</f>
        <v>0</v>
      </c>
      <c r="W49" s="1778"/>
      <c r="X49" s="1902">
        <f>SUM($V$45:W49)</f>
        <v>0</v>
      </c>
      <c r="Y49" s="1778"/>
      <c r="Z49" s="1902">
        <f>MAX(0,$T$49-$V$49)</f>
        <v>0</v>
      </c>
      <c r="AA49" s="1778"/>
      <c r="AB49" s="1902">
        <f>SUM($T$45:U49)</f>
        <v>0</v>
      </c>
      <c r="AC49" s="1778"/>
      <c r="AD49" s="1902" t="b">
        <f>$AB$49&gt;=$X$49</f>
        <v>1</v>
      </c>
      <c r="AE49" s="1778"/>
      <c r="AM49" s="846"/>
    </row>
    <row r="50" spans="2:79" s="95" customFormat="1" ht="18" customHeight="1">
      <c r="B50" s="1642"/>
      <c r="C50" s="2124" t="s">
        <v>3444</v>
      </c>
      <c r="D50" s="1777"/>
      <c r="E50" s="1777"/>
      <c r="F50" s="1777"/>
      <c r="G50" s="1777"/>
      <c r="H50" s="1777"/>
      <c r="I50" s="1777"/>
      <c r="J50" s="1778"/>
      <c r="K50" s="1902">
        <f>SUMIFS(UnitsTbl[Total restricted units],UnitsTbl[Number of Bedrooms],0)</f>
        <v>0</v>
      </c>
      <c r="L50" s="1778"/>
      <c r="M50" s="3471" t="s">
        <v>3439</v>
      </c>
      <c r="N50" s="1777"/>
      <c r="O50" s="1777"/>
      <c r="P50" s="1777"/>
      <c r="Q50" s="1777"/>
      <c r="R50" s="1777"/>
      <c r="S50" s="1778"/>
      <c r="T50" s="3473">
        <f>SUMIFS('Unit Mix'!$AD$10:$AD$50,'Unit Mix'!$B$10:$B$50,0,'Unit Mix'!$C$10:$C$50,15%)+SUMIFS('Unit Mix'!$AD$10:$AD$50,'Unit Mix'!$B$10:$B$50,0,'Unit Mix'!$C$10:$C$50,20%)+SUMIFS('Unit Mix'!$AD$10:$AD$50,'Unit Mix'!$B$10:$B$50,0,'Unit Mix'!$C$10:$C$50,25%)+SUMIFS('Unit Mix'!$AD$10:$AD$50,'Unit Mix'!$B$10:$B$50,0,'Unit Mix'!$C$10:$C$50,30%)</f>
        <v>0</v>
      </c>
      <c r="U50" s="1778"/>
      <c r="V50" s="2124">
        <f>ROUNDDOWN($K$50*10%,0)</f>
        <v>0</v>
      </c>
      <c r="W50" s="1778"/>
      <c r="X50" s="1902">
        <f>SUM($V$45:W50)</f>
        <v>0</v>
      </c>
      <c r="Y50" s="1778"/>
      <c r="Z50" s="1902">
        <f>MAX(0,$T$50-$V$50)</f>
        <v>0</v>
      </c>
      <c r="AA50" s="1778"/>
      <c r="AB50" s="1902">
        <f>SUM($T$45:U50)</f>
        <v>0</v>
      </c>
      <c r="AC50" s="1778"/>
      <c r="AD50" s="1902" t="b">
        <f>$AB$50&gt;=$X$50</f>
        <v>1</v>
      </c>
      <c r="AE50" s="1778"/>
      <c r="AM50" s="846"/>
    </row>
    <row r="51" spans="2:79" s="95" customFormat="1" ht="36" customHeight="1">
      <c r="B51" s="1642"/>
      <c r="C51" s="3471" t="s">
        <v>3445</v>
      </c>
      <c r="D51" s="1777"/>
      <c r="E51" s="1777"/>
      <c r="F51" s="1777"/>
      <c r="G51" s="1777"/>
      <c r="H51" s="1777"/>
      <c r="I51" s="1777"/>
      <c r="J51" s="1778"/>
      <c r="K51" s="3474">
        <f>SUM(K45:L50)</f>
        <v>0</v>
      </c>
      <c r="L51" s="1778"/>
      <c r="M51" s="3471" t="s">
        <v>3446</v>
      </c>
      <c r="N51" s="1777"/>
      <c r="O51" s="1777"/>
      <c r="P51" s="1777"/>
      <c r="Q51" s="1777"/>
      <c r="R51" s="1777"/>
      <c r="S51" s="1778"/>
      <c r="T51" s="1902">
        <f>SUM($T$45:$U$50)</f>
        <v>0</v>
      </c>
      <c r="U51" s="1778"/>
      <c r="V51" s="3603" t="s">
        <v>3447</v>
      </c>
      <c r="W51" s="1777"/>
      <c r="X51" s="1777"/>
      <c r="Y51" s="1777"/>
      <c r="Z51" s="1777"/>
      <c r="AA51" s="1777"/>
      <c r="AB51" s="1777"/>
      <c r="AC51" s="1778"/>
      <c r="AD51" s="1902" t="b">
        <f>AND($AD$45:$AE$50)</f>
        <v>1</v>
      </c>
      <c r="AE51" s="1778"/>
      <c r="AM51" s="846"/>
      <c r="AO51" s="55"/>
      <c r="AS51" s="3723"/>
      <c r="AT51" s="3723"/>
      <c r="AU51" s="3723"/>
      <c r="AV51" s="3723"/>
      <c r="AW51" s="3723"/>
    </row>
    <row r="52" spans="2:79" s="95" customFormat="1" ht="18" customHeight="1">
      <c r="B52" s="808"/>
      <c r="C52" s="1748"/>
      <c r="D52" s="1748"/>
      <c r="E52" s="1748"/>
      <c r="F52" s="1748"/>
      <c r="G52" s="1748"/>
      <c r="H52" s="1748"/>
      <c r="I52" s="1748"/>
      <c r="J52" s="1427"/>
      <c r="K52" s="1427"/>
      <c r="L52" s="1427"/>
      <c r="M52" s="1427"/>
      <c r="N52" s="1427"/>
      <c r="O52" s="1427"/>
      <c r="P52" s="1427"/>
      <c r="Q52" s="1427"/>
      <c r="R52" s="1427"/>
      <c r="S52" s="1427"/>
      <c r="T52" s="1427"/>
      <c r="U52" s="1427"/>
      <c r="V52" s="1427"/>
      <c r="W52" s="1427"/>
      <c r="X52" s="1427"/>
      <c r="Y52" s="1427"/>
      <c r="Z52" s="1427"/>
      <c r="AA52" s="1427"/>
      <c r="AB52" s="1748"/>
      <c r="AC52" s="1748"/>
      <c r="AD52" s="1748"/>
      <c r="AE52" s="1748"/>
      <c r="AF52" s="1748"/>
      <c r="AG52" s="1748"/>
      <c r="AH52" s="1748"/>
      <c r="AI52" s="1748"/>
      <c r="AJ52" s="1748"/>
      <c r="AK52" s="1748"/>
      <c r="AL52" s="1748"/>
      <c r="AM52" s="1478"/>
      <c r="AS52" s="3723"/>
      <c r="AT52" s="3723"/>
      <c r="AU52" s="3723"/>
      <c r="AV52" s="3723"/>
      <c r="AW52" s="3723"/>
    </row>
    <row r="53" spans="2:79" ht="18" customHeight="1">
      <c r="AN53" s="1752"/>
      <c r="AP53" s="177"/>
      <c r="AQ53" s="119"/>
    </row>
    <row r="54" spans="2:79" ht="18" customHeight="1">
      <c r="B54" s="356"/>
      <c r="C54" s="1424" t="s">
        <v>3448</v>
      </c>
      <c r="D54" s="3514" t="s">
        <v>3449</v>
      </c>
      <c r="E54" s="1953"/>
      <c r="F54" s="1953"/>
      <c r="G54" s="1953"/>
      <c r="H54" s="1953"/>
      <c r="I54" s="1953"/>
      <c r="J54" s="1953"/>
      <c r="K54" s="1953"/>
      <c r="L54" s="1953"/>
      <c r="M54" s="1953"/>
      <c r="N54" s="1953"/>
      <c r="O54" s="1953"/>
      <c r="P54" s="1953"/>
      <c r="Q54" s="1953"/>
      <c r="R54" s="1953"/>
      <c r="S54" s="1953"/>
      <c r="T54" s="1953"/>
      <c r="U54" s="1953"/>
      <c r="V54" s="1953"/>
      <c r="W54" s="1953"/>
      <c r="X54" s="1953"/>
      <c r="Y54" s="1953"/>
      <c r="Z54" s="1953"/>
      <c r="AA54" s="1953"/>
      <c r="AB54" s="1953"/>
      <c r="AC54" s="1953"/>
      <c r="AD54" s="1953"/>
      <c r="AE54" s="1953"/>
      <c r="AF54" s="1953"/>
      <c r="AG54" s="1953"/>
      <c r="AH54" s="1953"/>
      <c r="AI54" s="1953"/>
      <c r="AJ54" s="1953"/>
      <c r="AK54" s="1770"/>
      <c r="AL54" s="3591">
        <f>IF(AL57="",0,MIN(AL57,20))</f>
        <v>0</v>
      </c>
      <c r="AM54" s="3563"/>
      <c r="AN54" s="3707"/>
      <c r="AO54" s="3708"/>
      <c r="AP54" s="3708"/>
      <c r="AQ54" s="3708"/>
    </row>
    <row r="55" spans="2:79" ht="18" customHeight="1">
      <c r="B55" s="1644"/>
      <c r="C55" s="3662"/>
      <c r="D55" s="1910"/>
      <c r="E55" s="1910"/>
      <c r="F55" s="1910"/>
      <c r="G55" s="1910"/>
      <c r="H55" s="1910"/>
      <c r="I55" s="1910"/>
      <c r="J55" s="1910"/>
      <c r="K55" s="1910"/>
      <c r="L55" s="1910"/>
      <c r="M55" s="1910"/>
      <c r="N55" s="1910"/>
      <c r="O55" s="1910"/>
      <c r="P55" s="1910"/>
      <c r="Q55" s="1910"/>
      <c r="R55" s="1910"/>
      <c r="S55" s="1910"/>
      <c r="T55" s="1910"/>
      <c r="U55" s="1910"/>
      <c r="V55" s="1910"/>
      <c r="W55" s="1910"/>
      <c r="X55" s="1910"/>
      <c r="Y55" s="1910"/>
      <c r="Z55" s="1910"/>
      <c r="AA55" s="1910"/>
      <c r="AB55" s="1910"/>
      <c r="AC55" s="1910"/>
      <c r="AD55" s="1910"/>
      <c r="AE55" s="1910"/>
      <c r="AF55" s="1910"/>
      <c r="AG55" s="1910"/>
      <c r="AH55" s="1910"/>
      <c r="AI55" s="1910"/>
      <c r="AJ55" s="1910"/>
      <c r="AK55" s="1910"/>
      <c r="AL55" s="95"/>
      <c r="AM55" s="846"/>
      <c r="AN55" s="1560"/>
      <c r="AO55" s="1552"/>
      <c r="AP55" s="1552"/>
      <c r="AQ55" s="1552"/>
      <c r="AR55" s="1552"/>
      <c r="AS55" s="1552"/>
      <c r="AT55" s="230"/>
      <c r="AU55" s="230"/>
      <c r="AV55" s="230"/>
      <c r="AW55" s="230"/>
      <c r="AX55" s="230"/>
      <c r="AY55" s="230"/>
      <c r="AZ55" s="230"/>
      <c r="BA55" s="230"/>
      <c r="BB55" s="230"/>
      <c r="BC55" s="230"/>
      <c r="BD55" s="230"/>
      <c r="BE55" s="230"/>
      <c r="BF55" s="230"/>
      <c r="BG55" s="230"/>
      <c r="BH55" s="230"/>
      <c r="BI55" s="230"/>
      <c r="BJ55" s="230"/>
      <c r="BK55" s="230"/>
      <c r="BL55" s="230"/>
      <c r="BM55" s="230"/>
      <c r="BN55" s="230"/>
      <c r="BO55" s="230"/>
      <c r="BP55" s="230"/>
      <c r="BQ55" s="230"/>
      <c r="BR55" s="230"/>
      <c r="BS55" s="230"/>
      <c r="BT55" s="230"/>
      <c r="BU55" s="230"/>
      <c r="BV55" s="230"/>
      <c r="BW55" s="230"/>
      <c r="BX55" s="230"/>
      <c r="BY55" s="230"/>
      <c r="BZ55" s="230"/>
      <c r="CA55" s="230"/>
    </row>
    <row r="56" spans="2:79" s="95" customFormat="1" ht="18" customHeight="1">
      <c r="B56" s="1642"/>
      <c r="AM56" s="846"/>
      <c r="AO56" s="885" t="s">
        <v>3450</v>
      </c>
      <c r="AP56" s="885" t="s">
        <v>3451</v>
      </c>
      <c r="AQ56" s="885" t="s">
        <v>3452</v>
      </c>
      <c r="AR56" s="885" t="s">
        <v>3453</v>
      </c>
    </row>
    <row r="57" spans="2:79" s="95" customFormat="1" ht="18" customHeight="1">
      <c r="B57" s="1642"/>
      <c r="D57" s="1495" t="s">
        <v>2151</v>
      </c>
      <c r="E57" s="3554" t="s">
        <v>3454</v>
      </c>
      <c r="F57" s="1888"/>
      <c r="G57" s="1888"/>
      <c r="H57" s="1888"/>
      <c r="I57" s="1888"/>
      <c r="J57" s="1888"/>
      <c r="K57" s="1888"/>
      <c r="L57" s="1888"/>
      <c r="M57" s="1888"/>
      <c r="N57" s="1888"/>
      <c r="O57" s="1888"/>
      <c r="P57" s="1888"/>
      <c r="Q57" s="1888"/>
      <c r="R57" s="1888"/>
      <c r="S57" s="1888"/>
      <c r="T57" s="1888"/>
      <c r="U57" s="1888"/>
      <c r="V57" s="1888"/>
      <c r="W57" s="1888"/>
      <c r="X57" s="1888"/>
      <c r="Y57" s="1888"/>
      <c r="Z57" s="1888"/>
      <c r="AA57" s="1888"/>
      <c r="AB57" s="1888"/>
      <c r="AC57" s="1888"/>
      <c r="AD57" s="1888"/>
      <c r="AE57" s="1888"/>
      <c r="AF57" s="1888"/>
      <c r="AG57" s="1888"/>
      <c r="AH57" s="1888"/>
      <c r="AI57" s="1888"/>
      <c r="AJ57" s="1888"/>
      <c r="AK57" s="1888"/>
      <c r="AL57" s="3598" t="str">
        <f>IF(AD60="","",IFERROR(MAX(0,20-19.99*(AD60/250000)),""))</f>
        <v/>
      </c>
      <c r="AM57" s="3599"/>
      <c r="AO57" s="886">
        <v>0</v>
      </c>
      <c r="AP57" s="887">
        <v>0.9</v>
      </c>
      <c r="AQ57" s="886">
        <f>SUMIFS(UnitsTbl[Total restricted units],UnitsTbl[Number of Bedrooms],AO57,UnitsTbl[Restricted Income Level],"&lt;=80%")</f>
        <v>0</v>
      </c>
      <c r="AR57" s="886">
        <f>AQ57*AP57</f>
        <v>0</v>
      </c>
    </row>
    <row r="58" spans="2:79" s="95" customFormat="1" ht="60.6" customHeight="1">
      <c r="B58" s="1642"/>
      <c r="E58" s="1802" t="s">
        <v>3455</v>
      </c>
      <c r="F58" s="3568"/>
      <c r="G58" s="3568"/>
      <c r="H58" s="3568"/>
      <c r="I58" s="3568"/>
      <c r="J58" s="3568"/>
      <c r="K58" s="3568"/>
      <c r="L58" s="3568"/>
      <c r="M58" s="3568"/>
      <c r="N58" s="3568"/>
      <c r="O58" s="3568"/>
      <c r="P58" s="3568"/>
      <c r="Q58" s="3568"/>
      <c r="R58" s="3568"/>
      <c r="S58" s="3568"/>
      <c r="T58" s="3568"/>
      <c r="U58" s="3568"/>
      <c r="V58" s="3568"/>
      <c r="W58" s="3568"/>
      <c r="X58" s="3568"/>
      <c r="Y58" s="3568"/>
      <c r="Z58" s="3568"/>
      <c r="AA58" s="3568"/>
      <c r="AB58" s="3568"/>
      <c r="AC58" s="3568"/>
      <c r="AD58" s="3568"/>
      <c r="AE58" s="3568"/>
      <c r="AF58" s="3568"/>
      <c r="AG58" s="3568"/>
      <c r="AH58" s="3568"/>
      <c r="AI58" s="3568"/>
      <c r="AJ58" s="3568"/>
      <c r="AK58" s="3568"/>
      <c r="AM58" s="846"/>
      <c r="AO58" s="886">
        <v>1</v>
      </c>
      <c r="AP58" s="887">
        <v>1</v>
      </c>
      <c r="AQ58" s="886">
        <f>SUMIFS(UnitsTbl[Total restricted units],UnitsTbl[Number of Bedrooms],AO58,UnitsTbl[Restricted Income Level],"&lt;=80%")</f>
        <v>0</v>
      </c>
      <c r="AR58" s="886">
        <f t="shared" ref="AR58:AR61" si="0">AQ58*AP58</f>
        <v>0</v>
      </c>
    </row>
    <row r="59" spans="2:79" s="95" customFormat="1" ht="33" customHeight="1">
      <c r="B59" s="1642"/>
      <c r="C59" s="3633" t="s">
        <v>3456</v>
      </c>
      <c r="D59" s="3633"/>
      <c r="E59" s="3633"/>
      <c r="F59" s="3633"/>
      <c r="G59" s="3633"/>
      <c r="H59" s="3633"/>
      <c r="I59" s="3633"/>
      <c r="J59" s="3633"/>
      <c r="K59" s="3633"/>
      <c r="L59" s="3633"/>
      <c r="M59" s="3663" t="s">
        <v>3457</v>
      </c>
      <c r="N59" s="3663"/>
      <c r="O59" s="3663"/>
      <c r="P59" s="3663"/>
      <c r="Q59" s="3663"/>
      <c r="R59" s="3663"/>
      <c r="S59" s="3663"/>
      <c r="T59" s="3663"/>
      <c r="U59" s="3663"/>
      <c r="V59" s="3663"/>
      <c r="W59" s="3663"/>
      <c r="X59" s="3663"/>
      <c r="Y59" s="3663"/>
      <c r="Z59" s="3663"/>
      <c r="AA59" s="3663"/>
      <c r="AB59" s="3663"/>
      <c r="AD59" s="3525" t="s">
        <v>3458</v>
      </c>
      <c r="AE59" s="3526"/>
      <c r="AF59" s="3526"/>
      <c r="AG59" s="3526"/>
      <c r="AH59" s="3526"/>
      <c r="AI59" s="3526"/>
      <c r="AJ59" s="3527"/>
      <c r="AM59" s="846"/>
      <c r="AO59" s="886">
        <v>2</v>
      </c>
      <c r="AP59" s="887">
        <v>1.25</v>
      </c>
      <c r="AQ59" s="886">
        <f>SUMIFS(UnitsTbl[Total restricted units],UnitsTbl[Number of Bedrooms],AO59,UnitsTbl[Restricted Income Level],"&lt;=80%")</f>
        <v>0</v>
      </c>
      <c r="AR59" s="886">
        <f t="shared" si="0"/>
        <v>0</v>
      </c>
    </row>
    <row r="60" spans="2:79" s="95" customFormat="1" ht="18" customHeight="1">
      <c r="B60" s="1642"/>
      <c r="C60" s="3633"/>
      <c r="D60" s="3633"/>
      <c r="E60" s="3633"/>
      <c r="F60" s="3633"/>
      <c r="G60" s="3633"/>
      <c r="H60" s="3633"/>
      <c r="I60" s="3633"/>
      <c r="J60" s="3633"/>
      <c r="K60" s="3633"/>
      <c r="L60" s="3633"/>
      <c r="M60" s="3663"/>
      <c r="N60" s="3663"/>
      <c r="O60" s="3663"/>
      <c r="P60" s="3663"/>
      <c r="Q60" s="3663"/>
      <c r="R60" s="3663"/>
      <c r="S60" s="3663"/>
      <c r="T60" s="3663"/>
      <c r="U60" s="3663"/>
      <c r="V60" s="3663"/>
      <c r="W60" s="3663"/>
      <c r="X60" s="3663"/>
      <c r="Y60" s="3663"/>
      <c r="Z60" s="3663"/>
      <c r="AA60" s="3663"/>
      <c r="AB60" s="3663"/>
      <c r="AD60" s="3510" t="str">
        <f>IFERROR('Gap Eligibility'!B24/AB69, "")</f>
        <v/>
      </c>
      <c r="AE60" s="3511"/>
      <c r="AF60" s="3511"/>
      <c r="AG60" s="3511"/>
      <c r="AH60" s="3511"/>
      <c r="AI60" s="3511"/>
      <c r="AJ60" s="3512"/>
      <c r="AM60" s="846"/>
      <c r="AO60" s="886">
        <v>3</v>
      </c>
      <c r="AP60" s="887">
        <v>1.5</v>
      </c>
      <c r="AQ60" s="886">
        <f>SUMIFS(UnitsTbl[Total restricted units],UnitsTbl[Number of Bedrooms],AO60,UnitsTbl[Restricted Income Level],"&lt;=80%")</f>
        <v>0</v>
      </c>
      <c r="AR60" s="886">
        <f t="shared" si="0"/>
        <v>0</v>
      </c>
    </row>
    <row r="61" spans="2:79" s="95" customFormat="1" ht="16.5" customHeight="1" thickBot="1">
      <c r="B61" s="1642"/>
      <c r="D61" s="1494"/>
      <c r="E61" s="1494"/>
      <c r="F61" s="1494"/>
      <c r="G61" s="1494"/>
      <c r="H61" s="1494"/>
      <c r="I61" s="1494"/>
      <c r="J61" s="1494"/>
      <c r="K61" s="1494"/>
      <c r="L61" s="1494"/>
      <c r="AD61" s="845"/>
      <c r="AE61" s="845"/>
      <c r="AF61" s="845"/>
      <c r="AG61" s="845"/>
      <c r="AH61" s="845"/>
      <c r="AI61" s="845"/>
      <c r="AJ61" s="845"/>
      <c r="AM61" s="846"/>
      <c r="AO61" s="886">
        <v>4</v>
      </c>
      <c r="AP61" s="887">
        <v>1.75</v>
      </c>
      <c r="AQ61" s="886">
        <f>SUMIFS(UnitsTbl[Total restricted units],UnitsTbl[Number of Bedrooms],AO61,UnitsTbl[Restricted Income Level],"&lt;=80%")</f>
        <v>0</v>
      </c>
      <c r="AR61" s="886">
        <f t="shared" si="0"/>
        <v>0</v>
      </c>
    </row>
    <row r="62" spans="2:79" s="95" customFormat="1" ht="48.6" customHeight="1" thickBot="1">
      <c r="B62" s="1642"/>
      <c r="H62" s="3664" t="s">
        <v>3459</v>
      </c>
      <c r="I62" s="3664"/>
      <c r="J62" s="3664"/>
      <c r="K62" s="3664"/>
      <c r="L62" s="3664"/>
      <c r="M62" s="3664"/>
      <c r="N62" s="3664"/>
      <c r="O62" s="3664"/>
      <c r="P62" s="3664"/>
      <c r="Q62" s="3664"/>
      <c r="R62" s="3664"/>
      <c r="S62" s="3664"/>
      <c r="T62" s="3664"/>
      <c r="U62" s="3664"/>
      <c r="V62" s="3664"/>
      <c r="W62" s="3664"/>
      <c r="X62" s="3664"/>
      <c r="Y62" s="3664"/>
      <c r="Z62" s="3664"/>
      <c r="AA62" s="3664"/>
      <c r="AB62" s="3664"/>
      <c r="AC62" s="3664"/>
      <c r="AD62" s="3664"/>
      <c r="AM62" s="846"/>
      <c r="AO62" s="3730" t="s">
        <v>3460</v>
      </c>
      <c r="AP62" s="3731"/>
      <c r="AQ62" s="888">
        <f>SUM(AQ57:AQ61)</f>
        <v>0</v>
      </c>
      <c r="AR62" s="889">
        <f>SUM(AR57:AR61)</f>
        <v>0</v>
      </c>
    </row>
    <row r="63" spans="2:79" s="95" customFormat="1" ht="22.5" customHeight="1">
      <c r="B63" s="911"/>
      <c r="C63"/>
      <c r="D63" s="3445" t="s">
        <v>1465</v>
      </c>
      <c r="E63" s="3446"/>
      <c r="F63" s="3446"/>
      <c r="G63" s="3446"/>
      <c r="H63" s="3446"/>
      <c r="I63" s="3446"/>
      <c r="J63" s="3446"/>
      <c r="K63" s="3447"/>
      <c r="L63" s="3640" t="s">
        <v>3461</v>
      </c>
      <c r="M63" s="3641"/>
      <c r="N63" s="3641"/>
      <c r="O63" s="3641"/>
      <c r="P63" s="3641"/>
      <c r="Q63" s="3641"/>
      <c r="R63" s="3641"/>
      <c r="S63" s="3642"/>
      <c r="T63" s="3500" t="s">
        <v>3452</v>
      </c>
      <c r="U63" s="3501"/>
      <c r="V63" s="3501"/>
      <c r="W63" s="3501"/>
      <c r="X63" s="3501"/>
      <c r="Y63" s="3501"/>
      <c r="Z63" s="3501"/>
      <c r="AA63" s="3502"/>
      <c r="AB63" s="3500" t="s">
        <v>3462</v>
      </c>
      <c r="AC63" s="3501"/>
      <c r="AD63" s="3501"/>
      <c r="AE63" s="3501"/>
      <c r="AF63" s="3501"/>
      <c r="AG63" s="3501"/>
      <c r="AH63" s="3501"/>
      <c r="AI63" s="3502"/>
      <c r="AJ63" s="213"/>
      <c r="AK63" s="58"/>
      <c r="AL63" s="914"/>
      <c r="AM63" s="1641"/>
    </row>
    <row r="64" spans="2:79" s="95" customFormat="1" ht="22.5" customHeight="1">
      <c r="B64" s="1642"/>
      <c r="D64" s="3565" t="s">
        <v>3463</v>
      </c>
      <c r="E64" s="3566"/>
      <c r="F64" s="3566"/>
      <c r="G64" s="3566"/>
      <c r="H64" s="3566"/>
      <c r="I64" s="3566"/>
      <c r="J64" s="3566"/>
      <c r="K64" s="3567"/>
      <c r="L64" s="3482">
        <v>0.9</v>
      </c>
      <c r="M64" s="3483"/>
      <c r="N64" s="3483"/>
      <c r="O64" s="3483"/>
      <c r="P64" s="3483"/>
      <c r="Q64" s="3483"/>
      <c r="R64" s="3483"/>
      <c r="S64" s="3484"/>
      <c r="T64" s="3482">
        <f>SUMIFS(UnitsTbl[Total restricted units],UnitsTbl[Number of Bedrooms],AO57,UnitsTbl[Restricted Income Level],"&lt;=80%")</f>
        <v>0</v>
      </c>
      <c r="U64" s="3483"/>
      <c r="V64" s="3483"/>
      <c r="W64" s="3483"/>
      <c r="X64" s="3483"/>
      <c r="Y64" s="3483"/>
      <c r="Z64" s="3483"/>
      <c r="AA64" s="3484"/>
      <c r="AB64" s="3482">
        <f>L64*T64</f>
        <v>0</v>
      </c>
      <c r="AC64" s="3483"/>
      <c r="AD64" s="3483"/>
      <c r="AE64" s="3483"/>
      <c r="AF64" s="3483"/>
      <c r="AG64" s="3483"/>
      <c r="AH64" s="3483"/>
      <c r="AI64" s="3484"/>
      <c r="AJ64" s="1642"/>
      <c r="AM64" s="846"/>
    </row>
    <row r="65" spans="2:43" s="95" customFormat="1" ht="22.5" customHeight="1">
      <c r="B65" s="1642"/>
      <c r="D65" s="3565" t="s">
        <v>3464</v>
      </c>
      <c r="E65" s="3566"/>
      <c r="F65" s="3566"/>
      <c r="G65" s="3566"/>
      <c r="H65" s="3566"/>
      <c r="I65" s="3566"/>
      <c r="J65" s="3566"/>
      <c r="K65" s="3567"/>
      <c r="L65" s="3482">
        <v>1</v>
      </c>
      <c r="M65" s="3483"/>
      <c r="N65" s="3483"/>
      <c r="O65" s="3483"/>
      <c r="P65" s="3483"/>
      <c r="Q65" s="3483"/>
      <c r="R65" s="3483"/>
      <c r="S65" s="3484"/>
      <c r="T65" s="3482">
        <f>SUMIFS(UnitsTbl[Total restricted units],UnitsTbl[Number of Bedrooms],AO58,UnitsTbl[Restricted Income Level],"&lt;=80%")</f>
        <v>0</v>
      </c>
      <c r="U65" s="3483"/>
      <c r="V65" s="3483"/>
      <c r="W65" s="3483"/>
      <c r="X65" s="3483"/>
      <c r="Y65" s="3483"/>
      <c r="Z65" s="3483"/>
      <c r="AA65" s="3484"/>
      <c r="AB65" s="3482">
        <f>L65*T65</f>
        <v>0</v>
      </c>
      <c r="AC65" s="3483"/>
      <c r="AD65" s="3483"/>
      <c r="AE65" s="3483"/>
      <c r="AF65" s="3483"/>
      <c r="AG65" s="3483"/>
      <c r="AH65" s="3483"/>
      <c r="AI65" s="3484"/>
      <c r="AJ65" s="1642"/>
      <c r="AM65" s="846"/>
    </row>
    <row r="66" spans="2:43" s="95" customFormat="1" ht="22.5" customHeight="1">
      <c r="B66" s="1642"/>
      <c r="D66" s="3565" t="s">
        <v>3465</v>
      </c>
      <c r="E66" s="3566"/>
      <c r="F66" s="3566"/>
      <c r="G66" s="3566"/>
      <c r="H66" s="3566"/>
      <c r="I66" s="3566"/>
      <c r="J66" s="3566"/>
      <c r="K66" s="3567"/>
      <c r="L66" s="3482">
        <v>1.25</v>
      </c>
      <c r="M66" s="3483"/>
      <c r="N66" s="3483"/>
      <c r="O66" s="3483"/>
      <c r="P66" s="3483"/>
      <c r="Q66" s="3483"/>
      <c r="R66" s="3483"/>
      <c r="S66" s="3484"/>
      <c r="T66" s="3482">
        <f>SUMIFS(UnitsTbl[Total restricted units],UnitsTbl[Number of Bedrooms],AO59,UnitsTbl[Restricted Income Level],"&lt;=80%")</f>
        <v>0</v>
      </c>
      <c r="U66" s="3483"/>
      <c r="V66" s="3483"/>
      <c r="W66" s="3483"/>
      <c r="X66" s="3483"/>
      <c r="Y66" s="3483"/>
      <c r="Z66" s="3483"/>
      <c r="AA66" s="3484"/>
      <c r="AB66" s="3482">
        <f>L66*T66</f>
        <v>0</v>
      </c>
      <c r="AC66" s="3483"/>
      <c r="AD66" s="3483"/>
      <c r="AE66" s="3483"/>
      <c r="AF66" s="3483"/>
      <c r="AG66" s="3483"/>
      <c r="AH66" s="3483"/>
      <c r="AI66" s="3484"/>
      <c r="AJ66" s="1642"/>
      <c r="AM66" s="846"/>
    </row>
    <row r="67" spans="2:43" s="95" customFormat="1" ht="22.5" customHeight="1">
      <c r="B67" s="1642"/>
      <c r="D67" s="3565" t="s">
        <v>3466</v>
      </c>
      <c r="E67" s="3566"/>
      <c r="F67" s="3566"/>
      <c r="G67" s="3566"/>
      <c r="H67" s="3566"/>
      <c r="I67" s="3566"/>
      <c r="J67" s="3566"/>
      <c r="K67" s="3567"/>
      <c r="L67" s="3482">
        <v>1.5</v>
      </c>
      <c r="M67" s="3483"/>
      <c r="N67" s="3483"/>
      <c r="O67" s="3483"/>
      <c r="P67" s="3483"/>
      <c r="Q67" s="3483"/>
      <c r="R67" s="3483"/>
      <c r="S67" s="3484"/>
      <c r="T67" s="3482">
        <f>SUMIFS(UnitsTbl[Total restricted units],UnitsTbl[Number of Bedrooms],AO60,UnitsTbl[Restricted Income Level],"&lt;=80%")</f>
        <v>0</v>
      </c>
      <c r="U67" s="3483"/>
      <c r="V67" s="3483"/>
      <c r="W67" s="3483"/>
      <c r="X67" s="3483"/>
      <c r="Y67" s="3483"/>
      <c r="Z67" s="3483"/>
      <c r="AA67" s="3484"/>
      <c r="AB67" s="3482">
        <f>L67*T67</f>
        <v>0</v>
      </c>
      <c r="AC67" s="3483"/>
      <c r="AD67" s="3483"/>
      <c r="AE67" s="3483"/>
      <c r="AF67" s="3483"/>
      <c r="AG67" s="3483"/>
      <c r="AH67" s="3483"/>
      <c r="AI67" s="3484"/>
      <c r="AJ67" s="1642"/>
      <c r="AM67" s="846"/>
    </row>
    <row r="68" spans="2:43" s="95" customFormat="1" ht="22.5" customHeight="1" thickBot="1">
      <c r="B68" s="1642"/>
      <c r="D68" s="3465" t="s">
        <v>3467</v>
      </c>
      <c r="E68" s="3466"/>
      <c r="F68" s="3466"/>
      <c r="G68" s="3466"/>
      <c r="H68" s="3466"/>
      <c r="I68" s="3466"/>
      <c r="J68" s="3466"/>
      <c r="K68" s="3467"/>
      <c r="L68" s="3497">
        <v>1.75</v>
      </c>
      <c r="M68" s="3498"/>
      <c r="N68" s="3498"/>
      <c r="O68" s="3498"/>
      <c r="P68" s="3498"/>
      <c r="Q68" s="3498"/>
      <c r="R68" s="3498"/>
      <c r="S68" s="3499"/>
      <c r="T68" s="3497">
        <f>SUMIFS(UnitsTbl[Total restricted units],UnitsTbl[Number of Bedrooms],AO61,UnitsTbl[Restricted Income Level],"&lt;=80%")</f>
        <v>0</v>
      </c>
      <c r="U68" s="3498"/>
      <c r="V68" s="3498"/>
      <c r="W68" s="3498"/>
      <c r="X68" s="3498"/>
      <c r="Y68" s="3498"/>
      <c r="Z68" s="3498"/>
      <c r="AA68" s="3499"/>
      <c r="AB68" s="3497">
        <f>L68*T68</f>
        <v>0</v>
      </c>
      <c r="AC68" s="3498"/>
      <c r="AD68" s="3498"/>
      <c r="AE68" s="3498"/>
      <c r="AF68" s="3498"/>
      <c r="AG68" s="3498"/>
      <c r="AH68" s="3498"/>
      <c r="AI68" s="3499"/>
      <c r="AJ68" s="1642"/>
      <c r="AM68" s="846"/>
    </row>
    <row r="69" spans="2:43" s="95" customFormat="1" ht="22.5" customHeight="1" thickTop="1">
      <c r="B69" s="1642"/>
      <c r="D69" s="3468" t="s">
        <v>3468</v>
      </c>
      <c r="E69" s="3469"/>
      <c r="F69" s="3469"/>
      <c r="G69" s="3469"/>
      <c r="H69" s="3469"/>
      <c r="I69" s="3469"/>
      <c r="J69" s="3469"/>
      <c r="K69" s="3469"/>
      <c r="L69" s="3469"/>
      <c r="M69" s="3469"/>
      <c r="N69" s="3469"/>
      <c r="O69" s="3469"/>
      <c r="P69" s="3469"/>
      <c r="Q69" s="3469"/>
      <c r="R69" s="3469"/>
      <c r="S69" s="3470"/>
      <c r="T69" s="3507">
        <f>SUM(T64:AA68)</f>
        <v>0</v>
      </c>
      <c r="U69" s="3508"/>
      <c r="V69" s="3508"/>
      <c r="W69" s="3508"/>
      <c r="X69" s="3508"/>
      <c r="Y69" s="3508"/>
      <c r="Z69" s="3508"/>
      <c r="AA69" s="3509"/>
      <c r="AB69" s="3507">
        <f>SUM(AB64:AI68)</f>
        <v>0</v>
      </c>
      <c r="AC69" s="3508"/>
      <c r="AD69" s="3508"/>
      <c r="AE69" s="3508"/>
      <c r="AF69" s="3508"/>
      <c r="AG69" s="3508"/>
      <c r="AH69" s="3508"/>
      <c r="AI69" s="3509"/>
      <c r="AJ69" s="944"/>
      <c r="AM69" s="846"/>
    </row>
    <row r="70" spans="2:43" s="95" customFormat="1" ht="18.75" customHeight="1">
      <c r="B70" s="808"/>
      <c r="C70" s="1748"/>
      <c r="D70" s="1666"/>
      <c r="E70" s="915"/>
      <c r="F70" s="1666"/>
      <c r="G70" s="1666"/>
      <c r="H70" s="1666"/>
      <c r="I70" s="1666"/>
      <c r="J70" s="1666"/>
      <c r="K70" s="1666"/>
      <c r="L70" s="1666"/>
      <c r="M70" s="1666"/>
      <c r="N70" s="1666"/>
      <c r="O70" s="1666"/>
      <c r="P70" s="1666"/>
      <c r="Q70" s="1666"/>
      <c r="R70" s="1666"/>
      <c r="S70" s="1666"/>
      <c r="T70" s="1666"/>
      <c r="U70" s="1666"/>
      <c r="V70" s="1666"/>
      <c r="W70" s="1666"/>
      <c r="X70" s="1666"/>
      <c r="Y70" s="1666"/>
      <c r="Z70" s="1666"/>
      <c r="AA70" s="1666"/>
      <c r="AB70" s="1666"/>
      <c r="AC70" s="1666"/>
      <c r="AD70" s="1666"/>
      <c r="AE70" s="1666"/>
      <c r="AF70" s="1666"/>
      <c r="AG70" s="1666"/>
      <c r="AH70" s="1666"/>
      <c r="AI70" s="1666"/>
      <c r="AJ70" s="1748"/>
      <c r="AK70" s="1748"/>
      <c r="AL70" s="916"/>
      <c r="AM70" s="1479"/>
    </row>
    <row r="71" spans="2:43" s="95" customFormat="1" ht="21" hidden="1" customHeight="1">
      <c r="B71" s="1642"/>
      <c r="E71" s="816"/>
      <c r="F71" s="55"/>
      <c r="AM71" s="846"/>
    </row>
    <row r="72" spans="2:43" s="95" customFormat="1" ht="20.25" hidden="1" customHeight="1">
      <c r="B72" s="1642"/>
      <c r="E72" s="816"/>
      <c r="F72" s="55"/>
      <c r="AM72" s="846"/>
    </row>
    <row r="73" spans="2:43" s="95" customFormat="1" ht="18" hidden="1" customHeight="1">
      <c r="B73" s="1642"/>
      <c r="I73" s="910"/>
      <c r="J73" s="910"/>
      <c r="K73" s="910"/>
      <c r="L73" s="910"/>
      <c r="M73" s="910"/>
      <c r="AM73" s="846"/>
    </row>
    <row r="74" spans="2:43" s="95" customFormat="1" ht="36" hidden="1" customHeight="1">
      <c r="B74" s="1642"/>
      <c r="E74" s="138"/>
      <c r="F74" s="1745"/>
      <c r="AM74" s="846"/>
    </row>
    <row r="75" spans="2:43" s="95" customFormat="1" ht="54" hidden="1" customHeight="1">
      <c r="B75" s="1428"/>
      <c r="C75" s="912"/>
      <c r="D75" s="912"/>
      <c r="E75" s="912"/>
      <c r="F75" s="912"/>
      <c r="G75" s="912"/>
      <c r="H75" s="912"/>
      <c r="I75" s="912"/>
      <c r="J75" s="912"/>
      <c r="K75" s="912"/>
      <c r="L75" s="912"/>
      <c r="M75" s="912"/>
      <c r="N75" s="912"/>
      <c r="O75" s="912"/>
      <c r="P75" s="912"/>
      <c r="Q75" s="912"/>
      <c r="R75" s="912"/>
      <c r="S75" s="912"/>
      <c r="T75" s="912"/>
      <c r="U75" s="912"/>
      <c r="V75" s="912"/>
      <c r="W75" s="912"/>
      <c r="X75" s="912"/>
      <c r="Y75" s="912"/>
      <c r="Z75" s="912"/>
      <c r="AA75" s="912"/>
      <c r="AB75" s="912"/>
      <c r="AC75" s="912"/>
      <c r="AD75" s="912"/>
      <c r="AE75" s="912"/>
      <c r="AF75" s="912"/>
      <c r="AG75" s="912"/>
      <c r="AH75" s="912"/>
      <c r="AI75" s="912"/>
      <c r="AJ75" s="912"/>
      <c r="AK75" s="913"/>
      <c r="AL75" s="913"/>
      <c r="AM75" s="1480"/>
    </row>
    <row r="76" spans="2:43" s="95" customFormat="1" ht="57.75" hidden="1" customHeight="1">
      <c r="B76" s="2313" t="s">
        <v>558</v>
      </c>
      <c r="C76" s="3637"/>
      <c r="D76" s="3638"/>
      <c r="E76" s="3704" t="s">
        <v>3469</v>
      </c>
      <c r="F76" s="3705"/>
      <c r="G76" s="3705"/>
      <c r="H76" s="3705"/>
      <c r="I76" s="3705"/>
      <c r="J76" s="3705"/>
      <c r="K76" s="3705"/>
      <c r="L76" s="3705"/>
      <c r="M76" s="3706"/>
      <c r="N76" s="3644" t="s">
        <v>3470</v>
      </c>
      <c r="O76" s="3645"/>
      <c r="P76" s="3645"/>
      <c r="Q76" s="3645"/>
      <c r="R76" s="3645"/>
      <c r="S76" s="3645"/>
      <c r="T76" s="3645"/>
      <c r="U76" s="3645"/>
      <c r="V76" s="3645"/>
      <c r="W76" s="3645"/>
      <c r="X76" s="3645"/>
      <c r="Y76" s="3645"/>
      <c r="Z76" s="3645"/>
      <c r="AA76" s="3645"/>
      <c r="AB76" s="3645"/>
      <c r="AC76" s="3645"/>
      <c r="AD76" s="3645"/>
      <c r="AE76" s="3646"/>
      <c r="AF76" s="2038" t="s">
        <v>559</v>
      </c>
      <c r="AG76" s="2101"/>
      <c r="AH76" s="2101"/>
      <c r="AI76" s="2101"/>
      <c r="AJ76" s="2101"/>
      <c r="AK76" s="2142"/>
      <c r="AL76" s="3548"/>
      <c r="AM76" s="3549"/>
    </row>
    <row r="77" spans="2:43" s="95" customFormat="1" ht="18" hidden="1" customHeight="1">
      <c r="B77" s="357"/>
      <c r="C77" s="845"/>
      <c r="D77" s="907"/>
      <c r="E77" s="3618"/>
      <c r="F77" s="3618"/>
      <c r="G77" s="3618"/>
      <c r="H77" s="3618"/>
      <c r="I77" s="3618"/>
      <c r="J77" s="3618"/>
      <c r="K77" s="3618"/>
      <c r="L77" s="3618"/>
      <c r="M77" s="3618"/>
      <c r="N77" s="3618"/>
      <c r="O77" s="3618"/>
      <c r="P77" s="3618"/>
      <c r="Q77" s="3618"/>
      <c r="R77" s="3618"/>
      <c r="S77" s="3618"/>
      <c r="T77" s="3618"/>
      <c r="U77" s="3618"/>
      <c r="V77" s="3618"/>
      <c r="W77" s="3618"/>
      <c r="X77" s="3618"/>
      <c r="Y77" s="3618"/>
      <c r="Z77" s="3618"/>
      <c r="AA77" s="3618"/>
      <c r="AB77" s="3618"/>
      <c r="AC77" s="3618"/>
      <c r="AD77" s="3618"/>
      <c r="AE77" s="3618"/>
      <c r="AF77" s="3618"/>
      <c r="AG77" s="3618"/>
      <c r="AH77" s="3618"/>
      <c r="AI77" s="3618"/>
      <c r="AJ77" s="3618"/>
      <c r="AK77" s="3618"/>
      <c r="AL77" s="3600"/>
      <c r="AM77" s="3601"/>
      <c r="AN77" s="3717" t="s">
        <v>3471</v>
      </c>
      <c r="AO77" s="3717"/>
      <c r="AP77" s="3717"/>
      <c r="AQ77" s="3717"/>
    </row>
    <row r="78" spans="2:43" s="95" customFormat="1" ht="60.75" hidden="1" customHeight="1">
      <c r="B78" s="3610"/>
      <c r="C78" s="3611"/>
      <c r="D78" s="3611"/>
      <c r="E78" s="3611"/>
      <c r="F78" s="3611"/>
      <c r="G78" s="3611"/>
      <c r="H78" s="3611"/>
      <c r="I78" s="3611"/>
      <c r="J78" s="3611"/>
      <c r="K78" s="3611"/>
      <c r="L78" s="3611"/>
      <c r="M78" s="3635"/>
      <c r="N78" s="3635"/>
      <c r="O78" s="3636"/>
      <c r="P78" s="3636"/>
      <c r="Q78" s="3636"/>
      <c r="R78" s="3636"/>
      <c r="S78" s="3636"/>
      <c r="T78" s="3636"/>
      <c r="U78" s="3636"/>
      <c r="V78" s="3636"/>
      <c r="W78" s="3636"/>
      <c r="X78" s="3636"/>
      <c r="Y78" s="3636"/>
      <c r="Z78" s="3636"/>
      <c r="AA78" s="3636"/>
      <c r="AB78" s="3636"/>
      <c r="AC78" s="3636"/>
      <c r="AD78" s="3636"/>
      <c r="AE78" s="3636"/>
      <c r="AF78" s="3636"/>
      <c r="AG78" s="3636"/>
      <c r="AH78" s="3636"/>
      <c r="AI78" s="3636"/>
      <c r="AJ78" s="3636"/>
      <c r="AK78" s="3636"/>
      <c r="AL78" s="1924"/>
      <c r="AM78" s="3719"/>
    </row>
    <row r="79" spans="2:43" s="95" customFormat="1" ht="18" hidden="1" customHeight="1">
      <c r="B79" s="3732"/>
      <c r="C79" s="3733"/>
      <c r="D79" s="3733"/>
      <c r="E79" s="3733"/>
      <c r="F79" s="3733"/>
      <c r="G79" s="3733"/>
      <c r="H79" s="3733"/>
      <c r="I79" s="3733"/>
      <c r="J79" s="3733"/>
      <c r="K79" s="3703"/>
      <c r="L79" s="3703"/>
      <c r="M79" s="3703"/>
      <c r="N79" s="3703"/>
      <c r="O79" s="3555"/>
      <c r="P79" s="3718"/>
      <c r="Q79" s="3718"/>
      <c r="R79" s="3718"/>
      <c r="S79" s="3718"/>
      <c r="T79" s="3718"/>
      <c r="U79" s="3718"/>
      <c r="V79" s="3718"/>
      <c r="W79" s="3718"/>
      <c r="X79" s="3718"/>
      <c r="Y79" s="3718"/>
      <c r="Z79" s="3718"/>
      <c r="AA79" s="120"/>
      <c r="AB79" s="3494"/>
      <c r="AC79" s="3494"/>
      <c r="AD79" s="3494"/>
      <c r="AE79" s="3494"/>
      <c r="AF79" s="3494"/>
      <c r="AG79" s="3494"/>
      <c r="AH79" s="3494"/>
      <c r="AI79" s="3494"/>
      <c r="AJ79" s="3494"/>
      <c r="AK79" s="3494"/>
      <c r="AL79" s="3537"/>
      <c r="AM79" s="3538"/>
    </row>
    <row r="80" spans="2:43" s="95" customFormat="1" ht="36" hidden="1" customHeight="1">
      <c r="B80" s="3700"/>
      <c r="C80" s="1924"/>
      <c r="D80" s="1924"/>
      <c r="E80" s="1924"/>
      <c r="F80" s="1924"/>
      <c r="G80" s="1924"/>
      <c r="H80" s="1924"/>
      <c r="I80" s="1924"/>
      <c r="J80" s="1924"/>
      <c r="K80" s="1924"/>
      <c r="L80" s="1924"/>
      <c r="M80" s="1924"/>
      <c r="N80" s="1924"/>
      <c r="O80" s="3555"/>
      <c r="P80" s="3718"/>
      <c r="Q80" s="3718"/>
      <c r="R80" s="3718"/>
      <c r="S80" s="3718"/>
      <c r="T80" s="3718"/>
      <c r="U80" s="3718"/>
      <c r="V80" s="3718"/>
      <c r="W80" s="3718"/>
      <c r="X80" s="3718"/>
      <c r="Y80" s="3718"/>
      <c r="Z80" s="3718"/>
      <c r="AA80" s="120"/>
      <c r="AB80" s="3494"/>
      <c r="AC80" s="3494"/>
      <c r="AD80" s="3494"/>
      <c r="AE80" s="3494"/>
      <c r="AF80" s="3494"/>
      <c r="AG80" s="3494"/>
      <c r="AH80" s="3494"/>
      <c r="AI80" s="3494"/>
      <c r="AJ80" s="3494"/>
      <c r="AK80" s="3494"/>
      <c r="AL80" s="3537"/>
      <c r="AM80" s="3538"/>
    </row>
    <row r="81" spans="1:47" s="95" customFormat="1" ht="18" hidden="1" customHeight="1">
      <c r="B81" s="3544"/>
      <c r="C81" s="3545"/>
      <c r="D81" s="3545"/>
      <c r="E81" s="3545"/>
      <c r="F81" s="3545"/>
      <c r="G81" s="3545"/>
      <c r="H81" s="3545"/>
      <c r="I81" s="3545"/>
      <c r="J81" s="3545"/>
      <c r="K81" s="3546"/>
      <c r="L81" s="3546"/>
      <c r="M81" s="3546"/>
      <c r="N81" s="3546"/>
      <c r="O81" s="3555"/>
      <c r="P81" s="3585"/>
      <c r="Q81" s="3585"/>
      <c r="R81" s="3585"/>
      <c r="S81" s="3585"/>
      <c r="T81" s="3585"/>
      <c r="U81" s="3585"/>
      <c r="V81" s="3585"/>
      <c r="W81" s="3585"/>
      <c r="X81" s="3552"/>
      <c r="Y81" s="3552"/>
      <c r="Z81" s="3552"/>
      <c r="AA81" s="120"/>
      <c r="AB81" s="3494"/>
      <c r="AC81" s="3494"/>
      <c r="AD81" s="3494"/>
      <c r="AE81" s="3494"/>
      <c r="AF81" s="3494"/>
      <c r="AG81" s="3494"/>
      <c r="AH81" s="3494"/>
      <c r="AI81" s="3494"/>
      <c r="AJ81" s="3494"/>
      <c r="AK81" s="3494"/>
      <c r="AL81" s="3537"/>
      <c r="AM81" s="3538"/>
    </row>
    <row r="82" spans="1:47" s="95" customFormat="1" ht="18" hidden="1" customHeight="1">
      <c r="B82" s="3544"/>
      <c r="C82" s="3545"/>
      <c r="D82" s="3545"/>
      <c r="E82" s="3545"/>
      <c r="F82" s="3545"/>
      <c r="G82" s="3545"/>
      <c r="H82" s="3545"/>
      <c r="I82" s="3545"/>
      <c r="J82" s="3545"/>
      <c r="K82" s="3546"/>
      <c r="L82" s="3546"/>
      <c r="M82" s="3546"/>
      <c r="N82" s="3546"/>
      <c r="O82" s="3555"/>
      <c r="P82" s="120"/>
      <c r="Q82" s="3620"/>
      <c r="R82" s="3620"/>
      <c r="S82" s="3620"/>
      <c r="T82" s="3620"/>
      <c r="U82" s="3620"/>
      <c r="V82" s="3620"/>
      <c r="W82" s="3620"/>
      <c r="X82" s="3621"/>
      <c r="Y82" s="3621"/>
      <c r="Z82" s="3621"/>
      <c r="AA82" s="120"/>
      <c r="AB82" s="3494"/>
      <c r="AC82" s="3494"/>
      <c r="AD82" s="3494"/>
      <c r="AE82" s="3494"/>
      <c r="AF82" s="3494"/>
      <c r="AG82" s="3494"/>
      <c r="AH82" s="3494"/>
      <c r="AI82" s="3494"/>
      <c r="AJ82" s="3494"/>
      <c r="AK82" s="3494"/>
      <c r="AL82" s="3537"/>
      <c r="AM82" s="3538"/>
    </row>
    <row r="83" spans="1:47" s="95" customFormat="1" ht="36" hidden="1" customHeight="1">
      <c r="B83" s="3544"/>
      <c r="C83" s="3545"/>
      <c r="D83" s="3545"/>
      <c r="E83" s="3545"/>
      <c r="F83" s="3545"/>
      <c r="G83" s="3545"/>
      <c r="H83" s="3545"/>
      <c r="I83" s="3545"/>
      <c r="J83" s="3545"/>
      <c r="K83" s="3546"/>
      <c r="L83" s="3546"/>
      <c r="M83" s="3546"/>
      <c r="N83" s="3546"/>
      <c r="O83" s="3555"/>
      <c r="P83" s="3555"/>
      <c r="Q83" s="3555"/>
      <c r="R83" s="3555"/>
      <c r="S83" s="3555"/>
      <c r="T83" s="3555"/>
      <c r="U83" s="3555"/>
      <c r="V83" s="3555"/>
      <c r="W83" s="3555"/>
      <c r="X83" s="3555"/>
      <c r="Y83" s="3555"/>
      <c r="Z83" s="3555"/>
      <c r="AA83" s="120"/>
      <c r="AB83" s="3494"/>
      <c r="AC83" s="3494"/>
      <c r="AD83" s="3494"/>
      <c r="AE83" s="3494"/>
      <c r="AF83" s="3494"/>
      <c r="AG83" s="3494"/>
      <c r="AH83" s="3494"/>
      <c r="AI83" s="3494"/>
      <c r="AJ83" s="3494"/>
      <c r="AK83" s="3494"/>
      <c r="AL83" s="3537"/>
      <c r="AM83" s="3538"/>
    </row>
    <row r="84" spans="1:47" s="95" customFormat="1" ht="18" hidden="1" customHeight="1">
      <c r="B84" s="3544"/>
      <c r="C84" s="3545"/>
      <c r="D84" s="3545"/>
      <c r="E84" s="3545"/>
      <c r="F84" s="3545"/>
      <c r="G84" s="3545"/>
      <c r="H84" s="3545"/>
      <c r="I84" s="3545"/>
      <c r="J84" s="3545"/>
      <c r="K84" s="3546"/>
      <c r="L84" s="3546"/>
      <c r="M84" s="3546"/>
      <c r="N84" s="3546"/>
      <c r="O84" s="3555"/>
      <c r="P84" s="3605"/>
      <c r="Q84" s="3605"/>
      <c r="R84" s="3605"/>
      <c r="S84" s="3605"/>
      <c r="T84" s="3605"/>
      <c r="U84" s="3605"/>
      <c r="V84" s="3606"/>
      <c r="W84" s="3606"/>
      <c r="X84" s="3606"/>
      <c r="Y84" s="3606"/>
      <c r="Z84" s="3606"/>
      <c r="AA84" s="905"/>
      <c r="AB84" s="3607"/>
      <c r="AC84" s="3607"/>
      <c r="AD84" s="3607"/>
      <c r="AE84" s="3607"/>
      <c r="AF84" s="3607"/>
      <c r="AG84" s="3607"/>
      <c r="AH84" s="3607"/>
      <c r="AI84" s="3607"/>
      <c r="AJ84" s="3607"/>
      <c r="AK84" s="3607"/>
      <c r="AL84" s="3608"/>
      <c r="AM84" s="3609"/>
    </row>
    <row r="85" spans="1:47" s="95" customFormat="1" ht="50.65" hidden="1" customHeight="1">
      <c r="B85" s="3724"/>
      <c r="C85" s="3725"/>
      <c r="D85" s="3725"/>
      <c r="E85" s="3725"/>
      <c r="F85" s="3725"/>
      <c r="G85" s="3725"/>
      <c r="H85" s="3725"/>
      <c r="I85" s="3725"/>
      <c r="J85" s="3725"/>
      <c r="K85" s="3726"/>
      <c r="L85" s="3726"/>
      <c r="M85" s="3726"/>
      <c r="N85" s="3726"/>
      <c r="O85" s="3555"/>
      <c r="P85" s="3555"/>
      <c r="Q85" s="3555"/>
      <c r="R85" s="3555"/>
      <c r="S85" s="3555"/>
      <c r="T85" s="3555"/>
      <c r="U85" s="3555"/>
      <c r="V85" s="3555"/>
      <c r="W85" s="3555"/>
      <c r="X85" s="3726"/>
      <c r="Y85" s="3726"/>
      <c r="Z85" s="3726"/>
      <c r="AA85" s="120"/>
      <c r="AB85" s="3727"/>
      <c r="AC85" s="3727"/>
      <c r="AD85" s="3727"/>
      <c r="AE85" s="3727"/>
      <c r="AF85" s="3727"/>
      <c r="AG85" s="3727"/>
      <c r="AH85" s="3727"/>
      <c r="AI85" s="3727"/>
      <c r="AJ85" s="3727"/>
      <c r="AK85" s="3728"/>
      <c r="AL85" s="3728"/>
      <c r="AM85" s="3729"/>
    </row>
    <row r="86" spans="1:47" s="95" customFormat="1" ht="21.75" hidden="1" customHeight="1">
      <c r="B86" s="236"/>
      <c r="C86" s="120"/>
      <c r="D86" s="120"/>
      <c r="E86" s="244"/>
      <c r="F86" s="3493"/>
      <c r="G86" s="2015"/>
      <c r="H86" s="2015"/>
      <c r="I86" s="2015"/>
      <c r="J86" s="2015"/>
      <c r="K86" s="2015"/>
      <c r="L86" s="2015"/>
      <c r="M86" s="2015"/>
      <c r="N86" s="2015"/>
      <c r="O86" s="2015"/>
      <c r="P86" s="2015"/>
      <c r="Q86" s="2015"/>
      <c r="R86" s="2015"/>
      <c r="S86" s="2015"/>
      <c r="T86" s="2015"/>
      <c r="U86" s="2015"/>
      <c r="V86" s="2015"/>
      <c r="W86" s="2015"/>
      <c r="X86" s="2015"/>
      <c r="Y86" s="2015"/>
      <c r="Z86" s="2015"/>
      <c r="AA86" s="2015"/>
      <c r="AB86" s="2015"/>
      <c r="AC86" s="2015"/>
      <c r="AD86" s="2015"/>
      <c r="AE86" s="2015"/>
      <c r="AF86" s="2015"/>
      <c r="AG86" s="2015"/>
      <c r="AH86" s="2015"/>
      <c r="AI86" s="2015"/>
      <c r="AJ86" s="2015"/>
      <c r="AK86" s="2015"/>
      <c r="AL86" s="2015"/>
      <c r="AM86" s="1889"/>
    </row>
    <row r="87" spans="1:47" s="95" customFormat="1" ht="54" hidden="1" customHeight="1">
      <c r="B87" s="433"/>
      <c r="C87" s="850"/>
      <c r="D87" s="1751"/>
      <c r="E87" s="1751"/>
      <c r="F87" s="3709"/>
      <c r="G87" s="3681"/>
      <c r="H87" s="3681"/>
      <c r="I87" s="3681"/>
      <c r="J87" s="3710"/>
      <c r="K87" s="1869"/>
      <c r="L87" s="1869"/>
      <c r="M87" s="1869"/>
      <c r="N87" s="1869"/>
      <c r="O87" s="1869"/>
      <c r="P87" s="1869"/>
      <c r="Q87" s="1869"/>
      <c r="R87" s="1869"/>
      <c r="S87" s="1869"/>
      <c r="T87" s="1869"/>
      <c r="U87" s="1869"/>
      <c r="V87" s="1869"/>
      <c r="W87" s="1869"/>
      <c r="X87" s="1869"/>
      <c r="Y87" s="1869"/>
      <c r="Z87" s="1869"/>
      <c r="AA87" s="1869"/>
      <c r="AB87" s="1869"/>
      <c r="AC87" s="1869"/>
      <c r="AD87" s="1869"/>
      <c r="AE87" s="1869"/>
      <c r="AF87" s="1869"/>
      <c r="AG87" s="1869"/>
      <c r="AH87" s="1869"/>
      <c r="AI87" s="1869"/>
      <c r="AJ87" s="1869"/>
      <c r="AK87" s="1869"/>
      <c r="AL87" s="3711"/>
      <c r="AM87" s="1772"/>
    </row>
    <row r="88" spans="1:47" s="95" customFormat="1" ht="18" hidden="1" customHeight="1">
      <c r="B88" s="808"/>
      <c r="C88" s="1748"/>
      <c r="D88" s="906"/>
      <c r="E88" s="3550"/>
      <c r="F88" s="3550"/>
      <c r="G88" s="3550"/>
      <c r="H88" s="3550"/>
      <c r="I88" s="3550"/>
      <c r="J88" s="3550"/>
      <c r="K88" s="3550"/>
      <c r="L88" s="3550"/>
      <c r="M88" s="3550"/>
      <c r="N88" s="3550"/>
      <c r="O88" s="3550"/>
      <c r="P88" s="3550"/>
      <c r="Q88" s="3550"/>
      <c r="R88" s="3550"/>
      <c r="S88" s="3550"/>
      <c r="T88" s="3550"/>
      <c r="U88" s="3550"/>
      <c r="V88" s="3550"/>
      <c r="W88" s="3550"/>
      <c r="X88" s="3550"/>
      <c r="Y88" s="3550"/>
      <c r="Z88" s="3550"/>
      <c r="AA88" s="3550"/>
      <c r="AB88" s="3550"/>
      <c r="AC88" s="3550"/>
      <c r="AD88" s="3550"/>
      <c r="AE88" s="3550"/>
      <c r="AF88" s="3550"/>
      <c r="AG88" s="3550"/>
      <c r="AH88" s="3550"/>
      <c r="AI88" s="3550"/>
      <c r="AJ88" s="3550"/>
      <c r="AK88" s="3551"/>
      <c r="AL88" s="3495"/>
      <c r="AM88" s="3496"/>
    </row>
    <row r="89" spans="1:47" s="95" customFormat="1" ht="20.65" hidden="1" customHeight="1">
      <c r="A89" s="122"/>
      <c r="B89" s="3665"/>
      <c r="C89" s="1877"/>
      <c r="D89" s="1877"/>
      <c r="E89" s="2057" t="s">
        <v>3472</v>
      </c>
      <c r="F89" s="3623"/>
      <c r="G89" s="3623"/>
      <c r="H89" s="3623"/>
      <c r="I89" s="3623"/>
      <c r="J89" s="3623"/>
      <c r="K89" s="3623"/>
      <c r="L89" s="3623"/>
      <c r="M89" s="3623"/>
      <c r="N89" s="3623"/>
      <c r="O89" s="3623"/>
      <c r="P89" s="3623"/>
      <c r="Q89" s="3623"/>
      <c r="R89" s="3623"/>
      <c r="S89" s="3623"/>
      <c r="T89" s="3623"/>
      <c r="U89" s="3623"/>
      <c r="V89" s="3623"/>
      <c r="W89" s="3623"/>
      <c r="X89" s="3623"/>
      <c r="Y89" s="3623"/>
      <c r="Z89" s="3623"/>
      <c r="AA89" s="3623"/>
      <c r="AB89" s="3623"/>
      <c r="AC89" s="3623"/>
      <c r="AD89" s="3623"/>
      <c r="AE89" s="3623"/>
      <c r="AF89" s="3623"/>
      <c r="AG89" s="3623"/>
      <c r="AH89" s="3623"/>
      <c r="AI89" s="3623"/>
      <c r="AJ89" s="3623"/>
      <c r="AK89" s="3623"/>
      <c r="AL89" s="3283"/>
      <c r="AM89" s="1862"/>
    </row>
    <row r="90" spans="1:47" s="95" customFormat="1" ht="18" customHeight="1">
      <c r="B90" s="1748"/>
      <c r="C90" s="1748"/>
      <c r="D90" s="1748"/>
      <c r="E90" s="1748"/>
      <c r="F90" s="1748"/>
      <c r="G90" s="1748"/>
      <c r="H90" s="1748"/>
      <c r="I90" s="1748"/>
      <c r="J90" s="1748"/>
      <c r="K90" s="1748"/>
      <c r="L90" s="1748"/>
      <c r="M90" s="1748"/>
      <c r="N90" s="1748"/>
      <c r="O90" s="1748"/>
      <c r="P90" s="1748"/>
      <c r="Q90" s="1748"/>
      <c r="R90" s="1748"/>
      <c r="S90" s="1748"/>
      <c r="T90" s="1748"/>
      <c r="U90" s="1748"/>
      <c r="V90" s="1748"/>
      <c r="W90" s="1748"/>
      <c r="X90" s="1748"/>
      <c r="Y90" s="1748"/>
      <c r="Z90" s="1748"/>
      <c r="AA90" s="1748"/>
      <c r="AB90" s="1748"/>
      <c r="AC90" s="1748"/>
      <c r="AD90" s="1748"/>
      <c r="AE90" s="1748"/>
      <c r="AF90" s="1748"/>
      <c r="AG90" s="1748"/>
      <c r="AH90" s="1748"/>
      <c r="AI90" s="1748"/>
      <c r="AJ90" s="1748"/>
      <c r="AK90" s="1748"/>
      <c r="AL90" s="1666"/>
      <c r="AM90" s="1666"/>
    </row>
    <row r="91" spans="1:47" ht="18" hidden="1" customHeight="1">
      <c r="B91" s="780"/>
      <c r="C91" s="1429" t="s">
        <v>3473</v>
      </c>
      <c r="D91" s="3514" t="s">
        <v>3474</v>
      </c>
      <c r="E91" s="1953"/>
      <c r="F91" s="1953"/>
      <c r="G91" s="1953"/>
      <c r="H91" s="1953"/>
      <c r="I91" s="1953"/>
      <c r="J91" s="1953"/>
      <c r="K91" s="1953"/>
      <c r="L91" s="1953"/>
      <c r="M91" s="1953"/>
      <c r="N91" s="1953"/>
      <c r="O91" s="1953"/>
      <c r="P91" s="1953"/>
      <c r="Q91" s="1953"/>
      <c r="R91" s="1953"/>
      <c r="S91" s="1953"/>
      <c r="T91" s="1953"/>
      <c r="U91" s="1953"/>
      <c r="V91" s="1953"/>
      <c r="W91" s="1953"/>
      <c r="X91" s="1953"/>
      <c r="Y91" s="1953"/>
      <c r="Z91" s="1953"/>
      <c r="AA91" s="1953"/>
      <c r="AB91" s="1953"/>
      <c r="AC91" s="1953"/>
      <c r="AD91" s="1953"/>
      <c r="AE91" s="1953"/>
      <c r="AF91" s="1953"/>
      <c r="AG91" s="1953"/>
      <c r="AH91" s="1953"/>
      <c r="AI91" s="1953"/>
      <c r="AJ91" s="1953"/>
      <c r="AK91" s="1770"/>
      <c r="AL91" s="3486">
        <f>SUM(+MIN(MAX($AL$103,$AL$104,$AL$108,AL110)+MAX($AL$134,$AL$135,$AL$138,AL140),20))</f>
        <v>0</v>
      </c>
      <c r="AM91" s="1778"/>
      <c r="AN91" s="3700"/>
      <c r="AO91" s="1924"/>
      <c r="AP91" s="1924"/>
      <c r="AQ91" s="1924"/>
      <c r="AR91" s="1924"/>
      <c r="AS91" s="1924"/>
      <c r="AT91" s="1924"/>
    </row>
    <row r="92" spans="1:47" ht="39.75" hidden="1" customHeight="1">
      <c r="B92" s="1644"/>
      <c r="D92" s="3485" t="s">
        <v>3475</v>
      </c>
      <c r="E92" s="1910"/>
      <c r="F92" s="1910"/>
      <c r="G92" s="1910"/>
      <c r="H92" s="1910"/>
      <c r="I92" s="1910"/>
      <c r="J92" s="1910"/>
      <c r="K92" s="1910"/>
      <c r="L92" s="1910"/>
      <c r="M92" s="1910"/>
      <c r="N92" s="1910"/>
      <c r="O92" s="1889"/>
      <c r="P92" s="3287"/>
      <c r="Q92" s="1861"/>
      <c r="R92" s="1861"/>
      <c r="S92" s="1861"/>
      <c r="T92" s="1861"/>
      <c r="U92" s="1861"/>
      <c r="V92" s="1861"/>
      <c r="W92" s="1861"/>
      <c r="X92" s="1861"/>
      <c r="Y92" s="1861"/>
      <c r="Z92" s="1861"/>
      <c r="AA92" s="1861"/>
      <c r="AB92" s="1861"/>
      <c r="AC92" s="1861"/>
      <c r="AD92" s="1861"/>
      <c r="AE92" s="1861"/>
      <c r="AF92" s="1861"/>
      <c r="AG92" s="1861"/>
      <c r="AH92" s="1861"/>
      <c r="AI92" s="1861"/>
      <c r="AJ92" s="1861"/>
      <c r="AK92" s="1861"/>
      <c r="AL92" s="1861"/>
      <c r="AM92" s="1862"/>
      <c r="AO92" s="894" t="s">
        <v>3476</v>
      </c>
      <c r="AP92" s="895"/>
    </row>
    <row r="93" spans="1:47" ht="36" hidden="1" customHeight="1">
      <c r="B93" s="1644"/>
      <c r="C93" s="353"/>
      <c r="D93" s="3493" t="s">
        <v>3477</v>
      </c>
      <c r="E93" s="1910"/>
      <c r="F93" s="1910"/>
      <c r="G93" s="1910"/>
      <c r="H93" s="1910"/>
      <c r="I93" s="1910"/>
      <c r="J93" s="1910"/>
      <c r="K93" s="1910"/>
      <c r="L93" s="1910"/>
      <c r="M93" s="3287"/>
      <c r="N93" s="1861"/>
      <c r="O93" s="1861"/>
      <c r="P93" s="1861"/>
      <c r="Q93" s="1861"/>
      <c r="R93" s="1861"/>
      <c r="S93" s="1861"/>
      <c r="T93" s="1861"/>
      <c r="U93" s="1861"/>
      <c r="V93" s="1861"/>
      <c r="W93" s="1861"/>
      <c r="X93" s="1861"/>
      <c r="Y93" s="1861"/>
      <c r="Z93" s="1861"/>
      <c r="AA93" s="1861"/>
      <c r="AB93" s="1861"/>
      <c r="AC93" s="1861"/>
      <c r="AD93" s="1861"/>
      <c r="AE93" s="1861"/>
      <c r="AF93" s="1861"/>
      <c r="AG93" s="1861"/>
      <c r="AH93" s="1861"/>
      <c r="AI93" s="1861"/>
      <c r="AJ93" s="1861"/>
      <c r="AK93" s="1861"/>
      <c r="AL93" s="1861"/>
      <c r="AM93" s="1862"/>
      <c r="AN93" s="95"/>
      <c r="AO93" s="894" t="s">
        <v>3478</v>
      </c>
      <c r="AP93" s="895"/>
    </row>
    <row r="94" spans="1:47" ht="18" hidden="1" customHeight="1">
      <c r="B94" s="1644"/>
      <c r="C94" s="353"/>
      <c r="D94" s="3487" t="s">
        <v>3479</v>
      </c>
      <c r="E94" s="1910"/>
      <c r="F94" s="1910"/>
      <c r="G94" s="1910"/>
      <c r="H94" s="1910"/>
      <c r="I94" s="1910"/>
      <c r="J94" s="1910"/>
      <c r="K94" s="1910"/>
      <c r="L94" s="1910"/>
      <c r="M94" s="1910"/>
      <c r="N94" s="1910"/>
      <c r="O94" s="1910"/>
      <c r="P94" s="1910"/>
      <c r="Q94" s="1910"/>
      <c r="R94" s="1910"/>
      <c r="S94" s="1910"/>
      <c r="T94" s="1910"/>
      <c r="U94" s="1910"/>
      <c r="V94" s="1910"/>
      <c r="W94" s="1910"/>
      <c r="X94" s="1910"/>
      <c r="Y94" s="1910"/>
      <c r="Z94" s="1910"/>
      <c r="AA94" s="1910"/>
      <c r="AB94" s="1910"/>
      <c r="AC94" s="1910"/>
      <c r="AD94" s="1910"/>
      <c r="AE94" s="1910"/>
      <c r="AF94" s="1910"/>
      <c r="AG94" s="1910"/>
      <c r="AH94" s="1910"/>
      <c r="AI94" s="1910"/>
      <c r="AJ94" s="1910"/>
      <c r="AK94" s="1889"/>
      <c r="AL94" s="3283"/>
      <c r="AM94" s="1862"/>
      <c r="AO94" s="896"/>
      <c r="AP94" s="895"/>
    </row>
    <row r="95" spans="1:47" ht="36" hidden="1" customHeight="1">
      <c r="A95" s="241"/>
      <c r="B95" s="1644"/>
      <c r="C95" s="1662"/>
      <c r="D95" s="3210" t="s">
        <v>3480</v>
      </c>
      <c r="E95" s="1910"/>
      <c r="F95" s="1910"/>
      <c r="G95" s="1910"/>
      <c r="H95" s="1910"/>
      <c r="I95" s="1910"/>
      <c r="J95" s="1910"/>
      <c r="K95" s="1910"/>
      <c r="L95" s="1910"/>
      <c r="M95" s="1910"/>
      <c r="N95" s="1910"/>
      <c r="O95" s="1910"/>
      <c r="P95" s="1910"/>
      <c r="Q95" s="1910"/>
      <c r="R95" s="1910"/>
      <c r="S95" s="1910"/>
      <c r="T95" s="1910"/>
      <c r="U95" s="1910"/>
      <c r="V95" s="1910"/>
      <c r="W95" s="1910"/>
      <c r="X95" s="1910"/>
      <c r="Y95" s="1910"/>
      <c r="Z95" s="1910"/>
      <c r="AA95" s="1910"/>
      <c r="AB95" s="1910"/>
      <c r="AC95" s="1910"/>
      <c r="AD95" s="1910"/>
      <c r="AE95" s="1910"/>
      <c r="AF95" s="1910"/>
      <c r="AG95" s="1910"/>
      <c r="AH95" s="1910"/>
      <c r="AI95" s="1910"/>
      <c r="AJ95" s="1910"/>
      <c r="AK95" s="1889"/>
      <c r="AL95" s="1958"/>
      <c r="AM95" s="1862"/>
      <c r="AP95" s="895"/>
    </row>
    <row r="96" spans="1:47" s="241" customFormat="1" ht="36" hidden="1" customHeight="1">
      <c r="B96" s="1742"/>
      <c r="D96" s="568">
        <v>1</v>
      </c>
      <c r="E96" s="3451" t="s">
        <v>3481</v>
      </c>
      <c r="F96" s="3452"/>
      <c r="G96" s="3452"/>
      <c r="H96" s="3452"/>
      <c r="I96" s="3452"/>
      <c r="J96" s="3452"/>
      <c r="K96" s="3452"/>
      <c r="L96" s="3452"/>
      <c r="M96" s="3452"/>
      <c r="N96" s="3452"/>
      <c r="O96" s="3452"/>
      <c r="P96" s="3452"/>
      <c r="Q96" s="3452"/>
      <c r="R96" s="3452"/>
      <c r="S96" s="3452"/>
      <c r="T96" s="3452"/>
      <c r="U96" s="3452"/>
      <c r="V96" s="3452"/>
      <c r="W96" s="3452"/>
      <c r="X96" s="3452"/>
      <c r="Y96" s="3452"/>
      <c r="Z96" s="3452"/>
      <c r="AA96" s="3452"/>
      <c r="AB96" s="3452"/>
      <c r="AC96" s="3452"/>
      <c r="AD96" s="3452"/>
      <c r="AE96" s="3452"/>
      <c r="AF96" s="3452"/>
      <c r="AG96" s="3452"/>
      <c r="AH96" s="3452"/>
      <c r="AI96" s="3452"/>
      <c r="AJ96" s="3452"/>
      <c r="AK96" s="3452"/>
      <c r="AL96" s="3452"/>
      <c r="AM96" s="1889"/>
      <c r="AN96" s="897"/>
      <c r="AO96" s="898"/>
      <c r="AP96" s="57"/>
      <c r="AQ96" s="1744"/>
      <c r="AR96" s="138"/>
      <c r="AS96" s="138"/>
      <c r="AT96" s="55"/>
      <c r="AU96" s="55"/>
    </row>
    <row r="97" spans="1:48" s="137" customFormat="1" ht="65.25" hidden="1" customHeight="1">
      <c r="A97" s="120"/>
      <c r="B97" s="475"/>
      <c r="C97" s="13"/>
      <c r="E97" s="3444" t="s">
        <v>3482</v>
      </c>
      <c r="F97" s="2079"/>
      <c r="G97" s="2079"/>
      <c r="H97" s="2079"/>
      <c r="I97" s="2079"/>
      <c r="J97" s="2079"/>
      <c r="K97" s="2079"/>
      <c r="L97" s="2079"/>
      <c r="M97" s="2079"/>
      <c r="N97" s="2079"/>
      <c r="O97" s="2079"/>
      <c r="P97" s="2079"/>
      <c r="Q97" s="2079"/>
      <c r="R97" s="2079"/>
      <c r="S97" s="2079"/>
      <c r="T97" s="2079"/>
      <c r="U97" s="2079"/>
      <c r="V97" s="2079"/>
      <c r="W97" s="2079"/>
      <c r="X97" s="2079"/>
      <c r="Y97" s="2079"/>
      <c r="Z97" s="2079"/>
      <c r="AA97" s="2079"/>
      <c r="AB97" s="2079"/>
      <c r="AC97" s="2079"/>
      <c r="AD97" s="2079"/>
      <c r="AE97" s="2079"/>
      <c r="AF97" s="2079"/>
      <c r="AG97" s="2079"/>
      <c r="AH97" s="2079"/>
      <c r="AI97" s="2079"/>
      <c r="AJ97" s="2079"/>
      <c r="AK97" s="2079"/>
      <c r="AL97" s="2079"/>
      <c r="AM97" s="1889"/>
      <c r="AN97" s="120"/>
      <c r="AO97" s="120"/>
      <c r="AP97" s="241"/>
      <c r="AQ97" s="120"/>
      <c r="AR97" s="1744"/>
      <c r="AS97" s="1744"/>
      <c r="AT97" s="120"/>
    </row>
    <row r="98" spans="1:48" s="137" customFormat="1" ht="36" hidden="1" customHeight="1">
      <c r="A98" s="120"/>
      <c r="B98" s="475"/>
      <c r="C98" s="13"/>
      <c r="E98" s="3444" t="s">
        <v>3483</v>
      </c>
      <c r="F98" s="2079"/>
      <c r="G98" s="2079"/>
      <c r="H98" s="2079"/>
      <c r="I98" s="2079"/>
      <c r="J98" s="2079"/>
      <c r="K98" s="2079"/>
      <c r="L98" s="2079"/>
      <c r="M98" s="2079"/>
      <c r="N98" s="2079"/>
      <c r="O98" s="2079"/>
      <c r="P98" s="2079"/>
      <c r="Q98" s="2079"/>
      <c r="R98" s="2079"/>
      <c r="S98" s="2079"/>
      <c r="T98" s="2079"/>
      <c r="U98" s="2079"/>
      <c r="V98" s="2079"/>
      <c r="W98" s="2079"/>
      <c r="X98" s="2079"/>
      <c r="Y98" s="2079"/>
      <c r="Z98" s="2079"/>
      <c r="AA98" s="2079"/>
      <c r="AB98" s="2079"/>
      <c r="AC98" s="2079"/>
      <c r="AD98" s="2079"/>
      <c r="AE98" s="2079"/>
      <c r="AF98" s="2079"/>
      <c r="AG98" s="2079"/>
      <c r="AH98" s="2079"/>
      <c r="AI98" s="2079"/>
      <c r="AJ98" s="2079"/>
      <c r="AK98" s="2079"/>
      <c r="AL98" s="2079"/>
      <c r="AM98" s="1889"/>
      <c r="AN98" s="120"/>
      <c r="AO98" s="120"/>
      <c r="AP98" s="241"/>
      <c r="AQ98" s="120"/>
      <c r="AR98" s="1744"/>
      <c r="AS98" s="1744"/>
      <c r="AT98" s="120"/>
    </row>
    <row r="99" spans="1:48" s="137" customFormat="1" ht="18" hidden="1" customHeight="1">
      <c r="A99" s="120"/>
      <c r="B99" s="475"/>
      <c r="E99" s="3444" t="s">
        <v>3484</v>
      </c>
      <c r="F99" s="2079"/>
      <c r="G99" s="2079"/>
      <c r="H99" s="2079"/>
      <c r="I99" s="2079"/>
      <c r="J99" s="2079"/>
      <c r="K99" s="2079"/>
      <c r="L99" s="2079"/>
      <c r="M99" s="2079"/>
      <c r="N99" s="2079"/>
      <c r="O99" s="2079"/>
      <c r="P99" s="2079"/>
      <c r="Q99" s="2079"/>
      <c r="R99" s="2079"/>
      <c r="S99" s="2079"/>
      <c r="T99" s="2079"/>
      <c r="U99" s="2079"/>
      <c r="V99" s="2079"/>
      <c r="W99" s="2079"/>
      <c r="X99" s="2079"/>
      <c r="Y99" s="2079"/>
      <c r="Z99" s="2079"/>
      <c r="AA99" s="2079"/>
      <c r="AB99" s="2079"/>
      <c r="AC99" s="2079"/>
      <c r="AD99" s="2079"/>
      <c r="AE99" s="2079"/>
      <c r="AF99" s="2079"/>
      <c r="AG99" s="2079"/>
      <c r="AH99" s="2079"/>
      <c r="AI99" s="2079"/>
      <c r="AJ99" s="2079"/>
      <c r="AK99" s="2079"/>
      <c r="AL99" s="2079"/>
      <c r="AM99" s="1889"/>
      <c r="AN99" s="120"/>
      <c r="AO99" s="120"/>
      <c r="AP99" s="241"/>
      <c r="AQ99" s="120"/>
      <c r="AR99" s="1744"/>
      <c r="AS99" s="1744"/>
      <c r="AT99" s="120"/>
    </row>
    <row r="100" spans="1:48" s="241" customFormat="1" ht="54" hidden="1" customHeight="1">
      <c r="B100" s="1742"/>
      <c r="C100" s="353"/>
      <c r="E100" s="569"/>
      <c r="F100" s="3487" t="s">
        <v>3485</v>
      </c>
      <c r="G100" s="3452"/>
      <c r="H100" s="3452"/>
      <c r="I100" s="3452"/>
      <c r="J100" s="3452"/>
      <c r="K100" s="3452"/>
      <c r="L100" s="3452"/>
      <c r="M100" s="3452"/>
      <c r="N100" s="3452"/>
      <c r="O100" s="3452"/>
      <c r="P100" s="3452"/>
      <c r="Q100" s="3452"/>
      <c r="R100" s="3452"/>
      <c r="S100" s="3452"/>
      <c r="T100" s="3452"/>
      <c r="U100" s="3452"/>
      <c r="V100" s="3452"/>
      <c r="W100" s="3452"/>
      <c r="X100" s="3452"/>
      <c r="Y100" s="3452"/>
      <c r="Z100" s="3452"/>
      <c r="AA100" s="3452"/>
      <c r="AB100" s="3452"/>
      <c r="AC100" s="3452"/>
      <c r="AD100" s="3452"/>
      <c r="AE100" s="3452"/>
      <c r="AF100" s="3452"/>
      <c r="AG100" s="3452"/>
      <c r="AH100" s="3452"/>
      <c r="AI100" s="3452"/>
      <c r="AJ100" s="3452"/>
      <c r="AK100" s="3452"/>
      <c r="AL100" s="3452"/>
      <c r="AM100" s="1889"/>
      <c r="AN100" s="897"/>
      <c r="AO100" s="898"/>
      <c r="AP100" s="57"/>
      <c r="AQ100" s="1744"/>
      <c r="AR100" s="138"/>
      <c r="AS100" s="138"/>
      <c r="AT100" s="55"/>
      <c r="AU100" s="55"/>
    </row>
    <row r="101" spans="1:48" s="241" customFormat="1" ht="63" hidden="1" customHeight="1">
      <c r="B101" s="1742"/>
      <c r="C101" s="353"/>
      <c r="D101" s="232"/>
      <c r="F101" s="2989" t="s">
        <v>3486</v>
      </c>
      <c r="G101" s="3452"/>
      <c r="H101" s="3452"/>
      <c r="I101" s="3452"/>
      <c r="J101" s="3452"/>
      <c r="K101" s="3452"/>
      <c r="L101" s="3452"/>
      <c r="M101" s="3452"/>
      <c r="N101" s="3452"/>
      <c r="O101" s="3452"/>
      <c r="P101" s="3452"/>
      <c r="Q101" s="3452"/>
      <c r="R101" s="3452"/>
      <c r="S101" s="3452"/>
      <c r="T101" s="3452"/>
      <c r="U101" s="3452"/>
      <c r="V101" s="3452"/>
      <c r="W101" s="3452"/>
      <c r="X101" s="3452"/>
      <c r="Y101" s="3452"/>
      <c r="Z101" s="3452"/>
      <c r="AA101" s="3452"/>
      <c r="AB101" s="3452"/>
      <c r="AC101" s="3452"/>
      <c r="AD101" s="3452"/>
      <c r="AE101" s="3452"/>
      <c r="AF101" s="3452"/>
      <c r="AG101" s="3452"/>
      <c r="AH101" s="3452"/>
      <c r="AI101" s="3452"/>
      <c r="AJ101" s="3452"/>
      <c r="AK101" s="3452"/>
      <c r="AL101" s="3452"/>
      <c r="AM101" s="1889"/>
      <c r="AN101" s="897"/>
      <c r="AO101" s="898"/>
      <c r="AP101" s="57"/>
      <c r="AQ101" s="1744"/>
      <c r="AR101" s="138"/>
      <c r="AS101" s="138"/>
      <c r="AT101" s="55"/>
      <c r="AU101" s="55"/>
    </row>
    <row r="102" spans="1:48" s="137" customFormat="1" ht="18" hidden="1" customHeight="1">
      <c r="A102" s="120"/>
      <c r="B102" s="475"/>
      <c r="D102" s="231"/>
      <c r="F102" s="2996" t="s">
        <v>3487</v>
      </c>
      <c r="G102" s="2079"/>
      <c r="H102" s="2079"/>
      <c r="I102" s="2079"/>
      <c r="J102" s="2079"/>
      <c r="K102" s="2079"/>
      <c r="L102" s="2079"/>
      <c r="M102" s="2079"/>
      <c r="N102" s="2079"/>
      <c r="O102" s="2079"/>
      <c r="P102" s="2079"/>
      <c r="Q102" s="2079"/>
      <c r="R102" s="2079"/>
      <c r="S102" s="2079"/>
      <c r="T102" s="2079"/>
      <c r="U102" s="2079"/>
      <c r="V102" s="2079"/>
      <c r="W102" s="2079"/>
      <c r="X102" s="2079"/>
      <c r="Y102" s="2079"/>
      <c r="Z102" s="2079"/>
      <c r="AA102" s="2079"/>
      <c r="AB102" s="2079"/>
      <c r="AC102" s="2079"/>
      <c r="AD102" s="2079"/>
      <c r="AE102" s="2079"/>
      <c r="AF102" s="2079"/>
      <c r="AG102" s="2079"/>
      <c r="AH102" s="2079"/>
      <c r="AI102" s="2079"/>
      <c r="AJ102" s="2079"/>
      <c r="AK102" s="2079"/>
      <c r="AL102" s="2079"/>
      <c r="AM102" s="1889"/>
      <c r="AN102" s="120"/>
      <c r="AO102" s="120"/>
      <c r="AP102" s="241"/>
      <c r="AQ102" s="120"/>
      <c r="AR102" s="1744"/>
      <c r="AS102" s="1744"/>
      <c r="AT102" s="120"/>
    </row>
    <row r="103" spans="1:48" ht="36" hidden="1" customHeight="1">
      <c r="B103" s="1644"/>
      <c r="C103" s="353"/>
      <c r="F103" s="3487" t="s">
        <v>3488</v>
      </c>
      <c r="G103" s="1910"/>
      <c r="H103" s="1910"/>
      <c r="I103" s="1910"/>
      <c r="J103" s="1910"/>
      <c r="K103" s="1910"/>
      <c r="L103" s="1910"/>
      <c r="M103" s="1910"/>
      <c r="N103" s="1910"/>
      <c r="O103" s="1910"/>
      <c r="P103" s="1910"/>
      <c r="Q103" s="1910"/>
      <c r="R103" s="1910"/>
      <c r="S103" s="1910"/>
      <c r="T103" s="1910"/>
      <c r="U103" s="1910"/>
      <c r="V103" s="1910"/>
      <c r="W103" s="1910"/>
      <c r="X103" s="1910"/>
      <c r="Y103" s="1910"/>
      <c r="Z103" s="1910"/>
      <c r="AA103" s="1910"/>
      <c r="AB103" s="1910"/>
      <c r="AC103" s="1910"/>
      <c r="AD103" s="1910"/>
      <c r="AE103" s="1910"/>
      <c r="AF103" s="1910"/>
      <c r="AG103" s="1910"/>
      <c r="AH103" s="1910"/>
      <c r="AI103" s="1910"/>
      <c r="AJ103" s="1910"/>
      <c r="AK103" s="1889"/>
      <c r="AL103" s="3462">
        <f>10*AND(OR($AP$111=3,$AP$111=4),$AQ$111&gt;=1,$AR$111&gt;=2)</f>
        <v>0</v>
      </c>
      <c r="AM103" s="1778"/>
    </row>
    <row r="104" spans="1:48" ht="36" hidden="1" customHeight="1">
      <c r="B104" s="1644"/>
      <c r="C104" s="353"/>
      <c r="D104" s="353"/>
      <c r="F104" s="3487" t="s">
        <v>3489</v>
      </c>
      <c r="G104" s="1910"/>
      <c r="H104" s="1910"/>
      <c r="I104" s="1910"/>
      <c r="J104" s="1910"/>
      <c r="K104" s="1910"/>
      <c r="L104" s="1910"/>
      <c r="M104" s="1910"/>
      <c r="N104" s="1910"/>
      <c r="O104" s="1910"/>
      <c r="P104" s="1910"/>
      <c r="Q104" s="1910"/>
      <c r="R104" s="1910"/>
      <c r="S104" s="1910"/>
      <c r="T104" s="1910"/>
      <c r="U104" s="1910"/>
      <c r="V104" s="1910"/>
      <c r="W104" s="1910"/>
      <c r="X104" s="1910"/>
      <c r="Y104" s="1910"/>
      <c r="Z104" s="1910"/>
      <c r="AA104" s="1910"/>
      <c r="AB104" s="1910"/>
      <c r="AC104" s="1910"/>
      <c r="AD104" s="1910"/>
      <c r="AE104" s="1910"/>
      <c r="AF104" s="1910"/>
      <c r="AG104" s="1910"/>
      <c r="AH104" s="1910"/>
      <c r="AI104" s="1910"/>
      <c r="AJ104" s="1910"/>
      <c r="AK104" s="1889"/>
      <c r="AL104" s="3462">
        <f>15*AND($AP$111&gt;=5,$AQ$111&gt;=1,$AR$111&gt;=2)</f>
        <v>0</v>
      </c>
      <c r="AM104" s="1778"/>
      <c r="AP104" s="898"/>
    </row>
    <row r="105" spans="1:48" s="164" customFormat="1" ht="36" hidden="1" customHeight="1">
      <c r="B105" s="234"/>
      <c r="C105" s="233"/>
      <c r="D105" s="233"/>
      <c r="F105" s="3547" t="s">
        <v>3490</v>
      </c>
      <c r="G105" s="3622"/>
      <c r="H105" s="3622"/>
      <c r="I105" s="3622"/>
      <c r="J105" s="3622"/>
      <c r="K105" s="3622"/>
      <c r="L105" s="3622"/>
      <c r="M105" s="3622"/>
      <c r="N105" s="3622"/>
      <c r="O105" s="3622"/>
      <c r="P105" s="3622"/>
      <c r="Q105" s="3622"/>
      <c r="R105" s="3622"/>
      <c r="S105" s="3622"/>
      <c r="T105" s="3622"/>
      <c r="U105" s="3622"/>
      <c r="V105" s="3622"/>
      <c r="W105" s="3622"/>
      <c r="X105" s="3622"/>
      <c r="Y105" s="3622"/>
      <c r="Z105" s="3622"/>
      <c r="AA105" s="3622"/>
      <c r="AB105" s="3622"/>
      <c r="AC105" s="3622"/>
      <c r="AD105" s="3622"/>
      <c r="AE105" s="3622"/>
      <c r="AF105" s="3622"/>
      <c r="AG105" s="3622"/>
      <c r="AH105" s="3622"/>
      <c r="AI105" s="3622"/>
      <c r="AJ105" s="3622"/>
      <c r="AK105" s="3622"/>
      <c r="AL105" s="3622"/>
      <c r="AM105" s="1889"/>
      <c r="AN105" s="138"/>
      <c r="AO105" s="55"/>
      <c r="AP105" s="898"/>
      <c r="AQ105" s="138"/>
      <c r="AR105" s="138"/>
      <c r="AS105" s="138"/>
      <c r="AV105" s="55"/>
    </row>
    <row r="106" spans="1:48" s="95" customFormat="1" ht="36" hidden="1" customHeight="1">
      <c r="B106" s="1642"/>
      <c r="F106" s="2006" t="s">
        <v>3491</v>
      </c>
      <c r="G106" s="1888"/>
      <c r="H106" s="1888"/>
      <c r="I106" s="1888"/>
      <c r="J106" s="1888"/>
      <c r="K106" s="1888"/>
      <c r="L106" s="1888"/>
      <c r="M106" s="1888"/>
      <c r="N106" s="1888"/>
      <c r="O106" s="1888"/>
      <c r="P106" s="1888"/>
      <c r="Q106" s="1888"/>
      <c r="R106" s="1888"/>
      <c r="S106" s="1888"/>
      <c r="T106" s="1888"/>
      <c r="U106" s="1888"/>
      <c r="V106" s="1888"/>
      <c r="W106" s="1888"/>
      <c r="X106" s="1888"/>
      <c r="Y106" s="1888"/>
      <c r="Z106" s="1888"/>
      <c r="AA106" s="1888"/>
      <c r="AB106" s="1888"/>
      <c r="AC106" s="1888"/>
      <c r="AD106" s="1888"/>
      <c r="AE106" s="1888"/>
      <c r="AF106" s="1888"/>
      <c r="AG106" s="1888"/>
      <c r="AH106" s="1888"/>
      <c r="AI106" s="1888"/>
      <c r="AJ106" s="1888"/>
      <c r="AK106" s="1888"/>
      <c r="AL106" s="1911"/>
      <c r="AM106" s="1862"/>
    </row>
    <row r="107" spans="1:48" s="164" customFormat="1" ht="18.75" hidden="1" customHeight="1">
      <c r="B107" s="234"/>
      <c r="C107" s="233"/>
      <c r="D107" s="233"/>
      <c r="F107" s="3556" t="s">
        <v>3492</v>
      </c>
      <c r="G107" s="3622"/>
      <c r="H107" s="3622"/>
      <c r="I107" s="3622"/>
      <c r="J107" s="3622"/>
      <c r="K107" s="3622"/>
      <c r="L107" s="3622"/>
      <c r="M107" s="3622"/>
      <c r="N107" s="3622"/>
      <c r="O107" s="3622"/>
      <c r="P107" s="3479" t="s">
        <v>3493</v>
      </c>
      <c r="Q107" s="3622"/>
      <c r="R107" s="3622"/>
      <c r="S107" s="3622"/>
      <c r="T107" s="3622"/>
      <c r="U107" s="3622"/>
      <c r="V107" s="3622"/>
      <c r="W107" s="3622"/>
      <c r="X107" s="3622"/>
      <c r="Y107" s="3622"/>
      <c r="Z107" s="3622"/>
      <c r="AA107" s="3622"/>
      <c r="AB107" s="3622"/>
      <c r="AC107" s="3564" t="b">
        <f>vmSpecialNeeds="Yes"</f>
        <v>0</v>
      </c>
      <c r="AD107" s="1778"/>
      <c r="AH107" s="566"/>
      <c r="AI107" s="566"/>
      <c r="AJ107" s="566"/>
      <c r="AK107" s="566"/>
      <c r="AL107" s="566"/>
      <c r="AM107" s="1430"/>
      <c r="AN107" s="138"/>
      <c r="AO107" s="55"/>
      <c r="AP107" s="898"/>
      <c r="AQ107" s="138"/>
      <c r="AR107" s="138"/>
      <c r="AS107" s="138"/>
      <c r="AV107" s="55"/>
    </row>
    <row r="108" spans="1:48" ht="36" hidden="1" customHeight="1">
      <c r="B108" s="1644"/>
      <c r="C108" s="353"/>
      <c r="D108" s="353"/>
      <c r="F108" s="3487" t="s">
        <v>3494</v>
      </c>
      <c r="G108" s="1910"/>
      <c r="H108" s="1910"/>
      <c r="I108" s="1910"/>
      <c r="J108" s="1910"/>
      <c r="K108" s="1910"/>
      <c r="L108" s="1910"/>
      <c r="M108" s="1910"/>
      <c r="N108" s="1910"/>
      <c r="O108" s="1910"/>
      <c r="P108" s="1910"/>
      <c r="Q108" s="1910"/>
      <c r="R108" s="1910"/>
      <c r="S108" s="1910"/>
      <c r="T108" s="1910"/>
      <c r="U108" s="1910"/>
      <c r="V108" s="1910"/>
      <c r="W108" s="1910"/>
      <c r="X108" s="1910"/>
      <c r="Y108" s="1910"/>
      <c r="Z108" s="1910"/>
      <c r="AA108" s="1910"/>
      <c r="AB108" s="1910"/>
      <c r="AC108" s="1910"/>
      <c r="AD108" s="1910"/>
      <c r="AE108" s="1910"/>
      <c r="AF108" s="1910"/>
      <c r="AG108" s="1910"/>
      <c r="AH108" s="1910"/>
      <c r="AI108" s="1910"/>
      <c r="AJ108" s="1910"/>
      <c r="AK108" s="1889"/>
      <c r="AL108" s="3462">
        <f>IF($AC$107,15*AND($AS$111&gt;=4,$AR$111&gt;=1),0)</f>
        <v>0</v>
      </c>
      <c r="AM108" s="1778"/>
      <c r="AP108" s="898"/>
    </row>
    <row r="109" spans="1:48" s="95" customFormat="1" ht="18" hidden="1" customHeight="1">
      <c r="B109" s="1642"/>
      <c r="F109" s="3556" t="s">
        <v>3495</v>
      </c>
      <c r="G109" s="1888"/>
      <c r="H109" s="1888"/>
      <c r="I109" s="1888"/>
      <c r="J109" s="1888"/>
      <c r="K109" s="1888"/>
      <c r="L109" s="1888"/>
      <c r="M109" s="1888"/>
      <c r="N109" s="1888"/>
      <c r="O109" s="1888"/>
      <c r="P109" s="3475" t="s">
        <v>3496</v>
      </c>
      <c r="Q109" s="1888"/>
      <c r="R109" s="1888"/>
      <c r="S109" s="1888"/>
      <c r="T109" s="1888"/>
      <c r="U109" s="1888"/>
      <c r="V109" s="1888"/>
      <c r="W109" s="1888"/>
      <c r="X109" s="1888"/>
      <c r="Y109" s="1888"/>
      <c r="Z109" s="1888"/>
      <c r="AA109" s="1888"/>
      <c r="AB109" s="1888"/>
      <c r="AC109" s="1888"/>
      <c r="AD109" s="3557" t="b">
        <f>vmCBD="Yes"</f>
        <v>0</v>
      </c>
      <c r="AE109" s="1778"/>
      <c r="AF109" s="566"/>
      <c r="AG109" s="566"/>
      <c r="AH109" s="566"/>
      <c r="AI109" s="566"/>
      <c r="AJ109" s="566"/>
      <c r="AK109" s="566"/>
      <c r="AL109" s="566"/>
      <c r="AM109" s="1430"/>
    </row>
    <row r="110" spans="1:48" s="95" customFormat="1" ht="36" hidden="1" customHeight="1">
      <c r="B110" s="1642"/>
      <c r="F110" s="3487" t="s">
        <v>3497</v>
      </c>
      <c r="G110" s="1888"/>
      <c r="H110" s="1888"/>
      <c r="I110" s="1888"/>
      <c r="J110" s="1888"/>
      <c r="K110" s="1888"/>
      <c r="L110" s="1888"/>
      <c r="M110" s="1888"/>
      <c r="N110" s="1888"/>
      <c r="O110" s="1888"/>
      <c r="P110" s="1888"/>
      <c r="Q110" s="1888"/>
      <c r="R110" s="1888"/>
      <c r="S110" s="1888"/>
      <c r="T110" s="1888"/>
      <c r="U110" s="1888"/>
      <c r="V110" s="1888"/>
      <c r="W110" s="1888"/>
      <c r="X110" s="1888"/>
      <c r="Y110" s="1888"/>
      <c r="Z110" s="1888"/>
      <c r="AA110" s="1888"/>
      <c r="AB110" s="1888"/>
      <c r="AC110" s="1888"/>
      <c r="AD110" s="1888"/>
      <c r="AE110" s="1888"/>
      <c r="AF110" s="1888"/>
      <c r="AG110" s="1888"/>
      <c r="AH110" s="1888"/>
      <c r="AI110" s="1888"/>
      <c r="AJ110" s="1888"/>
      <c r="AK110" s="1889"/>
      <c r="AL110" s="3462">
        <f>IF(AD109,15*AND($AT$111&gt;=4,$AR$111&gt;=1),0)</f>
        <v>0</v>
      </c>
      <c r="AM110" s="1778"/>
      <c r="AO110" s="55"/>
    </row>
    <row r="111" spans="1:48" ht="60" hidden="1" customHeight="1">
      <c r="B111" s="3291" t="s">
        <v>596</v>
      </c>
      <c r="C111" s="1953"/>
      <c r="D111" s="1953"/>
      <c r="E111" s="1953"/>
      <c r="F111" s="1953"/>
      <c r="G111" s="1770"/>
      <c r="H111" s="3291" t="s">
        <v>597</v>
      </c>
      <c r="I111" s="1953"/>
      <c r="J111" s="1953"/>
      <c r="K111" s="1953"/>
      <c r="L111" s="1770"/>
      <c r="M111" s="3506" t="s">
        <v>3498</v>
      </c>
      <c r="N111" s="3291" t="s">
        <v>598</v>
      </c>
      <c r="O111" s="1953"/>
      <c r="P111" s="1770"/>
      <c r="Q111" s="3291" t="s">
        <v>3499</v>
      </c>
      <c r="R111" s="1953"/>
      <c r="S111" s="1770"/>
      <c r="T111" s="3291" t="s">
        <v>599</v>
      </c>
      <c r="U111" s="1777"/>
      <c r="V111" s="1777"/>
      <c r="W111" s="1778"/>
      <c r="X111" s="3291" t="s">
        <v>3500</v>
      </c>
      <c r="Y111" s="1777"/>
      <c r="Z111" s="1778"/>
      <c r="AA111" s="3291" t="s">
        <v>3501</v>
      </c>
      <c r="AB111" s="1953"/>
      <c r="AC111" s="1770"/>
      <c r="AD111" s="3291" t="s">
        <v>3502</v>
      </c>
      <c r="AE111" s="1778"/>
      <c r="AF111" s="3291" t="s">
        <v>3503</v>
      </c>
      <c r="AG111" s="1778"/>
      <c r="AH111" s="3291" t="s">
        <v>3504</v>
      </c>
      <c r="AI111" s="1953"/>
      <c r="AJ111" s="1770"/>
      <c r="AK111" s="3291" t="s">
        <v>3505</v>
      </c>
      <c r="AL111" s="1953"/>
      <c r="AM111" s="1770"/>
      <c r="AN111" s="899"/>
      <c r="AO111" s="898"/>
      <c r="AP111" s="900">
        <f>SUM(AP113:AP122)</f>
        <v>0</v>
      </c>
      <c r="AQ111" s="138">
        <f t="shared" ref="AQ111:AU111" si="1">SUM(AQ113:AQ122)</f>
        <v>0</v>
      </c>
      <c r="AR111" s="138">
        <f t="shared" si="1"/>
        <v>0</v>
      </c>
      <c r="AS111" s="1626">
        <f t="shared" si="1"/>
        <v>0</v>
      </c>
      <c r="AT111" s="1626">
        <f t="shared" si="1"/>
        <v>0</v>
      </c>
      <c r="AU111" s="1431">
        <f t="shared" si="1"/>
        <v>0</v>
      </c>
    </row>
    <row r="112" spans="1:48" ht="18" hidden="1" customHeight="1">
      <c r="B112" s="2479"/>
      <c r="C112" s="1877"/>
      <c r="D112" s="1877"/>
      <c r="E112" s="1877"/>
      <c r="F112" s="1877"/>
      <c r="G112" s="1772"/>
      <c r="H112" s="2479"/>
      <c r="I112" s="1877"/>
      <c r="J112" s="1877"/>
      <c r="K112" s="1877"/>
      <c r="L112" s="1772"/>
      <c r="M112" s="2465"/>
      <c r="N112" s="2479"/>
      <c r="O112" s="1877"/>
      <c r="P112" s="1772"/>
      <c r="Q112" s="2479"/>
      <c r="R112" s="1877"/>
      <c r="S112" s="1772"/>
      <c r="T112" s="3539">
        <f>COUNTIF($AO$113:$AO$122,1)</f>
        <v>0</v>
      </c>
      <c r="U112" s="1777"/>
      <c r="V112" s="1777"/>
      <c r="W112" s="1778"/>
      <c r="X112" s="3539">
        <f>COUNTIF(X113:Z122,TRUE)</f>
        <v>0</v>
      </c>
      <c r="Y112" s="1777"/>
      <c r="Z112" s="1778"/>
      <c r="AA112" s="2479"/>
      <c r="AB112" s="1877"/>
      <c r="AC112" s="1772"/>
      <c r="AD112" s="3450">
        <f>COUNTIF(AD113:AE122,TRUE)</f>
        <v>0</v>
      </c>
      <c r="AE112" s="1778"/>
      <c r="AF112" s="3450">
        <f>COUNTIF(AF113:AG122,TRUE)</f>
        <v>0</v>
      </c>
      <c r="AG112" s="1778"/>
      <c r="AH112" s="2479"/>
      <c r="AI112" s="1877"/>
      <c r="AJ112" s="1772"/>
      <c r="AK112" s="2479"/>
      <c r="AL112" s="1877"/>
      <c r="AM112" s="1772"/>
      <c r="AN112" s="901">
        <f>COUNTIF(AA113:AC122,"&gt;0")</f>
        <v>0</v>
      </c>
      <c r="AO112" s="138" t="s">
        <v>3506</v>
      </c>
      <c r="AP112" s="55" t="s">
        <v>3507</v>
      </c>
      <c r="AQ112" s="138" t="s">
        <v>3508</v>
      </c>
      <c r="AR112" s="138" t="s">
        <v>3509</v>
      </c>
      <c r="AS112" s="143" t="s">
        <v>3510</v>
      </c>
      <c r="AT112" s="143" t="s">
        <v>3511</v>
      </c>
      <c r="AU112" s="55" t="s">
        <v>3512</v>
      </c>
    </row>
    <row r="113" spans="1:47" ht="36" hidden="1" customHeight="1">
      <c r="B113" s="1626">
        <v>1</v>
      </c>
      <c r="C113" s="3277"/>
      <c r="D113" s="1861"/>
      <c r="E113" s="1861"/>
      <c r="F113" s="1861"/>
      <c r="G113" s="1862"/>
      <c r="H113" s="3283"/>
      <c r="I113" s="1861"/>
      <c r="J113" s="1861"/>
      <c r="K113" s="1861"/>
      <c r="L113" s="1862"/>
      <c r="M113" s="1728"/>
      <c r="N113" s="3283"/>
      <c r="O113" s="1861"/>
      <c r="P113" s="1862"/>
      <c r="Q113" s="3283"/>
      <c r="R113" s="1861"/>
      <c r="S113" s="1862"/>
      <c r="T113" s="3472"/>
      <c r="U113" s="1861"/>
      <c r="V113" s="1861"/>
      <c r="W113" s="1862"/>
      <c r="X113" s="3480"/>
      <c r="Y113" s="1861"/>
      <c r="Z113" s="1862"/>
      <c r="AA113" s="3453"/>
      <c r="AB113" s="1861"/>
      <c r="AC113" s="1862"/>
      <c r="AD113" s="3463" t="b">
        <f>IF($AA$113="",FALSE,IF($AH$113=FALSE,FALSE,IF(YEARFRAC($AA$113,MIN($AK$2,$AK$113),1)&gt;3,TRUE,FALSE)))</f>
        <v>0</v>
      </c>
      <c r="AE113" s="1778"/>
      <c r="AF113" s="3463" t="b">
        <f>IF($AA$113="",FALSE,IF($AH$113=FALSE,FALSE,IF(YEARFRAC($AA$113,MIN($AK$2,$AK$113),1)&gt;5,TRUE,FALSE)))</f>
        <v>0</v>
      </c>
      <c r="AG113" s="1778"/>
      <c r="AH113" s="3291" t="str">
        <f>IF(AND($C$113="",$AK$113=""),"",IF($AK$113="",TRUE,IF(YEARFRAC($AK$113,$AK$2,1)&lt;=10,TRUE,FALSE)))</f>
        <v/>
      </c>
      <c r="AI113" s="1777"/>
      <c r="AJ113" s="1778"/>
      <c r="AK113" s="3453"/>
      <c r="AL113" s="1861"/>
      <c r="AM113" s="1862"/>
      <c r="AN113" s="899"/>
      <c r="AO113" s="138">
        <f>IF(T113="",0,IF(OR(T113="HCD - Regulated",T113="4% TCAC",T113="9% TCAC"),1,0))</f>
        <v>0</v>
      </c>
      <c r="AP113" s="900">
        <f>IFERROR(--AND(X113,AD113),0)</f>
        <v>0</v>
      </c>
      <c r="AQ113" s="138">
        <f>IFERROR(--AND(AF113,X113),0)</f>
        <v>0</v>
      </c>
      <c r="AR113" s="138">
        <f>--AND(AO113=1,X113,AD113)</f>
        <v>0</v>
      </c>
      <c r="AS113" s="138">
        <f t="shared" ref="AS113:AS122" si="2">--AND(N113="Special Needs",AP113=1)</f>
        <v>0</v>
      </c>
      <c r="AT113" s="138">
        <f t="shared" ref="AT113:AT122" si="3">--AND(OR(vmCBD="Yes"),AP113=1)</f>
        <v>0</v>
      </c>
      <c r="AU113" s="138">
        <f t="shared" ref="AU113:AU122" si="4">--AND(AS113=1,AO113=1)</f>
        <v>0</v>
      </c>
    </row>
    <row r="114" spans="1:47" ht="36" hidden="1" customHeight="1">
      <c r="B114" s="1626">
        <v>2</v>
      </c>
      <c r="C114" s="3277"/>
      <c r="D114" s="1861"/>
      <c r="E114" s="1861"/>
      <c r="F114" s="1861"/>
      <c r="G114" s="1862"/>
      <c r="H114" s="3283"/>
      <c r="I114" s="1861"/>
      <c r="J114" s="1861"/>
      <c r="K114" s="1861"/>
      <c r="L114" s="1862"/>
      <c r="M114" s="1728"/>
      <c r="N114" s="3283"/>
      <c r="O114" s="1861"/>
      <c r="P114" s="1862"/>
      <c r="Q114" s="3283"/>
      <c r="R114" s="1861"/>
      <c r="S114" s="1862"/>
      <c r="T114" s="3472"/>
      <c r="U114" s="1861"/>
      <c r="V114" s="1861"/>
      <c r="W114" s="1862"/>
      <c r="X114" s="3480"/>
      <c r="Y114" s="1861"/>
      <c r="Z114" s="1862"/>
      <c r="AA114" s="3453"/>
      <c r="AB114" s="1861"/>
      <c r="AC114" s="1862"/>
      <c r="AD114" s="3463" t="b">
        <f>IF($AA$114="",FALSE,IF($AH$114=FALSE,FALSE,IF(YEARFRAC($AA$114,MIN($AK$2,$AK$114),1)&gt;3,TRUE,FALSE)))</f>
        <v>0</v>
      </c>
      <c r="AE114" s="1778"/>
      <c r="AF114" s="3463" t="b">
        <f>IF($AA$114="",FALSE,IF($AH$114=FALSE,FALSE,IF(YEARFRAC($AA$114,MIN($AK$2,$AK$114),1)&gt;5,TRUE,FALSE)))</f>
        <v>0</v>
      </c>
      <c r="AG114" s="1778"/>
      <c r="AH114" s="3291" t="str">
        <f>IF(AND($C$114="",$AK$114=""),"",IF($AK$114="",TRUE,IF(YEARFRAC($AK$114,$AK$2,1)&lt;=10,TRUE,FALSE)))</f>
        <v/>
      </c>
      <c r="AI114" s="1777"/>
      <c r="AJ114" s="1778"/>
      <c r="AK114" s="3453"/>
      <c r="AL114" s="1861"/>
      <c r="AM114" s="1862"/>
      <c r="AN114" s="899"/>
      <c r="AO114" s="138">
        <f t="shared" ref="AO114:AO122" si="5">IF(T114="",0,IF(OR(T114="HCD - Regulated",T114="4% TCAC",T114="9% TCAC"),1,0))</f>
        <v>0</v>
      </c>
      <c r="AP114" s="900">
        <f t="shared" ref="AP114:AP122" si="6">IFERROR(--AND(X114,AD114),0)</f>
        <v>0</v>
      </c>
      <c r="AQ114" s="138">
        <f t="shared" ref="AQ114:AQ122" si="7">IFERROR(--AND(AF114,X114),0)</f>
        <v>0</v>
      </c>
      <c r="AR114" s="138">
        <f t="shared" ref="AR114:AR122" si="8">--AND(AO114=1,X114,AD114)</f>
        <v>0</v>
      </c>
      <c r="AS114" s="138">
        <f t="shared" si="2"/>
        <v>0</v>
      </c>
      <c r="AT114" s="138">
        <f t="shared" si="3"/>
        <v>0</v>
      </c>
      <c r="AU114" s="138">
        <f t="shared" si="4"/>
        <v>0</v>
      </c>
    </row>
    <row r="115" spans="1:47" ht="36" hidden="1" customHeight="1">
      <c r="B115" s="1626">
        <v>3</v>
      </c>
      <c r="C115" s="3277"/>
      <c r="D115" s="1861"/>
      <c r="E115" s="1861"/>
      <c r="F115" s="1861"/>
      <c r="G115" s="1862"/>
      <c r="H115" s="3283"/>
      <c r="I115" s="1861"/>
      <c r="J115" s="1861"/>
      <c r="K115" s="1861"/>
      <c r="L115" s="1862"/>
      <c r="M115" s="1728"/>
      <c r="N115" s="3283"/>
      <c r="O115" s="1861"/>
      <c r="P115" s="1862"/>
      <c r="Q115" s="3283"/>
      <c r="R115" s="1861"/>
      <c r="S115" s="1862"/>
      <c r="T115" s="3472"/>
      <c r="U115" s="1861"/>
      <c r="V115" s="1861"/>
      <c r="W115" s="1862"/>
      <c r="X115" s="3480"/>
      <c r="Y115" s="1861"/>
      <c r="Z115" s="1862"/>
      <c r="AA115" s="3453"/>
      <c r="AB115" s="1861"/>
      <c r="AC115" s="1862"/>
      <c r="AD115" s="3463" t="b">
        <f>IF($AA$115="",FALSE,IF($AH$115=FALSE,FALSE,IF(YEARFRAC($AA$115,MIN($AK$2,$AK$115),1)&gt;3,TRUE,FALSE)))</f>
        <v>0</v>
      </c>
      <c r="AE115" s="1778"/>
      <c r="AF115" s="3463" t="b">
        <f>IF($AA$115="",FALSE,IF($AH$115=FALSE,FALSE,IF(YEARFRAC($AA$115,MIN($AK$2,$AK$115),1)&gt;5,TRUE,FALSE)))</f>
        <v>0</v>
      </c>
      <c r="AG115" s="1778"/>
      <c r="AH115" s="3291" t="str">
        <f>IF(AND($C$115="",$AK$115=""),"",IF($AK$115="",TRUE,IF(YEARFRAC($AK$115,$AK$2,1)&lt;=10,TRUE,FALSE)))</f>
        <v/>
      </c>
      <c r="AI115" s="1777"/>
      <c r="AJ115" s="1778"/>
      <c r="AK115" s="3453"/>
      <c r="AL115" s="1861"/>
      <c r="AM115" s="1862"/>
      <c r="AN115" s="899"/>
      <c r="AO115" s="138">
        <f t="shared" si="5"/>
        <v>0</v>
      </c>
      <c r="AP115" s="900">
        <f t="shared" si="6"/>
        <v>0</v>
      </c>
      <c r="AQ115" s="138">
        <f t="shared" si="7"/>
        <v>0</v>
      </c>
      <c r="AR115" s="138">
        <f t="shared" si="8"/>
        <v>0</v>
      </c>
      <c r="AS115" s="138">
        <f t="shared" si="2"/>
        <v>0</v>
      </c>
      <c r="AT115" s="138">
        <f t="shared" si="3"/>
        <v>0</v>
      </c>
      <c r="AU115" s="138">
        <f t="shared" si="4"/>
        <v>0</v>
      </c>
    </row>
    <row r="116" spans="1:47" ht="36" hidden="1" customHeight="1">
      <c r="B116" s="1626">
        <v>4</v>
      </c>
      <c r="C116" s="3277"/>
      <c r="D116" s="1861"/>
      <c r="E116" s="1861"/>
      <c r="F116" s="1861"/>
      <c r="G116" s="1862"/>
      <c r="H116" s="3283"/>
      <c r="I116" s="1861"/>
      <c r="J116" s="1861"/>
      <c r="K116" s="1861"/>
      <c r="L116" s="1862"/>
      <c r="M116" s="1728"/>
      <c r="N116" s="3283"/>
      <c r="O116" s="1861"/>
      <c r="P116" s="1862"/>
      <c r="Q116" s="3283"/>
      <c r="R116" s="1861"/>
      <c r="S116" s="1862"/>
      <c r="T116" s="3472"/>
      <c r="U116" s="1861"/>
      <c r="V116" s="1861"/>
      <c r="W116" s="1862"/>
      <c r="X116" s="3480"/>
      <c r="Y116" s="1861"/>
      <c r="Z116" s="1862"/>
      <c r="AA116" s="3453"/>
      <c r="AB116" s="1861"/>
      <c r="AC116" s="1862"/>
      <c r="AD116" s="3463" t="b">
        <f>IF($AA$116="",FALSE,IF($AH$116=FALSE,FALSE,IF(YEARFRAC($AA$116,MIN($AK$2,$AK$116),1)&gt;3,TRUE,FALSE)))</f>
        <v>0</v>
      </c>
      <c r="AE116" s="1778"/>
      <c r="AF116" s="3463" t="b">
        <f>IF($AA$116="",FALSE,IF($AH$116=FALSE,FALSE,IF(YEARFRAC($AA$116,MIN($AK$2,$AK$116),1)&gt;5,TRUE,FALSE)))</f>
        <v>0</v>
      </c>
      <c r="AG116" s="1778"/>
      <c r="AH116" s="3291" t="str">
        <f>IF(AND($C$116="",$AK$116=""),"",IF($AK$116="",TRUE,IF(YEARFRAC($AK$116,$AK$2,1)&lt;=10,TRUE,FALSE)))</f>
        <v/>
      </c>
      <c r="AI116" s="1777"/>
      <c r="AJ116" s="1778"/>
      <c r="AK116" s="3453"/>
      <c r="AL116" s="1861"/>
      <c r="AM116" s="1862"/>
      <c r="AN116" s="899"/>
      <c r="AO116" s="138">
        <f t="shared" si="5"/>
        <v>0</v>
      </c>
      <c r="AP116" s="900">
        <f t="shared" si="6"/>
        <v>0</v>
      </c>
      <c r="AQ116" s="138">
        <f t="shared" si="7"/>
        <v>0</v>
      </c>
      <c r="AR116" s="138">
        <f t="shared" si="8"/>
        <v>0</v>
      </c>
      <c r="AS116" s="138">
        <f t="shared" si="2"/>
        <v>0</v>
      </c>
      <c r="AT116" s="138">
        <f t="shared" si="3"/>
        <v>0</v>
      </c>
      <c r="AU116" s="138">
        <f t="shared" si="4"/>
        <v>0</v>
      </c>
    </row>
    <row r="117" spans="1:47" ht="36" hidden="1" customHeight="1">
      <c r="B117" s="1626">
        <v>5</v>
      </c>
      <c r="C117" s="3277"/>
      <c r="D117" s="1861"/>
      <c r="E117" s="1861"/>
      <c r="F117" s="1861"/>
      <c r="G117" s="1862"/>
      <c r="H117" s="3283"/>
      <c r="I117" s="1861"/>
      <c r="J117" s="1861"/>
      <c r="K117" s="1861"/>
      <c r="L117" s="1862"/>
      <c r="M117" s="1728"/>
      <c r="N117" s="3283"/>
      <c r="O117" s="1861"/>
      <c r="P117" s="1862"/>
      <c r="Q117" s="3283"/>
      <c r="R117" s="1861"/>
      <c r="S117" s="1862"/>
      <c r="T117" s="3472"/>
      <c r="U117" s="1861"/>
      <c r="V117" s="1861"/>
      <c r="W117" s="1862"/>
      <c r="X117" s="3480"/>
      <c r="Y117" s="1861"/>
      <c r="Z117" s="1862"/>
      <c r="AA117" s="3453"/>
      <c r="AB117" s="1861"/>
      <c r="AC117" s="1862"/>
      <c r="AD117" s="3463" t="b">
        <f>IF($AA$117="",FALSE,IF($AH$117=FALSE,FALSE,IF(YEARFRAC($AA$117,MIN($AK$2,$AK$117),1)&gt;3,TRUE,FALSE)))</f>
        <v>0</v>
      </c>
      <c r="AE117" s="1778"/>
      <c r="AF117" s="3463" t="b">
        <f>IF($AA$117="",FALSE,IF($AH$117=FALSE,FALSE,IF(YEARFRAC($AA$117,MIN($AK$2,$AK$117),1)&gt;5,TRUE,FALSE)))</f>
        <v>0</v>
      </c>
      <c r="AG117" s="1778"/>
      <c r="AH117" s="3291" t="str">
        <f>IF(AND($C$117="",$AK$117=""),"",IF($AK$117="",TRUE,IF(YEARFRAC($AK$117,$AK$2,1)&lt;=10,TRUE,FALSE)))</f>
        <v/>
      </c>
      <c r="AI117" s="1777"/>
      <c r="AJ117" s="1778"/>
      <c r="AK117" s="3453"/>
      <c r="AL117" s="1861"/>
      <c r="AM117" s="1862"/>
      <c r="AN117" s="899"/>
      <c r="AO117" s="138">
        <f t="shared" si="5"/>
        <v>0</v>
      </c>
      <c r="AP117" s="900">
        <f t="shared" si="6"/>
        <v>0</v>
      </c>
      <c r="AQ117" s="138">
        <f t="shared" si="7"/>
        <v>0</v>
      </c>
      <c r="AR117" s="138">
        <f t="shared" si="8"/>
        <v>0</v>
      </c>
      <c r="AS117" s="138">
        <f t="shared" si="2"/>
        <v>0</v>
      </c>
      <c r="AT117" s="138">
        <f t="shared" si="3"/>
        <v>0</v>
      </c>
      <c r="AU117" s="138">
        <f t="shared" si="4"/>
        <v>0</v>
      </c>
    </row>
    <row r="118" spans="1:47" ht="36" hidden="1" customHeight="1">
      <c r="B118" s="1626">
        <v>6</v>
      </c>
      <c r="C118" s="3277"/>
      <c r="D118" s="1861"/>
      <c r="E118" s="1861"/>
      <c r="F118" s="1861"/>
      <c r="G118" s="1862"/>
      <c r="H118" s="3283"/>
      <c r="I118" s="1861"/>
      <c r="J118" s="1861"/>
      <c r="K118" s="1861"/>
      <c r="L118" s="1862"/>
      <c r="M118" s="1728"/>
      <c r="N118" s="3283"/>
      <c r="O118" s="1861"/>
      <c r="P118" s="1862"/>
      <c r="Q118" s="3283"/>
      <c r="R118" s="1861"/>
      <c r="S118" s="1862"/>
      <c r="T118" s="3472"/>
      <c r="U118" s="1861"/>
      <c r="V118" s="1861"/>
      <c r="W118" s="1862"/>
      <c r="X118" s="3480"/>
      <c r="Y118" s="1861"/>
      <c r="Z118" s="1862"/>
      <c r="AA118" s="3453"/>
      <c r="AB118" s="1861"/>
      <c r="AC118" s="1862"/>
      <c r="AD118" s="3463" t="b">
        <f>IF($AA$118="",FALSE,IF($AH$118=FALSE,FALSE,IF(YEARFRAC($AA$118,MIN($AK$2,$AK$118),1)&gt;3,TRUE,FALSE)))</f>
        <v>0</v>
      </c>
      <c r="AE118" s="1778"/>
      <c r="AF118" s="3463" t="b">
        <f>IF($AA$118="",FALSE,IF($AH$118=FALSE,FALSE,IF(YEARFRAC($AA$118,MIN($AK$2,$AK$118),1)&gt;5,TRUE,FALSE)))</f>
        <v>0</v>
      </c>
      <c r="AG118" s="1778"/>
      <c r="AH118" s="3291" t="str">
        <f>IF(AND($C$118="",$AK$118=""),"",IF($AK$118="",TRUE,IF(YEARFRAC($AK$118,$AK$2,1)&lt;=10,TRUE,FALSE)))</f>
        <v/>
      </c>
      <c r="AI118" s="1777"/>
      <c r="AJ118" s="1778"/>
      <c r="AK118" s="3453"/>
      <c r="AL118" s="1861"/>
      <c r="AM118" s="1862"/>
      <c r="AN118" s="899"/>
      <c r="AO118" s="138">
        <f t="shared" si="5"/>
        <v>0</v>
      </c>
      <c r="AP118" s="900">
        <f t="shared" si="6"/>
        <v>0</v>
      </c>
      <c r="AQ118" s="138">
        <f t="shared" si="7"/>
        <v>0</v>
      </c>
      <c r="AR118" s="138">
        <f t="shared" si="8"/>
        <v>0</v>
      </c>
      <c r="AS118" s="138">
        <f t="shared" si="2"/>
        <v>0</v>
      </c>
      <c r="AT118" s="138">
        <f t="shared" si="3"/>
        <v>0</v>
      </c>
      <c r="AU118" s="138">
        <f t="shared" si="4"/>
        <v>0</v>
      </c>
    </row>
    <row r="119" spans="1:47" ht="36" hidden="1" customHeight="1">
      <c r="B119" s="1626">
        <v>7</v>
      </c>
      <c r="C119" s="3277"/>
      <c r="D119" s="1861"/>
      <c r="E119" s="1861"/>
      <c r="F119" s="1861"/>
      <c r="G119" s="1862"/>
      <c r="H119" s="3283"/>
      <c r="I119" s="1861"/>
      <c r="J119" s="1861"/>
      <c r="K119" s="1861"/>
      <c r="L119" s="1862"/>
      <c r="M119" s="1728"/>
      <c r="N119" s="3283"/>
      <c r="O119" s="1861"/>
      <c r="P119" s="1862"/>
      <c r="Q119" s="3283"/>
      <c r="R119" s="1861"/>
      <c r="S119" s="1862"/>
      <c r="T119" s="3472"/>
      <c r="U119" s="1861"/>
      <c r="V119" s="1861"/>
      <c r="W119" s="1862"/>
      <c r="X119" s="3480"/>
      <c r="Y119" s="1861"/>
      <c r="Z119" s="1862"/>
      <c r="AA119" s="3453"/>
      <c r="AB119" s="1861"/>
      <c r="AC119" s="1862"/>
      <c r="AD119" s="3463" t="b">
        <f>IF($AA$119="",FALSE,IF($AH$119=FALSE,FALSE,IF(YEARFRAC($AA$119,MIN($AK$2,$AK$119),1)&gt;3,TRUE,FALSE)))</f>
        <v>0</v>
      </c>
      <c r="AE119" s="1778"/>
      <c r="AF119" s="3463" t="b">
        <f>IF($AA$119="",FALSE,IF($AH$119=FALSE,FALSE,IF(YEARFRAC($AA$119,MIN($AK$2,$AK$119),1)&gt;5,TRUE,FALSE)))</f>
        <v>0</v>
      </c>
      <c r="AG119" s="1778"/>
      <c r="AH119" s="3291" t="str">
        <f>IF(AND($C$119="",$AK$119=""),"",IF($AK$119="",TRUE,IF(YEARFRAC($AK$119,$AK$2,1)&lt;=10,TRUE,FALSE)))</f>
        <v/>
      </c>
      <c r="AI119" s="1777"/>
      <c r="AJ119" s="1778"/>
      <c r="AK119" s="3453"/>
      <c r="AL119" s="1861"/>
      <c r="AM119" s="1862"/>
      <c r="AN119" s="899"/>
      <c r="AO119" s="138">
        <f t="shared" si="5"/>
        <v>0</v>
      </c>
      <c r="AP119" s="900">
        <f t="shared" si="6"/>
        <v>0</v>
      </c>
      <c r="AQ119" s="138">
        <f t="shared" si="7"/>
        <v>0</v>
      </c>
      <c r="AR119" s="138">
        <f t="shared" si="8"/>
        <v>0</v>
      </c>
      <c r="AS119" s="138">
        <f t="shared" si="2"/>
        <v>0</v>
      </c>
      <c r="AT119" s="138">
        <f t="shared" si="3"/>
        <v>0</v>
      </c>
      <c r="AU119" s="138">
        <f t="shared" si="4"/>
        <v>0</v>
      </c>
    </row>
    <row r="120" spans="1:47" ht="36" hidden="1" customHeight="1">
      <c r="B120" s="1626">
        <v>8</v>
      </c>
      <c r="C120" s="3277"/>
      <c r="D120" s="1861"/>
      <c r="E120" s="1861"/>
      <c r="F120" s="1861"/>
      <c r="G120" s="1862"/>
      <c r="H120" s="3283"/>
      <c r="I120" s="1861"/>
      <c r="J120" s="1861"/>
      <c r="K120" s="1861"/>
      <c r="L120" s="1862"/>
      <c r="M120" s="1728"/>
      <c r="N120" s="3283"/>
      <c r="O120" s="1861"/>
      <c r="P120" s="1862"/>
      <c r="Q120" s="3283"/>
      <c r="R120" s="1861"/>
      <c r="S120" s="1862"/>
      <c r="T120" s="3472"/>
      <c r="U120" s="1861"/>
      <c r="V120" s="1861"/>
      <c r="W120" s="1862"/>
      <c r="X120" s="3480"/>
      <c r="Y120" s="1861"/>
      <c r="Z120" s="1862"/>
      <c r="AA120" s="3453"/>
      <c r="AB120" s="1861"/>
      <c r="AC120" s="1862"/>
      <c r="AD120" s="3463" t="b">
        <f>IF($AA$120="",FALSE,IF($AH$120=FALSE,FALSE,IF(YEARFRAC($AA$120,MIN($AK$2,$AK$120),1)&gt;3,TRUE,FALSE)))</f>
        <v>0</v>
      </c>
      <c r="AE120" s="1778"/>
      <c r="AF120" s="3463" t="b">
        <f>IF($AA$120="",FALSE,IF($AH$120=FALSE,FALSE,IF(YEARFRAC($AA$120,MIN($AK$2,$AK$120),1)&gt;5,TRUE,FALSE)))</f>
        <v>0</v>
      </c>
      <c r="AG120" s="1778"/>
      <c r="AH120" s="3291" t="str">
        <f>IF(AND($C$120="",$AK$120=""),"",IF($AK$120="",TRUE,IF(YEARFRAC($AK$120,$AK$2,1)&lt;=10,TRUE,FALSE)))</f>
        <v/>
      </c>
      <c r="AI120" s="1777"/>
      <c r="AJ120" s="1778"/>
      <c r="AK120" s="3453"/>
      <c r="AL120" s="1861"/>
      <c r="AM120" s="1862"/>
      <c r="AN120" s="899"/>
      <c r="AO120" s="138">
        <f t="shared" si="5"/>
        <v>0</v>
      </c>
      <c r="AP120" s="900">
        <f t="shared" si="6"/>
        <v>0</v>
      </c>
      <c r="AQ120" s="138">
        <f t="shared" si="7"/>
        <v>0</v>
      </c>
      <c r="AR120" s="138">
        <f t="shared" si="8"/>
        <v>0</v>
      </c>
      <c r="AS120" s="138">
        <f t="shared" si="2"/>
        <v>0</v>
      </c>
      <c r="AT120" s="138">
        <f t="shared" si="3"/>
        <v>0</v>
      </c>
      <c r="AU120" s="138">
        <f t="shared" si="4"/>
        <v>0</v>
      </c>
    </row>
    <row r="121" spans="1:47" ht="36" hidden="1" customHeight="1">
      <c r="B121" s="1626">
        <v>9</v>
      </c>
      <c r="C121" s="3277"/>
      <c r="D121" s="1861"/>
      <c r="E121" s="1861"/>
      <c r="F121" s="1861"/>
      <c r="G121" s="1862"/>
      <c r="H121" s="3283"/>
      <c r="I121" s="1861"/>
      <c r="J121" s="1861"/>
      <c r="K121" s="1861"/>
      <c r="L121" s="1862"/>
      <c r="M121" s="1728"/>
      <c r="N121" s="3283"/>
      <c r="O121" s="1861"/>
      <c r="P121" s="1862"/>
      <c r="Q121" s="3283"/>
      <c r="R121" s="1861"/>
      <c r="S121" s="1862"/>
      <c r="T121" s="3472"/>
      <c r="U121" s="1861"/>
      <c r="V121" s="1861"/>
      <c r="W121" s="1862"/>
      <c r="X121" s="3480"/>
      <c r="Y121" s="1861"/>
      <c r="Z121" s="1862"/>
      <c r="AA121" s="3453"/>
      <c r="AB121" s="1861"/>
      <c r="AC121" s="1862"/>
      <c r="AD121" s="3463" t="b">
        <f>IF($AA$121="",FALSE,IF($AH$121=FALSE,FALSE,IF(YEARFRAC($AA$121,MIN($AK$2,$AK$121),1)&gt;3,TRUE,FALSE)))</f>
        <v>0</v>
      </c>
      <c r="AE121" s="1778"/>
      <c r="AF121" s="3463" t="b">
        <f>IF($AA$121="",FALSE,IF($AH$121=FALSE,FALSE,IF(YEARFRAC($AA$121,MIN($AK$2,$AK$121),1)&gt;5,TRUE,FALSE)))</f>
        <v>0</v>
      </c>
      <c r="AG121" s="1778"/>
      <c r="AH121" s="3291" t="str">
        <f>IF(AND($C$121="",$AK$121=""),"",IF($AK$121="",TRUE,IF(YEARFRAC($AK$121,$AK$2,1)&lt;=10,TRUE,FALSE)))</f>
        <v/>
      </c>
      <c r="AI121" s="1777"/>
      <c r="AJ121" s="1778"/>
      <c r="AK121" s="3453"/>
      <c r="AL121" s="1861"/>
      <c r="AM121" s="1862"/>
      <c r="AN121" s="899"/>
      <c r="AO121" s="138">
        <f t="shared" si="5"/>
        <v>0</v>
      </c>
      <c r="AP121" s="900">
        <f t="shared" si="6"/>
        <v>0</v>
      </c>
      <c r="AQ121" s="138">
        <f t="shared" si="7"/>
        <v>0</v>
      </c>
      <c r="AR121" s="138">
        <f t="shared" si="8"/>
        <v>0</v>
      </c>
      <c r="AS121" s="138">
        <f t="shared" si="2"/>
        <v>0</v>
      </c>
      <c r="AT121" s="138">
        <f t="shared" si="3"/>
        <v>0</v>
      </c>
      <c r="AU121" s="138">
        <f t="shared" si="4"/>
        <v>0</v>
      </c>
    </row>
    <row r="122" spans="1:47" ht="36" hidden="1" customHeight="1">
      <c r="B122" s="1626">
        <v>10</v>
      </c>
      <c r="C122" s="3277"/>
      <c r="D122" s="1861"/>
      <c r="E122" s="1861"/>
      <c r="F122" s="1861"/>
      <c r="G122" s="1862"/>
      <c r="H122" s="3283"/>
      <c r="I122" s="1861"/>
      <c r="J122" s="1861"/>
      <c r="K122" s="1861"/>
      <c r="L122" s="1862"/>
      <c r="M122" s="1728"/>
      <c r="N122" s="3283"/>
      <c r="O122" s="1861"/>
      <c r="P122" s="1862"/>
      <c r="Q122" s="3283"/>
      <c r="R122" s="1861"/>
      <c r="S122" s="1862"/>
      <c r="T122" s="3472"/>
      <c r="U122" s="1861"/>
      <c r="V122" s="1861"/>
      <c r="W122" s="1862"/>
      <c r="X122" s="3480"/>
      <c r="Y122" s="1861"/>
      <c r="Z122" s="1862"/>
      <c r="AA122" s="3453"/>
      <c r="AB122" s="1861"/>
      <c r="AC122" s="1862"/>
      <c r="AD122" s="3463" t="b">
        <f>IF($AA$122="",FALSE,IF($AH$122=FALSE,FALSE,IF(YEARFRAC($AA$122,MIN($AK$2,$AK$122),1)&gt;3,TRUE,FALSE)))</f>
        <v>0</v>
      </c>
      <c r="AE122" s="1778"/>
      <c r="AF122" s="3463" t="b">
        <f>IF($AA$122="",FALSE,IF($AH$122=FALSE,FALSE,IF(YEARFRAC($AA$122,MIN($AK$2,$AK$122),1)&gt;5,TRUE,FALSE)))</f>
        <v>0</v>
      </c>
      <c r="AG122" s="1778"/>
      <c r="AH122" s="3291" t="str">
        <f>IF(AND($C$122="",$AK$122=""),"",IF($AK$122="",TRUE,IF(YEARFRAC($AK$122,$AK$2,1)&lt;=10,TRUE,FALSE)))</f>
        <v/>
      </c>
      <c r="AI122" s="1777"/>
      <c r="AJ122" s="1778"/>
      <c r="AK122" s="3453"/>
      <c r="AL122" s="1861"/>
      <c r="AM122" s="1862"/>
      <c r="AN122" s="899"/>
      <c r="AO122" s="138">
        <f t="shared" si="5"/>
        <v>0</v>
      </c>
      <c r="AP122" s="900">
        <f t="shared" si="6"/>
        <v>0</v>
      </c>
      <c r="AQ122" s="138">
        <f t="shared" si="7"/>
        <v>0</v>
      </c>
      <c r="AR122" s="138">
        <f t="shared" si="8"/>
        <v>0</v>
      </c>
      <c r="AS122" s="138">
        <f t="shared" si="2"/>
        <v>0</v>
      </c>
      <c r="AT122" s="138">
        <f t="shared" si="3"/>
        <v>0</v>
      </c>
      <c r="AU122" s="138">
        <f t="shared" si="4"/>
        <v>0</v>
      </c>
    </row>
    <row r="123" spans="1:47" ht="18.75" hidden="1" customHeight="1">
      <c r="A123" s="304"/>
      <c r="B123" s="1942" t="s">
        <v>558</v>
      </c>
      <c r="C123" s="1777"/>
      <c r="D123" s="1778"/>
      <c r="E123" s="2013" t="str">
        <f>'Document Checklist-Full List'!$E$170</f>
        <v>77. Resume Principal</v>
      </c>
      <c r="F123" s="1777"/>
      <c r="G123" s="1777"/>
      <c r="H123" s="1777"/>
      <c r="I123" s="1777"/>
      <c r="J123" s="1777"/>
      <c r="K123" s="1777"/>
      <c r="L123" s="1777"/>
      <c r="M123" s="1778"/>
      <c r="N123" s="2013" t="str">
        <f>'Document Checklist-Full List'!$N$170</f>
        <v>Resume of Principal.</v>
      </c>
      <c r="O123" s="1777"/>
      <c r="P123" s="1777"/>
      <c r="Q123" s="1777"/>
      <c r="R123" s="1777"/>
      <c r="S123" s="1777"/>
      <c r="T123" s="1777"/>
      <c r="U123" s="1777"/>
      <c r="V123" s="1777"/>
      <c r="W123" s="1777"/>
      <c r="X123" s="1777"/>
      <c r="Y123" s="1777"/>
      <c r="Z123" s="1777"/>
      <c r="AA123" s="1777"/>
      <c r="AB123" s="1777"/>
      <c r="AC123" s="1777"/>
      <c r="AD123" s="1777"/>
      <c r="AE123" s="1778"/>
      <c r="AF123" s="1886" t="s">
        <v>559</v>
      </c>
      <c r="AG123" s="1777"/>
      <c r="AH123" s="1777"/>
      <c r="AI123" s="1777"/>
      <c r="AJ123" s="1777"/>
      <c r="AK123" s="1778"/>
      <c r="AL123" s="1911"/>
      <c r="AM123" s="1862"/>
      <c r="AN123" s="899"/>
      <c r="AP123" s="902"/>
      <c r="AT123" s="138"/>
      <c r="AU123" s="138"/>
    </row>
    <row r="124" spans="1:47" ht="18.75" hidden="1" customHeight="1">
      <c r="A124" s="304"/>
      <c r="B124" s="1942" t="s">
        <v>558</v>
      </c>
      <c r="C124" s="1777"/>
      <c r="D124" s="1778"/>
      <c r="E124" s="2013" t="str">
        <f>'Document Checklist-Full List'!$E$171</f>
        <v>78. SOQ Principal</v>
      </c>
      <c r="F124" s="1777"/>
      <c r="G124" s="1777"/>
      <c r="H124" s="1777"/>
      <c r="I124" s="1777"/>
      <c r="J124" s="1777"/>
      <c r="K124" s="1777"/>
      <c r="L124" s="1777"/>
      <c r="M124" s="1778"/>
      <c r="N124" s="2013" t="str">
        <f>'Document Checklist-Full List'!$N$171</f>
        <v>Statement of Qualifications of Principal.</v>
      </c>
      <c r="O124" s="1777"/>
      <c r="P124" s="1777"/>
      <c r="Q124" s="1777"/>
      <c r="R124" s="1777"/>
      <c r="S124" s="1777"/>
      <c r="T124" s="1777"/>
      <c r="U124" s="1777"/>
      <c r="V124" s="1777"/>
      <c r="W124" s="1777"/>
      <c r="X124" s="1777"/>
      <c r="Y124" s="1777"/>
      <c r="Z124" s="1777"/>
      <c r="AA124" s="1777"/>
      <c r="AB124" s="1777"/>
      <c r="AC124" s="1777"/>
      <c r="AD124" s="1777"/>
      <c r="AE124" s="1778"/>
      <c r="AF124" s="1886" t="s">
        <v>559</v>
      </c>
      <c r="AG124" s="1777"/>
      <c r="AH124" s="1777"/>
      <c r="AI124" s="1777"/>
      <c r="AJ124" s="1777"/>
      <c r="AK124" s="1778"/>
      <c r="AL124" s="1911"/>
      <c r="AM124" s="1862"/>
      <c r="AN124" s="899"/>
      <c r="AP124" s="902"/>
      <c r="AT124" s="138"/>
      <c r="AU124" s="138"/>
    </row>
    <row r="125" spans="1:47" ht="54" hidden="1" customHeight="1">
      <c r="A125" s="304"/>
      <c r="B125" s="1942" t="s">
        <v>558</v>
      </c>
      <c r="C125" s="1777"/>
      <c r="D125" s="1778"/>
      <c r="E125" s="2013" t="str">
        <f>'Document Checklist-Full List'!$E$172</f>
        <v>79. Cert of Employment</v>
      </c>
      <c r="F125" s="1777"/>
      <c r="G125" s="1777"/>
      <c r="H125" s="1777"/>
      <c r="I125" s="1777"/>
      <c r="J125" s="1777"/>
      <c r="K125" s="1777"/>
      <c r="L125" s="1777"/>
      <c r="M125" s="1778"/>
      <c r="N125" s="2013" t="str">
        <f>'Document Checklist-Full List'!$N$172</f>
        <v>Certification of Prior Employment Executed by Previous Employer(s), the certification of prior employment must include verification of the projects listed in this section and the corresponding dates of experience.</v>
      </c>
      <c r="O125" s="1777"/>
      <c r="P125" s="1777"/>
      <c r="Q125" s="1777"/>
      <c r="R125" s="1777"/>
      <c r="S125" s="1777"/>
      <c r="T125" s="1777"/>
      <c r="U125" s="1777"/>
      <c r="V125" s="1777"/>
      <c r="W125" s="1777"/>
      <c r="X125" s="1777"/>
      <c r="Y125" s="1777"/>
      <c r="Z125" s="1777"/>
      <c r="AA125" s="1777"/>
      <c r="AB125" s="1777"/>
      <c r="AC125" s="1777"/>
      <c r="AD125" s="1777"/>
      <c r="AE125" s="1778"/>
      <c r="AF125" s="1886" t="s">
        <v>559</v>
      </c>
      <c r="AG125" s="1777"/>
      <c r="AH125" s="1777"/>
      <c r="AI125" s="1777"/>
      <c r="AJ125" s="1777"/>
      <c r="AK125" s="1778"/>
      <c r="AL125" s="1911"/>
      <c r="AM125" s="1862"/>
      <c r="AN125" s="899"/>
      <c r="AP125" s="902"/>
      <c r="AT125" s="138"/>
      <c r="AU125" s="138"/>
    </row>
    <row r="126" spans="1:47" ht="79.349999999999994" hidden="1" customHeight="1">
      <c r="A126" s="304"/>
      <c r="B126" s="1942" t="s">
        <v>558</v>
      </c>
      <c r="C126" s="1777"/>
      <c r="D126" s="1778"/>
      <c r="E126" s="2013" t="str">
        <f>'Document Checklist-Full List'!$E$173</f>
        <v>80. Certification of Fiscal Integrity</v>
      </c>
      <c r="F126" s="1777"/>
      <c r="G126" s="1777"/>
      <c r="H126" s="1777"/>
      <c r="I126" s="1777"/>
      <c r="J126" s="1777"/>
      <c r="K126" s="1777"/>
      <c r="L126" s="1777"/>
      <c r="M126" s="1778"/>
      <c r="N126" s="2013" t="str">
        <f>'Document Checklist-Full List'!$N$173</f>
        <v>Submit a certification that the projects for which points are requested have maintained Fiscal Integrity for the year in which each Rental Housing Development’s last financial statement has been prepared, a positive operating cash flow from typical residential income alone and have funded reserves in accordance with the partnership agreement and any applicable loan documents.</v>
      </c>
      <c r="O126" s="1777"/>
      <c r="P126" s="1777"/>
      <c r="Q126" s="1777"/>
      <c r="R126" s="1777"/>
      <c r="S126" s="1777"/>
      <c r="T126" s="1777"/>
      <c r="U126" s="1777"/>
      <c r="V126" s="1777"/>
      <c r="W126" s="1777"/>
      <c r="X126" s="1777"/>
      <c r="Y126" s="1777"/>
      <c r="Z126" s="1777"/>
      <c r="AA126" s="1777"/>
      <c r="AB126" s="1777"/>
      <c r="AC126" s="1777"/>
      <c r="AD126" s="1777"/>
      <c r="AE126" s="1778"/>
      <c r="AF126" s="1886" t="s">
        <v>559</v>
      </c>
      <c r="AG126" s="1777"/>
      <c r="AH126" s="1777"/>
      <c r="AI126" s="1777"/>
      <c r="AJ126" s="1777"/>
      <c r="AK126" s="1778"/>
      <c r="AL126" s="1911"/>
      <c r="AM126" s="1862"/>
      <c r="AN126" s="899"/>
      <c r="AP126" s="902"/>
      <c r="AT126" s="138"/>
      <c r="AU126" s="138"/>
    </row>
    <row r="127" spans="1:47" s="451" customFormat="1" ht="18.75" hidden="1" customHeight="1">
      <c r="B127" s="452"/>
      <c r="C127" s="1432"/>
      <c r="D127" s="1432"/>
      <c r="E127" s="1432"/>
      <c r="F127" s="1433"/>
      <c r="G127" s="1433"/>
      <c r="H127" s="1433"/>
      <c r="I127" s="1433"/>
      <c r="J127" s="1433"/>
      <c r="K127" s="1433"/>
      <c r="L127" s="1433"/>
      <c r="M127" s="1433"/>
      <c r="N127" s="1433"/>
      <c r="O127" s="1433"/>
      <c r="P127" s="1433"/>
      <c r="Q127" s="1433"/>
      <c r="R127" s="1433"/>
      <c r="S127" s="1433"/>
      <c r="T127" s="1433"/>
      <c r="U127" s="1433"/>
      <c r="V127" s="1433"/>
      <c r="W127" s="1433"/>
      <c r="X127" s="1433"/>
      <c r="Y127" s="1433"/>
      <c r="Z127" s="1433"/>
      <c r="AA127" s="1433"/>
      <c r="AB127" s="1433"/>
      <c r="AC127" s="1433"/>
      <c r="AD127" s="1433"/>
      <c r="AE127" s="1433"/>
      <c r="AF127" s="1433"/>
      <c r="AG127" s="1433"/>
      <c r="AH127" s="1433"/>
      <c r="AI127" s="1433"/>
      <c r="AJ127" s="1433"/>
      <c r="AK127" s="1433"/>
      <c r="AL127" s="1433"/>
      <c r="AM127" s="1434"/>
    </row>
    <row r="128" spans="1:47" ht="39" hidden="1" customHeight="1">
      <c r="B128" s="453"/>
      <c r="C128" s="890"/>
      <c r="D128" s="1435">
        <v>2</v>
      </c>
      <c r="E128" s="3699" t="s">
        <v>3513</v>
      </c>
      <c r="F128" s="1877"/>
      <c r="G128" s="1877"/>
      <c r="H128" s="1877"/>
      <c r="I128" s="1877"/>
      <c r="J128" s="1877"/>
      <c r="K128" s="1877"/>
      <c r="L128" s="1877"/>
      <c r="M128" s="1877"/>
      <c r="N128" s="1877"/>
      <c r="O128" s="1877"/>
      <c r="P128" s="1877"/>
      <c r="Q128" s="1877"/>
      <c r="R128" s="1877"/>
      <c r="S128" s="1877"/>
      <c r="T128" s="1877"/>
      <c r="U128" s="1877"/>
      <c r="V128" s="1877"/>
      <c r="W128" s="1877"/>
      <c r="X128" s="1877"/>
      <c r="Y128" s="1877"/>
      <c r="Z128" s="1877"/>
      <c r="AA128" s="1877"/>
      <c r="AB128" s="1877"/>
      <c r="AC128" s="1877"/>
      <c r="AD128" s="1877"/>
      <c r="AE128" s="1877"/>
      <c r="AF128" s="1877"/>
      <c r="AG128" s="1877"/>
      <c r="AH128" s="1877"/>
      <c r="AI128" s="1877"/>
      <c r="AJ128" s="1877"/>
      <c r="AK128" s="1877"/>
      <c r="AL128" s="1877"/>
      <c r="AM128" s="1772"/>
    </row>
    <row r="129" spans="1:46" ht="35.25" hidden="1" customHeight="1">
      <c r="B129" s="1942" t="s">
        <v>558</v>
      </c>
      <c r="C129" s="1777"/>
      <c r="D129" s="1778"/>
      <c r="E129" s="2013" t="str">
        <f>'Document Checklist-Full List'!$E$174</f>
        <v>81. Enforceable MA</v>
      </c>
      <c r="F129" s="1777"/>
      <c r="G129" s="1777"/>
      <c r="H129" s="1777"/>
      <c r="I129" s="1777"/>
      <c r="J129" s="1777"/>
      <c r="K129" s="1777"/>
      <c r="L129" s="1777"/>
      <c r="M129" s="1778"/>
      <c r="N129" s="2013" t="str">
        <f>'Document Checklist-Full List'!$N$174</f>
        <v xml:space="preserve">An enforceable management agreement executed by both parties for the subject application must be submitted at the time of application. </v>
      </c>
      <c r="O129" s="1777"/>
      <c r="P129" s="1777"/>
      <c r="Q129" s="1777"/>
      <c r="R129" s="1777"/>
      <c r="S129" s="1777"/>
      <c r="T129" s="1777"/>
      <c r="U129" s="1777"/>
      <c r="V129" s="1777"/>
      <c r="W129" s="1777"/>
      <c r="X129" s="1777"/>
      <c r="Y129" s="1777"/>
      <c r="Z129" s="1777"/>
      <c r="AA129" s="1777"/>
      <c r="AB129" s="1777"/>
      <c r="AC129" s="1777"/>
      <c r="AD129" s="1777"/>
      <c r="AE129" s="1778"/>
      <c r="AF129" s="1886" t="s">
        <v>559</v>
      </c>
      <c r="AG129" s="1777"/>
      <c r="AH129" s="1777"/>
      <c r="AI129" s="1777"/>
      <c r="AJ129" s="1777"/>
      <c r="AK129" s="1778"/>
      <c r="AL129" s="1911"/>
      <c r="AM129" s="1862"/>
    </row>
    <row r="130" spans="1:46" ht="18" hidden="1" customHeight="1">
      <c r="B130" s="780"/>
      <c r="C130" s="352"/>
      <c r="E130" s="3667" t="s">
        <v>3514</v>
      </c>
      <c r="F130" s="1953"/>
      <c r="G130" s="1953"/>
      <c r="H130" s="1953"/>
      <c r="I130" s="1953"/>
      <c r="J130" s="1953"/>
      <c r="K130" s="1953"/>
      <c r="L130" s="1953"/>
      <c r="M130" s="1953"/>
      <c r="N130" s="1953"/>
      <c r="O130" s="1953"/>
      <c r="P130" s="1953"/>
      <c r="Q130" s="1953"/>
      <c r="R130" s="1953"/>
      <c r="S130" s="1953"/>
      <c r="T130" s="1953"/>
      <c r="U130" s="1953"/>
      <c r="V130" s="1953"/>
      <c r="W130" s="1953"/>
      <c r="X130" s="1770"/>
      <c r="Y130" s="3617"/>
      <c r="Z130" s="1861"/>
      <c r="AA130" s="1861"/>
      <c r="AB130" s="1861"/>
      <c r="AC130" s="1861"/>
      <c r="AD130" s="1861"/>
      <c r="AE130" s="1861"/>
      <c r="AF130" s="1861"/>
      <c r="AG130" s="1861"/>
      <c r="AH130" s="1861"/>
      <c r="AI130" s="1861"/>
      <c r="AJ130" s="1861"/>
      <c r="AK130" s="1861"/>
      <c r="AL130" s="1861"/>
      <c r="AM130" s="1862"/>
      <c r="AN130" s="55"/>
    </row>
    <row r="131" spans="1:46" s="95" customFormat="1" ht="18" hidden="1" customHeight="1">
      <c r="B131" s="1642"/>
      <c r="F131" s="3493" t="s">
        <v>3515</v>
      </c>
      <c r="G131" s="1888"/>
      <c r="H131" s="1888"/>
      <c r="I131" s="1888"/>
      <c r="J131" s="1888"/>
      <c r="K131" s="1888"/>
      <c r="L131" s="1888"/>
      <c r="M131" s="1888"/>
      <c r="N131" s="1888"/>
      <c r="O131" s="1888"/>
      <c r="P131" s="1888"/>
      <c r="Q131" s="1888"/>
      <c r="R131" s="1888"/>
      <c r="S131" s="1888"/>
      <c r="T131" s="1888"/>
      <c r="U131" s="1888"/>
      <c r="V131" s="1888"/>
      <c r="W131" s="1888"/>
      <c r="X131" s="1888"/>
      <c r="Y131" s="1888"/>
      <c r="Z131" s="1888"/>
      <c r="AA131" s="3687"/>
      <c r="AB131" s="1862"/>
      <c r="AM131" s="949"/>
    </row>
    <row r="132" spans="1:46" s="95" customFormat="1" ht="36" hidden="1" customHeight="1">
      <c r="B132" s="1642"/>
      <c r="E132" s="569"/>
      <c r="F132" s="2122" t="s">
        <v>3516</v>
      </c>
      <c r="G132" s="1888"/>
      <c r="H132" s="1888"/>
      <c r="I132" s="1888"/>
      <c r="J132" s="1888"/>
      <c r="K132" s="1888"/>
      <c r="L132" s="1888"/>
      <c r="M132" s="1888"/>
      <c r="N132" s="1888"/>
      <c r="O132" s="1888"/>
      <c r="P132" s="1888"/>
      <c r="Q132" s="1888"/>
      <c r="R132" s="1888"/>
      <c r="S132" s="1888"/>
      <c r="T132" s="1888"/>
      <c r="U132" s="1888"/>
      <c r="V132" s="1888"/>
      <c r="W132" s="1888"/>
      <c r="X132" s="1888"/>
      <c r="Y132" s="1888"/>
      <c r="Z132" s="1888"/>
      <c r="AA132" s="1888"/>
      <c r="AB132" s="1888"/>
      <c r="AC132" s="1888"/>
      <c r="AD132" s="1888"/>
      <c r="AE132" s="1888"/>
      <c r="AF132" s="1888"/>
      <c r="AG132" s="1888"/>
      <c r="AH132" s="1888"/>
      <c r="AI132" s="1888"/>
      <c r="AJ132" s="1888"/>
      <c r="AK132" s="1888"/>
      <c r="AL132" s="1888"/>
      <c r="AM132" s="1889"/>
      <c r="AO132" s="138"/>
      <c r="AP132" s="138"/>
    </row>
    <row r="133" spans="1:46" s="95" customFormat="1" ht="18" hidden="1" customHeight="1">
      <c r="B133" s="1642"/>
      <c r="F133" s="2996" t="s">
        <v>3487</v>
      </c>
      <c r="G133" s="1888"/>
      <c r="H133" s="1888"/>
      <c r="I133" s="1888"/>
      <c r="J133" s="1888"/>
      <c r="K133" s="1888"/>
      <c r="L133" s="1888"/>
      <c r="M133" s="1888"/>
      <c r="N133" s="1888"/>
      <c r="O133" s="1888"/>
      <c r="P133" s="1888"/>
      <c r="Q133" s="1888"/>
      <c r="R133" s="1888"/>
      <c r="S133" s="1888"/>
      <c r="T133" s="1888"/>
      <c r="U133" s="1888"/>
      <c r="V133" s="1888"/>
      <c r="W133" s="1888"/>
      <c r="X133" s="1888"/>
      <c r="Y133" s="1888"/>
      <c r="Z133" s="1888"/>
      <c r="AA133" s="1888"/>
      <c r="AB133" s="1888"/>
      <c r="AC133" s="1888"/>
      <c r="AD133" s="1888"/>
      <c r="AE133" s="1888"/>
      <c r="AF133" s="1888"/>
      <c r="AG133" s="1888"/>
      <c r="AH133" s="1888"/>
      <c r="AI133" s="1888"/>
      <c r="AJ133" s="1888"/>
      <c r="AK133" s="1888"/>
      <c r="AL133" s="1888"/>
      <c r="AM133" s="1889"/>
      <c r="AP133" s="138"/>
      <c r="AR133" s="138"/>
      <c r="AS133" s="138"/>
    </row>
    <row r="134" spans="1:46" ht="36" hidden="1" customHeight="1">
      <c r="B134" s="1644"/>
      <c r="C134" s="353"/>
      <c r="F134" s="3487" t="s">
        <v>3517</v>
      </c>
      <c r="G134" s="1910"/>
      <c r="H134" s="1910"/>
      <c r="I134" s="1910"/>
      <c r="J134" s="1910"/>
      <c r="K134" s="1910"/>
      <c r="L134" s="1910"/>
      <c r="M134" s="1910"/>
      <c r="N134" s="1910"/>
      <c r="O134" s="1910"/>
      <c r="P134" s="1910"/>
      <c r="Q134" s="1910"/>
      <c r="R134" s="1910"/>
      <c r="S134" s="1910"/>
      <c r="T134" s="1910"/>
      <c r="U134" s="1910"/>
      <c r="V134" s="1910"/>
      <c r="W134" s="1910"/>
      <c r="X134" s="1910"/>
      <c r="Y134" s="1910"/>
      <c r="Z134" s="1910"/>
      <c r="AA134" s="1910"/>
      <c r="AB134" s="1910"/>
      <c r="AC134" s="1910"/>
      <c r="AD134" s="1910"/>
      <c r="AE134" s="1910"/>
      <c r="AF134" s="1910"/>
      <c r="AG134" s="1910"/>
      <c r="AH134" s="1910"/>
      <c r="AI134" s="1910"/>
      <c r="AJ134" s="1910"/>
      <c r="AK134" s="1889"/>
      <c r="AL134" s="3558">
        <f>IF(AND(OR($AP$146=6,$AP$146=7,$AP$146=8,$AP$146=9,$AP$146=10),$AL$129="Yes",$AR$146&gt;=2),3,0)</f>
        <v>0</v>
      </c>
      <c r="AM134" s="1778"/>
      <c r="AP134" s="138"/>
    </row>
    <row r="135" spans="1:46" ht="35.25" hidden="1" customHeight="1">
      <c r="B135" s="1644"/>
      <c r="C135" s="353"/>
      <c r="D135" s="353"/>
      <c r="F135" s="3487" t="s">
        <v>3518</v>
      </c>
      <c r="G135" s="1910"/>
      <c r="H135" s="1910"/>
      <c r="I135" s="1910"/>
      <c r="J135" s="1910"/>
      <c r="K135" s="1910"/>
      <c r="L135" s="1910"/>
      <c r="M135" s="1910"/>
      <c r="N135" s="1910"/>
      <c r="O135" s="1910"/>
      <c r="P135" s="1910"/>
      <c r="Q135" s="1910"/>
      <c r="R135" s="1910"/>
      <c r="S135" s="1910"/>
      <c r="T135" s="1910"/>
      <c r="U135" s="1910"/>
      <c r="V135" s="1910"/>
      <c r="W135" s="1910"/>
      <c r="X135" s="1910"/>
      <c r="Y135" s="1910"/>
      <c r="Z135" s="1910"/>
      <c r="AA135" s="1910"/>
      <c r="AB135" s="1910"/>
      <c r="AC135" s="1910"/>
      <c r="AD135" s="1910"/>
      <c r="AE135" s="1910"/>
      <c r="AF135" s="1910"/>
      <c r="AG135" s="1910"/>
      <c r="AH135" s="1910"/>
      <c r="AI135" s="1910"/>
      <c r="AJ135" s="1910"/>
      <c r="AK135" s="1889"/>
      <c r="AL135" s="3462">
        <f>IF(AND($AL$129="Yes",$AP$146&gt;=11,$AR$146&gt;=2),5,0)</f>
        <v>0</v>
      </c>
      <c r="AM135" s="1778"/>
      <c r="AO135" s="138"/>
    </row>
    <row r="136" spans="1:46" ht="18" hidden="1" customHeight="1">
      <c r="B136" s="1644"/>
      <c r="C136" s="233"/>
      <c r="D136" s="233"/>
      <c r="F136" s="3547" t="s">
        <v>3519</v>
      </c>
      <c r="G136" s="1910"/>
      <c r="H136" s="1910"/>
      <c r="I136" s="1910"/>
      <c r="J136" s="1910"/>
      <c r="K136" s="1910"/>
      <c r="L136" s="1910"/>
      <c r="M136" s="1910"/>
      <c r="N136" s="1910"/>
      <c r="O136" s="1910"/>
      <c r="P136" s="1910"/>
      <c r="Q136" s="1910"/>
      <c r="R136" s="1910"/>
      <c r="S136" s="1910"/>
      <c r="T136" s="1910"/>
      <c r="U136" s="1910"/>
      <c r="V136" s="1910"/>
      <c r="W136" s="1910"/>
      <c r="X136" s="1910"/>
      <c r="Y136" s="1910"/>
      <c r="Z136" s="1910"/>
      <c r="AA136" s="1910"/>
      <c r="AB136" s="1910"/>
      <c r="AC136" s="1910"/>
      <c r="AD136" s="1910"/>
      <c r="AE136" s="1910"/>
      <c r="AF136" s="1910"/>
      <c r="AG136" s="1910"/>
      <c r="AH136" s="1910"/>
      <c r="AI136" s="1910"/>
      <c r="AJ136" s="1910"/>
      <c r="AK136" s="1910"/>
      <c r="AL136" s="1910"/>
      <c r="AM136" s="1889"/>
      <c r="AO136" s="138"/>
    </row>
    <row r="137" spans="1:46" s="95" customFormat="1" ht="18" hidden="1" customHeight="1">
      <c r="B137" s="1642"/>
      <c r="F137" s="3556" t="s">
        <v>3492</v>
      </c>
      <c r="G137" s="1888"/>
      <c r="H137" s="1888"/>
      <c r="I137" s="1888"/>
      <c r="J137" s="1888"/>
      <c r="K137" s="1888"/>
      <c r="L137" s="1888"/>
      <c r="M137" s="1888"/>
      <c r="N137" s="1888"/>
      <c r="O137" s="1888"/>
      <c r="P137" s="3479" t="s">
        <v>3493</v>
      </c>
      <c r="Q137" s="1888"/>
      <c r="R137" s="1888"/>
      <c r="S137" s="1888"/>
      <c r="T137" s="1888"/>
      <c r="U137" s="1888"/>
      <c r="V137" s="1888"/>
      <c r="W137" s="1888"/>
      <c r="X137" s="1888"/>
      <c r="Y137" s="1888"/>
      <c r="Z137" s="1888"/>
      <c r="AA137" s="1888"/>
      <c r="AB137" s="1888"/>
      <c r="AC137" s="3564" t="b">
        <f>vmSpecialNeeds="Yes"</f>
        <v>0</v>
      </c>
      <c r="AD137" s="1778"/>
      <c r="AE137" s="566"/>
      <c r="AF137" s="566"/>
      <c r="AG137" s="566"/>
      <c r="AH137" s="566"/>
      <c r="AI137" s="566"/>
      <c r="AJ137" s="566"/>
      <c r="AK137" s="566"/>
      <c r="AL137" s="566"/>
      <c r="AM137" s="1430"/>
    </row>
    <row r="138" spans="1:46" ht="35.25" hidden="1" customHeight="1">
      <c r="B138" s="1644"/>
      <c r="C138" s="353"/>
      <c r="D138" s="353"/>
      <c r="F138" s="3487" t="s">
        <v>3520</v>
      </c>
      <c r="G138" s="1910"/>
      <c r="H138" s="1910"/>
      <c r="I138" s="1910"/>
      <c r="J138" s="1910"/>
      <c r="K138" s="1910"/>
      <c r="L138" s="1910"/>
      <c r="M138" s="1910"/>
      <c r="N138" s="1910"/>
      <c r="O138" s="1910"/>
      <c r="P138" s="1910"/>
      <c r="Q138" s="1910"/>
      <c r="R138" s="1910"/>
      <c r="S138" s="1910"/>
      <c r="T138" s="1910"/>
      <c r="U138" s="1910"/>
      <c r="V138" s="1910"/>
      <c r="W138" s="1910"/>
      <c r="X138" s="1910"/>
      <c r="Y138" s="1910"/>
      <c r="Z138" s="1910"/>
      <c r="AA138" s="1910"/>
      <c r="AB138" s="1910"/>
      <c r="AC138" s="1910"/>
      <c r="AD138" s="1910"/>
      <c r="AE138" s="1910"/>
      <c r="AF138" s="1910"/>
      <c r="AG138" s="1910"/>
      <c r="AH138" s="1910"/>
      <c r="AI138" s="1910"/>
      <c r="AJ138" s="1910"/>
      <c r="AK138" s="1889"/>
      <c r="AL138" s="3462">
        <f>IF(AC137,IF(AND($AL$129="Yes",$AS$146&gt;=4,$AU$146&gt;=1),5,IF(AND($AL$129="Yes",$W$147&gt;=11),5,0)),0)</f>
        <v>0</v>
      </c>
      <c r="AM138" s="1778"/>
    </row>
    <row r="139" spans="1:46" s="95" customFormat="1" ht="18" hidden="1" customHeight="1">
      <c r="B139" s="1642"/>
      <c r="F139" s="3556" t="s">
        <v>3495</v>
      </c>
      <c r="G139" s="1888"/>
      <c r="H139" s="1888"/>
      <c r="I139" s="1888"/>
      <c r="J139" s="1888"/>
      <c r="K139" s="1888"/>
      <c r="L139" s="1888"/>
      <c r="M139" s="1888"/>
      <c r="N139" s="1888"/>
      <c r="O139" s="1888"/>
      <c r="P139" s="3475" t="s">
        <v>3496</v>
      </c>
      <c r="Q139" s="1888"/>
      <c r="R139" s="1888"/>
      <c r="S139" s="1888"/>
      <c r="T139" s="1888"/>
      <c r="U139" s="1888"/>
      <c r="V139" s="1888"/>
      <c r="W139" s="1888"/>
      <c r="X139" s="1888"/>
      <c r="Y139" s="1888"/>
      <c r="Z139" s="1888"/>
      <c r="AA139" s="1888"/>
      <c r="AB139" s="1888"/>
      <c r="AC139" s="1888"/>
      <c r="AD139" s="3557" t="b">
        <f>vmCBD="Yes"</f>
        <v>0</v>
      </c>
      <c r="AE139" s="1778"/>
      <c r="AF139" s="566"/>
      <c r="AG139" s="566"/>
      <c r="AH139" s="566"/>
      <c r="AI139" s="566"/>
      <c r="AJ139" s="566"/>
      <c r="AK139" s="566"/>
      <c r="AL139" s="566"/>
      <c r="AM139" s="1430"/>
    </row>
    <row r="140" spans="1:46" s="95" customFormat="1" ht="35.25" hidden="1" customHeight="1">
      <c r="B140" s="1642"/>
      <c r="F140" s="3487" t="s">
        <v>3521</v>
      </c>
      <c r="G140" s="1888"/>
      <c r="H140" s="1888"/>
      <c r="I140" s="1888"/>
      <c r="J140" s="1888"/>
      <c r="K140" s="1888"/>
      <c r="L140" s="1888"/>
      <c r="M140" s="1888"/>
      <c r="N140" s="1888"/>
      <c r="O140" s="1888"/>
      <c r="P140" s="1888"/>
      <c r="Q140" s="1888"/>
      <c r="R140" s="1888"/>
      <c r="S140" s="1888"/>
      <c r="T140" s="1888"/>
      <c r="U140" s="1888"/>
      <c r="V140" s="1888"/>
      <c r="W140" s="1888"/>
      <c r="X140" s="1888"/>
      <c r="Y140" s="1888"/>
      <c r="Z140" s="1888"/>
      <c r="AA140" s="1888"/>
      <c r="AB140" s="1888"/>
      <c r="AC140" s="1888"/>
      <c r="AD140" s="1888"/>
      <c r="AE140" s="1888"/>
      <c r="AF140" s="1888"/>
      <c r="AG140" s="1888"/>
      <c r="AH140" s="1888"/>
      <c r="AI140" s="1888"/>
      <c r="AJ140" s="1888"/>
      <c r="AK140" s="1889"/>
      <c r="AL140" s="3462">
        <f>IF($AD$139,IF(AND($AL$129="Yes",$AT$146&gt;=4,$AR$146&gt;=1),5,IF(AND($AL$129="Yes",$W$147&gt;=11),5,0)),0)</f>
        <v>0</v>
      </c>
      <c r="AM140" s="1778"/>
    </row>
    <row r="141" spans="1:46" s="474" customFormat="1" ht="63" hidden="1" customHeight="1">
      <c r="A141" s="55"/>
      <c r="B141" s="1659"/>
      <c r="C141" s="353"/>
      <c r="D141" s="353"/>
      <c r="E141" s="353"/>
      <c r="F141" s="3493" t="s">
        <v>3522</v>
      </c>
      <c r="G141" s="1964"/>
      <c r="H141" s="1964"/>
      <c r="I141" s="1964"/>
      <c r="J141" s="1964"/>
      <c r="K141" s="1964"/>
      <c r="L141" s="1964"/>
      <c r="M141" s="1964"/>
      <c r="N141" s="1964"/>
      <c r="O141" s="1964"/>
      <c r="P141" s="1964"/>
      <c r="Q141" s="1964"/>
      <c r="R141" s="1964"/>
      <c r="S141" s="1964"/>
      <c r="T141" s="1964"/>
      <c r="U141" s="1964"/>
      <c r="V141" s="1964"/>
      <c r="W141" s="1964"/>
      <c r="X141" s="1964"/>
      <c r="Y141" s="1964"/>
      <c r="Z141" s="1964"/>
      <c r="AA141" s="1964"/>
      <c r="AB141" s="1964"/>
      <c r="AC141" s="1964"/>
      <c r="AD141" s="1964"/>
      <c r="AE141" s="1964"/>
      <c r="AF141" s="1964"/>
      <c r="AG141" s="1964"/>
      <c r="AH141" s="1964"/>
      <c r="AI141" s="1964"/>
      <c r="AJ141" s="1964"/>
      <c r="AK141" s="1964"/>
      <c r="AL141" s="353"/>
      <c r="AM141" s="1425"/>
      <c r="AN141" s="55"/>
      <c r="AO141" s="55"/>
      <c r="AP141" s="55"/>
      <c r="AQ141" s="138"/>
      <c r="AR141" s="138"/>
      <c r="AS141" s="138"/>
      <c r="AT141" s="55"/>
    </row>
    <row r="142" spans="1:46" s="95" customFormat="1" ht="18" hidden="1" customHeight="1">
      <c r="B142" s="808"/>
      <c r="F142" s="3590" t="s">
        <v>3523</v>
      </c>
      <c r="G142" s="1888"/>
      <c r="H142" s="1888"/>
      <c r="I142" s="1888"/>
      <c r="J142" s="1888"/>
      <c r="K142" s="1888"/>
      <c r="L142" s="1888"/>
      <c r="M142" s="1888"/>
      <c r="N142" s="1888"/>
      <c r="O142" s="1888"/>
      <c r="P142" s="1888"/>
      <c r="Q142" s="1888"/>
      <c r="R142" s="1888"/>
      <c r="S142" s="1888"/>
      <c r="T142" s="1888"/>
      <c r="U142" s="1888"/>
      <c r="V142" s="1888"/>
      <c r="W142" s="1888"/>
      <c r="X142" s="1888"/>
      <c r="Y142" s="1888"/>
      <c r="Z142" s="1888"/>
      <c r="AA142" s="1888"/>
      <c r="AB142" s="1888"/>
      <c r="AC142" s="1888"/>
      <c r="AD142" s="1888"/>
      <c r="AE142" s="1888"/>
      <c r="AF142" s="1888"/>
      <c r="AG142" s="1888"/>
      <c r="AH142" s="1888"/>
      <c r="AI142" s="1888"/>
      <c r="AJ142" s="1888"/>
      <c r="AK142" s="1888"/>
      <c r="AM142" s="1478"/>
    </row>
    <row r="143" spans="1:46" s="474" customFormat="1" ht="18" hidden="1" customHeight="1">
      <c r="A143" s="55"/>
      <c r="B143" s="1867" t="s">
        <v>558</v>
      </c>
      <c r="C143" s="1777"/>
      <c r="D143" s="1778"/>
      <c r="E143" s="2013" t="str">
        <f>'Document Checklist-Full List'!$E$175</f>
        <v>82. Resume PPM</v>
      </c>
      <c r="F143" s="1777"/>
      <c r="G143" s="1777"/>
      <c r="H143" s="1777"/>
      <c r="I143" s="1777"/>
      <c r="J143" s="1777"/>
      <c r="K143" s="1777"/>
      <c r="L143" s="1777"/>
      <c r="M143" s="1778"/>
      <c r="N143" s="1882" t="str">
        <f>'Document Checklist-Full List'!$N$175</f>
        <v>Property Management Principal’s Resume.</v>
      </c>
      <c r="O143" s="1777"/>
      <c r="P143" s="1777"/>
      <c r="Q143" s="1777"/>
      <c r="R143" s="1777"/>
      <c r="S143" s="1777"/>
      <c r="T143" s="1777"/>
      <c r="U143" s="1777"/>
      <c r="V143" s="1777"/>
      <c r="W143" s="1777"/>
      <c r="X143" s="1777"/>
      <c r="Y143" s="1777"/>
      <c r="Z143" s="1777"/>
      <c r="AA143" s="1777"/>
      <c r="AB143" s="1777"/>
      <c r="AC143" s="1777"/>
      <c r="AD143" s="1777"/>
      <c r="AE143" s="1778"/>
      <c r="AF143" s="1886" t="s">
        <v>559</v>
      </c>
      <c r="AG143" s="1777"/>
      <c r="AH143" s="1777"/>
      <c r="AI143" s="1777"/>
      <c r="AJ143" s="1777"/>
      <c r="AK143" s="1778"/>
      <c r="AL143" s="1911"/>
      <c r="AM143" s="1862"/>
      <c r="AN143" s="55"/>
      <c r="AO143" s="55"/>
      <c r="AP143" s="55"/>
      <c r="AQ143" s="138"/>
      <c r="AR143" s="138"/>
      <c r="AS143" s="138"/>
      <c r="AT143" s="55"/>
    </row>
    <row r="144" spans="1:46" s="474" customFormat="1" ht="18" hidden="1" customHeight="1">
      <c r="A144" s="55"/>
      <c r="B144" s="1942" t="s">
        <v>558</v>
      </c>
      <c r="C144" s="1777"/>
      <c r="D144" s="1778"/>
      <c r="E144" s="2013" t="str">
        <f>'Document Checklist-Full List'!$E$176</f>
        <v>83. SOQ PPM</v>
      </c>
      <c r="F144" s="1777"/>
      <c r="G144" s="1777"/>
      <c r="H144" s="1777"/>
      <c r="I144" s="1777"/>
      <c r="J144" s="1777"/>
      <c r="K144" s="1777"/>
      <c r="L144" s="1777"/>
      <c r="M144" s="1778"/>
      <c r="N144" s="1882" t="str">
        <f>'Document Checklist-Full List'!$N$176</f>
        <v>Property Management Principal’s Statement of Qualifications.</v>
      </c>
      <c r="O144" s="1777"/>
      <c r="P144" s="1777"/>
      <c r="Q144" s="1777"/>
      <c r="R144" s="1777"/>
      <c r="S144" s="1777"/>
      <c r="T144" s="1777"/>
      <c r="U144" s="1777"/>
      <c r="V144" s="1777"/>
      <c r="W144" s="1777"/>
      <c r="X144" s="1777"/>
      <c r="Y144" s="1777"/>
      <c r="Z144" s="1777"/>
      <c r="AA144" s="1777"/>
      <c r="AB144" s="1777"/>
      <c r="AC144" s="1777"/>
      <c r="AD144" s="1777"/>
      <c r="AE144" s="1778"/>
      <c r="AF144" s="1886" t="s">
        <v>559</v>
      </c>
      <c r="AG144" s="1777"/>
      <c r="AH144" s="1777"/>
      <c r="AI144" s="1777"/>
      <c r="AJ144" s="1777"/>
      <c r="AK144" s="1778"/>
      <c r="AL144" s="1911"/>
      <c r="AM144" s="1862"/>
      <c r="AN144" s="55"/>
      <c r="AO144" s="55"/>
      <c r="AP144" s="55"/>
      <c r="AQ144" s="138"/>
      <c r="AR144" s="138"/>
      <c r="AS144" s="138"/>
      <c r="AT144" s="55"/>
    </row>
    <row r="145" spans="1:48" s="474" customFormat="1" ht="63" hidden="1" customHeight="1">
      <c r="A145" s="55"/>
      <c r="B145" s="1942" t="s">
        <v>558</v>
      </c>
      <c r="C145" s="1777"/>
      <c r="D145" s="1778"/>
      <c r="E145" s="2013" t="str">
        <f>'Document Checklist-Full List'!$E$177</f>
        <v>84. Cert of Employment PPM</v>
      </c>
      <c r="F145" s="1777"/>
      <c r="G145" s="1777"/>
      <c r="H145" s="1777"/>
      <c r="I145" s="1777"/>
      <c r="J145" s="1777"/>
      <c r="K145" s="1777"/>
      <c r="L145" s="1777"/>
      <c r="M145" s="1778"/>
      <c r="N145" s="1882" t="str">
        <f>'Document Checklist-Full List'!$N$177</f>
        <v>Property Management Principal’s Certification of Prior Employment, Executed by Previous Employer(s), the certification of prior employment must include verification of the projects listed in this section and the corresponding dates of experience.</v>
      </c>
      <c r="O145" s="1777"/>
      <c r="P145" s="1777"/>
      <c r="Q145" s="1777"/>
      <c r="R145" s="1777"/>
      <c r="S145" s="1777"/>
      <c r="T145" s="1777"/>
      <c r="U145" s="1777"/>
      <c r="V145" s="1777"/>
      <c r="W145" s="1777"/>
      <c r="X145" s="1777"/>
      <c r="Y145" s="1777"/>
      <c r="Z145" s="1777"/>
      <c r="AA145" s="1777"/>
      <c r="AB145" s="1777"/>
      <c r="AC145" s="1777"/>
      <c r="AD145" s="1777"/>
      <c r="AE145" s="1778"/>
      <c r="AF145" s="1886" t="s">
        <v>559</v>
      </c>
      <c r="AG145" s="1777"/>
      <c r="AH145" s="1777"/>
      <c r="AI145" s="1777"/>
      <c r="AJ145" s="1777"/>
      <c r="AK145" s="1778"/>
      <c r="AL145" s="1911"/>
      <c r="AM145" s="1862"/>
      <c r="AN145" s="55"/>
      <c r="AO145" s="55"/>
      <c r="AP145" s="55"/>
      <c r="AQ145" s="138"/>
      <c r="AR145" s="138"/>
      <c r="AS145" s="138"/>
      <c r="AT145" s="55"/>
    </row>
    <row r="146" spans="1:48" ht="54" hidden="1" customHeight="1">
      <c r="B146" s="3291" t="s">
        <v>596</v>
      </c>
      <c r="C146" s="1953"/>
      <c r="D146" s="1953"/>
      <c r="E146" s="1953"/>
      <c r="F146" s="1953"/>
      <c r="G146" s="1953"/>
      <c r="H146" s="1770"/>
      <c r="I146" s="3291" t="s">
        <v>597</v>
      </c>
      <c r="J146" s="1953"/>
      <c r="K146" s="1953"/>
      <c r="L146" s="1953"/>
      <c r="M146" s="1770"/>
      <c r="N146" s="3627" t="s">
        <v>3498</v>
      </c>
      <c r="O146" s="3291" t="s">
        <v>598</v>
      </c>
      <c r="P146" s="1953"/>
      <c r="Q146" s="1953"/>
      <c r="R146" s="1770"/>
      <c r="S146" s="3291" t="s">
        <v>3524</v>
      </c>
      <c r="T146" s="1777"/>
      <c r="U146" s="1777"/>
      <c r="V146" s="1778"/>
      <c r="W146" s="3291" t="s">
        <v>3500</v>
      </c>
      <c r="X146" s="1777"/>
      <c r="Y146" s="1778"/>
      <c r="Z146" s="3668" t="s">
        <v>3525</v>
      </c>
      <c r="AA146" s="1953"/>
      <c r="AB146" s="1770"/>
      <c r="AC146" s="3506" t="s">
        <v>3526</v>
      </c>
      <c r="AD146" s="1953"/>
      <c r="AE146" s="1770"/>
      <c r="AF146" s="3291" t="s">
        <v>3502</v>
      </c>
      <c r="AG146" s="1778"/>
      <c r="AH146" s="3291" t="s">
        <v>3527</v>
      </c>
      <c r="AI146" s="1953"/>
      <c r="AJ146" s="1770"/>
      <c r="AK146" s="3506" t="s">
        <v>3528</v>
      </c>
      <c r="AL146" s="1953"/>
      <c r="AM146" s="1770"/>
      <c r="AO146" s="898"/>
      <c r="AP146" s="900">
        <f>SUM(AP148:AP162)</f>
        <v>0</v>
      </c>
      <c r="AR146" s="138">
        <f>SUM(AR148:AR162)</f>
        <v>0</v>
      </c>
      <c r="AS146" s="1626">
        <f>SUM(AS148:AS162)</f>
        <v>0</v>
      </c>
      <c r="AT146" s="1626">
        <f>SUM(AT148:AT162)</f>
        <v>0</v>
      </c>
      <c r="AU146" s="1431">
        <f>SUM(AU148:AU162)</f>
        <v>0</v>
      </c>
      <c r="AV146" s="1436">
        <f>SUM(AV148:AV162)</f>
        <v>0</v>
      </c>
    </row>
    <row r="147" spans="1:48" ht="18" hidden="1" customHeight="1">
      <c r="B147" s="2479"/>
      <c r="C147" s="1877"/>
      <c r="D147" s="1877"/>
      <c r="E147" s="1877"/>
      <c r="F147" s="1877"/>
      <c r="G147" s="1877"/>
      <c r="H147" s="1772"/>
      <c r="I147" s="2479"/>
      <c r="J147" s="1877"/>
      <c r="K147" s="1877"/>
      <c r="L147" s="1877"/>
      <c r="M147" s="1772"/>
      <c r="N147" s="2465"/>
      <c r="O147" s="2479"/>
      <c r="P147" s="1877"/>
      <c r="Q147" s="1877"/>
      <c r="R147" s="1772"/>
      <c r="S147" s="3539">
        <f>COUNTIF($AO$148:$AO$162,1)</f>
        <v>0</v>
      </c>
      <c r="T147" s="1777"/>
      <c r="U147" s="1777"/>
      <c r="V147" s="1778"/>
      <c r="W147" s="3539">
        <f>COUNTIF(W148:Y162,TRUE)</f>
        <v>0</v>
      </c>
      <c r="X147" s="1777"/>
      <c r="Y147" s="1778"/>
      <c r="Z147" s="2479"/>
      <c r="AA147" s="1877"/>
      <c r="AB147" s="1772"/>
      <c r="AC147" s="2479"/>
      <c r="AD147" s="1877"/>
      <c r="AE147" s="1772"/>
      <c r="AF147" s="3450">
        <f>COUNTIF($AF$148:$AG$162,TRUE)</f>
        <v>0</v>
      </c>
      <c r="AG147" s="1778"/>
      <c r="AH147" s="2479"/>
      <c r="AI147" s="1877"/>
      <c r="AJ147" s="1772"/>
      <c r="AK147" s="2479"/>
      <c r="AL147" s="1877"/>
      <c r="AM147" s="1772"/>
      <c r="AO147" s="138" t="s">
        <v>3506</v>
      </c>
      <c r="AP147" s="55" t="s">
        <v>3507</v>
      </c>
      <c r="AR147" s="138" t="s">
        <v>3509</v>
      </c>
      <c r="AS147" s="143" t="s">
        <v>3510</v>
      </c>
      <c r="AT147" s="143" t="s">
        <v>3511</v>
      </c>
      <c r="AU147" s="55" t="s">
        <v>3512</v>
      </c>
      <c r="AV147" s="1639" t="s">
        <v>3529</v>
      </c>
    </row>
    <row r="148" spans="1:48" ht="36" hidden="1" customHeight="1">
      <c r="B148" s="1626">
        <v>1</v>
      </c>
      <c r="C148" s="3522"/>
      <c r="D148" s="1869"/>
      <c r="E148" s="1869"/>
      <c r="F148" s="1869"/>
      <c r="G148" s="1869"/>
      <c r="H148" s="1870"/>
      <c r="I148" s="3283"/>
      <c r="J148" s="1861"/>
      <c r="K148" s="1861"/>
      <c r="L148" s="1861"/>
      <c r="M148" s="1862"/>
      <c r="N148" s="1727"/>
      <c r="O148" s="3505"/>
      <c r="P148" s="1861"/>
      <c r="Q148" s="1861"/>
      <c r="R148" s="1862"/>
      <c r="S148" s="3472"/>
      <c r="T148" s="1861"/>
      <c r="U148" s="1861"/>
      <c r="V148" s="1862"/>
      <c r="W148" s="3480"/>
      <c r="X148" s="1861"/>
      <c r="Y148" s="1862"/>
      <c r="Z148" s="3453"/>
      <c r="AA148" s="1861"/>
      <c r="AB148" s="1862"/>
      <c r="AC148" s="3453"/>
      <c r="AD148" s="1861"/>
      <c r="AE148" s="1862"/>
      <c r="AF148" s="3463" t="b">
        <f>IF($AC$148="",FALSE,IF($AH$148=FALSE,FALSE,IF(YEARFRAC($AC$148,MIN($AK$2,$AK$148),1)&gt;3,TRUE,FALSE)))</f>
        <v>0</v>
      </c>
      <c r="AG148" s="1778"/>
      <c r="AH148" s="3291" t="str">
        <f>IF(AND($C$148="",$AK$148=""),"",IF($AK$148="",TRUE,IF(YEARFRAC($AK$148,$AK$2,1)&lt;=10,TRUE,FALSE)))</f>
        <v/>
      </c>
      <c r="AI148" s="1777"/>
      <c r="AJ148" s="1778"/>
      <c r="AK148" s="3453"/>
      <c r="AL148" s="1861"/>
      <c r="AM148" s="1862"/>
      <c r="AO148" s="138">
        <f t="shared" ref="AO148:AO162" si="9">IF(S148="",0,IF(OR(S148="HCD - Regulated",S148="4% TCAC",S148="9% TCAC"),1,0))</f>
        <v>0</v>
      </c>
      <c r="AP148" s="900">
        <f>IFERROR(--AND(W148,AF148),0)</f>
        <v>0</v>
      </c>
      <c r="AR148" s="138">
        <f>--AND(AO148=1,W148,AF148)</f>
        <v>0</v>
      </c>
      <c r="AS148" s="138">
        <f t="shared" ref="AS148:AS162" si="10">--AND(O148="Special Needs",AP148=1)</f>
        <v>0</v>
      </c>
      <c r="AT148" s="138">
        <f t="shared" ref="AT148:AT162" si="11">--AND(OR(vmCBD="Yes"),AP148=1)</f>
        <v>0</v>
      </c>
      <c r="AU148" s="138">
        <f t="shared" ref="AU148:AU162" si="12">--AND(AS148=1,AO148=1)</f>
        <v>0</v>
      </c>
      <c r="AV148" s="55">
        <f t="shared" ref="AV148:AV162" si="13">IF(AND(C148&gt;0,I148&gt;0,AC148&lt;=$AK$2),1,0)</f>
        <v>0</v>
      </c>
    </row>
    <row r="149" spans="1:48" ht="36" hidden="1" customHeight="1">
      <c r="B149" s="1626">
        <v>2</v>
      </c>
      <c r="C149" s="3522"/>
      <c r="D149" s="1869"/>
      <c r="E149" s="1869"/>
      <c r="F149" s="1869"/>
      <c r="G149" s="1869"/>
      <c r="H149" s="1870"/>
      <c r="I149" s="3283"/>
      <c r="J149" s="1861"/>
      <c r="K149" s="1861"/>
      <c r="L149" s="1861"/>
      <c r="M149" s="1862"/>
      <c r="N149" s="1727"/>
      <c r="O149" s="3505"/>
      <c r="P149" s="1861"/>
      <c r="Q149" s="1861"/>
      <c r="R149" s="1862"/>
      <c r="S149" s="3472"/>
      <c r="T149" s="1861"/>
      <c r="U149" s="1861"/>
      <c r="V149" s="1862"/>
      <c r="W149" s="3480"/>
      <c r="X149" s="1861"/>
      <c r="Y149" s="1862"/>
      <c r="Z149" s="3453"/>
      <c r="AA149" s="1861"/>
      <c r="AB149" s="1862"/>
      <c r="AC149" s="3453"/>
      <c r="AD149" s="1861"/>
      <c r="AE149" s="1862"/>
      <c r="AF149" s="3463" t="b">
        <f>IF($AC$149="",FALSE,IF($AH$149=FALSE,FALSE,IF(YEARFRAC($AC$149,MIN($AK$2,$AK$149),1)&gt;3,TRUE,FALSE)))</f>
        <v>0</v>
      </c>
      <c r="AG149" s="1778"/>
      <c r="AH149" s="3291" t="str">
        <f>IF(AND($C$149="",$AK$149=""),"",IF($AK$149="",TRUE,IF(YEARFRAC($AK$149,$AK$2,1)&lt;=10,TRUE,FALSE)))</f>
        <v/>
      </c>
      <c r="AI149" s="1777"/>
      <c r="AJ149" s="1778"/>
      <c r="AK149" s="3453"/>
      <c r="AL149" s="1861"/>
      <c r="AM149" s="1862"/>
      <c r="AO149" s="138">
        <f t="shared" si="9"/>
        <v>0</v>
      </c>
      <c r="AP149" s="900">
        <f t="shared" ref="AP149:AP162" si="14">IFERROR(--AND(W149,AF149),0)</f>
        <v>0</v>
      </c>
      <c r="AR149" s="138">
        <f t="shared" ref="AR149:AR162" si="15">--AND(AO149=1,W149,AF149)</f>
        <v>0</v>
      </c>
      <c r="AS149" s="138">
        <f t="shared" si="10"/>
        <v>0</v>
      </c>
      <c r="AT149" s="138">
        <f t="shared" si="11"/>
        <v>0</v>
      </c>
      <c r="AU149" s="138">
        <f t="shared" si="12"/>
        <v>0</v>
      </c>
      <c r="AV149" s="55">
        <f t="shared" si="13"/>
        <v>0</v>
      </c>
    </row>
    <row r="150" spans="1:48" ht="36" hidden="1" customHeight="1">
      <c r="B150" s="1626">
        <v>3</v>
      </c>
      <c r="C150" s="3522"/>
      <c r="D150" s="1869"/>
      <c r="E150" s="1869"/>
      <c r="F150" s="1869"/>
      <c r="G150" s="1869"/>
      <c r="H150" s="1870"/>
      <c r="I150" s="3283"/>
      <c r="J150" s="1861"/>
      <c r="K150" s="1861"/>
      <c r="L150" s="1861"/>
      <c r="M150" s="1862"/>
      <c r="N150" s="1727"/>
      <c r="O150" s="3505"/>
      <c r="P150" s="1861"/>
      <c r="Q150" s="1861"/>
      <c r="R150" s="1862"/>
      <c r="S150" s="3472"/>
      <c r="T150" s="1861"/>
      <c r="U150" s="1861"/>
      <c r="V150" s="1862"/>
      <c r="W150" s="3480"/>
      <c r="X150" s="1861"/>
      <c r="Y150" s="1862"/>
      <c r="Z150" s="3453"/>
      <c r="AA150" s="1861"/>
      <c r="AB150" s="1862"/>
      <c r="AC150" s="3453"/>
      <c r="AD150" s="1861"/>
      <c r="AE150" s="1862"/>
      <c r="AF150" s="3463" t="b">
        <f>IF($AC$150="",FALSE,IF($AH$150=FALSE,FALSE,IF(YEARFRAC($AC$150,MIN($AK$2,$AK$150),1)&gt;3,TRUE,FALSE)))</f>
        <v>0</v>
      </c>
      <c r="AG150" s="1778"/>
      <c r="AH150" s="3291" t="str">
        <f>IF(AND($C$150="",$AK$150=""),"",IF($AK$150="",TRUE,IF(YEARFRAC($AK$150,$AK$2,1)&lt;=10,TRUE,FALSE)))</f>
        <v/>
      </c>
      <c r="AI150" s="1777"/>
      <c r="AJ150" s="1778"/>
      <c r="AK150" s="3453"/>
      <c r="AL150" s="1861"/>
      <c r="AM150" s="1862"/>
      <c r="AO150" s="138">
        <f t="shared" si="9"/>
        <v>0</v>
      </c>
      <c r="AP150" s="900">
        <f t="shared" si="14"/>
        <v>0</v>
      </c>
      <c r="AR150" s="138">
        <f t="shared" si="15"/>
        <v>0</v>
      </c>
      <c r="AS150" s="138">
        <f t="shared" si="10"/>
        <v>0</v>
      </c>
      <c r="AT150" s="138">
        <f t="shared" si="11"/>
        <v>0</v>
      </c>
      <c r="AU150" s="138">
        <f t="shared" si="12"/>
        <v>0</v>
      </c>
      <c r="AV150" s="55">
        <f t="shared" si="13"/>
        <v>0</v>
      </c>
    </row>
    <row r="151" spans="1:48" ht="36" hidden="1" customHeight="1">
      <c r="B151" s="1626">
        <v>4</v>
      </c>
      <c r="C151" s="3522"/>
      <c r="D151" s="1869"/>
      <c r="E151" s="1869"/>
      <c r="F151" s="1869"/>
      <c r="G151" s="1869"/>
      <c r="H151" s="1870"/>
      <c r="I151" s="3283"/>
      <c r="J151" s="1861"/>
      <c r="K151" s="1861"/>
      <c r="L151" s="1861"/>
      <c r="M151" s="1862"/>
      <c r="N151" s="1727"/>
      <c r="O151" s="3505"/>
      <c r="P151" s="1861"/>
      <c r="Q151" s="1861"/>
      <c r="R151" s="1862"/>
      <c r="S151" s="3472"/>
      <c r="T151" s="1861"/>
      <c r="U151" s="1861"/>
      <c r="V151" s="1862"/>
      <c r="W151" s="3480"/>
      <c r="X151" s="1861"/>
      <c r="Y151" s="1862"/>
      <c r="Z151" s="3453"/>
      <c r="AA151" s="1861"/>
      <c r="AB151" s="1862"/>
      <c r="AC151" s="3453"/>
      <c r="AD151" s="1861"/>
      <c r="AE151" s="1862"/>
      <c r="AF151" s="3463" t="b">
        <f>IF($AC$151="",FALSE,IF($AH$151=FALSE,FALSE,IF(YEARFRAC($AC$151,MIN($AK$2,$AK$151),1)&gt;3,TRUE,FALSE)))</f>
        <v>0</v>
      </c>
      <c r="AG151" s="1778"/>
      <c r="AH151" s="3291" t="str">
        <f>IF(AND($C$151="",$AK$151=""),"",IF($AK$151="",TRUE,IF(YEARFRAC($AK$151,$AK$2,1)&lt;=10,TRUE,FALSE)))</f>
        <v/>
      </c>
      <c r="AI151" s="1777"/>
      <c r="AJ151" s="1778"/>
      <c r="AK151" s="3453"/>
      <c r="AL151" s="1861"/>
      <c r="AM151" s="1862"/>
      <c r="AO151" s="138">
        <f t="shared" si="9"/>
        <v>0</v>
      </c>
      <c r="AP151" s="900">
        <f t="shared" si="14"/>
        <v>0</v>
      </c>
      <c r="AR151" s="138">
        <f t="shared" si="15"/>
        <v>0</v>
      </c>
      <c r="AS151" s="138">
        <f t="shared" si="10"/>
        <v>0</v>
      </c>
      <c r="AT151" s="138">
        <f t="shared" si="11"/>
        <v>0</v>
      </c>
      <c r="AU151" s="138">
        <f t="shared" si="12"/>
        <v>0</v>
      </c>
      <c r="AV151" s="55">
        <f t="shared" si="13"/>
        <v>0</v>
      </c>
    </row>
    <row r="152" spans="1:48" ht="36" hidden="1" customHeight="1">
      <c r="B152" s="1626">
        <v>5</v>
      </c>
      <c r="C152" s="3522"/>
      <c r="D152" s="1869"/>
      <c r="E152" s="1869"/>
      <c r="F152" s="1869"/>
      <c r="G152" s="1869"/>
      <c r="H152" s="1870"/>
      <c r="I152" s="3283"/>
      <c r="J152" s="1861"/>
      <c r="K152" s="1861"/>
      <c r="L152" s="1861"/>
      <c r="M152" s="1862"/>
      <c r="N152" s="1727"/>
      <c r="O152" s="3505"/>
      <c r="P152" s="1861"/>
      <c r="Q152" s="1861"/>
      <c r="R152" s="1862"/>
      <c r="S152" s="3472"/>
      <c r="T152" s="1861"/>
      <c r="U152" s="1861"/>
      <c r="V152" s="1862"/>
      <c r="W152" s="3480"/>
      <c r="X152" s="1861"/>
      <c r="Y152" s="1862"/>
      <c r="Z152" s="3453"/>
      <c r="AA152" s="1861"/>
      <c r="AB152" s="1862"/>
      <c r="AC152" s="3453"/>
      <c r="AD152" s="1861"/>
      <c r="AE152" s="1862"/>
      <c r="AF152" s="3463" t="b">
        <f>IF($AC$152="",FALSE,IF($AH$152=FALSE,FALSE,IF(YEARFRAC($AC$152,MIN($AK$2,$AK$152),1)&gt;3,TRUE,FALSE)))</f>
        <v>0</v>
      </c>
      <c r="AG152" s="1778"/>
      <c r="AH152" s="3291" t="str">
        <f>IF(AND($C$152="",$AK$152=""),"",IF($AK$152="",TRUE,IF(YEARFRAC($AK$152,$AK$2,1)&lt;=10,TRUE,FALSE)))</f>
        <v/>
      </c>
      <c r="AI152" s="1777"/>
      <c r="AJ152" s="1778"/>
      <c r="AK152" s="3453"/>
      <c r="AL152" s="1861"/>
      <c r="AM152" s="1862"/>
      <c r="AO152" s="138">
        <f t="shared" si="9"/>
        <v>0</v>
      </c>
      <c r="AP152" s="900">
        <f t="shared" si="14"/>
        <v>0</v>
      </c>
      <c r="AR152" s="138">
        <f t="shared" si="15"/>
        <v>0</v>
      </c>
      <c r="AS152" s="138">
        <f t="shared" si="10"/>
        <v>0</v>
      </c>
      <c r="AT152" s="138">
        <f t="shared" si="11"/>
        <v>0</v>
      </c>
      <c r="AU152" s="138">
        <f t="shared" si="12"/>
        <v>0</v>
      </c>
      <c r="AV152" s="55">
        <f t="shared" si="13"/>
        <v>0</v>
      </c>
    </row>
    <row r="153" spans="1:48" ht="36" hidden="1" customHeight="1">
      <c r="B153" s="1626">
        <v>6</v>
      </c>
      <c r="C153" s="3522"/>
      <c r="D153" s="1869"/>
      <c r="E153" s="1869"/>
      <c r="F153" s="1869"/>
      <c r="G153" s="1869"/>
      <c r="H153" s="1870"/>
      <c r="I153" s="3283"/>
      <c r="J153" s="1861"/>
      <c r="K153" s="1861"/>
      <c r="L153" s="1861"/>
      <c r="M153" s="1862"/>
      <c r="N153" s="1727"/>
      <c r="O153" s="3505"/>
      <c r="P153" s="1861"/>
      <c r="Q153" s="1861"/>
      <c r="R153" s="1862"/>
      <c r="S153" s="3472"/>
      <c r="T153" s="1861"/>
      <c r="U153" s="1861"/>
      <c r="V153" s="1862"/>
      <c r="W153" s="3480"/>
      <c r="X153" s="1861"/>
      <c r="Y153" s="1862"/>
      <c r="Z153" s="3453"/>
      <c r="AA153" s="1861"/>
      <c r="AB153" s="1862"/>
      <c r="AC153" s="3453"/>
      <c r="AD153" s="1861"/>
      <c r="AE153" s="1862"/>
      <c r="AF153" s="3463" t="b">
        <f>IF($AC$153="",FALSE,IF($AH$153=FALSE,FALSE,IF(YEARFRAC($AC$153,MIN($AK$2,$AK$153),1)&gt;3,TRUE,FALSE)))</f>
        <v>0</v>
      </c>
      <c r="AG153" s="1778"/>
      <c r="AH153" s="3291" t="str">
        <f>IF(AND($C$153="",$AK$153=""),"",IF($AK$153="",TRUE,IF(YEARFRAC($AK$153,$AK$2,1)&lt;=10,TRUE,FALSE)))</f>
        <v/>
      </c>
      <c r="AI153" s="1777"/>
      <c r="AJ153" s="1778"/>
      <c r="AK153" s="3453"/>
      <c r="AL153" s="1861"/>
      <c r="AM153" s="1862"/>
      <c r="AO153" s="138">
        <f t="shared" si="9"/>
        <v>0</v>
      </c>
      <c r="AP153" s="900">
        <f t="shared" si="14"/>
        <v>0</v>
      </c>
      <c r="AR153" s="138">
        <f t="shared" si="15"/>
        <v>0</v>
      </c>
      <c r="AS153" s="138">
        <f t="shared" si="10"/>
        <v>0</v>
      </c>
      <c r="AT153" s="138">
        <f t="shared" si="11"/>
        <v>0</v>
      </c>
      <c r="AU153" s="138">
        <f t="shared" si="12"/>
        <v>0</v>
      </c>
      <c r="AV153" s="55">
        <f t="shared" si="13"/>
        <v>0</v>
      </c>
    </row>
    <row r="154" spans="1:48" ht="36" hidden="1" customHeight="1">
      <c r="B154" s="1626">
        <v>7</v>
      </c>
      <c r="C154" s="3522"/>
      <c r="D154" s="1869"/>
      <c r="E154" s="1869"/>
      <c r="F154" s="1869"/>
      <c r="G154" s="1869"/>
      <c r="H154" s="1870"/>
      <c r="I154" s="3283"/>
      <c r="J154" s="1861"/>
      <c r="K154" s="1861"/>
      <c r="L154" s="1861"/>
      <c r="M154" s="1862"/>
      <c r="N154" s="1727"/>
      <c r="O154" s="3505"/>
      <c r="P154" s="1861"/>
      <c r="Q154" s="1861"/>
      <c r="R154" s="1862"/>
      <c r="S154" s="3472"/>
      <c r="T154" s="1861"/>
      <c r="U154" s="1861"/>
      <c r="V154" s="1862"/>
      <c r="W154" s="3480"/>
      <c r="X154" s="1861"/>
      <c r="Y154" s="1862"/>
      <c r="Z154" s="3453"/>
      <c r="AA154" s="1861"/>
      <c r="AB154" s="1862"/>
      <c r="AC154" s="3453"/>
      <c r="AD154" s="1861"/>
      <c r="AE154" s="1862"/>
      <c r="AF154" s="3463" t="b">
        <f>IF($AC$154="",FALSE,IF($AH$154=FALSE,FALSE,IF(YEARFRAC($AC$154,MIN($AK$2,$AK$154),1)&gt;3,TRUE,FALSE)))</f>
        <v>0</v>
      </c>
      <c r="AG154" s="1778"/>
      <c r="AH154" s="3291" t="str">
        <f>IF(AND($C$154="",$AK$154=""),"",IF($AK$154="",TRUE,IF(YEARFRAC($AK$154,$AK$2,1)&lt;=10,TRUE,FALSE)))</f>
        <v/>
      </c>
      <c r="AI154" s="1777"/>
      <c r="AJ154" s="1778"/>
      <c r="AK154" s="3453"/>
      <c r="AL154" s="1861"/>
      <c r="AM154" s="1862"/>
      <c r="AO154" s="138">
        <f t="shared" si="9"/>
        <v>0</v>
      </c>
      <c r="AP154" s="900">
        <f t="shared" si="14"/>
        <v>0</v>
      </c>
      <c r="AR154" s="138">
        <f t="shared" si="15"/>
        <v>0</v>
      </c>
      <c r="AS154" s="138">
        <f t="shared" si="10"/>
        <v>0</v>
      </c>
      <c r="AT154" s="138">
        <f t="shared" si="11"/>
        <v>0</v>
      </c>
      <c r="AU154" s="138">
        <f t="shared" si="12"/>
        <v>0</v>
      </c>
      <c r="AV154" s="55">
        <f t="shared" si="13"/>
        <v>0</v>
      </c>
    </row>
    <row r="155" spans="1:48" ht="36" hidden="1" customHeight="1">
      <c r="B155" s="1626">
        <v>8</v>
      </c>
      <c r="C155" s="3522"/>
      <c r="D155" s="1869"/>
      <c r="E155" s="1869"/>
      <c r="F155" s="1869"/>
      <c r="G155" s="1869"/>
      <c r="H155" s="1870"/>
      <c r="I155" s="3283"/>
      <c r="J155" s="1861"/>
      <c r="K155" s="1861"/>
      <c r="L155" s="1861"/>
      <c r="M155" s="1862"/>
      <c r="N155" s="1727"/>
      <c r="O155" s="3505"/>
      <c r="P155" s="1861"/>
      <c r="Q155" s="1861"/>
      <c r="R155" s="1862"/>
      <c r="S155" s="3472"/>
      <c r="T155" s="1861"/>
      <c r="U155" s="1861"/>
      <c r="V155" s="1862"/>
      <c r="W155" s="3480"/>
      <c r="X155" s="1861"/>
      <c r="Y155" s="1862"/>
      <c r="Z155" s="3453"/>
      <c r="AA155" s="1861"/>
      <c r="AB155" s="1862"/>
      <c r="AC155" s="3453"/>
      <c r="AD155" s="1861"/>
      <c r="AE155" s="1862"/>
      <c r="AF155" s="3463" t="b">
        <f>IF($AC$155="",FALSE,IF($AH$155=FALSE,FALSE,IF(YEARFRAC($AC$155,MIN($AK$2,$AK$155),1)&gt;3,TRUE,FALSE)))</f>
        <v>0</v>
      </c>
      <c r="AG155" s="1778"/>
      <c r="AH155" s="3291" t="str">
        <f>IF(AND($C$155="",$AK$155=""),"",IF($AK$155="",TRUE,IF(YEARFRAC($AK$155,$AK$2,1)&lt;=10,TRUE,FALSE)))</f>
        <v/>
      </c>
      <c r="AI155" s="1777"/>
      <c r="AJ155" s="1778"/>
      <c r="AK155" s="3453"/>
      <c r="AL155" s="1861"/>
      <c r="AM155" s="1862"/>
      <c r="AO155" s="138">
        <f t="shared" si="9"/>
        <v>0</v>
      </c>
      <c r="AP155" s="900">
        <f t="shared" si="14"/>
        <v>0</v>
      </c>
      <c r="AR155" s="138">
        <f t="shared" si="15"/>
        <v>0</v>
      </c>
      <c r="AS155" s="138">
        <f t="shared" si="10"/>
        <v>0</v>
      </c>
      <c r="AT155" s="138">
        <f t="shared" si="11"/>
        <v>0</v>
      </c>
      <c r="AU155" s="138">
        <f t="shared" si="12"/>
        <v>0</v>
      </c>
      <c r="AV155" s="55">
        <f t="shared" si="13"/>
        <v>0</v>
      </c>
    </row>
    <row r="156" spans="1:48" ht="36" hidden="1" customHeight="1">
      <c r="B156" s="1626">
        <v>9</v>
      </c>
      <c r="C156" s="3522"/>
      <c r="D156" s="1869"/>
      <c r="E156" s="1869"/>
      <c r="F156" s="1869"/>
      <c r="G156" s="1869"/>
      <c r="H156" s="1870"/>
      <c r="I156" s="3283"/>
      <c r="J156" s="1861"/>
      <c r="K156" s="1861"/>
      <c r="L156" s="1861"/>
      <c r="M156" s="1862"/>
      <c r="N156" s="1727"/>
      <c r="O156" s="3505"/>
      <c r="P156" s="1861"/>
      <c r="Q156" s="1861"/>
      <c r="R156" s="1862"/>
      <c r="S156" s="3472"/>
      <c r="T156" s="1861"/>
      <c r="U156" s="1861"/>
      <c r="V156" s="1862"/>
      <c r="W156" s="3480"/>
      <c r="X156" s="1861"/>
      <c r="Y156" s="1862"/>
      <c r="Z156" s="3453"/>
      <c r="AA156" s="1861"/>
      <c r="AB156" s="1862"/>
      <c r="AC156" s="3453"/>
      <c r="AD156" s="1861"/>
      <c r="AE156" s="1862"/>
      <c r="AF156" s="3463" t="b">
        <f>IF($AC$156="",FALSE,IF($AH$156=FALSE,FALSE,IF(YEARFRAC($AC$156,MIN($AK$2,$AK$156),1)&gt;3,TRUE,FALSE)))</f>
        <v>0</v>
      </c>
      <c r="AG156" s="1778"/>
      <c r="AH156" s="3291" t="str">
        <f>IF(AND($C$156="",$AK$156=""),"",IF($AK$156="",TRUE,IF(YEARFRAC($AK$156,$AK$2,1)&lt;=10,TRUE,FALSE)))</f>
        <v/>
      </c>
      <c r="AI156" s="1777"/>
      <c r="AJ156" s="1778"/>
      <c r="AK156" s="3453"/>
      <c r="AL156" s="1861"/>
      <c r="AM156" s="1862"/>
      <c r="AO156" s="138">
        <f t="shared" si="9"/>
        <v>0</v>
      </c>
      <c r="AP156" s="900">
        <f t="shared" si="14"/>
        <v>0</v>
      </c>
      <c r="AR156" s="138">
        <f t="shared" si="15"/>
        <v>0</v>
      </c>
      <c r="AS156" s="138">
        <f t="shared" si="10"/>
        <v>0</v>
      </c>
      <c r="AT156" s="138">
        <f t="shared" si="11"/>
        <v>0</v>
      </c>
      <c r="AU156" s="138">
        <f t="shared" si="12"/>
        <v>0</v>
      </c>
      <c r="AV156" s="55">
        <f t="shared" si="13"/>
        <v>0</v>
      </c>
    </row>
    <row r="157" spans="1:48" ht="36" hidden="1" customHeight="1">
      <c r="B157" s="1626">
        <v>10</v>
      </c>
      <c r="C157" s="3522"/>
      <c r="D157" s="1869"/>
      <c r="E157" s="1869"/>
      <c r="F157" s="1869"/>
      <c r="G157" s="1869"/>
      <c r="H157" s="1870"/>
      <c r="I157" s="3283"/>
      <c r="J157" s="1861"/>
      <c r="K157" s="1861"/>
      <c r="L157" s="1861"/>
      <c r="M157" s="1862"/>
      <c r="N157" s="1727"/>
      <c r="O157" s="3505"/>
      <c r="P157" s="1861"/>
      <c r="Q157" s="1861"/>
      <c r="R157" s="1862"/>
      <c r="S157" s="3472"/>
      <c r="T157" s="1861"/>
      <c r="U157" s="1861"/>
      <c r="V157" s="1862"/>
      <c r="W157" s="3480"/>
      <c r="X157" s="1861"/>
      <c r="Y157" s="1862"/>
      <c r="Z157" s="3453"/>
      <c r="AA157" s="1861"/>
      <c r="AB157" s="1862"/>
      <c r="AC157" s="3453"/>
      <c r="AD157" s="1861"/>
      <c r="AE157" s="1862"/>
      <c r="AF157" s="3463" t="b">
        <f>IF($AC$157="",FALSE,IF($AH$157=FALSE,FALSE,IF(YEARFRAC($AC$157,MIN($AK$2,$AK$157),1)&gt;3,TRUE,FALSE)))</f>
        <v>0</v>
      </c>
      <c r="AG157" s="1778"/>
      <c r="AH157" s="3291" t="str">
        <f>IF(AND($C$157="",$AK$157=""),"",IF($AK$157="",TRUE,IF(YEARFRAC($AK$157,$AK$2,1)&lt;=10,TRUE,FALSE)))</f>
        <v/>
      </c>
      <c r="AI157" s="1777"/>
      <c r="AJ157" s="1778"/>
      <c r="AK157" s="3453"/>
      <c r="AL157" s="1861"/>
      <c r="AM157" s="1862"/>
      <c r="AO157" s="138">
        <f t="shared" si="9"/>
        <v>0</v>
      </c>
      <c r="AP157" s="900">
        <f t="shared" si="14"/>
        <v>0</v>
      </c>
      <c r="AR157" s="138">
        <f t="shared" si="15"/>
        <v>0</v>
      </c>
      <c r="AS157" s="138">
        <f t="shared" si="10"/>
        <v>0</v>
      </c>
      <c r="AT157" s="138">
        <f t="shared" si="11"/>
        <v>0</v>
      </c>
      <c r="AU157" s="138">
        <f t="shared" si="12"/>
        <v>0</v>
      </c>
      <c r="AV157" s="55">
        <f t="shared" si="13"/>
        <v>0</v>
      </c>
    </row>
    <row r="158" spans="1:48" ht="36" hidden="1" customHeight="1">
      <c r="B158" s="1626">
        <v>11</v>
      </c>
      <c r="C158" s="3522"/>
      <c r="D158" s="1869"/>
      <c r="E158" s="1869"/>
      <c r="F158" s="1869"/>
      <c r="G158" s="1869"/>
      <c r="H158" s="1870"/>
      <c r="I158" s="3283"/>
      <c r="J158" s="1861"/>
      <c r="K158" s="1861"/>
      <c r="L158" s="1861"/>
      <c r="M158" s="1862"/>
      <c r="N158" s="1727"/>
      <c r="O158" s="3505"/>
      <c r="P158" s="1861"/>
      <c r="Q158" s="1861"/>
      <c r="R158" s="1862"/>
      <c r="S158" s="3472"/>
      <c r="T158" s="1861"/>
      <c r="U158" s="1861"/>
      <c r="V158" s="1862"/>
      <c r="W158" s="3480"/>
      <c r="X158" s="1861"/>
      <c r="Y158" s="1862"/>
      <c r="Z158" s="3453"/>
      <c r="AA158" s="1861"/>
      <c r="AB158" s="1862"/>
      <c r="AC158" s="3453"/>
      <c r="AD158" s="1861"/>
      <c r="AE158" s="1862"/>
      <c r="AF158" s="3463" t="b">
        <f>IF($AC$158="",FALSE,IF($AH$158=FALSE,FALSE,IF(YEARFRAC($AC$158,MIN($AK$2,$AK$158),1)&gt;3,TRUE,FALSE)))</f>
        <v>0</v>
      </c>
      <c r="AG158" s="1778"/>
      <c r="AH158" s="3291" t="str">
        <f>IF(AND($C$158="",$AK$158=""),"",IF($AK$158="",TRUE,IF(YEARFRAC($AK$158,$AK$2,1)&lt;=10,TRUE,FALSE)))</f>
        <v/>
      </c>
      <c r="AI158" s="1777"/>
      <c r="AJ158" s="1778"/>
      <c r="AK158" s="3453"/>
      <c r="AL158" s="1861"/>
      <c r="AM158" s="1862"/>
      <c r="AO158" s="138">
        <f t="shared" si="9"/>
        <v>0</v>
      </c>
      <c r="AP158" s="900">
        <f t="shared" si="14"/>
        <v>0</v>
      </c>
      <c r="AR158" s="138">
        <f t="shared" si="15"/>
        <v>0</v>
      </c>
      <c r="AS158" s="138">
        <f t="shared" si="10"/>
        <v>0</v>
      </c>
      <c r="AT158" s="138">
        <f t="shared" si="11"/>
        <v>0</v>
      </c>
      <c r="AU158" s="138">
        <f t="shared" si="12"/>
        <v>0</v>
      </c>
      <c r="AV158" s="55">
        <f t="shared" si="13"/>
        <v>0</v>
      </c>
    </row>
    <row r="159" spans="1:48" ht="36" hidden="1" customHeight="1">
      <c r="B159" s="1626">
        <v>12</v>
      </c>
      <c r="C159" s="3522"/>
      <c r="D159" s="1869"/>
      <c r="E159" s="1869"/>
      <c r="F159" s="1869"/>
      <c r="G159" s="1869"/>
      <c r="H159" s="1870"/>
      <c r="I159" s="3283"/>
      <c r="J159" s="1861"/>
      <c r="K159" s="1861"/>
      <c r="L159" s="1861"/>
      <c r="M159" s="1862"/>
      <c r="N159" s="1727"/>
      <c r="O159" s="3505"/>
      <c r="P159" s="1861"/>
      <c r="Q159" s="1861"/>
      <c r="R159" s="1862"/>
      <c r="S159" s="3472"/>
      <c r="T159" s="1861"/>
      <c r="U159" s="1861"/>
      <c r="V159" s="1862"/>
      <c r="W159" s="3480"/>
      <c r="X159" s="1861"/>
      <c r="Y159" s="1862"/>
      <c r="Z159" s="3453"/>
      <c r="AA159" s="1861"/>
      <c r="AB159" s="1862"/>
      <c r="AC159" s="3453"/>
      <c r="AD159" s="1861"/>
      <c r="AE159" s="1862"/>
      <c r="AF159" s="3463" t="b">
        <f>IF($AC$159="",FALSE,IF($AH$159=FALSE,FALSE,IF(YEARFRAC($AC$159,MIN($AK$2,$AK$159),1)&gt;3,TRUE,FALSE)))</f>
        <v>0</v>
      </c>
      <c r="AG159" s="1778"/>
      <c r="AH159" s="3291" t="str">
        <f>IF(AND($C$159="",$AK$159=""),"",IF($AK$159="",TRUE,IF(YEARFRAC($AK$159,$AK$2,1)&lt;=10,TRUE,FALSE)))</f>
        <v/>
      </c>
      <c r="AI159" s="1777"/>
      <c r="AJ159" s="1778"/>
      <c r="AK159" s="3453"/>
      <c r="AL159" s="1861"/>
      <c r="AM159" s="1862"/>
      <c r="AO159" s="138">
        <f t="shared" si="9"/>
        <v>0</v>
      </c>
      <c r="AP159" s="900">
        <f t="shared" si="14"/>
        <v>0</v>
      </c>
      <c r="AR159" s="138">
        <f t="shared" si="15"/>
        <v>0</v>
      </c>
      <c r="AS159" s="138">
        <f t="shared" si="10"/>
        <v>0</v>
      </c>
      <c r="AT159" s="138">
        <f t="shared" si="11"/>
        <v>0</v>
      </c>
      <c r="AU159" s="138">
        <f t="shared" si="12"/>
        <v>0</v>
      </c>
      <c r="AV159" s="55">
        <f t="shared" si="13"/>
        <v>0</v>
      </c>
    </row>
    <row r="160" spans="1:48" ht="36" hidden="1" customHeight="1">
      <c r="B160" s="1626">
        <v>13</v>
      </c>
      <c r="C160" s="3522"/>
      <c r="D160" s="1869"/>
      <c r="E160" s="1869"/>
      <c r="F160" s="1869"/>
      <c r="G160" s="1869"/>
      <c r="H160" s="1870"/>
      <c r="I160" s="3283"/>
      <c r="J160" s="1861"/>
      <c r="K160" s="1861"/>
      <c r="L160" s="1861"/>
      <c r="M160" s="1862"/>
      <c r="N160" s="1727"/>
      <c r="O160" s="3505"/>
      <c r="P160" s="1861"/>
      <c r="Q160" s="1861"/>
      <c r="R160" s="1862"/>
      <c r="S160" s="3472"/>
      <c r="T160" s="1861"/>
      <c r="U160" s="1861"/>
      <c r="V160" s="1862"/>
      <c r="W160" s="3480"/>
      <c r="X160" s="1861"/>
      <c r="Y160" s="1862"/>
      <c r="Z160" s="3453"/>
      <c r="AA160" s="1861"/>
      <c r="AB160" s="1862"/>
      <c r="AC160" s="3453"/>
      <c r="AD160" s="1861"/>
      <c r="AE160" s="1862"/>
      <c r="AF160" s="3463" t="b">
        <f>IF($AC$160="",FALSE,IF($AH$160=FALSE,FALSE,IF(YEARFRAC($AC$160,MIN($AK$2,$AK$160),1)&gt;3,TRUE,FALSE)))</f>
        <v>0</v>
      </c>
      <c r="AG160" s="1778"/>
      <c r="AH160" s="3291" t="str">
        <f>IF(AND($C$160="",$AK$160=""),"",IF($AK$160="",TRUE,IF(YEARFRAC($AK$160,$AK$2,1)&lt;=10,TRUE,FALSE)))</f>
        <v/>
      </c>
      <c r="AI160" s="1777"/>
      <c r="AJ160" s="1778"/>
      <c r="AK160" s="3453"/>
      <c r="AL160" s="1861"/>
      <c r="AM160" s="1862"/>
      <c r="AO160" s="138">
        <f t="shared" si="9"/>
        <v>0</v>
      </c>
      <c r="AP160" s="900">
        <f t="shared" si="14"/>
        <v>0</v>
      </c>
      <c r="AR160" s="138">
        <f t="shared" si="15"/>
        <v>0</v>
      </c>
      <c r="AS160" s="138">
        <f t="shared" si="10"/>
        <v>0</v>
      </c>
      <c r="AT160" s="138">
        <f t="shared" si="11"/>
        <v>0</v>
      </c>
      <c r="AU160" s="138">
        <f t="shared" si="12"/>
        <v>0</v>
      </c>
      <c r="AV160" s="55">
        <f t="shared" si="13"/>
        <v>0</v>
      </c>
    </row>
    <row r="161" spans="1:80" ht="36" hidden="1" customHeight="1">
      <c r="B161" s="1626">
        <v>14</v>
      </c>
      <c r="C161" s="3522"/>
      <c r="D161" s="1869"/>
      <c r="E161" s="1869"/>
      <c r="F161" s="1869"/>
      <c r="G161" s="1869"/>
      <c r="H161" s="1870"/>
      <c r="I161" s="3283"/>
      <c r="J161" s="1861"/>
      <c r="K161" s="1861"/>
      <c r="L161" s="1861"/>
      <c r="M161" s="1862"/>
      <c r="N161" s="1727"/>
      <c r="O161" s="3505"/>
      <c r="P161" s="1861"/>
      <c r="Q161" s="1861"/>
      <c r="R161" s="1862"/>
      <c r="S161" s="3472"/>
      <c r="T161" s="1861"/>
      <c r="U161" s="1861"/>
      <c r="V161" s="1862"/>
      <c r="W161" s="3480"/>
      <c r="X161" s="1861"/>
      <c r="Y161" s="1862"/>
      <c r="Z161" s="3453"/>
      <c r="AA161" s="1861"/>
      <c r="AB161" s="1862"/>
      <c r="AC161" s="3453"/>
      <c r="AD161" s="1861"/>
      <c r="AE161" s="1862"/>
      <c r="AF161" s="3463" t="b">
        <f>IF($AC$161="",FALSE,IF($AH$161=FALSE,FALSE,IF(YEARFRAC($AC$161,MIN($AK$2,$AK$161),1)&gt;3,TRUE,FALSE)))</f>
        <v>0</v>
      </c>
      <c r="AG161" s="1778"/>
      <c r="AH161" s="3291" t="str">
        <f>IF(AND($C$161="",$AK$161=""),"",IF($AK$161="",TRUE,IF(YEARFRAC($AK$161,$AK$2,1)&lt;=10,TRUE,FALSE)))</f>
        <v/>
      </c>
      <c r="AI161" s="1777"/>
      <c r="AJ161" s="1778"/>
      <c r="AK161" s="3453"/>
      <c r="AL161" s="1861"/>
      <c r="AM161" s="1862"/>
      <c r="AO161" s="138">
        <f t="shared" si="9"/>
        <v>0</v>
      </c>
      <c r="AP161" s="900">
        <f t="shared" si="14"/>
        <v>0</v>
      </c>
      <c r="AR161" s="138">
        <f t="shared" si="15"/>
        <v>0</v>
      </c>
      <c r="AS161" s="138">
        <f t="shared" si="10"/>
        <v>0</v>
      </c>
      <c r="AT161" s="138">
        <f t="shared" si="11"/>
        <v>0</v>
      </c>
      <c r="AU161" s="138">
        <f t="shared" si="12"/>
        <v>0</v>
      </c>
      <c r="AV161" s="55">
        <f t="shared" si="13"/>
        <v>0</v>
      </c>
    </row>
    <row r="162" spans="1:80" ht="36" hidden="1" customHeight="1">
      <c r="B162" s="1626">
        <v>15</v>
      </c>
      <c r="C162" s="3277"/>
      <c r="D162" s="1861"/>
      <c r="E162" s="1861"/>
      <c r="F162" s="1861"/>
      <c r="G162" s="1861"/>
      <c r="H162" s="1862"/>
      <c r="I162" s="3283"/>
      <c r="J162" s="1861"/>
      <c r="K162" s="1861"/>
      <c r="L162" s="1861"/>
      <c r="M162" s="1862"/>
      <c r="N162" s="1728"/>
      <c r="O162" s="3505"/>
      <c r="P162" s="1861"/>
      <c r="Q162" s="1861"/>
      <c r="R162" s="1862"/>
      <c r="S162" s="3472"/>
      <c r="T162" s="1861"/>
      <c r="U162" s="1861"/>
      <c r="V162" s="1862"/>
      <c r="W162" s="3480"/>
      <c r="X162" s="1861"/>
      <c r="Y162" s="1862"/>
      <c r="Z162" s="3453"/>
      <c r="AA162" s="1861"/>
      <c r="AB162" s="1862"/>
      <c r="AC162" s="3453"/>
      <c r="AD162" s="1861"/>
      <c r="AE162" s="1862"/>
      <c r="AF162" s="3463" t="b">
        <f>IF($AC$162="",FALSE,IF($AH$162=FALSE,FALSE,IF(YEARFRAC($AC$162,MIN($AK$2,$AK$162),1)&gt;3,TRUE,FALSE)))</f>
        <v>0</v>
      </c>
      <c r="AG162" s="1778"/>
      <c r="AH162" s="3291" t="str">
        <f>IF(AND($C$162="",$AK$162=""),"",IF($AK$162="",TRUE,IF(YEARFRAC($AK$162,$AK$2,1)&lt;=10,TRUE,FALSE)))</f>
        <v/>
      </c>
      <c r="AI162" s="1777"/>
      <c r="AJ162" s="1778"/>
      <c r="AK162" s="3453"/>
      <c r="AL162" s="1861"/>
      <c r="AM162" s="1862"/>
      <c r="AO162" s="138">
        <f t="shared" si="9"/>
        <v>0</v>
      </c>
      <c r="AP162" s="900">
        <f t="shared" si="14"/>
        <v>0</v>
      </c>
      <c r="AR162" s="138">
        <f t="shared" si="15"/>
        <v>0</v>
      </c>
      <c r="AS162" s="138">
        <f t="shared" si="10"/>
        <v>0</v>
      </c>
      <c r="AT162" s="138">
        <f t="shared" si="11"/>
        <v>0</v>
      </c>
      <c r="AU162" s="138">
        <f t="shared" si="12"/>
        <v>0</v>
      </c>
      <c r="AV162" s="55">
        <f t="shared" si="13"/>
        <v>0</v>
      </c>
    </row>
    <row r="163" spans="1:80" s="120" customFormat="1" ht="18" hidden="1" customHeight="1"/>
    <row r="164" spans="1:80" s="120" customFormat="1" ht="18" customHeight="1">
      <c r="A164" s="121"/>
      <c r="B164" s="237"/>
      <c r="C164" s="1746" t="s">
        <v>3473</v>
      </c>
      <c r="D164" s="3488" t="s">
        <v>3530</v>
      </c>
      <c r="E164" s="1953"/>
      <c r="F164" s="1953"/>
      <c r="G164" s="1953"/>
      <c r="H164" s="1953"/>
      <c r="I164" s="1953"/>
      <c r="J164" s="1953"/>
      <c r="K164" s="1953"/>
      <c r="L164" s="1953"/>
      <c r="M164" s="1953"/>
      <c r="N164" s="1953"/>
      <c r="O164" s="1953"/>
      <c r="P164" s="1953"/>
      <c r="Q164" s="1953"/>
      <c r="R164" s="1953"/>
      <c r="S164" s="1953"/>
      <c r="T164" s="1953"/>
      <c r="U164" s="1953"/>
      <c r="V164" s="1953"/>
      <c r="W164" s="1953"/>
      <c r="X164" s="1953"/>
      <c r="Y164" s="1953"/>
      <c r="Z164" s="1953"/>
      <c r="AA164" s="1953"/>
      <c r="AB164" s="1953"/>
      <c r="AC164" s="1953"/>
      <c r="AD164" s="1953"/>
      <c r="AE164" s="1953"/>
      <c r="AF164" s="1953"/>
      <c r="AG164" s="1953"/>
      <c r="AH164" s="1953"/>
      <c r="AI164" s="1953"/>
      <c r="AJ164" s="1953"/>
      <c r="AK164" s="1770"/>
      <c r="AL164" s="3486">
        <f>MIN(SUM(AL166,AL185),20)</f>
        <v>0</v>
      </c>
      <c r="AM164" s="1778"/>
      <c r="AN164" s="138"/>
      <c r="AO164" s="57"/>
      <c r="AP164" s="57"/>
      <c r="AQ164" s="90"/>
      <c r="AR164" s="121"/>
      <c r="AS164" s="121"/>
      <c r="AT164" s="57"/>
      <c r="AU164" s="178"/>
      <c r="AV164" s="346"/>
    </row>
    <row r="165" spans="1:80" s="121" customFormat="1" ht="61.5" customHeight="1">
      <c r="A165" s="120"/>
      <c r="B165" s="226"/>
      <c r="D165" s="3624" t="s">
        <v>3531</v>
      </c>
      <c r="E165" s="3625"/>
      <c r="F165" s="3625"/>
      <c r="G165" s="3625"/>
      <c r="H165" s="3625"/>
      <c r="I165" s="3625"/>
      <c r="J165" s="3625"/>
      <c r="K165" s="3625"/>
      <c r="L165" s="3625"/>
      <c r="M165" s="3625"/>
      <c r="N165" s="3625"/>
      <c r="O165" s="3625"/>
      <c r="P165" s="3625"/>
      <c r="Q165" s="3625"/>
      <c r="R165" s="3625"/>
      <c r="S165" s="3625"/>
      <c r="T165" s="3625"/>
      <c r="U165" s="3625"/>
      <c r="V165" s="3625"/>
      <c r="W165" s="3625"/>
      <c r="X165" s="3625"/>
      <c r="Y165" s="3625"/>
      <c r="Z165" s="3625"/>
      <c r="AA165" s="3625"/>
      <c r="AB165" s="3625"/>
      <c r="AC165" s="3625"/>
      <c r="AD165" s="3625"/>
      <c r="AE165" s="3625"/>
      <c r="AF165" s="3625"/>
      <c r="AG165" s="3625"/>
      <c r="AH165" s="3625"/>
      <c r="AI165" s="3625"/>
      <c r="AJ165" s="3625"/>
      <c r="AK165" s="3625"/>
      <c r="AL165" s="3625"/>
      <c r="AM165" s="3626"/>
      <c r="AN165" s="138"/>
      <c r="AO165" s="57"/>
      <c r="AP165" s="55"/>
      <c r="AR165" s="1744"/>
      <c r="AS165" s="1744"/>
      <c r="AT165" s="3625"/>
      <c r="AU165" s="3625"/>
      <c r="AV165" s="241"/>
      <c r="AW165" s="120"/>
      <c r="AX165" s="120"/>
      <c r="AY165" s="120"/>
    </row>
    <row r="166" spans="1:80" s="121" customFormat="1" ht="18" customHeight="1">
      <c r="A166" s="120"/>
      <c r="B166" s="226"/>
      <c r="D166" s="570"/>
      <c r="AL166" s="3715">
        <f>IF(AND(AL167="Yes", AL209="Included", L170&lt;&gt;""), 20, 0)</f>
        <v>0</v>
      </c>
      <c r="AM166" s="3716"/>
      <c r="AN166" s="138"/>
      <c r="AO166" s="57"/>
      <c r="AP166" s="55"/>
      <c r="AR166" s="1744"/>
      <c r="AS166" s="1744"/>
      <c r="AT166" s="3625"/>
      <c r="AU166" s="3625"/>
      <c r="AV166" s="3625"/>
      <c r="AW166" s="3625"/>
      <c r="AX166" s="120"/>
      <c r="AY166" s="120"/>
    </row>
    <row r="167" spans="1:80" s="120" customFormat="1" ht="22.5" customHeight="1">
      <c r="B167" s="236"/>
      <c r="D167" s="3671" t="s">
        <v>3532</v>
      </c>
      <c r="E167" s="3671"/>
      <c r="F167" s="3671"/>
      <c r="G167" s="3671"/>
      <c r="H167" s="3671"/>
      <c r="I167" s="3671"/>
      <c r="J167" s="3671"/>
      <c r="K167" s="3671"/>
      <c r="L167" s="3671"/>
      <c r="M167" s="3671"/>
      <c r="N167" s="3671"/>
      <c r="O167" s="3671"/>
      <c r="P167" s="3671"/>
      <c r="Q167" s="3671"/>
      <c r="R167" s="3671"/>
      <c r="S167" s="3671"/>
      <c r="T167" s="3671"/>
      <c r="U167" s="3671"/>
      <c r="V167" s="3671"/>
      <c r="W167" s="3671"/>
      <c r="X167" s="3671"/>
      <c r="Y167" s="3671"/>
      <c r="Z167" s="3671"/>
      <c r="AA167" s="3671"/>
      <c r="AB167" s="3671"/>
      <c r="AC167" s="3671"/>
      <c r="AD167" s="3671"/>
      <c r="AE167" s="3671"/>
      <c r="AF167" s="3671"/>
      <c r="AG167" s="3671"/>
      <c r="AH167" s="3671"/>
      <c r="AI167" s="3671"/>
      <c r="AJ167" s="3671"/>
      <c r="AK167" s="3624"/>
      <c r="AL167" s="3279"/>
      <c r="AM167" s="3688"/>
    </row>
    <row r="168" spans="1:80" s="120" customFormat="1" ht="48.75" customHeight="1">
      <c r="B168" s="236"/>
      <c r="E168" s="570" t="s">
        <v>3533</v>
      </c>
      <c r="F168" s="3464" t="s">
        <v>3534</v>
      </c>
      <c r="G168" s="3464"/>
      <c r="H168" s="3464"/>
      <c r="I168" s="3464"/>
      <c r="J168" s="3464"/>
      <c r="K168" s="3464"/>
      <c r="L168" s="3464"/>
      <c r="M168" s="3464"/>
      <c r="N168" s="3464"/>
      <c r="O168" s="3464"/>
      <c r="P168" s="3464"/>
      <c r="Q168" s="3464"/>
      <c r="R168" s="3464"/>
      <c r="S168" s="3464"/>
      <c r="T168" s="3464"/>
      <c r="U168" s="3464"/>
      <c r="V168" s="3464"/>
      <c r="W168" s="3464"/>
      <c r="X168" s="3464"/>
      <c r="Y168" s="3464"/>
      <c r="Z168" s="3464"/>
      <c r="AA168" s="3464"/>
      <c r="AB168" s="3464"/>
      <c r="AC168" s="3464"/>
      <c r="AD168" s="3464"/>
      <c r="AE168" s="3464"/>
      <c r="AF168" s="3464"/>
      <c r="AG168" s="3464"/>
      <c r="AH168" s="3464"/>
      <c r="AI168" s="3464"/>
      <c r="AM168" s="942"/>
    </row>
    <row r="169" spans="1:80" s="120" customFormat="1" ht="38.25" customHeight="1">
      <c r="B169" s="236"/>
      <c r="E169" s="570" t="s">
        <v>3533</v>
      </c>
      <c r="F169" s="3464" t="s">
        <v>3535</v>
      </c>
      <c r="G169" s="3464"/>
      <c r="H169" s="3464"/>
      <c r="I169" s="3464"/>
      <c r="J169" s="3464"/>
      <c r="K169" s="3464"/>
      <c r="L169" s="3464"/>
      <c r="M169" s="3464"/>
      <c r="N169" s="3464"/>
      <c r="O169" s="3464"/>
      <c r="P169" s="3464"/>
      <c r="Q169" s="3464"/>
      <c r="R169" s="3464"/>
      <c r="S169" s="3464"/>
      <c r="T169" s="3464"/>
      <c r="U169" s="3464"/>
      <c r="V169" s="3464"/>
      <c r="W169" s="3464"/>
      <c r="X169" s="3464"/>
      <c r="Y169" s="3464"/>
      <c r="Z169" s="1634"/>
      <c r="AA169" s="1634"/>
      <c r="AB169" s="1634"/>
      <c r="AC169" s="1634"/>
      <c r="AD169" s="1634"/>
      <c r="AE169" s="1634"/>
      <c r="AF169" s="1634"/>
      <c r="AG169" s="1584"/>
      <c r="AH169" s="1584"/>
      <c r="AI169" s="1584"/>
      <c r="AJ169" s="1584"/>
      <c r="AK169" s="1584"/>
      <c r="AL169" s="1584"/>
      <c r="AM169" s="1585"/>
    </row>
    <row r="170" spans="1:80" s="120" customFormat="1" ht="22.5" customHeight="1">
      <c r="B170" s="236"/>
      <c r="H170" s="120" t="s">
        <v>3536</v>
      </c>
      <c r="L170" s="1946"/>
      <c r="M170" s="3521"/>
      <c r="N170" s="3521"/>
      <c r="O170" s="3521"/>
      <c r="P170" s="3521"/>
      <c r="Q170" s="3521"/>
      <c r="R170" s="3521"/>
      <c r="S170" s="3521"/>
      <c r="T170" s="1588"/>
      <c r="U170" s="1584"/>
      <c r="V170" s="1584"/>
      <c r="W170" s="1584"/>
      <c r="X170" s="1584"/>
      <c r="Y170" s="1584"/>
      <c r="Z170" s="1584"/>
      <c r="AA170" s="1584"/>
      <c r="AB170" s="1584"/>
      <c r="AC170" s="1584"/>
      <c r="AD170" s="1584"/>
      <c r="AM170" s="1437"/>
    </row>
    <row r="171" spans="1:80" s="120" customFormat="1" ht="51.75" customHeight="1">
      <c r="B171" s="236"/>
      <c r="F171" s="570" t="s">
        <v>1314</v>
      </c>
      <c r="G171" s="3464" t="s">
        <v>3537</v>
      </c>
      <c r="H171" s="3464"/>
      <c r="I171" s="3464"/>
      <c r="J171" s="3464"/>
      <c r="K171" s="3464"/>
      <c r="L171" s="3464"/>
      <c r="M171" s="3464"/>
      <c r="N171" s="3464"/>
      <c r="O171" s="3464"/>
      <c r="P171" s="3464"/>
      <c r="Q171" s="3464"/>
      <c r="R171" s="3464"/>
      <c r="S171" s="3464"/>
      <c r="T171" s="3464"/>
      <c r="U171" s="3464"/>
      <c r="V171" s="3464"/>
      <c r="W171" s="3464"/>
      <c r="X171" s="3464"/>
      <c r="Y171" s="3464"/>
      <c r="Z171" s="3464"/>
      <c r="AA171" s="3464"/>
      <c r="AB171" s="3464"/>
      <c r="AC171" s="3464"/>
      <c r="AD171" s="3464"/>
      <c r="AE171" s="3464"/>
      <c r="AF171" s="3464"/>
      <c r="AG171" s="3464"/>
      <c r="AH171" s="3464"/>
      <c r="AI171" s="3464"/>
      <c r="AJ171" s="3464"/>
      <c r="AL171" s="3541"/>
      <c r="AM171" s="3542"/>
    </row>
    <row r="172" spans="1:80" s="120" customFormat="1" ht="85.5" customHeight="1">
      <c r="B172" s="236"/>
      <c r="E172" s="241"/>
      <c r="F172" s="570" t="s">
        <v>1316</v>
      </c>
      <c r="G172" s="3464" t="s">
        <v>3538</v>
      </c>
      <c r="H172" s="1970"/>
      <c r="I172" s="1970"/>
      <c r="J172" s="1970"/>
      <c r="K172" s="1970"/>
      <c r="L172" s="1970"/>
      <c r="M172" s="1970"/>
      <c r="N172" s="1970"/>
      <c r="O172" s="1970"/>
      <c r="P172" s="1970"/>
      <c r="Q172" s="1970"/>
      <c r="R172" s="1970"/>
      <c r="S172" s="1970"/>
      <c r="T172" s="1970"/>
      <c r="U172" s="1970"/>
      <c r="V172" s="1970"/>
      <c r="W172" s="1970"/>
      <c r="X172" s="1970"/>
      <c r="Y172" s="1970"/>
      <c r="Z172" s="1970"/>
      <c r="AA172" s="1970"/>
      <c r="AB172" s="1970"/>
      <c r="AC172" s="1970"/>
      <c r="AD172" s="1970"/>
      <c r="AE172" s="1970"/>
      <c r="AF172" s="1970"/>
      <c r="AG172" s="1970"/>
      <c r="AH172" s="1970"/>
      <c r="AI172" s="1970"/>
      <c r="AJ172" s="1970"/>
      <c r="AK172" s="1970"/>
      <c r="AL172" s="3541"/>
      <c r="AM172" s="3542"/>
    </row>
    <row r="173" spans="1:80" s="120" customFormat="1" ht="15" customHeight="1">
      <c r="B173" s="3690"/>
      <c r="C173" s="2015"/>
      <c r="D173" s="2015"/>
      <c r="E173" s="1587"/>
      <c r="F173" s="1587"/>
      <c r="G173" s="940" t="s">
        <v>1312</v>
      </c>
      <c r="H173" s="3464" t="s">
        <v>3539</v>
      </c>
      <c r="I173" s="3464"/>
      <c r="J173" s="3464"/>
      <c r="K173" s="3464"/>
      <c r="L173" s="3464"/>
      <c r="M173" s="3464"/>
      <c r="N173" s="3464"/>
      <c r="O173" s="3464"/>
      <c r="P173" s="3464"/>
      <c r="Q173" s="3464"/>
      <c r="R173" s="3464"/>
      <c r="S173" s="3464"/>
      <c r="T173" s="3464"/>
      <c r="U173" s="3464"/>
      <c r="V173" s="3464"/>
      <c r="W173" s="3464"/>
      <c r="X173" s="3464"/>
      <c r="Y173" s="3464"/>
      <c r="Z173" s="3464"/>
      <c r="AA173" s="3464"/>
      <c r="AB173" s="3464"/>
      <c r="AC173" s="3464"/>
      <c r="AD173" s="3464"/>
      <c r="AE173" s="3464"/>
      <c r="AF173" s="3464"/>
      <c r="AG173" s="3464"/>
      <c r="AH173" s="3464"/>
      <c r="AI173" s="3464"/>
      <c r="AJ173" s="3464"/>
      <c r="AK173" s="3464"/>
      <c r="AL173" s="3628"/>
      <c r="AM173" s="2023"/>
    </row>
    <row r="174" spans="1:80" s="120" customFormat="1" ht="39" customHeight="1">
      <c r="B174" s="236"/>
      <c r="E174" s="940"/>
      <c r="F174" s="940"/>
      <c r="G174" s="940" t="s">
        <v>1318</v>
      </c>
      <c r="H174" s="3464" t="s">
        <v>3540</v>
      </c>
      <c r="I174" s="3464"/>
      <c r="J174" s="3464"/>
      <c r="K174" s="3464"/>
      <c r="L174" s="3464"/>
      <c r="M174" s="3464"/>
      <c r="N174" s="3464"/>
      <c r="O174" s="3464"/>
      <c r="P174" s="3464"/>
      <c r="Q174" s="3464"/>
      <c r="R174" s="3464"/>
      <c r="S174" s="3464"/>
      <c r="T174" s="3464"/>
      <c r="U174" s="3464"/>
      <c r="V174" s="3464"/>
      <c r="W174" s="3464"/>
      <c r="X174" s="3464"/>
      <c r="Y174" s="3464"/>
      <c r="Z174" s="3464"/>
      <c r="AA174" s="3464"/>
      <c r="AB174" s="3464"/>
      <c r="AC174" s="3464"/>
      <c r="AD174" s="3464"/>
      <c r="AE174" s="3464"/>
      <c r="AF174" s="3464"/>
      <c r="AG174" s="3464"/>
      <c r="AH174" s="3464"/>
      <c r="AI174" s="3464"/>
      <c r="AJ174" s="3464"/>
      <c r="AK174" s="3464"/>
      <c r="AL174" s="3541"/>
      <c r="AM174" s="2023"/>
      <c r="AN174" s="171"/>
      <c r="AO174" s="57"/>
      <c r="AP174" s="341"/>
      <c r="AQ174" s="341"/>
      <c r="AR174" s="341"/>
      <c r="AS174" s="341"/>
      <c r="AT174" s="341"/>
      <c r="AU174" s="341"/>
      <c r="AV174" s="341"/>
      <c r="AW174" s="341"/>
      <c r="AX174" s="341"/>
      <c r="AY174" s="341"/>
      <c r="AZ174" s="341"/>
      <c r="BA174" s="341"/>
      <c r="BB174" s="341"/>
      <c r="BC174" s="341"/>
      <c r="BD174" s="341"/>
      <c r="BE174" s="341"/>
      <c r="BF174" s="341"/>
      <c r="BG174" s="341"/>
      <c r="BH174" s="341"/>
      <c r="BI174" s="341"/>
      <c r="BJ174" s="341"/>
      <c r="BK174" s="341"/>
      <c r="BL174" s="341"/>
      <c r="BM174" s="341"/>
      <c r="BN174" s="341"/>
      <c r="BO174" s="341"/>
      <c r="BP174" s="341"/>
      <c r="BQ174" s="341"/>
      <c r="BR174" s="342"/>
      <c r="BS174" s="342"/>
      <c r="BT174" s="342"/>
      <c r="BU174" s="342"/>
      <c r="BV174" s="342"/>
      <c r="BW174" s="342"/>
      <c r="BX174" s="342"/>
      <c r="BY174" s="342"/>
      <c r="BZ174" s="342"/>
      <c r="CA174" s="342"/>
      <c r="CB174" s="342"/>
    </row>
    <row r="175" spans="1:80" s="120" customFormat="1" ht="55.5" customHeight="1">
      <c r="B175" s="236"/>
      <c r="C175" s="235"/>
      <c r="E175" s="478"/>
      <c r="F175" s="940"/>
      <c r="G175" s="940" t="s">
        <v>1320</v>
      </c>
      <c r="H175" s="3464" t="s">
        <v>3541</v>
      </c>
      <c r="I175" s="3464"/>
      <c r="J175" s="3464"/>
      <c r="K175" s="3464"/>
      <c r="L175" s="3464"/>
      <c r="M175" s="3464"/>
      <c r="N175" s="3464"/>
      <c r="O175" s="3464"/>
      <c r="P175" s="3464"/>
      <c r="Q175" s="3464"/>
      <c r="R175" s="3464"/>
      <c r="S175" s="3464"/>
      <c r="T175" s="3464"/>
      <c r="U175" s="3464"/>
      <c r="V175" s="3464"/>
      <c r="W175" s="3464"/>
      <c r="X175" s="3464"/>
      <c r="Y175" s="3464"/>
      <c r="Z175" s="3464"/>
      <c r="AA175" s="3464"/>
      <c r="AB175" s="3464"/>
      <c r="AC175" s="3464"/>
      <c r="AD175" s="3464"/>
      <c r="AE175" s="3464"/>
      <c r="AF175" s="3464"/>
      <c r="AG175" s="3464"/>
      <c r="AH175" s="3464"/>
      <c r="AI175" s="3464"/>
      <c r="AJ175" s="3464"/>
      <c r="AK175" s="3464"/>
      <c r="AL175" s="3541"/>
      <c r="AM175" s="2023"/>
      <c r="AN175" s="171"/>
      <c r="AO175" s="57"/>
      <c r="AP175" s="55"/>
      <c r="AQ175" s="1744"/>
      <c r="AR175" s="1744"/>
      <c r="AS175" s="1744"/>
      <c r="AU175" s="179"/>
      <c r="AV175" s="346"/>
    </row>
    <row r="176" spans="1:80" s="120" customFormat="1" ht="24" customHeight="1">
      <c r="B176" s="236"/>
      <c r="E176" s="241"/>
      <c r="F176" s="241"/>
      <c r="G176" s="941" t="s">
        <v>1322</v>
      </c>
      <c r="H176" s="2180" t="s">
        <v>3542</v>
      </c>
      <c r="I176" s="2180"/>
      <c r="J176" s="2180"/>
      <c r="K176" s="2180"/>
      <c r="L176" s="2180"/>
      <c r="M176" s="2180"/>
      <c r="N176" s="2180"/>
      <c r="O176" s="2180"/>
      <c r="P176" s="2180"/>
      <c r="Q176" s="2180"/>
      <c r="R176" s="2180"/>
      <c r="S176" s="2180"/>
      <c r="T176" s="2180"/>
      <c r="U176" s="2180"/>
      <c r="V176" s="2180"/>
      <c r="W176" s="2180"/>
      <c r="X176" s="2180"/>
      <c r="Y176" s="2180"/>
      <c r="Z176" s="2180"/>
      <c r="AA176" s="2180"/>
      <c r="AB176" s="2180"/>
      <c r="AC176" s="2180"/>
      <c r="AD176" s="2180"/>
      <c r="AE176" s="2180"/>
      <c r="AF176" s="2180"/>
      <c r="AG176" s="2180"/>
      <c r="AH176" s="2180"/>
      <c r="AI176" s="2180"/>
      <c r="AJ176" s="2180"/>
      <c r="AK176" s="2180"/>
      <c r="AL176"/>
      <c r="AM176" s="1628"/>
      <c r="AP176" s="241"/>
      <c r="AR176" s="1744"/>
      <c r="AS176" s="1744"/>
    </row>
    <row r="177" spans="1:47" s="120" customFormat="1" ht="36" hidden="1" customHeight="1">
      <c r="B177" s="3675"/>
      <c r="C177" s="1970"/>
      <c r="F177" s="3669"/>
      <c r="G177" s="1869"/>
      <c r="H177" s="1869"/>
      <c r="I177" s="1869"/>
      <c r="J177" s="1869"/>
      <c r="K177" s="1869"/>
      <c r="L177" s="1869"/>
      <c r="M177" s="1869"/>
      <c r="N177" s="1869"/>
      <c r="O177" s="1869"/>
      <c r="P177" s="1869"/>
      <c r="Q177" s="1869"/>
      <c r="R177" s="1869"/>
      <c r="S177" s="1869"/>
      <c r="T177" s="1869"/>
      <c r="U177" s="1869"/>
      <c r="V177" s="1869"/>
      <c r="W177" s="1869"/>
      <c r="X177" s="1869"/>
      <c r="Y177" s="1869"/>
      <c r="Z177" s="1869"/>
      <c r="AA177" s="1869"/>
      <c r="AB177" s="1869"/>
      <c r="AC177" s="1869"/>
      <c r="AD177" s="1869"/>
      <c r="AE177" s="1869"/>
      <c r="AF177" s="1869"/>
      <c r="AG177" s="1869"/>
      <c r="AH177" s="1869"/>
      <c r="AI177" s="1869"/>
      <c r="AJ177" s="1869"/>
      <c r="AK177" s="1869"/>
      <c r="AL177" s="1869"/>
      <c r="AM177" s="1870"/>
      <c r="AP177" s="241"/>
      <c r="AR177" s="1744"/>
      <c r="AS177" s="1744"/>
    </row>
    <row r="178" spans="1:47" s="120" customFormat="1" ht="36" hidden="1" customHeight="1">
      <c r="B178" s="3262" t="s">
        <v>558</v>
      </c>
      <c r="C178" s="1777"/>
      <c r="D178" s="1778"/>
      <c r="E178" s="3141" t="str">
        <f>'Document Checklist-Full List'!$E$179</f>
        <v>85. Const EFC #1, #2, etc.</v>
      </c>
      <c r="F178" s="1777"/>
      <c r="G178" s="1777"/>
      <c r="H178" s="1777"/>
      <c r="I178" s="1777"/>
      <c r="J178" s="1777"/>
      <c r="K178" s="1777"/>
      <c r="L178" s="1777"/>
      <c r="M178" s="1778"/>
      <c r="N178" s="3141" t="str">
        <f>'Document Checklist-Full List'!$N$179</f>
        <v>Provide all commitment letters or other evidence documenting construction financing commitments.</v>
      </c>
      <c r="O178" s="1777"/>
      <c r="P178" s="1777"/>
      <c r="Q178" s="1777"/>
      <c r="R178" s="1777"/>
      <c r="S178" s="1777"/>
      <c r="T178" s="1777"/>
      <c r="U178" s="1777"/>
      <c r="V178" s="1777"/>
      <c r="W178" s="1777"/>
      <c r="X178" s="1777"/>
      <c r="Y178" s="1777"/>
      <c r="Z178" s="1777"/>
      <c r="AA178" s="1777"/>
      <c r="AB178" s="1777"/>
      <c r="AC178" s="1777"/>
      <c r="AD178" s="1777"/>
      <c r="AE178" s="1778"/>
      <c r="AF178" s="1886" t="s">
        <v>559</v>
      </c>
      <c r="AG178" s="1777"/>
      <c r="AH178" s="1777"/>
      <c r="AI178" s="1777"/>
      <c r="AJ178" s="1777"/>
      <c r="AK178" s="1778"/>
      <c r="AL178" s="1911"/>
      <c r="AM178" s="1862"/>
      <c r="AP178" s="241"/>
      <c r="AR178" s="1744"/>
      <c r="AS178" s="1744"/>
    </row>
    <row r="179" spans="1:47" s="120" customFormat="1" ht="63" hidden="1" customHeight="1">
      <c r="B179" s="236"/>
      <c r="E179" s="570" t="s">
        <v>1320</v>
      </c>
      <c r="F179" s="3315" t="s">
        <v>3543</v>
      </c>
      <c r="G179" s="1953"/>
      <c r="H179" s="1953"/>
      <c r="I179" s="1953"/>
      <c r="J179" s="1953"/>
      <c r="K179" s="1953"/>
      <c r="L179" s="1953"/>
      <c r="M179" s="1953"/>
      <c r="N179" s="1953"/>
      <c r="O179" s="1953"/>
      <c r="P179" s="1953"/>
      <c r="Q179" s="1953"/>
      <c r="R179" s="1953"/>
      <c r="S179" s="1953"/>
      <c r="T179" s="1953"/>
      <c r="U179" s="1953"/>
      <c r="V179" s="1953"/>
      <c r="W179" s="1953"/>
      <c r="X179" s="1953"/>
      <c r="Y179" s="1953"/>
      <c r="Z179" s="1953"/>
      <c r="AA179" s="1953"/>
      <c r="AB179" s="1953"/>
      <c r="AC179" s="1953"/>
      <c r="AD179" s="1953"/>
      <c r="AE179" s="1953"/>
      <c r="AF179" s="1953"/>
      <c r="AG179" s="1953"/>
      <c r="AH179" s="1953"/>
      <c r="AI179" s="1953"/>
      <c r="AJ179" s="1953"/>
      <c r="AK179" s="1770"/>
      <c r="AL179" s="3534">
        <f>IF(AND(AL181="Yes",AL182="Yes",AL183="Yes",OR(AL184="Yes",AL184="N/A")),5,0)</f>
        <v>0</v>
      </c>
      <c r="AM179" s="1778"/>
      <c r="AS179" s="3625" t="s">
        <v>693</v>
      </c>
      <c r="AT179" s="3625"/>
      <c r="AU179" s="3625"/>
    </row>
    <row r="180" spans="1:47" s="120" customFormat="1" ht="63" hidden="1" customHeight="1">
      <c r="B180" s="236"/>
      <c r="E180" s="1634"/>
      <c r="F180" s="3492" t="s">
        <v>3544</v>
      </c>
      <c r="G180" s="1970"/>
      <c r="H180" s="1970"/>
      <c r="I180" s="1970"/>
      <c r="J180" s="1970"/>
      <c r="K180" s="1970"/>
      <c r="L180" s="1970"/>
      <c r="M180" s="1970"/>
      <c r="N180" s="1970"/>
      <c r="O180" s="1970"/>
      <c r="P180" s="1970"/>
      <c r="Q180" s="1970"/>
      <c r="R180" s="1970"/>
      <c r="S180" s="1970"/>
      <c r="T180" s="1970"/>
      <c r="U180" s="1970"/>
      <c r="V180" s="1970"/>
      <c r="W180" s="1970"/>
      <c r="X180" s="1970"/>
      <c r="Y180" s="1970"/>
      <c r="Z180" s="1970"/>
      <c r="AA180" s="1970"/>
      <c r="AB180" s="1970"/>
      <c r="AC180" s="1970"/>
      <c r="AD180" s="1970"/>
      <c r="AE180" s="1970"/>
      <c r="AF180" s="1970"/>
      <c r="AG180" s="1970"/>
      <c r="AH180" s="1970"/>
      <c r="AI180" s="1970"/>
      <c r="AJ180" s="1970"/>
      <c r="AK180" s="1970"/>
      <c r="AL180" s="1970"/>
      <c r="AM180" s="1889"/>
      <c r="AS180" s="3625"/>
      <c r="AT180" s="3625"/>
      <c r="AU180" s="3625"/>
    </row>
    <row r="181" spans="1:47" s="120" customFormat="1" ht="54" hidden="1" customHeight="1">
      <c r="B181" s="236"/>
      <c r="F181" s="3492" t="s">
        <v>3545</v>
      </c>
      <c r="G181" s="1970"/>
      <c r="H181" s="1970"/>
      <c r="I181" s="1970"/>
      <c r="J181" s="1970"/>
      <c r="K181" s="1970"/>
      <c r="L181" s="1970"/>
      <c r="M181" s="1970"/>
      <c r="N181" s="1970"/>
      <c r="O181" s="1970"/>
      <c r="P181" s="1970"/>
      <c r="Q181" s="1970"/>
      <c r="R181" s="1970"/>
      <c r="S181" s="1970"/>
      <c r="T181" s="1970"/>
      <c r="U181" s="1970"/>
      <c r="V181" s="1970"/>
      <c r="W181" s="1970"/>
      <c r="X181" s="1970"/>
      <c r="Y181" s="1970"/>
      <c r="Z181" s="1970"/>
      <c r="AA181" s="1970"/>
      <c r="AB181" s="1970"/>
      <c r="AC181" s="1970"/>
      <c r="AD181" s="1970"/>
      <c r="AE181" s="1970"/>
      <c r="AF181" s="1970"/>
      <c r="AG181" s="1970"/>
      <c r="AH181" s="1970"/>
      <c r="AI181" s="1970"/>
      <c r="AJ181" s="1970"/>
      <c r="AK181" s="1889"/>
      <c r="AL181" s="3279"/>
      <c r="AM181" s="1862"/>
    </row>
    <row r="182" spans="1:47" s="120" customFormat="1" ht="36" hidden="1" customHeight="1">
      <c r="B182" s="236"/>
      <c r="E182" s="1634"/>
      <c r="F182" s="3490" t="s">
        <v>3546</v>
      </c>
      <c r="G182" s="1877"/>
      <c r="H182" s="1877"/>
      <c r="I182" s="1877"/>
      <c r="J182" s="1877"/>
      <c r="K182" s="1877"/>
      <c r="L182" s="1877"/>
      <c r="M182" s="1877"/>
      <c r="N182" s="1877"/>
      <c r="O182" s="1877"/>
      <c r="P182" s="1877"/>
      <c r="Q182" s="1877"/>
      <c r="R182" s="1877"/>
      <c r="S182" s="1877"/>
      <c r="T182" s="1877"/>
      <c r="U182" s="1877"/>
      <c r="V182" s="1877"/>
      <c r="W182" s="1877"/>
      <c r="X182" s="1877"/>
      <c r="Y182" s="1877"/>
      <c r="Z182" s="1877"/>
      <c r="AA182" s="1877"/>
      <c r="AB182" s="1877"/>
      <c r="AC182" s="1877"/>
      <c r="AD182" s="1877"/>
      <c r="AE182" s="1877"/>
      <c r="AF182" s="1877"/>
      <c r="AG182" s="1877"/>
      <c r="AH182" s="1877"/>
      <c r="AI182" s="1877"/>
      <c r="AJ182" s="1877"/>
      <c r="AK182" s="1772"/>
      <c r="AL182" s="3279"/>
      <c r="AM182" s="1862"/>
    </row>
    <row r="183" spans="1:47" s="120" customFormat="1" ht="36" hidden="1" customHeight="1">
      <c r="B183" s="3262" t="s">
        <v>558</v>
      </c>
      <c r="C183" s="1777"/>
      <c r="D183" s="1778"/>
      <c r="E183" s="3141" t="str">
        <f>'Document Checklist-Full List'!$E$180</f>
        <v>9. Permanent Enforceable Funding Commitments #1, #2, etc.</v>
      </c>
      <c r="F183" s="1777"/>
      <c r="G183" s="1777"/>
      <c r="H183" s="1777"/>
      <c r="I183" s="1777"/>
      <c r="J183" s="1777"/>
      <c r="K183" s="1777"/>
      <c r="L183" s="1777"/>
      <c r="M183" s="1778"/>
      <c r="N183" s="3141" t="str">
        <f>'Document Checklist-Full List'!$N$180</f>
        <v>Provide all enforceable funding commitment letters or other evidence documenting all permanent financing commitments.</v>
      </c>
      <c r="O183" s="1777"/>
      <c r="P183" s="1777"/>
      <c r="Q183" s="1777"/>
      <c r="R183" s="1777"/>
      <c r="S183" s="1777"/>
      <c r="T183" s="1777"/>
      <c r="U183" s="1777"/>
      <c r="V183" s="1777"/>
      <c r="W183" s="1777"/>
      <c r="X183" s="1777"/>
      <c r="Y183" s="1777"/>
      <c r="Z183" s="1777"/>
      <c r="AA183" s="1777"/>
      <c r="AB183" s="1777"/>
      <c r="AC183" s="1777"/>
      <c r="AD183" s="1777"/>
      <c r="AE183" s="1778"/>
      <c r="AF183" s="1886" t="s">
        <v>559</v>
      </c>
      <c r="AG183" s="1777"/>
      <c r="AH183" s="1777"/>
      <c r="AI183" s="1777"/>
      <c r="AJ183" s="1777"/>
      <c r="AK183" s="1778"/>
      <c r="AL183" s="1911"/>
      <c r="AM183" s="1862"/>
    </row>
    <row r="184" spans="1:47" s="120" customFormat="1" ht="62.25" hidden="1" customHeight="1">
      <c r="B184" s="3676" t="s">
        <v>558</v>
      </c>
      <c r="C184" s="1953"/>
      <c r="D184" s="1770"/>
      <c r="E184" s="3141" t="str">
        <f>'Document Checklist-Full List'!$E$181</f>
        <v>10. Subsidies #1, #2</v>
      </c>
      <c r="F184" s="1777"/>
      <c r="G184" s="1777"/>
      <c r="H184" s="1777"/>
      <c r="I184" s="1777"/>
      <c r="J184" s="1777"/>
      <c r="K184" s="1777"/>
      <c r="L184" s="1777"/>
      <c r="M184" s="1778"/>
      <c r="N184" s="3141" t="str">
        <f>'Document Checklist-Full List'!$N$181</f>
        <v>For Projects proposing project-based rental assistance in the application's Unit Mix or operating subsidies in the Operating Budget, provide evidence of such commitments. Include clarifying information if the commitments do not specify whether contract rent is gross or net of utility allowance.</v>
      </c>
      <c r="O184" s="1777"/>
      <c r="P184" s="1777"/>
      <c r="Q184" s="1777"/>
      <c r="R184" s="1777"/>
      <c r="S184" s="1777"/>
      <c r="T184" s="1777"/>
      <c r="U184" s="1777"/>
      <c r="V184" s="1777"/>
      <c r="W184" s="1777"/>
      <c r="X184" s="1777"/>
      <c r="Y184" s="1777"/>
      <c r="Z184" s="1777"/>
      <c r="AA184" s="1777"/>
      <c r="AB184" s="1777"/>
      <c r="AC184" s="1777"/>
      <c r="AD184" s="1777"/>
      <c r="AE184" s="1778"/>
      <c r="AF184" s="1886" t="s">
        <v>559</v>
      </c>
      <c r="AG184" s="1777"/>
      <c r="AH184" s="1777"/>
      <c r="AI184" s="1777"/>
      <c r="AJ184" s="1777"/>
      <c r="AK184" s="1778"/>
      <c r="AL184" s="2339"/>
      <c r="AM184" s="1865"/>
    </row>
    <row r="185" spans="1:47" s="120" customFormat="1" ht="57.75" hidden="1" customHeight="1">
      <c r="B185" s="236"/>
      <c r="D185" s="570"/>
      <c r="E185" s="570"/>
      <c r="F185" s="3464"/>
      <c r="G185" s="1970"/>
      <c r="H185" s="1970"/>
      <c r="I185" s="1970"/>
      <c r="J185" s="1970"/>
      <c r="K185" s="1970"/>
      <c r="L185" s="1970"/>
      <c r="M185" s="1970"/>
      <c r="N185" s="1970"/>
      <c r="O185" s="1970"/>
      <c r="P185" s="1970"/>
      <c r="Q185" s="1970"/>
      <c r="R185" s="1970"/>
      <c r="S185" s="1970"/>
      <c r="T185" s="1970"/>
      <c r="U185" s="1970"/>
      <c r="V185" s="1970"/>
      <c r="W185" s="1970"/>
      <c r="X185" s="1970"/>
      <c r="Y185" s="1970"/>
      <c r="Z185" s="1970"/>
      <c r="AA185" s="1970"/>
      <c r="AB185" s="1970"/>
      <c r="AC185" s="1970"/>
      <c r="AD185" s="1970"/>
      <c r="AE185" s="1970"/>
      <c r="AF185" s="1970"/>
      <c r="AG185" s="1970"/>
      <c r="AH185" s="1970"/>
      <c r="AI185" s="1970"/>
      <c r="AJ185" s="1970"/>
      <c r="AK185" s="1970"/>
      <c r="AL185" s="3720"/>
      <c r="AM185" s="1865"/>
    </row>
    <row r="186" spans="1:47" s="120" customFormat="1" ht="46.5" hidden="1" customHeight="1">
      <c r="B186" s="236"/>
      <c r="C186" s="235"/>
      <c r="E186" s="92"/>
      <c r="F186" s="3492"/>
      <c r="G186" s="3492"/>
      <c r="H186" s="3492"/>
      <c r="I186" s="3492"/>
      <c r="J186" s="3492"/>
      <c r="K186" s="3492"/>
      <c r="L186" s="3492"/>
      <c r="M186" s="3492"/>
      <c r="N186" s="3492"/>
      <c r="O186" s="3492"/>
      <c r="P186" s="3492"/>
      <c r="Q186" s="3492"/>
      <c r="R186" s="3492"/>
      <c r="S186" s="3492"/>
      <c r="T186" s="3492"/>
      <c r="U186" s="3492"/>
      <c r="V186" s="3492"/>
      <c r="W186" s="3492"/>
      <c r="X186" s="3492"/>
      <c r="Y186" s="3492"/>
      <c r="Z186" s="3492"/>
      <c r="AA186" s="3492"/>
      <c r="AB186" s="3492"/>
      <c r="AC186" s="3492"/>
      <c r="AD186" s="3492"/>
      <c r="AE186" s="3492"/>
      <c r="AF186" s="3492"/>
      <c r="AG186" s="3492"/>
      <c r="AH186" s="3492"/>
      <c r="AI186" s="3492"/>
      <c r="AJ186" s="3492"/>
      <c r="AK186" s="3464"/>
      <c r="AL186" s="3543"/>
      <c r="AM186" s="1865"/>
    </row>
    <row r="187" spans="1:47" s="120" customFormat="1" ht="50.25" hidden="1" customHeight="1">
      <c r="A187" s="137"/>
      <c r="B187" s="236"/>
      <c r="C187" s="1634"/>
      <c r="E187" s="570"/>
      <c r="F187" s="3464"/>
      <c r="G187" s="1970"/>
      <c r="H187" s="1970"/>
      <c r="I187" s="1970"/>
      <c r="J187" s="1970"/>
      <c r="K187" s="1970"/>
      <c r="L187" s="1970"/>
      <c r="M187" s="1970"/>
      <c r="N187" s="1970"/>
      <c r="O187" s="1970"/>
      <c r="P187" s="1970"/>
      <c r="Q187" s="1970"/>
      <c r="R187" s="1970"/>
      <c r="S187" s="1970"/>
      <c r="T187" s="1970"/>
      <c r="U187" s="1970"/>
      <c r="V187" s="1970"/>
      <c r="W187" s="1970"/>
      <c r="X187" s="1970"/>
      <c r="Y187" s="1970"/>
      <c r="Z187" s="1970"/>
      <c r="AA187" s="1970"/>
      <c r="AB187" s="1970"/>
      <c r="AC187" s="1970"/>
      <c r="AD187" s="1970"/>
      <c r="AE187" s="1970"/>
      <c r="AF187" s="1970"/>
      <c r="AG187" s="1970"/>
      <c r="AH187" s="1970"/>
      <c r="AI187" s="1970"/>
      <c r="AJ187" s="1970"/>
      <c r="AK187" s="1970"/>
      <c r="AL187" s="3604"/>
      <c r="AM187" s="1870"/>
    </row>
    <row r="188" spans="1:47" s="120" customFormat="1" ht="18" hidden="1" customHeight="1">
      <c r="B188" s="433"/>
      <c r="C188" s="1751"/>
      <c r="D188" s="1751"/>
      <c r="E188" s="1741"/>
      <c r="F188" s="1741"/>
      <c r="G188" s="3673"/>
      <c r="H188" s="3674"/>
      <c r="I188" s="3674"/>
      <c r="J188" s="3674"/>
      <c r="K188" s="3674"/>
      <c r="L188" s="3674"/>
      <c r="M188" s="3674"/>
      <c r="N188" s="3674"/>
      <c r="O188" s="3674"/>
      <c r="P188" s="3674"/>
      <c r="Q188" s="3674"/>
      <c r="R188" s="3674"/>
      <c r="S188" s="3674"/>
      <c r="T188" s="3674"/>
      <c r="U188" s="3674"/>
      <c r="V188" s="3674"/>
      <c r="W188" s="3674"/>
      <c r="X188" s="3674"/>
      <c r="Y188" s="3674"/>
      <c r="Z188" s="1778"/>
      <c r="AA188" s="3279"/>
      <c r="AB188" s="1862"/>
      <c r="AC188" s="2064"/>
      <c r="AD188" s="3674"/>
      <c r="AE188" s="3674"/>
      <c r="AF188" s="3674"/>
      <c r="AG188" s="3674"/>
      <c r="AH188" s="3674"/>
      <c r="AI188" s="3674"/>
      <c r="AJ188" s="3674"/>
      <c r="AK188" s="1778"/>
      <c r="AL188" s="3589"/>
      <c r="AM188" s="1870"/>
    </row>
    <row r="189" spans="1:47" s="120" customFormat="1" ht="97.35" hidden="1" customHeight="1">
      <c r="B189" s="3262" t="s">
        <v>558</v>
      </c>
      <c r="C189" s="1777"/>
      <c r="D189" s="1778"/>
      <c r="E189" s="3141" t="str">
        <f>'Document Checklist-Full List'!$E$182</f>
        <v>88. Streamlined Ministerial Approval</v>
      </c>
      <c r="F189" s="1777"/>
      <c r="G189" s="1777"/>
      <c r="H189" s="1777"/>
      <c r="I189" s="1777"/>
      <c r="J189" s="1777"/>
      <c r="K189" s="1777"/>
      <c r="L189" s="1777"/>
      <c r="M189" s="1778"/>
      <c r="N189" s="3141" t="str">
        <f>'Document Checklist-Full List'!$N$182</f>
        <v>Applicant must submit either (1) documentation that the project reasonably meets the eligibility requirements for streamlined, ministerial approval and that all necessary applications and notices have been submitted for review; or (2) documentation from the applicable local agency verifying streamlined ministerial approval. See MHP Guideline §7303.1 (h). For complete description of this requirement. For scoring points a legal opinion and certification is required.</v>
      </c>
      <c r="O189" s="1777"/>
      <c r="P189" s="1777"/>
      <c r="Q189" s="1777"/>
      <c r="R189" s="1777"/>
      <c r="S189" s="1777"/>
      <c r="T189" s="1777"/>
      <c r="U189" s="1777"/>
      <c r="V189" s="1777"/>
      <c r="W189" s="1777"/>
      <c r="X189" s="1777"/>
      <c r="Y189" s="1777"/>
      <c r="Z189" s="1777"/>
      <c r="AA189" s="1777"/>
      <c r="AB189" s="1777"/>
      <c r="AC189" s="1777"/>
      <c r="AD189" s="1777"/>
      <c r="AE189" s="1778"/>
      <c r="AF189" s="1886" t="s">
        <v>559</v>
      </c>
      <c r="AG189" s="1777"/>
      <c r="AH189" s="1777"/>
      <c r="AI189" s="1777"/>
      <c r="AJ189" s="1777"/>
      <c r="AK189" s="1778"/>
      <c r="AL189" s="1911"/>
      <c r="AM189" s="1862"/>
    </row>
    <row r="190" spans="1:47" s="120" customFormat="1" ht="18" hidden="1" customHeight="1">
      <c r="B190" s="236"/>
      <c r="F190" s="3533" t="s">
        <v>3547</v>
      </c>
      <c r="G190" s="1877"/>
      <c r="H190" s="1877"/>
      <c r="I190" s="1877"/>
      <c r="J190" s="1877"/>
      <c r="K190" s="1877"/>
      <c r="L190" s="1877"/>
      <c r="M190" s="1877"/>
      <c r="N190" s="1877"/>
      <c r="O190" s="1877"/>
      <c r="P190" s="1877"/>
      <c r="Q190" s="1877"/>
      <c r="R190" s="1877"/>
      <c r="S190" s="1877"/>
      <c r="T190" s="1877"/>
      <c r="U190" s="1877"/>
      <c r="V190" s="1877"/>
      <c r="W190" s="1877"/>
      <c r="X190" s="1877"/>
      <c r="Y190" s="1877"/>
      <c r="Z190" s="1877"/>
      <c r="AA190" s="1877"/>
      <c r="AB190" s="1877"/>
      <c r="AC190" s="1877"/>
      <c r="AD190" s="1877"/>
      <c r="AE190" s="1877"/>
      <c r="AF190" s="1877"/>
      <c r="AG190" s="1877"/>
      <c r="AH190" s="1877"/>
      <c r="AI190" s="1877"/>
      <c r="AJ190" s="1877"/>
      <c r="AK190" s="1877"/>
      <c r="AL190" s="1877"/>
      <c r="AM190" s="1772"/>
    </row>
    <row r="191" spans="1:47" s="120" customFormat="1" ht="36" hidden="1" customHeight="1">
      <c r="B191" s="236"/>
      <c r="F191" s="3172"/>
      <c r="G191" s="1861"/>
      <c r="H191" s="1861"/>
      <c r="I191" s="1861"/>
      <c r="J191" s="1861"/>
      <c r="K191" s="1861"/>
      <c r="L191" s="1861"/>
      <c r="M191" s="1861"/>
      <c r="N191" s="1861"/>
      <c r="O191" s="1861"/>
      <c r="P191" s="1861"/>
      <c r="Q191" s="1861"/>
      <c r="R191" s="1861"/>
      <c r="S191" s="1861"/>
      <c r="T191" s="1861"/>
      <c r="U191" s="1861"/>
      <c r="V191" s="1861"/>
      <c r="W191" s="1861"/>
      <c r="X191" s="1861"/>
      <c r="Y191" s="1861"/>
      <c r="Z191" s="1861"/>
      <c r="AA191" s="1861"/>
      <c r="AB191" s="1861"/>
      <c r="AC191" s="1861"/>
      <c r="AD191" s="1861"/>
      <c r="AE191" s="1861"/>
      <c r="AF191" s="1861"/>
      <c r="AG191" s="1861"/>
      <c r="AH191" s="1861"/>
      <c r="AI191" s="1861"/>
      <c r="AJ191" s="1861"/>
      <c r="AK191" s="1861"/>
      <c r="AL191" s="1861"/>
      <c r="AM191" s="1862"/>
    </row>
    <row r="192" spans="1:47" s="120" customFormat="1" ht="49.5" hidden="1" customHeight="1">
      <c r="B192" s="236"/>
      <c r="F192" s="3460" t="s">
        <v>3548</v>
      </c>
      <c r="G192" s="1953"/>
      <c r="H192" s="1953"/>
      <c r="I192" s="1953"/>
      <c r="J192" s="1953"/>
      <c r="K192" s="1953"/>
      <c r="L192" s="1953"/>
      <c r="M192" s="1953"/>
      <c r="N192" s="1953"/>
      <c r="O192" s="1953"/>
      <c r="P192" s="1953"/>
      <c r="Q192" s="1953"/>
      <c r="R192" s="1953"/>
      <c r="S192" s="1953"/>
      <c r="T192" s="1953"/>
      <c r="U192" s="1953"/>
      <c r="V192" s="1953"/>
      <c r="W192" s="1953"/>
      <c r="X192" s="1953"/>
      <c r="Y192" s="1953"/>
      <c r="Z192" s="1953"/>
      <c r="AA192" s="1953"/>
      <c r="AB192" s="1953"/>
      <c r="AC192" s="1953"/>
      <c r="AD192" s="1953"/>
      <c r="AE192" s="1953"/>
      <c r="AF192" s="1953"/>
      <c r="AG192" s="1953"/>
      <c r="AH192" s="1953"/>
      <c r="AI192" s="1953"/>
      <c r="AJ192" s="1953"/>
      <c r="AK192" s="1953"/>
      <c r="AL192" s="1953"/>
      <c r="AM192" s="1770"/>
    </row>
    <row r="193" spans="1:39" s="120" customFormat="1" ht="54" hidden="1" customHeight="1">
      <c r="A193" s="241"/>
      <c r="B193" s="1742"/>
      <c r="C193" s="241"/>
      <c r="D193" s="241"/>
      <c r="G193" s="2989" t="s">
        <v>3549</v>
      </c>
      <c r="H193" s="1970"/>
      <c r="I193" s="1970"/>
      <c r="J193" s="1970"/>
      <c r="K193" s="1970"/>
      <c r="L193" s="1970"/>
      <c r="M193" s="1970"/>
      <c r="N193" s="1970"/>
      <c r="O193" s="1970"/>
      <c r="P193" s="1970"/>
      <c r="Q193" s="1970"/>
      <c r="R193" s="1970"/>
      <c r="S193" s="1970"/>
      <c r="T193" s="1970"/>
      <c r="U193" s="1970"/>
      <c r="V193" s="1970"/>
      <c r="W193" s="1970"/>
      <c r="X193" s="1970"/>
      <c r="Y193" s="1970"/>
      <c r="Z193" s="1970"/>
      <c r="AA193" s="1970"/>
      <c r="AB193" s="1970"/>
      <c r="AC193" s="1970"/>
      <c r="AD193" s="1970"/>
      <c r="AE193" s="1970"/>
      <c r="AF193" s="1970"/>
      <c r="AG193" s="1970"/>
      <c r="AH193" s="1970"/>
      <c r="AI193" s="1970"/>
      <c r="AJ193" s="1970"/>
      <c r="AK193" s="1970"/>
      <c r="AL193" s="1970"/>
      <c r="AM193" s="1889"/>
    </row>
    <row r="194" spans="1:39" s="120" customFormat="1" ht="18" hidden="1" customHeight="1">
      <c r="B194" s="236"/>
      <c r="G194" s="3492" t="s">
        <v>3550</v>
      </c>
      <c r="H194" s="1970"/>
      <c r="I194" s="1970"/>
      <c r="J194" s="1970"/>
      <c r="K194" s="1970"/>
      <c r="L194" s="1970"/>
      <c r="M194" s="1970"/>
      <c r="N194" s="1970"/>
      <c r="O194" s="1970"/>
      <c r="P194" s="1970"/>
      <c r="Q194" s="1970"/>
      <c r="R194" s="1970"/>
      <c r="S194" s="1970"/>
      <c r="T194" s="1970"/>
      <c r="U194" s="1970"/>
      <c r="V194" s="1970"/>
      <c r="W194" s="1970"/>
      <c r="X194" s="1970"/>
      <c r="Y194" s="1970"/>
      <c r="Z194" s="1970"/>
      <c r="AA194" s="1970"/>
      <c r="AB194" s="1970"/>
      <c r="AC194" s="1970"/>
      <c r="AD194" s="1970"/>
      <c r="AE194" s="1970"/>
      <c r="AF194" s="1970"/>
      <c r="AG194" s="1970"/>
      <c r="AH194" s="1970"/>
      <c r="AI194" s="1970"/>
      <c r="AJ194" s="1970"/>
      <c r="AK194" s="1889"/>
      <c r="AL194" s="3279"/>
      <c r="AM194" s="1862"/>
    </row>
    <row r="195" spans="1:39" s="120" customFormat="1" ht="54" hidden="1" customHeight="1">
      <c r="B195" s="236"/>
      <c r="G195" s="3464" t="s">
        <v>3551</v>
      </c>
      <c r="H195" s="1970"/>
      <c r="I195" s="1970"/>
      <c r="J195" s="1970"/>
      <c r="K195" s="1970"/>
      <c r="L195" s="1970"/>
      <c r="M195" s="1970"/>
      <c r="N195" s="1970"/>
      <c r="O195" s="1970"/>
      <c r="P195" s="1970"/>
      <c r="Q195" s="1970"/>
      <c r="R195" s="1970"/>
      <c r="S195" s="1970"/>
      <c r="T195" s="1970"/>
      <c r="U195" s="1970"/>
      <c r="V195" s="1970"/>
      <c r="W195" s="1970"/>
      <c r="X195" s="1970"/>
      <c r="Y195" s="1970"/>
      <c r="Z195" s="1970"/>
      <c r="AA195" s="1970"/>
      <c r="AB195" s="1970"/>
      <c r="AC195" s="1970"/>
      <c r="AD195" s="1970"/>
      <c r="AE195" s="1970"/>
      <c r="AF195" s="1970"/>
      <c r="AG195" s="1970"/>
      <c r="AH195" s="1970"/>
      <c r="AI195" s="1970"/>
      <c r="AJ195" s="1970"/>
      <c r="AK195" s="1970"/>
      <c r="AL195" s="3279"/>
      <c r="AM195" s="1862"/>
    </row>
    <row r="196" spans="1:39" s="120" customFormat="1" ht="54" hidden="1" customHeight="1">
      <c r="B196" s="236"/>
      <c r="G196" s="3464" t="s">
        <v>3552</v>
      </c>
      <c r="H196" s="1970"/>
      <c r="I196" s="1970"/>
      <c r="J196" s="1970"/>
      <c r="K196" s="1970"/>
      <c r="L196" s="1970"/>
      <c r="M196" s="1970"/>
      <c r="N196" s="1970"/>
      <c r="O196" s="1970"/>
      <c r="P196" s="1970"/>
      <c r="Q196" s="1970"/>
      <c r="R196" s="1970"/>
      <c r="S196" s="1970"/>
      <c r="T196" s="1970"/>
      <c r="U196" s="1970"/>
      <c r="V196" s="1970"/>
      <c r="W196" s="1970"/>
      <c r="X196" s="1970"/>
      <c r="Y196" s="1970"/>
      <c r="Z196" s="1970"/>
      <c r="AA196" s="1970"/>
      <c r="AB196" s="1970"/>
      <c r="AC196" s="1970"/>
      <c r="AD196" s="1970"/>
      <c r="AE196" s="1970"/>
      <c r="AF196" s="1970"/>
      <c r="AG196" s="1970"/>
      <c r="AH196" s="1970"/>
      <c r="AI196" s="1970"/>
      <c r="AJ196" s="1970"/>
      <c r="AK196" s="1970"/>
      <c r="AM196" s="1437"/>
    </row>
    <row r="197" spans="1:39" s="120" customFormat="1" ht="36" hidden="1" customHeight="1">
      <c r="B197" s="236"/>
      <c r="G197" s="3492" t="s">
        <v>3553</v>
      </c>
      <c r="H197" s="1970"/>
      <c r="I197" s="1970"/>
      <c r="J197" s="1970"/>
      <c r="K197" s="1970"/>
      <c r="L197" s="1970"/>
      <c r="M197" s="1970"/>
      <c r="N197" s="1970"/>
      <c r="O197" s="1970"/>
      <c r="P197" s="1970"/>
      <c r="Q197" s="1970"/>
      <c r="R197" s="1970"/>
      <c r="S197" s="1970"/>
      <c r="T197" s="1970"/>
      <c r="U197" s="1970"/>
      <c r="V197" s="1970"/>
      <c r="W197" s="1970"/>
      <c r="X197" s="1970"/>
      <c r="Y197" s="1970"/>
      <c r="Z197" s="1970"/>
      <c r="AA197" s="1970"/>
      <c r="AB197" s="1970"/>
      <c r="AC197" s="1970"/>
      <c r="AD197" s="1970"/>
      <c r="AE197" s="1970"/>
      <c r="AF197" s="1970"/>
      <c r="AG197" s="1970"/>
      <c r="AH197" s="1970"/>
      <c r="AI197" s="1970"/>
      <c r="AJ197" s="1970"/>
      <c r="AK197" s="1889"/>
      <c r="AL197" s="3279"/>
      <c r="AM197" s="1862"/>
    </row>
    <row r="198" spans="1:39" s="120" customFormat="1" ht="64.5" hidden="1" customHeight="1">
      <c r="B198" s="236"/>
      <c r="G198" s="1802" t="s">
        <v>3554</v>
      </c>
      <c r="H198" s="1970"/>
      <c r="I198" s="1970"/>
      <c r="J198" s="1970"/>
      <c r="K198" s="1970"/>
      <c r="L198" s="1970"/>
      <c r="M198" s="1970"/>
      <c r="N198" s="1970"/>
      <c r="O198" s="1970"/>
      <c r="P198" s="1970"/>
      <c r="Q198" s="1970"/>
      <c r="R198" s="1970"/>
      <c r="S198" s="1970"/>
      <c r="T198" s="1970"/>
      <c r="U198" s="1970"/>
      <c r="V198" s="1970"/>
      <c r="W198" s="1970"/>
      <c r="X198" s="1970"/>
      <c r="Y198" s="1970"/>
      <c r="Z198" s="1970"/>
      <c r="AA198" s="1970"/>
      <c r="AB198" s="1970"/>
      <c r="AC198" s="1970"/>
      <c r="AD198" s="1970"/>
      <c r="AE198" s="1970"/>
      <c r="AF198" s="1970"/>
      <c r="AG198" s="1970"/>
      <c r="AH198" s="1970"/>
      <c r="AI198" s="1970"/>
      <c r="AJ198" s="1970"/>
      <c r="AK198" s="1970"/>
      <c r="AL198" s="3279"/>
      <c r="AM198" s="1862"/>
    </row>
    <row r="199" spans="1:39" s="120" customFormat="1" ht="36" hidden="1" customHeight="1">
      <c r="B199" s="236"/>
      <c r="G199" s="3464" t="s">
        <v>3555</v>
      </c>
      <c r="H199" s="1970"/>
      <c r="I199" s="1970"/>
      <c r="J199" s="1970"/>
      <c r="K199" s="1970"/>
      <c r="L199" s="1970"/>
      <c r="M199" s="1970"/>
      <c r="N199" s="1970"/>
      <c r="O199" s="1970"/>
      <c r="P199" s="1970"/>
      <c r="Q199" s="1970"/>
      <c r="R199" s="1970"/>
      <c r="S199" s="1970"/>
      <c r="T199" s="1970"/>
      <c r="U199" s="1970"/>
      <c r="V199" s="1970"/>
      <c r="W199" s="1970"/>
      <c r="X199" s="1970"/>
      <c r="Y199" s="1970"/>
      <c r="Z199" s="1970"/>
      <c r="AA199" s="1970"/>
      <c r="AB199" s="1970"/>
      <c r="AC199" s="1970"/>
      <c r="AD199" s="1970"/>
      <c r="AE199" s="1970"/>
      <c r="AF199" s="1970"/>
      <c r="AG199" s="1970"/>
      <c r="AH199" s="1970"/>
      <c r="AI199" s="1970"/>
      <c r="AJ199" s="1970"/>
      <c r="AK199" s="1970"/>
      <c r="AM199" s="1437"/>
    </row>
    <row r="200" spans="1:39" s="120" customFormat="1" ht="36" hidden="1" customHeight="1">
      <c r="B200" s="236"/>
      <c r="G200" s="1806" t="s">
        <v>3556</v>
      </c>
      <c r="H200" s="1970"/>
      <c r="I200" s="1970"/>
      <c r="J200" s="1970"/>
      <c r="K200" s="1970"/>
      <c r="L200" s="1970"/>
      <c r="M200" s="1970"/>
      <c r="N200" s="1970"/>
      <c r="O200" s="1970"/>
      <c r="P200" s="1970"/>
      <c r="Q200" s="1970"/>
      <c r="R200" s="1970"/>
      <c r="S200" s="1970"/>
      <c r="T200" s="1970"/>
      <c r="U200" s="1970"/>
      <c r="V200" s="1970"/>
      <c r="W200" s="1970"/>
      <c r="X200" s="1970"/>
      <c r="Y200" s="1970"/>
      <c r="Z200" s="1970"/>
      <c r="AA200" s="1970"/>
      <c r="AB200" s="1970"/>
      <c r="AC200" s="1970"/>
      <c r="AD200" s="1970"/>
      <c r="AE200" s="1970"/>
      <c r="AF200" s="1970"/>
      <c r="AG200" s="1970"/>
      <c r="AH200" s="1970"/>
      <c r="AI200" s="1970"/>
      <c r="AJ200" s="1970"/>
      <c r="AK200" s="1970"/>
      <c r="AL200" s="137"/>
      <c r="AM200" s="1438"/>
    </row>
    <row r="201" spans="1:39" s="120" customFormat="1" ht="18" hidden="1" customHeight="1">
      <c r="B201" s="433"/>
      <c r="C201" s="1751"/>
      <c r="D201" s="1751"/>
      <c r="E201" s="1751"/>
      <c r="F201" s="1751"/>
      <c r="G201" s="2143" t="s">
        <v>3557</v>
      </c>
      <c r="H201" s="1877"/>
      <c r="I201" s="1877"/>
      <c r="J201" s="1877"/>
      <c r="K201" s="1877"/>
      <c r="L201" s="1877"/>
      <c r="M201" s="1877"/>
      <c r="N201" s="3515" t="b">
        <f>vmTribalEntity="Yes"</f>
        <v>0</v>
      </c>
      <c r="O201" s="1778"/>
      <c r="P201" s="1751"/>
      <c r="Q201" s="2143" t="s">
        <v>3558</v>
      </c>
      <c r="R201" s="1877"/>
      <c r="S201" s="1877"/>
      <c r="T201" s="1877"/>
      <c r="U201" s="1877"/>
      <c r="V201" s="1877"/>
      <c r="W201" s="1877"/>
      <c r="X201" s="1877"/>
      <c r="Y201" s="1877"/>
      <c r="Z201" s="1877"/>
      <c r="AA201" s="1877"/>
      <c r="AB201" s="3515" t="b">
        <f>vmIndianCountry="Indian Country"</f>
        <v>0</v>
      </c>
      <c r="AC201" s="1778"/>
      <c r="AD201" s="1751"/>
      <c r="AE201" s="1751"/>
      <c r="AF201" s="1751"/>
      <c r="AG201" s="1751"/>
      <c r="AH201" s="1751"/>
      <c r="AI201" s="1751"/>
      <c r="AJ201" s="1751"/>
      <c r="AK201" s="1751"/>
      <c r="AL201" s="1751"/>
      <c r="AM201" s="1481"/>
    </row>
    <row r="202" spans="1:39" s="120" customFormat="1" ht="36" hidden="1" customHeight="1">
      <c r="B202" s="1942" t="s">
        <v>558</v>
      </c>
      <c r="C202" s="1777"/>
      <c r="D202" s="1778"/>
      <c r="E202" s="2013" t="str">
        <f>'Document Checklist-Full List'!$E$183</f>
        <v>89. Tribal Land Use Approvals or Entitlements</v>
      </c>
      <c r="F202" s="1777"/>
      <c r="G202" s="1777"/>
      <c r="H202" s="1777"/>
      <c r="I202" s="1777"/>
      <c r="J202" s="1777"/>
      <c r="K202" s="1777"/>
      <c r="L202" s="1777"/>
      <c r="M202" s="1778"/>
      <c r="N202" s="2013" t="str">
        <f>'Document Checklist-Full List'!$N$183</f>
        <v>Provide documentation for all land use approvals or entitlements required by tribal law.</v>
      </c>
      <c r="O202" s="1777"/>
      <c r="P202" s="1777"/>
      <c r="Q202" s="1777"/>
      <c r="R202" s="1777"/>
      <c r="S202" s="1777"/>
      <c r="T202" s="1777"/>
      <c r="U202" s="1777"/>
      <c r="V202" s="1777"/>
      <c r="W202" s="1777"/>
      <c r="X202" s="1777"/>
      <c r="Y202" s="1777"/>
      <c r="Z202" s="1777"/>
      <c r="AA202" s="1777"/>
      <c r="AB202" s="1777"/>
      <c r="AC202" s="1777"/>
      <c r="AD202" s="1777"/>
      <c r="AE202" s="1778"/>
      <c r="AF202" s="1886" t="s">
        <v>559</v>
      </c>
      <c r="AG202" s="1777"/>
      <c r="AH202" s="1777"/>
      <c r="AI202" s="1777"/>
      <c r="AJ202" s="1777"/>
      <c r="AK202" s="1778"/>
      <c r="AL202" s="2339"/>
      <c r="AM202" s="1865"/>
    </row>
    <row r="203" spans="1:39" s="120" customFormat="1" ht="18" hidden="1" customHeight="1">
      <c r="B203" s="1942" t="s">
        <v>558</v>
      </c>
      <c r="C203" s="1777"/>
      <c r="D203" s="1778"/>
      <c r="E203" s="2013" t="str">
        <f>'Document Checklist-Full List'!$E$184</f>
        <v>90. FEMA Disaster Declaration</v>
      </c>
      <c r="F203" s="1777"/>
      <c r="G203" s="1777"/>
      <c r="H203" s="1777"/>
      <c r="I203" s="1777"/>
      <c r="J203" s="1777"/>
      <c r="K203" s="1777"/>
      <c r="L203" s="1777"/>
      <c r="M203" s="1778"/>
      <c r="N203" s="2013" t="str">
        <f>'Document Checklist-Full List'!$N$184</f>
        <v>Provide FEMA Major Disaster Declaration documentation.</v>
      </c>
      <c r="O203" s="1777"/>
      <c r="P203" s="1777"/>
      <c r="Q203" s="1777"/>
      <c r="R203" s="1777"/>
      <c r="S203" s="1777"/>
      <c r="T203" s="1777"/>
      <c r="U203" s="1777"/>
      <c r="V203" s="1777"/>
      <c r="W203" s="1777"/>
      <c r="X203" s="1777"/>
      <c r="Y203" s="1777"/>
      <c r="Z203" s="1777"/>
      <c r="AA203" s="1777"/>
      <c r="AB203" s="1777"/>
      <c r="AC203" s="1777"/>
      <c r="AD203" s="1777"/>
      <c r="AE203" s="1778"/>
      <c r="AF203" s="2142" t="s">
        <v>559</v>
      </c>
      <c r="AG203" s="1777"/>
      <c r="AH203" s="1777"/>
      <c r="AI203" s="1777"/>
      <c r="AJ203" s="1777"/>
      <c r="AK203" s="1778"/>
      <c r="AL203" s="2043"/>
      <c r="AM203" s="1862"/>
    </row>
    <row r="204" spans="1:39" s="120" customFormat="1" ht="28.5" hidden="1" customHeight="1">
      <c r="B204" s="1942" t="s">
        <v>558</v>
      </c>
      <c r="C204" s="1777"/>
      <c r="D204" s="1778"/>
      <c r="E204" s="3682" t="str">
        <f>'Document Checklist-Full List'!$E$186</f>
        <v>91. Disaster Housing Plan</v>
      </c>
      <c r="F204" s="1877"/>
      <c r="G204" s="1877"/>
      <c r="H204" s="1877"/>
      <c r="I204" s="1877"/>
      <c r="J204" s="1877"/>
      <c r="K204" s="1877"/>
      <c r="L204" s="1877"/>
      <c r="M204" s="1772"/>
      <c r="N204" s="3682" t="str">
        <f>'Document Checklist-Full List'!$N$186</f>
        <v>Provide documentation or a plan on how the Project will contribute to providing housing for disaster-impacted households.</v>
      </c>
      <c r="O204" s="1877"/>
      <c r="P204" s="1877"/>
      <c r="Q204" s="1877"/>
      <c r="R204" s="1877"/>
      <c r="S204" s="1877"/>
      <c r="T204" s="1877"/>
      <c r="U204" s="1877"/>
      <c r="V204" s="1877"/>
      <c r="W204" s="1877"/>
      <c r="X204" s="1877"/>
      <c r="Y204" s="1877"/>
      <c r="Z204" s="1877"/>
      <c r="AA204" s="1877"/>
      <c r="AB204" s="1877"/>
      <c r="AC204" s="1877"/>
      <c r="AD204" s="1877"/>
      <c r="AE204" s="1772"/>
      <c r="AF204" s="1886" t="s">
        <v>559</v>
      </c>
      <c r="AG204" s="1777"/>
      <c r="AH204" s="1777"/>
      <c r="AI204" s="1777"/>
      <c r="AJ204" s="1777"/>
      <c r="AK204" s="1778"/>
      <c r="AL204" s="2339"/>
      <c r="AM204" s="1865"/>
    </row>
    <row r="205" spans="1:39" s="120" customFormat="1" ht="41.25" hidden="1" customHeight="1">
      <c r="A205" s="136"/>
      <c r="B205" s="236"/>
      <c r="C205" s="1634"/>
      <c r="F205" s="92" t="s">
        <v>3054</v>
      </c>
      <c r="G205" s="2989" t="s">
        <v>3559</v>
      </c>
      <c r="H205" s="1970"/>
      <c r="I205" s="1970"/>
      <c r="J205" s="1970"/>
      <c r="K205" s="1970"/>
      <c r="L205" s="1970"/>
      <c r="M205" s="1970"/>
      <c r="N205" s="1970"/>
      <c r="O205" s="1970"/>
      <c r="P205" s="1970"/>
      <c r="Q205" s="1970"/>
      <c r="R205" s="1970"/>
      <c r="S205" s="1970"/>
      <c r="T205" s="1970"/>
      <c r="U205" s="1970"/>
      <c r="V205" s="1970"/>
      <c r="W205" s="1970"/>
      <c r="X205" s="1970"/>
      <c r="Y205" s="1970"/>
      <c r="Z205" s="1970"/>
      <c r="AA205" s="1970"/>
      <c r="AB205" s="1970"/>
      <c r="AC205" s="1970"/>
      <c r="AD205" s="1970"/>
      <c r="AE205" s="1970"/>
      <c r="AF205" s="1970"/>
      <c r="AG205" s="1970"/>
      <c r="AH205" s="1970"/>
      <c r="AI205" s="1970"/>
      <c r="AJ205" s="1970"/>
      <c r="AK205" s="1889"/>
      <c r="AL205" s="3279"/>
      <c r="AM205" s="1862"/>
    </row>
    <row r="206" spans="1:39" s="120" customFormat="1" ht="18" hidden="1" customHeight="1">
      <c r="B206" s="236"/>
      <c r="G206" s="3452" t="s">
        <v>3560</v>
      </c>
      <c r="H206" s="1970"/>
      <c r="I206" s="1970"/>
      <c r="J206" s="1970"/>
      <c r="K206" s="1970"/>
      <c r="L206" s="1970"/>
      <c r="M206" s="1970"/>
      <c r="N206" s="3515" t="b">
        <f>vmTribalEntity="Yes"</f>
        <v>0</v>
      </c>
      <c r="O206" s="1778"/>
      <c r="Q206" s="3452" t="s">
        <v>3558</v>
      </c>
      <c r="R206" s="1970"/>
      <c r="S206" s="1970"/>
      <c r="T206" s="1970"/>
      <c r="U206" s="1970"/>
      <c r="V206" s="1970"/>
      <c r="W206" s="1970"/>
      <c r="X206" s="1970"/>
      <c r="Y206" s="1970"/>
      <c r="Z206" s="1970"/>
      <c r="AA206" s="1970"/>
      <c r="AB206" s="3515" t="b">
        <f>vmIndianCountry="Indian Country"</f>
        <v>0</v>
      </c>
      <c r="AC206" s="1778"/>
    </row>
    <row r="207" spans="1:39" s="120" customFormat="1" ht="34.5" hidden="1" customHeight="1">
      <c r="B207" s="236"/>
      <c r="G207" s="3464" t="s">
        <v>3561</v>
      </c>
      <c r="H207" s="1970"/>
      <c r="I207" s="1970"/>
      <c r="J207" s="1970"/>
      <c r="K207" s="1970"/>
      <c r="L207" s="1970"/>
      <c r="M207" s="1970"/>
      <c r="N207" s="1970"/>
      <c r="O207" s="1970"/>
      <c r="P207" s="1970"/>
      <c r="Q207" s="1970"/>
      <c r="R207" s="1970"/>
      <c r="S207" s="1970"/>
      <c r="T207" s="1970"/>
      <c r="U207" s="1970"/>
      <c r="V207" s="1970"/>
      <c r="W207" s="1970"/>
      <c r="X207" s="1970"/>
      <c r="Y207" s="1970"/>
      <c r="Z207" s="1970"/>
      <c r="AA207" s="1970"/>
      <c r="AB207" s="1970"/>
      <c r="AC207" s="1970"/>
      <c r="AD207" s="1970"/>
      <c r="AE207" s="1970"/>
      <c r="AF207" s="1970"/>
      <c r="AG207" s="1970"/>
      <c r="AH207" s="1970"/>
      <c r="AI207" s="1970"/>
      <c r="AJ207" s="1970"/>
      <c r="AK207" s="1970"/>
      <c r="AL207" s="3279"/>
      <c r="AM207" s="1862"/>
    </row>
    <row r="208" spans="1:39" s="120" customFormat="1" ht="36" hidden="1" customHeight="1">
      <c r="B208" s="236"/>
      <c r="G208" s="3464" t="s">
        <v>3562</v>
      </c>
      <c r="H208" s="1970"/>
      <c r="I208" s="1970"/>
      <c r="J208" s="1970"/>
      <c r="K208" s="1970"/>
      <c r="L208" s="1970"/>
      <c r="M208" s="1970"/>
      <c r="N208" s="1970"/>
      <c r="O208" s="1970"/>
      <c r="P208" s="1970"/>
      <c r="Q208" s="1970"/>
      <c r="R208" s="1970"/>
      <c r="S208" s="1970"/>
      <c r="T208" s="1970"/>
      <c r="U208" s="1970"/>
      <c r="V208" s="1970"/>
      <c r="W208" s="1970"/>
      <c r="X208" s="1970"/>
      <c r="Y208" s="1970"/>
      <c r="Z208" s="1970"/>
      <c r="AA208" s="1970"/>
      <c r="AB208" s="1970"/>
      <c r="AC208" s="1970"/>
      <c r="AD208" s="1970"/>
      <c r="AE208" s="1970"/>
      <c r="AF208" s="1970"/>
      <c r="AG208" s="1970"/>
      <c r="AH208" s="1970"/>
      <c r="AI208" s="1970"/>
      <c r="AJ208" s="1970"/>
      <c r="AK208" s="1970"/>
      <c r="AL208" s="3553"/>
      <c r="AM208" s="1862"/>
    </row>
    <row r="209" spans="1:55" ht="69.75" customHeight="1">
      <c r="A209" s="57"/>
      <c r="B209" s="3714" t="s">
        <v>558</v>
      </c>
      <c r="C209" s="2164"/>
      <c r="D209" s="2165"/>
      <c r="E209" s="3491" t="str">
        <f>'Document Checklist-Full List'!$E$180</f>
        <v>9. Permanent Enforceable Funding Commitments #1, #2, etc.</v>
      </c>
      <c r="F209" s="2164"/>
      <c r="G209" s="2164"/>
      <c r="H209" s="2164"/>
      <c r="I209" s="2164"/>
      <c r="J209" s="2164"/>
      <c r="K209" s="2164"/>
      <c r="L209" s="2164"/>
      <c r="M209" s="2165"/>
      <c r="N209" s="3491" t="str">
        <f>'Document Checklist-Full List'!$N$180</f>
        <v>Provide all enforceable funding commitment letters or other evidence documenting all permanent financing commitments.</v>
      </c>
      <c r="O209" s="2164"/>
      <c r="P209" s="2164"/>
      <c r="Q209" s="2164"/>
      <c r="R209" s="2164"/>
      <c r="S209" s="2164"/>
      <c r="T209" s="2164"/>
      <c r="U209" s="2164"/>
      <c r="V209" s="2164"/>
      <c r="W209" s="2164"/>
      <c r="X209" s="2164"/>
      <c r="Y209" s="2164"/>
      <c r="Z209" s="2164"/>
      <c r="AA209" s="2164"/>
      <c r="AB209" s="2164"/>
      <c r="AC209" s="2164"/>
      <c r="AD209" s="2164"/>
      <c r="AE209" s="2165"/>
      <c r="AF209" s="1886" t="s">
        <v>559</v>
      </c>
      <c r="AG209" s="1777"/>
      <c r="AH209" s="1777"/>
      <c r="AI209" s="1777"/>
      <c r="AJ209" s="1777"/>
      <c r="AK209" s="1778"/>
      <c r="AL209" s="1946"/>
      <c r="AM209" s="3521"/>
      <c r="AN209" s="1679"/>
      <c r="AO209" s="1620"/>
      <c r="AP209" s="57"/>
      <c r="AV209" s="241"/>
      <c r="AW209" s="57"/>
      <c r="AX209" s="57"/>
      <c r="AY209" s="57"/>
      <c r="AZ209" s="474"/>
      <c r="BC209" s="474"/>
    </row>
    <row r="210" spans="1:55" s="120" customFormat="1" ht="3" hidden="1" customHeight="1">
      <c r="B210" s="3619" t="s">
        <v>558</v>
      </c>
      <c r="C210" s="2164"/>
      <c r="D210" s="2165"/>
      <c r="E210" s="3578" t="str">
        <f>'Document Checklist-Full List'!$E$188</f>
        <v>93. Land Use App Submission</v>
      </c>
      <c r="F210" s="2164"/>
      <c r="G210" s="2164"/>
      <c r="H210" s="2164"/>
      <c r="I210" s="2164"/>
      <c r="J210" s="2164"/>
      <c r="K210" s="2164"/>
      <c r="L210" s="2164"/>
      <c r="M210" s="2165"/>
      <c r="N210" s="3578" t="str">
        <f>'Document Checklist-Full List'!$N$188</f>
        <v>Provide evidence of a submitted complete Application to the relevant local authorities for land use approval under a nondiscretionary local approval process, where the Application has been neither approved or disapproved.
For Projects located in Indian Country, Tribal Entity applicants will be awarded four points for submission of a complete application to the relevant tribal authority exercising jurisdiction over the project for land use approval.</v>
      </c>
      <c r="O210" s="2164"/>
      <c r="P210" s="2164"/>
      <c r="Q210" s="2164"/>
      <c r="R210" s="2164"/>
      <c r="S210" s="2164"/>
      <c r="T210" s="2164"/>
      <c r="U210" s="2164"/>
      <c r="V210" s="2164"/>
      <c r="W210" s="2164"/>
      <c r="X210" s="2164"/>
      <c r="Y210" s="2164"/>
      <c r="Z210" s="2164"/>
      <c r="AA210" s="2164"/>
      <c r="AB210" s="2164"/>
      <c r="AC210" s="2164"/>
      <c r="AD210" s="2164"/>
      <c r="AE210" s="2165"/>
      <c r="AF210" s="1886" t="s">
        <v>559</v>
      </c>
      <c r="AG210" s="1777"/>
      <c r="AH210" s="1777"/>
      <c r="AI210" s="1777"/>
      <c r="AJ210" s="1777"/>
      <c r="AK210" s="1778"/>
      <c r="AL210" s="1911"/>
      <c r="AM210" s="1861"/>
      <c r="AN210" s="236"/>
    </row>
    <row r="211" spans="1:55" s="120" customFormat="1" ht="59.25" customHeight="1">
      <c r="B211" s="3714" t="s">
        <v>558</v>
      </c>
      <c r="C211" s="2164"/>
      <c r="D211" s="2165"/>
      <c r="E211" s="3491" t="str">
        <f>'Document Checklist-Full List'!$E$181</f>
        <v>10. Subsidies #1, #2</v>
      </c>
      <c r="F211" s="2164"/>
      <c r="G211" s="2164"/>
      <c r="H211" s="2164"/>
      <c r="I211" s="2164"/>
      <c r="J211" s="2164"/>
      <c r="K211" s="2164"/>
      <c r="L211" s="2164"/>
      <c r="M211" s="2165"/>
      <c r="N211" s="3491" t="str">
        <f>'Document Checklist-Full List'!$N$181</f>
        <v>For Projects proposing project-based rental assistance in the application's Unit Mix or operating subsidies in the Operating Budget, provide evidence of such commitments. Include clarifying information if the commitments do not specify whether contract rent is gross or net of utility allowance.</v>
      </c>
      <c r="O211" s="2164"/>
      <c r="P211" s="2164"/>
      <c r="Q211" s="2164"/>
      <c r="R211" s="2164"/>
      <c r="S211" s="2164"/>
      <c r="T211" s="2164"/>
      <c r="U211" s="2164"/>
      <c r="V211" s="2164"/>
      <c r="W211" s="2164"/>
      <c r="X211" s="2164"/>
      <c r="Y211" s="2164"/>
      <c r="Z211" s="2164"/>
      <c r="AA211" s="2164"/>
      <c r="AB211" s="2164"/>
      <c r="AC211" s="2164"/>
      <c r="AD211" s="2164"/>
      <c r="AE211" s="2165"/>
      <c r="AF211" s="1886" t="s">
        <v>559</v>
      </c>
      <c r="AG211" s="1777"/>
      <c r="AH211" s="1777"/>
      <c r="AI211" s="1777"/>
      <c r="AJ211" s="1777"/>
      <c r="AK211" s="1778"/>
      <c r="AL211" s="1946"/>
      <c r="AM211" s="3521"/>
      <c r="AN211" s="1679"/>
      <c r="AO211" s="1620"/>
    </row>
    <row r="212" spans="1:55" s="120" customFormat="1" ht="18" hidden="1" customHeight="1">
      <c r="B212" s="236"/>
      <c r="G212" s="3452" t="s">
        <v>3560</v>
      </c>
      <c r="H212" s="1970"/>
      <c r="I212" s="1970"/>
      <c r="J212" s="1970"/>
      <c r="K212" s="1970"/>
      <c r="L212" s="1970"/>
      <c r="M212" s="1970"/>
      <c r="N212" s="3515" t="b">
        <f>vmTribalEntity="Yes"</f>
        <v>0</v>
      </c>
      <c r="O212" s="1778"/>
      <c r="Q212" s="3452" t="s">
        <v>3558</v>
      </c>
      <c r="R212" s="1970"/>
      <c r="S212" s="1970"/>
      <c r="T212" s="1970"/>
      <c r="U212" s="1970"/>
      <c r="V212" s="1970"/>
      <c r="W212" s="1970"/>
      <c r="X212" s="1970"/>
      <c r="Y212" s="1970"/>
      <c r="Z212" s="1970"/>
      <c r="AA212" s="1970"/>
      <c r="AB212" s="3515" t="b">
        <f>vmIndianCountry="Indian Country"</f>
        <v>0</v>
      </c>
      <c r="AC212" s="1778"/>
      <c r="AM212" s="1439"/>
    </row>
    <row r="213" spans="1:55" s="120" customFormat="1" ht="54" hidden="1" customHeight="1">
      <c r="B213" s="236"/>
      <c r="G213" s="1969" t="s">
        <v>3563</v>
      </c>
      <c r="H213" s="1970"/>
      <c r="I213" s="1970"/>
      <c r="J213" s="1970"/>
      <c r="K213" s="1970"/>
      <c r="L213" s="1970"/>
      <c r="M213" s="1970"/>
      <c r="N213" s="1970"/>
      <c r="O213" s="1970"/>
      <c r="P213" s="1970"/>
      <c r="Q213" s="1970"/>
      <c r="R213" s="1970"/>
      <c r="S213" s="1970"/>
      <c r="T213" s="1970"/>
      <c r="U213" s="1970"/>
      <c r="V213" s="1970"/>
      <c r="W213" s="1970"/>
      <c r="X213" s="1970"/>
      <c r="Y213" s="1970"/>
      <c r="Z213" s="1970"/>
      <c r="AA213" s="1970"/>
      <c r="AB213" s="1970"/>
      <c r="AC213" s="1970"/>
      <c r="AD213" s="1970"/>
      <c r="AE213" s="1970"/>
      <c r="AF213" s="1970"/>
      <c r="AG213" s="1970"/>
      <c r="AH213" s="1970"/>
      <c r="AI213" s="1970"/>
      <c r="AJ213" s="1970"/>
      <c r="AK213" s="1970"/>
      <c r="AL213" s="3279"/>
      <c r="AM213" s="1862"/>
    </row>
    <row r="214" spans="1:55" s="120" customFormat="1" ht="54" hidden="1" customHeight="1">
      <c r="B214" s="236"/>
      <c r="F214" s="1634"/>
      <c r="G214" s="3464" t="s">
        <v>3564</v>
      </c>
      <c r="H214" s="1970"/>
      <c r="I214" s="1970"/>
      <c r="J214" s="1970"/>
      <c r="K214" s="1970"/>
      <c r="L214" s="1970"/>
      <c r="M214" s="1970"/>
      <c r="N214" s="1970"/>
      <c r="O214" s="1970"/>
      <c r="P214" s="1970"/>
      <c r="Q214" s="1970"/>
      <c r="R214" s="1970"/>
      <c r="S214" s="1970"/>
      <c r="T214" s="1970"/>
      <c r="U214" s="1970"/>
      <c r="V214" s="1970"/>
      <c r="W214" s="1970"/>
      <c r="X214" s="1970"/>
      <c r="Y214" s="1970"/>
      <c r="Z214" s="1970"/>
      <c r="AA214" s="1970"/>
      <c r="AB214" s="1970"/>
      <c r="AC214" s="1970"/>
      <c r="AD214" s="1970"/>
      <c r="AE214" s="1970"/>
      <c r="AF214" s="1970"/>
      <c r="AG214" s="1970"/>
      <c r="AH214" s="1970"/>
      <c r="AI214" s="1970"/>
      <c r="AJ214" s="1970"/>
      <c r="AK214" s="1970"/>
      <c r="AL214" s="3279"/>
      <c r="AM214" s="1862"/>
    </row>
    <row r="215" spans="1:55" s="120" customFormat="1" ht="113.85" hidden="1" customHeight="1">
      <c r="B215" s="3262" t="s">
        <v>558</v>
      </c>
      <c r="C215" s="1777"/>
      <c r="D215" s="1778"/>
      <c r="E215" s="3141" t="str">
        <f>'Document Checklist-Full List'!$E$189</f>
        <v>94. AICP Letter</v>
      </c>
      <c r="F215" s="1777"/>
      <c r="G215" s="1777"/>
      <c r="H215" s="1777"/>
      <c r="I215" s="1777"/>
      <c r="J215" s="1777"/>
      <c r="K215" s="1777"/>
      <c r="L215" s="1777"/>
      <c r="M215" s="1778"/>
      <c r="N215" s="3141" t="str">
        <f>'Document Checklist-Full List'!$N$189</f>
        <v>Letter signed by a planner certified by the American Institute of Certified Planners (AICP), indicating that, in their opinion, the Project meets all of the requirements for approval under a Nondiscretionary Local Approval Process, where an application has not been approved or disapproved by the local authorities; OR
For Tribal Entity, an equivalent tribal or non-tribal authority subject to the Department’s satisfaction, indicating the Project meets all of the requirements for approval under tribal law for a tribal nondiscretionary local approval process.</v>
      </c>
      <c r="O215" s="1777"/>
      <c r="P215" s="1777"/>
      <c r="Q215" s="1777"/>
      <c r="R215" s="1777"/>
      <c r="S215" s="1777"/>
      <c r="T215" s="1777"/>
      <c r="U215" s="1777"/>
      <c r="V215" s="1777"/>
      <c r="W215" s="1777"/>
      <c r="X215" s="1777"/>
      <c r="Y215" s="1777"/>
      <c r="Z215" s="1777"/>
      <c r="AA215" s="1777"/>
      <c r="AB215" s="1777"/>
      <c r="AC215" s="1777"/>
      <c r="AD215" s="1777"/>
      <c r="AE215" s="1778"/>
      <c r="AF215" s="1886" t="s">
        <v>559</v>
      </c>
      <c r="AG215" s="1777"/>
      <c r="AH215" s="1777"/>
      <c r="AI215" s="1777"/>
      <c r="AJ215" s="1777"/>
      <c r="AK215" s="1778"/>
      <c r="AL215" s="1911"/>
      <c r="AM215" s="1862"/>
    </row>
    <row r="216" spans="1:55" s="120" customFormat="1" ht="36" hidden="1" customHeight="1">
      <c r="A216" s="137"/>
      <c r="B216" s="236"/>
      <c r="E216" s="570" t="s">
        <v>1318</v>
      </c>
      <c r="F216" s="3464" t="s">
        <v>3565</v>
      </c>
      <c r="G216" s="1970"/>
      <c r="H216" s="1970"/>
      <c r="I216" s="1970"/>
      <c r="J216" s="1970"/>
      <c r="K216" s="1970"/>
      <c r="L216" s="1970"/>
      <c r="M216" s="1970"/>
      <c r="N216" s="1970"/>
      <c r="O216" s="1970"/>
      <c r="P216" s="1970"/>
      <c r="Q216" s="1970"/>
      <c r="R216" s="1970"/>
      <c r="S216" s="1970"/>
      <c r="T216" s="1970"/>
      <c r="U216" s="1970"/>
      <c r="V216" s="1970"/>
      <c r="W216" s="1970"/>
      <c r="X216" s="1970"/>
      <c r="Y216" s="1970"/>
      <c r="Z216" s="1970"/>
      <c r="AA216" s="1970"/>
      <c r="AB216" s="1970"/>
      <c r="AC216" s="1970"/>
      <c r="AD216" s="1970"/>
      <c r="AE216" s="1970"/>
      <c r="AF216" s="1970"/>
      <c r="AG216" s="1970"/>
      <c r="AH216" s="1970"/>
      <c r="AI216" s="1970"/>
      <c r="AJ216" s="1970"/>
      <c r="AK216" s="1970"/>
      <c r="AL216" s="3534"/>
      <c r="AM216" s="1778"/>
    </row>
    <row r="217" spans="1:55" s="137" customFormat="1" ht="62.25" hidden="1" customHeight="1">
      <c r="B217" s="3721" t="s">
        <v>3566</v>
      </c>
      <c r="C217" s="2079"/>
      <c r="D217" s="2079"/>
      <c r="E217" s="2079"/>
      <c r="F217" s="2079"/>
      <c r="G217" s="2079"/>
      <c r="H217" s="2079"/>
      <c r="I217" s="2079"/>
      <c r="J217" s="2079"/>
      <c r="K217" s="2079"/>
      <c r="L217" s="2079"/>
      <c r="M217" s="2079"/>
      <c r="N217" s="2079"/>
      <c r="O217" s="2079"/>
      <c r="P217" s="2079"/>
      <c r="Q217" s="2079"/>
      <c r="R217" s="2079"/>
      <c r="S217" s="2079"/>
      <c r="T217" s="2079"/>
      <c r="U217" s="2079"/>
      <c r="V217" s="2079"/>
      <c r="W217" s="2079"/>
      <c r="X217" s="2079"/>
      <c r="Y217" s="2079"/>
      <c r="Z217" s="2079"/>
      <c r="AA217" s="2079"/>
      <c r="AB217" s="2079"/>
      <c r="AC217" s="2079"/>
      <c r="AD217" s="2079"/>
      <c r="AE217" s="2079"/>
      <c r="AF217" s="2079"/>
      <c r="AG217" s="2079"/>
      <c r="AH217" s="2079"/>
      <c r="AI217" s="2079"/>
      <c r="AJ217" s="2079"/>
      <c r="AK217" s="2079"/>
      <c r="AL217" s="2079"/>
      <c r="AM217" s="1889"/>
      <c r="AN217" s="120"/>
      <c r="AO217" s="120"/>
      <c r="AP217" s="120"/>
      <c r="AQ217" s="120"/>
    </row>
    <row r="218" spans="1:55" s="120" customFormat="1" ht="18" hidden="1" customHeight="1">
      <c r="B218" s="433"/>
      <c r="C218" s="1751"/>
      <c r="D218" s="1751"/>
      <c r="E218" s="850"/>
      <c r="F218" s="3202" t="s">
        <v>3567</v>
      </c>
      <c r="G218" s="3681"/>
      <c r="H218" s="3681"/>
      <c r="I218" s="3681"/>
      <c r="J218" s="3681"/>
      <c r="K218" s="3681"/>
      <c r="L218" s="3681"/>
      <c r="M218" s="3681"/>
      <c r="N218" s="3681"/>
      <c r="O218" s="3681"/>
      <c r="P218" s="3681"/>
      <c r="Q218" s="3681"/>
      <c r="R218" s="3681"/>
      <c r="S218" s="3681"/>
      <c r="T218" s="3681"/>
      <c r="U218" s="3681"/>
      <c r="V218" s="3681"/>
      <c r="W218" s="3681"/>
      <c r="X218" s="3681"/>
      <c r="Y218" s="3681"/>
      <c r="Z218" s="3681"/>
      <c r="AA218" s="3681"/>
      <c r="AB218" s="3681"/>
      <c r="AC218" s="3681"/>
      <c r="AD218" s="3681"/>
      <c r="AE218" s="3681"/>
      <c r="AF218" s="3681"/>
      <c r="AG218" s="3681"/>
      <c r="AH218" s="3681"/>
      <c r="AI218" s="3681"/>
      <c r="AJ218" s="3681"/>
      <c r="AK218" s="3681"/>
      <c r="AL218" s="3279"/>
      <c r="AM218" s="1862"/>
      <c r="AP218" s="241"/>
      <c r="AR218" s="1744"/>
      <c r="AS218" s="1744"/>
    </row>
    <row r="219" spans="1:55" s="120" customFormat="1" ht="36" hidden="1" customHeight="1">
      <c r="B219" s="3697" t="s">
        <v>558</v>
      </c>
      <c r="C219" s="1777"/>
      <c r="D219" s="1777"/>
      <c r="E219" s="3670" t="str">
        <f>'Document Checklist-Full List'!E190</f>
        <v>95. CEQA</v>
      </c>
      <c r="F219" s="1777"/>
      <c r="G219" s="1777"/>
      <c r="H219" s="1777"/>
      <c r="I219" s="1777"/>
      <c r="J219" s="1777"/>
      <c r="K219" s="1777"/>
      <c r="L219" s="1777"/>
      <c r="M219" s="1778"/>
      <c r="N219" s="2013" t="str">
        <f>'Document Checklist-Full List'!N190</f>
        <v>Certification of CEQA (California Environmental Quality Act) exemption or completion.</v>
      </c>
      <c r="O219" s="1777"/>
      <c r="P219" s="1777"/>
      <c r="Q219" s="1777"/>
      <c r="R219" s="1777"/>
      <c r="S219" s="1777"/>
      <c r="T219" s="1777"/>
      <c r="U219" s="1777"/>
      <c r="V219" s="1777"/>
      <c r="W219" s="1777"/>
      <c r="X219" s="1777"/>
      <c r="Y219" s="1777"/>
      <c r="Z219" s="1777"/>
      <c r="AA219" s="1777"/>
      <c r="AB219" s="1777"/>
      <c r="AC219" s="1777"/>
      <c r="AD219" s="1777"/>
      <c r="AE219" s="1778"/>
      <c r="AF219" s="1886" t="s">
        <v>559</v>
      </c>
      <c r="AG219" s="1777"/>
      <c r="AH219" s="1777"/>
      <c r="AI219" s="1777"/>
      <c r="AJ219" s="1777"/>
      <c r="AK219" s="1778"/>
      <c r="AL219" s="2043"/>
      <c r="AM219" s="1862"/>
      <c r="AN219" s="843"/>
      <c r="AO219" s="843"/>
      <c r="AP219" s="843"/>
      <c r="AQ219" s="843"/>
    </row>
    <row r="220" spans="1:55" s="120" customFormat="1" ht="18" hidden="1" customHeight="1">
      <c r="B220" s="236"/>
      <c r="F220" s="3533" t="s">
        <v>3547</v>
      </c>
      <c r="G220" s="1877"/>
      <c r="H220" s="1877"/>
      <c r="I220" s="1877"/>
      <c r="J220" s="1877"/>
      <c r="K220" s="1877"/>
      <c r="L220" s="1877"/>
      <c r="M220" s="1877"/>
      <c r="N220" s="1877"/>
      <c r="O220" s="1877"/>
      <c r="P220" s="1877"/>
      <c r="Q220" s="1877"/>
      <c r="R220" s="1877"/>
      <c r="S220" s="1877"/>
      <c r="T220" s="1877"/>
      <c r="U220" s="1877"/>
      <c r="V220" s="1877"/>
      <c r="W220" s="1877"/>
      <c r="X220" s="1877"/>
      <c r="Y220" s="1877"/>
      <c r="Z220" s="1877"/>
      <c r="AA220" s="1877"/>
      <c r="AB220" s="1877"/>
      <c r="AC220" s="1877"/>
      <c r="AD220" s="1877"/>
      <c r="AE220" s="1877"/>
      <c r="AF220" s="1877"/>
      <c r="AG220" s="1877"/>
      <c r="AH220" s="1877"/>
      <c r="AI220" s="1877"/>
      <c r="AJ220" s="1877"/>
      <c r="AK220" s="1877"/>
      <c r="AL220" s="1877"/>
      <c r="AM220" s="1772"/>
      <c r="AN220" s="843"/>
      <c r="AO220" s="843"/>
      <c r="AP220" s="844"/>
      <c r="AQ220" s="843"/>
      <c r="AR220" s="1744"/>
      <c r="AS220" s="1744"/>
    </row>
    <row r="221" spans="1:55" s="120" customFormat="1" ht="36" hidden="1" customHeight="1">
      <c r="B221" s="236"/>
      <c r="F221" s="3172"/>
      <c r="G221" s="1861"/>
      <c r="H221" s="1861"/>
      <c r="I221" s="1861"/>
      <c r="J221" s="1861"/>
      <c r="K221" s="1861"/>
      <c r="L221" s="1861"/>
      <c r="M221" s="1861"/>
      <c r="N221" s="1861"/>
      <c r="O221" s="1861"/>
      <c r="P221" s="1861"/>
      <c r="Q221" s="1861"/>
      <c r="R221" s="1861"/>
      <c r="S221" s="1861"/>
      <c r="T221" s="1861"/>
      <c r="U221" s="1861"/>
      <c r="V221" s="1861"/>
      <c r="W221" s="1861"/>
      <c r="X221" s="1861"/>
      <c r="Y221" s="1861"/>
      <c r="Z221" s="1861"/>
      <c r="AA221" s="1861"/>
      <c r="AB221" s="1861"/>
      <c r="AC221" s="1861"/>
      <c r="AD221" s="1861"/>
      <c r="AE221" s="1861"/>
      <c r="AF221" s="1861"/>
      <c r="AG221" s="1861"/>
      <c r="AH221" s="1861"/>
      <c r="AI221" s="1861"/>
      <c r="AJ221" s="1861"/>
      <c r="AK221" s="1861"/>
      <c r="AL221" s="1861"/>
      <c r="AM221" s="1862"/>
      <c r="AN221" s="843"/>
      <c r="AO221" s="843"/>
      <c r="AP221" s="844"/>
      <c r="AQ221" s="843"/>
      <c r="AR221" s="1744"/>
      <c r="AS221" s="1744"/>
    </row>
    <row r="222" spans="1:55" s="120" customFormat="1" ht="97.5" hidden="1" customHeight="1">
      <c r="B222" s="236"/>
      <c r="F222" s="3492" t="s">
        <v>3568</v>
      </c>
      <c r="G222" s="1970"/>
      <c r="H222" s="1970"/>
      <c r="I222" s="1970"/>
      <c r="J222" s="1970"/>
      <c r="K222" s="1970"/>
      <c r="L222" s="1970"/>
      <c r="M222" s="1970"/>
      <c r="N222" s="1970"/>
      <c r="O222" s="1970"/>
      <c r="P222" s="1970"/>
      <c r="Q222" s="1970"/>
      <c r="R222" s="1970"/>
      <c r="S222" s="1970"/>
      <c r="T222" s="1970"/>
      <c r="U222" s="1970"/>
      <c r="V222" s="1970"/>
      <c r="W222" s="1970"/>
      <c r="X222" s="1970"/>
      <c r="Y222" s="1970"/>
      <c r="Z222" s="1970"/>
      <c r="AA222" s="1970"/>
      <c r="AB222" s="1970"/>
      <c r="AC222" s="1970"/>
      <c r="AD222" s="1970"/>
      <c r="AE222" s="1970"/>
      <c r="AF222" s="1970"/>
      <c r="AG222" s="1970"/>
      <c r="AH222" s="1970"/>
      <c r="AI222" s="1970"/>
      <c r="AJ222" s="1970"/>
      <c r="AK222" s="1970"/>
      <c r="AL222" s="1970"/>
      <c r="AM222" s="1889"/>
      <c r="AN222" s="843"/>
      <c r="AO222" s="843"/>
      <c r="AP222" s="843"/>
      <c r="AQ222" s="843"/>
    </row>
    <row r="223" spans="1:55" s="120" customFormat="1" ht="54" hidden="1" customHeight="1">
      <c r="B223" s="236"/>
      <c r="E223" s="382"/>
      <c r="F223" s="2989" t="s">
        <v>3569</v>
      </c>
      <c r="G223" s="1970"/>
      <c r="H223" s="1970"/>
      <c r="I223" s="1970"/>
      <c r="J223" s="1970"/>
      <c r="K223" s="1970"/>
      <c r="L223" s="1970"/>
      <c r="M223" s="1970"/>
      <c r="N223" s="1970"/>
      <c r="O223" s="1970"/>
      <c r="P223" s="1970"/>
      <c r="Q223" s="1970"/>
      <c r="R223" s="1970"/>
      <c r="S223" s="1970"/>
      <c r="T223" s="1970"/>
      <c r="U223" s="1970"/>
      <c r="V223" s="1970"/>
      <c r="W223" s="1970"/>
      <c r="X223" s="1970"/>
      <c r="Y223" s="1970"/>
      <c r="Z223" s="1970"/>
      <c r="AA223" s="1970"/>
      <c r="AB223" s="1970"/>
      <c r="AC223" s="1970"/>
      <c r="AD223" s="1970"/>
      <c r="AE223" s="1970"/>
      <c r="AF223" s="1970"/>
      <c r="AG223" s="1970"/>
      <c r="AH223" s="1970"/>
      <c r="AI223" s="1970"/>
      <c r="AJ223" s="1970"/>
      <c r="AK223" s="1970"/>
      <c r="AL223" s="1970"/>
      <c r="AM223" s="1889"/>
      <c r="AN223" s="843"/>
      <c r="AO223" s="843"/>
      <c r="AP223" s="844"/>
      <c r="AQ223" s="843"/>
      <c r="AR223" s="1744"/>
      <c r="AS223" s="1744"/>
    </row>
    <row r="224" spans="1:55" s="120" customFormat="1" ht="18" hidden="1" customHeight="1">
      <c r="B224" s="236"/>
      <c r="E224" s="382"/>
      <c r="F224" s="1802" t="s">
        <v>3570</v>
      </c>
      <c r="G224" s="1970"/>
      <c r="H224" s="1970"/>
      <c r="I224" s="1970"/>
      <c r="J224" s="1970"/>
      <c r="K224" s="1970"/>
      <c r="L224" s="1970"/>
      <c r="M224" s="1970"/>
      <c r="N224" s="1970"/>
      <c r="O224" s="1970"/>
      <c r="P224" s="1970"/>
      <c r="Q224" s="1970"/>
      <c r="R224" s="1970"/>
      <c r="S224" s="1970"/>
      <c r="T224" s="1970"/>
      <c r="U224" s="1970"/>
      <c r="V224" s="1970"/>
      <c r="W224" s="1970"/>
      <c r="X224" s="1970"/>
      <c r="Y224" s="1970"/>
      <c r="Z224" s="1970"/>
      <c r="AA224" s="1970"/>
      <c r="AB224" s="1970"/>
      <c r="AC224" s="1970"/>
      <c r="AD224" s="1970"/>
      <c r="AE224" s="1970"/>
      <c r="AF224" s="1970"/>
      <c r="AG224" s="1970"/>
      <c r="AH224" s="1970"/>
      <c r="AI224" s="1970"/>
      <c r="AJ224" s="1970"/>
      <c r="AK224" s="1970"/>
      <c r="AL224" s="478"/>
      <c r="AM224" s="1699"/>
      <c r="AN224" s="843"/>
      <c r="AO224" s="843"/>
      <c r="AP224" s="844"/>
      <c r="AQ224" s="843"/>
      <c r="AR224" s="1744"/>
      <c r="AS224" s="1744"/>
    </row>
    <row r="225" spans="1:51" s="120" customFormat="1" ht="18" hidden="1" customHeight="1">
      <c r="B225" s="236"/>
      <c r="F225" s="3452" t="s">
        <v>3571</v>
      </c>
      <c r="G225" s="1970"/>
      <c r="H225" s="1970"/>
      <c r="I225" s="1970"/>
      <c r="J225" s="1970"/>
      <c r="K225" s="1970"/>
      <c r="L225" s="1970"/>
      <c r="M225" s="1970"/>
      <c r="N225" s="1970"/>
      <c r="O225" s="1970"/>
      <c r="P225" s="1970"/>
      <c r="Q225" s="1970"/>
      <c r="R225" s="1970"/>
      <c r="S225" s="1970"/>
      <c r="T225" s="1970"/>
      <c r="U225" s="1970"/>
      <c r="V225" s="1970"/>
      <c r="W225" s="1911"/>
      <c r="X225" s="1862"/>
      <c r="AM225" s="1437"/>
      <c r="AN225" s="843"/>
      <c r="AO225" s="843"/>
      <c r="AP225" s="843"/>
      <c r="AQ225" s="843"/>
    </row>
    <row r="226" spans="1:51" s="120" customFormat="1" ht="36" hidden="1" customHeight="1">
      <c r="B226" s="236"/>
      <c r="E226" s="382"/>
      <c r="F226" s="3200" t="s">
        <v>3572</v>
      </c>
      <c r="G226" s="1970"/>
      <c r="H226" s="1970"/>
      <c r="I226" s="1970"/>
      <c r="J226" s="1970"/>
      <c r="K226" s="1970"/>
      <c r="L226" s="1970"/>
      <c r="M226" s="1970"/>
      <c r="N226" s="1970"/>
      <c r="O226" s="1970"/>
      <c r="P226" s="1970"/>
      <c r="Q226" s="1970"/>
      <c r="R226" s="1970"/>
      <c r="S226" s="1970"/>
      <c r="T226" s="1970"/>
      <c r="U226" s="1970"/>
      <c r="V226" s="1970"/>
      <c r="W226" s="1970"/>
      <c r="X226" s="1970"/>
      <c r="Y226" s="1970"/>
      <c r="Z226" s="1970"/>
      <c r="AA226" s="1970"/>
      <c r="AB226" s="1970"/>
      <c r="AC226" s="1970"/>
      <c r="AD226" s="1970"/>
      <c r="AE226" s="1970"/>
      <c r="AF226" s="1970"/>
      <c r="AG226" s="1970"/>
      <c r="AH226" s="1970"/>
      <c r="AI226" s="1970"/>
      <c r="AJ226" s="1970"/>
      <c r="AK226" s="1970"/>
      <c r="AL226" s="1970"/>
      <c r="AM226" s="1889"/>
      <c r="AN226" s="843"/>
      <c r="AO226" s="843"/>
      <c r="AP226" s="844"/>
      <c r="AQ226" s="843"/>
      <c r="AR226" s="1744"/>
      <c r="AS226" s="1744"/>
    </row>
    <row r="227" spans="1:51" s="120" customFormat="1" ht="54" hidden="1" customHeight="1">
      <c r="B227" s="236"/>
      <c r="E227" s="1634"/>
      <c r="F227" s="3492" t="s">
        <v>3573</v>
      </c>
      <c r="G227" s="1970"/>
      <c r="H227" s="1970"/>
      <c r="I227" s="1970"/>
      <c r="J227" s="1970"/>
      <c r="K227" s="1970"/>
      <c r="L227" s="1970"/>
      <c r="M227" s="1970"/>
      <c r="N227" s="1970"/>
      <c r="O227" s="1970"/>
      <c r="P227" s="1970"/>
      <c r="Q227" s="1970"/>
      <c r="R227" s="1970"/>
      <c r="S227" s="1970"/>
      <c r="T227" s="1970"/>
      <c r="U227" s="1970"/>
      <c r="V227" s="1970"/>
      <c r="W227" s="1970"/>
      <c r="X227" s="1970"/>
      <c r="Y227" s="1970"/>
      <c r="Z227" s="1970"/>
      <c r="AA227" s="1970"/>
      <c r="AB227" s="1970"/>
      <c r="AC227" s="1970"/>
      <c r="AD227" s="1970"/>
      <c r="AE227" s="1970"/>
      <c r="AF227" s="1970"/>
      <c r="AG227" s="1970"/>
      <c r="AH227" s="1970"/>
      <c r="AI227" s="1970"/>
      <c r="AJ227" s="1970"/>
      <c r="AK227" s="1889"/>
      <c r="AL227" s="3279"/>
      <c r="AM227" s="1862"/>
      <c r="AN227" s="843"/>
      <c r="AO227" s="843"/>
      <c r="AP227" s="844"/>
      <c r="AQ227" s="843"/>
      <c r="AR227" s="1744"/>
      <c r="AS227" s="1744"/>
    </row>
    <row r="228" spans="1:51" s="120" customFormat="1" ht="54" hidden="1" customHeight="1">
      <c r="B228" s="236"/>
      <c r="E228" s="1634"/>
      <c r="F228" s="3492" t="s">
        <v>3574</v>
      </c>
      <c r="G228" s="1970"/>
      <c r="H228" s="1970"/>
      <c r="I228" s="1970"/>
      <c r="J228" s="1970"/>
      <c r="K228" s="1970"/>
      <c r="L228" s="1970"/>
      <c r="M228" s="1970"/>
      <c r="N228" s="1970"/>
      <c r="O228" s="1970"/>
      <c r="P228" s="1970"/>
      <c r="Q228" s="1970"/>
      <c r="R228" s="1970"/>
      <c r="S228" s="1970"/>
      <c r="T228" s="1970"/>
      <c r="U228" s="1970"/>
      <c r="V228" s="1970"/>
      <c r="W228" s="1970"/>
      <c r="X228" s="1970"/>
      <c r="Y228" s="1970"/>
      <c r="Z228" s="1970"/>
      <c r="AA228" s="1970"/>
      <c r="AB228" s="1970"/>
      <c r="AC228" s="1970"/>
      <c r="AD228" s="1970"/>
      <c r="AE228" s="1970"/>
      <c r="AF228" s="1970"/>
      <c r="AG228" s="1970"/>
      <c r="AH228" s="1970"/>
      <c r="AI228" s="1970"/>
      <c r="AJ228" s="1970"/>
      <c r="AK228" s="1889"/>
      <c r="AL228" s="3279"/>
      <c r="AM228" s="1862"/>
      <c r="AN228" s="843"/>
      <c r="AO228" s="843"/>
      <c r="AP228" s="844"/>
      <c r="AQ228" s="843"/>
      <c r="AR228" s="1744"/>
      <c r="AS228" s="1744"/>
    </row>
    <row r="229" spans="1:51" s="120" customFormat="1" ht="18" hidden="1" customHeight="1">
      <c r="B229" s="433"/>
      <c r="C229" s="1751"/>
      <c r="D229" s="1751"/>
      <c r="E229" s="1751"/>
      <c r="F229" s="3490" t="s">
        <v>3575</v>
      </c>
      <c r="G229" s="1877"/>
      <c r="H229" s="1877"/>
      <c r="I229" s="1877"/>
      <c r="J229" s="1877"/>
      <c r="K229" s="1877"/>
      <c r="L229" s="1877"/>
      <c r="M229" s="1877"/>
      <c r="N229" s="1877"/>
      <c r="O229" s="1877"/>
      <c r="P229" s="1877"/>
      <c r="Q229" s="1877"/>
      <c r="R229" s="1877"/>
      <c r="S229" s="1877"/>
      <c r="T229" s="1877"/>
      <c r="U229" s="1877"/>
      <c r="V229" s="1877"/>
      <c r="W229" s="1877"/>
      <c r="X229" s="1877"/>
      <c r="Y229" s="1877"/>
      <c r="Z229" s="1877"/>
      <c r="AA229" s="1877"/>
      <c r="AB229" s="1877"/>
      <c r="AC229" s="1877"/>
      <c r="AD229" s="1877"/>
      <c r="AE229" s="1877"/>
      <c r="AF229" s="1877"/>
      <c r="AG229" s="1877"/>
      <c r="AH229" s="1877"/>
      <c r="AI229" s="1877"/>
      <c r="AJ229" s="1877"/>
      <c r="AK229" s="1772"/>
      <c r="AL229" s="3279"/>
      <c r="AM229" s="1862"/>
      <c r="AN229" s="843"/>
      <c r="AO229" s="843"/>
      <c r="AP229" s="844"/>
      <c r="AQ229" s="843"/>
      <c r="AR229" s="1744"/>
      <c r="AS229" s="1744"/>
    </row>
    <row r="230" spans="1:51" s="120" customFormat="1" ht="18" hidden="1" customHeight="1">
      <c r="B230" s="1942" t="s">
        <v>558</v>
      </c>
      <c r="C230" s="1777"/>
      <c r="D230" s="1778"/>
      <c r="E230" s="2013" t="str">
        <f>'Document Checklist-Full List'!E185</f>
        <v>90. FEMA Disaster Declaration</v>
      </c>
      <c r="F230" s="1777"/>
      <c r="G230" s="1777"/>
      <c r="H230" s="1777"/>
      <c r="I230" s="1777"/>
      <c r="J230" s="1777"/>
      <c r="K230" s="1777"/>
      <c r="L230" s="1777"/>
      <c r="M230" s="1778"/>
      <c r="N230" s="2013" t="str">
        <f>'Document Checklist-Full List'!N185</f>
        <v>Provide FEMA Major Disaster Declaration documentation.</v>
      </c>
      <c r="O230" s="1777"/>
      <c r="P230" s="1777"/>
      <c r="Q230" s="1777"/>
      <c r="R230" s="1777"/>
      <c r="S230" s="1777"/>
      <c r="T230" s="1777"/>
      <c r="U230" s="1777"/>
      <c r="V230" s="1777"/>
      <c r="W230" s="1777"/>
      <c r="X230" s="1777"/>
      <c r="Y230" s="1777"/>
      <c r="Z230" s="1777"/>
      <c r="AA230" s="1777"/>
      <c r="AB230" s="1777"/>
      <c r="AC230" s="1777"/>
      <c r="AD230" s="1777"/>
      <c r="AE230" s="1778"/>
      <c r="AF230" s="1886" t="s">
        <v>559</v>
      </c>
      <c r="AG230" s="1777"/>
      <c r="AH230" s="1777"/>
      <c r="AI230" s="1777"/>
      <c r="AJ230" s="1777"/>
      <c r="AK230" s="1778"/>
      <c r="AL230" s="1911"/>
      <c r="AM230" s="1862"/>
      <c r="AN230" s="843"/>
      <c r="AO230" s="843"/>
      <c r="AP230" s="844"/>
      <c r="AQ230" s="843"/>
      <c r="AR230" s="1744"/>
      <c r="AS230" s="1744"/>
    </row>
    <row r="231" spans="1:51" s="120" customFormat="1" ht="36" hidden="1" customHeight="1">
      <c r="B231" s="1942" t="s">
        <v>558</v>
      </c>
      <c r="C231" s="1777"/>
      <c r="D231" s="1778"/>
      <c r="E231" s="2013" t="str">
        <f>'Document Checklist-Full List'!E195</f>
        <v>97. Disaster Housing Plan</v>
      </c>
      <c r="F231" s="1777"/>
      <c r="G231" s="1777"/>
      <c r="H231" s="1777"/>
      <c r="I231" s="1777"/>
      <c r="J231" s="1777"/>
      <c r="K231" s="1777"/>
      <c r="L231" s="1777"/>
      <c r="M231" s="1778"/>
      <c r="N231" s="2013" t="str">
        <f>'Document Checklist-Full List'!N195</f>
        <v>Provide documentation or a plan on how the Project will contribute to providing housing for disaster-impacted households.</v>
      </c>
      <c r="O231" s="1777"/>
      <c r="P231" s="1777"/>
      <c r="Q231" s="1777"/>
      <c r="R231" s="1777"/>
      <c r="S231" s="1777"/>
      <c r="T231" s="1777"/>
      <c r="U231" s="1777"/>
      <c r="V231" s="1777"/>
      <c r="W231" s="1777"/>
      <c r="X231" s="1777"/>
      <c r="Y231" s="1777"/>
      <c r="Z231" s="1777"/>
      <c r="AA231" s="1777"/>
      <c r="AB231" s="1777"/>
      <c r="AC231" s="1777"/>
      <c r="AD231" s="1777"/>
      <c r="AE231" s="1778"/>
      <c r="AF231" s="1886" t="s">
        <v>559</v>
      </c>
      <c r="AG231" s="1777"/>
      <c r="AH231" s="1777"/>
      <c r="AI231" s="1777"/>
      <c r="AJ231" s="1777"/>
      <c r="AK231" s="1778"/>
      <c r="AL231" s="1911"/>
      <c r="AM231" s="1862"/>
      <c r="AN231" s="843"/>
      <c r="AO231" s="843"/>
      <c r="AP231" s="844"/>
      <c r="AQ231" s="843"/>
      <c r="AR231" s="1744"/>
      <c r="AS231" s="1744"/>
    </row>
    <row r="232" spans="1:51" s="120" customFormat="1" ht="36" hidden="1" customHeight="1">
      <c r="B232" s="236"/>
      <c r="F232" s="1802" t="s">
        <v>3576</v>
      </c>
      <c r="G232" s="1970"/>
      <c r="H232" s="1970"/>
      <c r="I232" s="1970"/>
      <c r="J232" s="1970"/>
      <c r="K232" s="1970"/>
      <c r="L232" s="1970"/>
      <c r="M232" s="1970"/>
      <c r="N232" s="1970"/>
      <c r="O232" s="1970"/>
      <c r="P232" s="1970"/>
      <c r="Q232" s="1970"/>
      <c r="R232" s="1970"/>
      <c r="S232" s="1970"/>
      <c r="T232" s="1970"/>
      <c r="U232" s="1970"/>
      <c r="V232" s="1970"/>
      <c r="W232" s="1970"/>
      <c r="X232" s="1970"/>
      <c r="Y232" s="1970"/>
      <c r="Z232" s="1970"/>
      <c r="AA232" s="1970"/>
      <c r="AB232" s="1970"/>
      <c r="AC232" s="1970"/>
      <c r="AD232" s="1970"/>
      <c r="AE232" s="1970"/>
      <c r="AF232" s="1970"/>
      <c r="AG232" s="1970"/>
      <c r="AH232" s="1970"/>
      <c r="AI232" s="1970"/>
      <c r="AJ232" s="1970"/>
      <c r="AK232" s="1970"/>
      <c r="AM232" s="1437"/>
      <c r="AN232" s="843"/>
      <c r="AO232" s="843"/>
      <c r="AP232" s="843"/>
      <c r="AQ232" s="843"/>
    </row>
    <row r="233" spans="1:51" s="120" customFormat="1" ht="18" hidden="1" customHeight="1">
      <c r="B233" s="236"/>
      <c r="F233" s="3452" t="s">
        <v>3560</v>
      </c>
      <c r="G233" s="1970"/>
      <c r="H233" s="1970"/>
      <c r="I233" s="1970"/>
      <c r="J233" s="1970"/>
      <c r="K233" s="1970"/>
      <c r="L233" s="1970"/>
      <c r="M233" s="3515" t="b">
        <f>vmTribalEntity="Yes"</f>
        <v>0</v>
      </c>
      <c r="N233" s="1778"/>
      <c r="P233" s="3452" t="s">
        <v>3558</v>
      </c>
      <c r="Q233" s="1970"/>
      <c r="R233" s="1970"/>
      <c r="S233" s="1970"/>
      <c r="T233" s="1970"/>
      <c r="U233" s="1970"/>
      <c r="V233" s="1970"/>
      <c r="W233" s="1970"/>
      <c r="X233" s="1970"/>
      <c r="Y233" s="1970"/>
      <c r="Z233" s="1970"/>
      <c r="AA233" s="3515" t="b">
        <f>vmIndianCountry="Indian Country"</f>
        <v>0</v>
      </c>
      <c r="AB233" s="1778"/>
      <c r="AC233" s="478"/>
      <c r="AD233" s="478"/>
      <c r="AE233" s="478"/>
      <c r="AF233" s="478"/>
      <c r="AG233" s="478"/>
      <c r="AH233" s="478"/>
      <c r="AI233" s="478"/>
      <c r="AJ233" s="478"/>
      <c r="AK233" s="478"/>
      <c r="AM233" s="1437"/>
      <c r="AN233" s="843"/>
      <c r="AO233" s="843"/>
      <c r="AP233" s="843"/>
      <c r="AQ233" s="843"/>
    </row>
    <row r="234" spans="1:51" s="120" customFormat="1" ht="36" hidden="1" customHeight="1">
      <c r="B234" s="236"/>
      <c r="F234" s="3464" t="s">
        <v>3577</v>
      </c>
      <c r="G234" s="1970"/>
      <c r="H234" s="1970"/>
      <c r="I234" s="1970"/>
      <c r="J234" s="1970"/>
      <c r="K234" s="1970"/>
      <c r="L234" s="1970"/>
      <c r="M234" s="1970"/>
      <c r="N234" s="1970"/>
      <c r="O234" s="1970"/>
      <c r="P234" s="1970"/>
      <c r="Q234" s="1970"/>
      <c r="R234" s="1970"/>
      <c r="S234" s="1970"/>
      <c r="T234" s="1970"/>
      <c r="U234" s="1970"/>
      <c r="V234" s="1970"/>
      <c r="W234" s="1970"/>
      <c r="X234" s="1970"/>
      <c r="Y234" s="1970"/>
      <c r="Z234" s="1970"/>
      <c r="AA234" s="1970"/>
      <c r="AB234" s="1970"/>
      <c r="AC234" s="1970"/>
      <c r="AD234" s="1970"/>
      <c r="AE234" s="1970"/>
      <c r="AF234" s="1970"/>
      <c r="AG234" s="1970"/>
      <c r="AH234" s="1970"/>
      <c r="AI234" s="1970"/>
      <c r="AJ234" s="1970"/>
      <c r="AK234" s="1970"/>
      <c r="AL234" s="1911"/>
      <c r="AM234" s="1862"/>
      <c r="AN234" s="843"/>
      <c r="AO234" s="843"/>
      <c r="AP234" s="843"/>
      <c r="AQ234" s="843"/>
    </row>
    <row r="235" spans="1:51" s="120" customFormat="1" ht="18" hidden="1" customHeight="1">
      <c r="B235" s="236"/>
      <c r="D235" s="570">
        <v>3</v>
      </c>
      <c r="E235" s="2996" t="s">
        <v>3578</v>
      </c>
      <c r="F235" s="1970"/>
      <c r="G235" s="1970"/>
      <c r="H235" s="1970"/>
      <c r="I235" s="1970"/>
      <c r="J235" s="1970"/>
      <c r="K235" s="1970"/>
      <c r="L235" s="1970"/>
      <c r="M235" s="1970"/>
      <c r="N235" s="1970"/>
      <c r="O235" s="1970"/>
      <c r="P235" s="1970"/>
      <c r="Q235" s="1970"/>
      <c r="R235" s="1970"/>
      <c r="S235" s="1970"/>
      <c r="T235" s="1970"/>
      <c r="U235" s="1970"/>
      <c r="V235" s="1970"/>
      <c r="W235" s="1970"/>
      <c r="X235" s="1970"/>
      <c r="Y235" s="1970"/>
      <c r="Z235" s="1970"/>
      <c r="AA235" s="1970"/>
      <c r="AB235" s="1970"/>
      <c r="AC235" s="1970"/>
      <c r="AD235" s="1970"/>
      <c r="AE235" s="1970"/>
      <c r="AF235" s="1970"/>
      <c r="AG235" s="1970"/>
      <c r="AH235" s="1970"/>
      <c r="AI235" s="1970"/>
      <c r="AJ235" s="1970"/>
      <c r="AK235" s="1970"/>
      <c r="AL235" s="1970"/>
      <c r="AM235" s="1889"/>
      <c r="AP235" s="241"/>
      <c r="AR235" s="1744"/>
      <c r="AS235" s="1744"/>
    </row>
    <row r="236" spans="1:51" s="120" customFormat="1" ht="36" hidden="1" customHeight="1">
      <c r="A236" s="241"/>
      <c r="B236" s="236"/>
      <c r="E236" s="2989" t="s">
        <v>3579</v>
      </c>
      <c r="F236" s="1970"/>
      <c r="G236" s="1970"/>
      <c r="H236" s="1970"/>
      <c r="I236" s="1970"/>
      <c r="J236" s="1970"/>
      <c r="K236" s="1970"/>
      <c r="L236" s="1970"/>
      <c r="M236" s="1970"/>
      <c r="N236" s="1970"/>
      <c r="O236" s="1970"/>
      <c r="P236" s="1970"/>
      <c r="Q236" s="1970"/>
      <c r="R236" s="1970"/>
      <c r="S236" s="1970"/>
      <c r="T236" s="1970"/>
      <c r="U236" s="1970"/>
      <c r="V236" s="1970"/>
      <c r="W236" s="1970"/>
      <c r="X236" s="1970"/>
      <c r="Y236" s="1970"/>
      <c r="Z236" s="1970"/>
      <c r="AA236" s="1970"/>
      <c r="AB236" s="1970"/>
      <c r="AC236" s="1970"/>
      <c r="AD236" s="1970"/>
      <c r="AE236" s="1970"/>
      <c r="AF236" s="1970"/>
      <c r="AG236" s="1970"/>
      <c r="AH236" s="1970"/>
      <c r="AI236" s="1970"/>
      <c r="AJ236" s="1970"/>
      <c r="AK236" s="1889"/>
      <c r="AL236" s="3534">
        <f>IF(AL237="Yes",-5,0)</f>
        <v>0</v>
      </c>
      <c r="AM236" s="1778"/>
      <c r="AN236" s="138"/>
      <c r="AO236" s="849"/>
      <c r="AP236" s="55"/>
      <c r="AQ236" s="1744"/>
      <c r="AR236" s="1744"/>
      <c r="AS236" s="1744"/>
      <c r="AT236" s="241"/>
      <c r="AU236" s="241"/>
      <c r="AV236" s="55"/>
      <c r="AW236" s="55"/>
      <c r="AX236" s="55"/>
      <c r="AY236" s="55"/>
    </row>
    <row r="237" spans="1:51" s="241" customFormat="1" ht="18" hidden="1" customHeight="1">
      <c r="A237" s="55"/>
      <c r="B237" s="806"/>
      <c r="C237" s="1646"/>
      <c r="D237" s="1646"/>
      <c r="E237" s="3490" t="s">
        <v>3580</v>
      </c>
      <c r="F237" s="1877"/>
      <c r="G237" s="1877"/>
      <c r="H237" s="1877"/>
      <c r="I237" s="1877"/>
      <c r="J237" s="1877"/>
      <c r="K237" s="1877"/>
      <c r="L237" s="1877"/>
      <c r="M237" s="1877"/>
      <c r="N237" s="1877"/>
      <c r="O237" s="1877"/>
      <c r="P237" s="1877"/>
      <c r="Q237" s="1877"/>
      <c r="R237" s="1877"/>
      <c r="S237" s="1877"/>
      <c r="T237" s="1877"/>
      <c r="U237" s="1877"/>
      <c r="V237" s="1877"/>
      <c r="W237" s="1877"/>
      <c r="X237" s="1877"/>
      <c r="Y237" s="1877"/>
      <c r="Z237" s="1877"/>
      <c r="AA237" s="1877"/>
      <c r="AB237" s="1877"/>
      <c r="AC237" s="1877"/>
      <c r="AD237" s="1877"/>
      <c r="AE237" s="1877"/>
      <c r="AF237" s="1877"/>
      <c r="AG237" s="1877"/>
      <c r="AH237" s="1877"/>
      <c r="AI237" s="1877"/>
      <c r="AJ237" s="1877"/>
      <c r="AK237" s="1772"/>
      <c r="AL237" s="3279"/>
      <c r="AM237" s="1862"/>
      <c r="AN237" s="138"/>
      <c r="AO237" s="55"/>
      <c r="AP237" s="55"/>
      <c r="AQ237" s="1744"/>
      <c r="AR237" s="1744"/>
      <c r="AS237" s="1744"/>
      <c r="AT237" s="120"/>
      <c r="AU237" s="120"/>
      <c r="AV237" s="55"/>
      <c r="AW237" s="55"/>
      <c r="AX237" s="55"/>
      <c r="AY237" s="55"/>
    </row>
    <row r="238" spans="1:51" s="57" customFormat="1" ht="18" customHeight="1">
      <c r="B238" s="91"/>
      <c r="C238" s="91"/>
      <c r="D238" s="91"/>
      <c r="E238" s="12"/>
      <c r="F238" s="12"/>
      <c r="G238" s="12"/>
      <c r="H238" s="12"/>
      <c r="I238" s="12"/>
      <c r="J238" s="12"/>
      <c r="K238" s="12"/>
      <c r="L238" s="12"/>
      <c r="M238" s="12"/>
      <c r="N238" s="12"/>
      <c r="O238" s="12"/>
      <c r="P238" s="12"/>
      <c r="Q238" s="12"/>
      <c r="R238" s="12"/>
      <c r="S238" s="12"/>
      <c r="T238" s="12"/>
      <c r="U238" s="12"/>
      <c r="V238" s="12"/>
      <c r="W238" s="12"/>
      <c r="X238" s="12"/>
      <c r="Y238" s="12"/>
      <c r="Z238" s="12"/>
      <c r="AA238" s="12"/>
      <c r="AB238" s="12"/>
      <c r="AC238" s="12"/>
      <c r="AD238" s="12"/>
      <c r="AE238" s="12"/>
      <c r="AF238" s="124"/>
      <c r="AG238" s="124"/>
      <c r="AH238" s="124"/>
      <c r="AI238" s="124"/>
      <c r="AJ238" s="124"/>
      <c r="AK238" s="124"/>
      <c r="AL238" s="272"/>
      <c r="AM238" s="272"/>
      <c r="AN238" s="1667"/>
      <c r="AO238" s="55"/>
      <c r="AQ238" s="138"/>
      <c r="AR238" s="138"/>
      <c r="AS238" s="138"/>
      <c r="AT238" s="55"/>
      <c r="AU238" s="55"/>
      <c r="AV238" s="55"/>
      <c r="AW238" s="55"/>
      <c r="AX238" s="55"/>
      <c r="AY238" s="55"/>
    </row>
    <row r="239" spans="1:51" s="57" customFormat="1" ht="18" hidden="1" customHeight="1">
      <c r="B239" s="1671"/>
      <c r="C239" s="1440" t="s">
        <v>3581</v>
      </c>
      <c r="D239" s="3712" t="s">
        <v>3582</v>
      </c>
      <c r="E239" s="1953"/>
      <c r="F239" s="1953"/>
      <c r="G239" s="1953"/>
      <c r="H239" s="1953"/>
      <c r="I239" s="1953"/>
      <c r="J239" s="1953"/>
      <c r="K239" s="1953"/>
      <c r="L239" s="1953"/>
      <c r="M239" s="1953"/>
      <c r="N239" s="1953"/>
      <c r="O239" s="1953"/>
      <c r="P239" s="1953"/>
      <c r="Q239" s="1953"/>
      <c r="R239" s="1953"/>
      <c r="S239" s="1953"/>
      <c r="T239" s="1953"/>
      <c r="U239" s="1953"/>
      <c r="V239" s="1953"/>
      <c r="W239" s="1953"/>
      <c r="X239" s="1953"/>
      <c r="Y239" s="1953"/>
      <c r="Z239" s="1953"/>
      <c r="AA239" s="1953"/>
      <c r="AB239" s="1953"/>
      <c r="AC239" s="1953"/>
      <c r="AD239" s="1953"/>
      <c r="AE239" s="1953"/>
      <c r="AF239" s="1953"/>
      <c r="AG239" s="1953"/>
      <c r="AH239" s="1953"/>
      <c r="AI239" s="1953"/>
      <c r="AJ239" s="1953"/>
      <c r="AK239" s="1770"/>
      <c r="AL239" s="3540">
        <f>MIN(SUM($AL$244,$AL$258),10)</f>
        <v>0</v>
      </c>
      <c r="AM239" s="1778"/>
      <c r="AN239" s="2033"/>
      <c r="AO239" s="1888"/>
      <c r="AP239" s="1888"/>
      <c r="AQ239" s="1888"/>
      <c r="AR239" s="1888"/>
      <c r="AS239" s="1888"/>
      <c r="AT239" s="1888"/>
      <c r="AU239" s="55"/>
      <c r="AV239" s="55"/>
      <c r="AW239" s="55"/>
      <c r="AX239" s="55"/>
      <c r="AY239" s="55"/>
    </row>
    <row r="240" spans="1:51" s="171" customFormat="1" ht="18" hidden="1" customHeight="1">
      <c r="B240" s="206"/>
      <c r="D240" s="3689" t="s">
        <v>3583</v>
      </c>
      <c r="E240" s="1931"/>
      <c r="F240" s="1931"/>
      <c r="G240" s="1931"/>
      <c r="H240" s="1931"/>
      <c r="I240" s="1931"/>
      <c r="J240" s="1931"/>
      <c r="K240" s="1931"/>
      <c r="L240" s="1931"/>
      <c r="M240" s="1931"/>
      <c r="N240" s="1931"/>
      <c r="O240" s="1931"/>
      <c r="P240" s="1931"/>
      <c r="Q240" s="1931"/>
      <c r="R240" s="1931"/>
      <c r="S240" s="1931"/>
      <c r="T240" s="1931"/>
      <c r="U240" s="1931"/>
      <c r="V240" s="1931"/>
      <c r="W240" s="1931"/>
      <c r="X240" s="1931"/>
      <c r="Y240" s="1931"/>
      <c r="Z240" s="1931"/>
      <c r="AA240" s="1931"/>
      <c r="AB240" s="1931"/>
      <c r="AC240" s="1931"/>
      <c r="AD240" s="1931"/>
      <c r="AE240" s="1931"/>
      <c r="AF240" s="1931"/>
      <c r="AG240" s="1931"/>
      <c r="AH240" s="1931"/>
      <c r="AI240" s="1931"/>
      <c r="AJ240" s="1931"/>
      <c r="AK240" s="1931"/>
      <c r="AL240" s="1931"/>
      <c r="AM240" s="1889"/>
      <c r="AP240" s="57"/>
      <c r="AR240" s="90"/>
      <c r="AS240" s="90"/>
    </row>
    <row r="241" spans="1:51" s="171" customFormat="1" ht="18" hidden="1" customHeight="1">
      <c r="B241" s="206"/>
      <c r="D241" s="684" t="str">
        <f>CHAR(149)</f>
        <v>•</v>
      </c>
      <c r="E241" s="3594" t="s">
        <v>3584</v>
      </c>
      <c r="F241" s="1931"/>
      <c r="G241" s="1931"/>
      <c r="H241" s="1931"/>
      <c r="I241" s="1931"/>
      <c r="J241" s="1931"/>
      <c r="K241" s="1931"/>
      <c r="L241" s="1931"/>
      <c r="M241" s="1931"/>
      <c r="N241" s="1931"/>
      <c r="O241" s="1931"/>
      <c r="P241" s="1931"/>
      <c r="Q241" s="1931"/>
      <c r="R241" s="1931"/>
      <c r="S241" s="1931"/>
      <c r="T241" s="1931"/>
      <c r="U241" s="1931"/>
      <c r="V241" s="1931"/>
      <c r="W241" s="1931"/>
      <c r="X241" s="1931"/>
      <c r="Y241" s="1931"/>
      <c r="Z241" s="1931"/>
      <c r="AA241" s="1931"/>
      <c r="AB241" s="1931"/>
      <c r="AC241" s="1931"/>
      <c r="AD241" s="1931"/>
      <c r="AE241" s="1931"/>
      <c r="AF241" s="1931"/>
      <c r="AG241" s="1931"/>
      <c r="AH241" s="1931"/>
      <c r="AI241" s="1931"/>
      <c r="AJ241" s="1931"/>
      <c r="AK241" s="1931"/>
      <c r="AM241" s="848"/>
    </row>
    <row r="242" spans="1:51" s="171" customFormat="1" ht="18" hidden="1" customHeight="1">
      <c r="B242" s="206"/>
      <c r="D242" s="684" t="str">
        <f>CHAR(149)</f>
        <v>•</v>
      </c>
      <c r="E242" s="3594" t="s">
        <v>3585</v>
      </c>
      <c r="F242" s="1931"/>
      <c r="G242" s="1931"/>
      <c r="H242" s="1931"/>
      <c r="I242" s="1931"/>
      <c r="J242" s="1931"/>
      <c r="K242" s="1931"/>
      <c r="L242" s="1931"/>
      <c r="M242" s="1931"/>
      <c r="N242" s="1931"/>
      <c r="O242" s="1931"/>
      <c r="P242" s="1931"/>
      <c r="Q242" s="1931"/>
      <c r="R242" s="1931"/>
      <c r="S242" s="1931"/>
      <c r="T242" s="1931"/>
      <c r="U242" s="1931"/>
      <c r="V242" s="1931"/>
      <c r="W242" s="1931"/>
      <c r="X242" s="1931"/>
      <c r="Y242" s="1931"/>
      <c r="Z242" s="1931"/>
      <c r="AA242" s="1931"/>
      <c r="AB242" s="1931"/>
      <c r="AC242" s="1931"/>
      <c r="AD242" s="1931"/>
      <c r="AE242" s="1931"/>
      <c r="AF242" s="1931"/>
      <c r="AG242" s="1931"/>
      <c r="AH242" s="1931"/>
      <c r="AI242" s="1931"/>
      <c r="AJ242" s="1931"/>
      <c r="AK242" s="1931"/>
      <c r="AM242" s="848"/>
      <c r="AN242" s="120"/>
    </row>
    <row r="243" spans="1:51" s="171" customFormat="1" ht="9" hidden="1" customHeight="1">
      <c r="B243" s="206"/>
      <c r="AM243" s="848"/>
    </row>
    <row r="244" spans="1:51" s="57" customFormat="1" ht="42" hidden="1" customHeight="1">
      <c r="B244" s="1672"/>
      <c r="D244" s="567">
        <v>1</v>
      </c>
      <c r="E244" s="3693" t="s">
        <v>3586</v>
      </c>
      <c r="F244" s="1950"/>
      <c r="G244" s="1950"/>
      <c r="H244" s="1950"/>
      <c r="I244" s="1950"/>
      <c r="J244" s="1950"/>
      <c r="K244" s="1950"/>
      <c r="L244" s="1950"/>
      <c r="M244" s="1950"/>
      <c r="N244" s="1950"/>
      <c r="O244" s="1950"/>
      <c r="P244" s="1950"/>
      <c r="Q244" s="1950"/>
      <c r="R244" s="1950"/>
      <c r="S244" s="1950"/>
      <c r="T244" s="1950"/>
      <c r="U244" s="1950"/>
      <c r="V244" s="1950"/>
      <c r="W244" s="1950"/>
      <c r="X244" s="1950"/>
      <c r="Y244" s="1950"/>
      <c r="Z244" s="1950"/>
      <c r="AA244" s="1950"/>
      <c r="AB244" s="1950"/>
      <c r="AC244" s="1950"/>
      <c r="AD244" s="1950"/>
      <c r="AE244" s="1950"/>
      <c r="AF244" s="1950"/>
      <c r="AG244" s="1950"/>
      <c r="AH244" s="1950"/>
      <c r="AI244" s="1950"/>
      <c r="AJ244" s="1950"/>
      <c r="AK244" s="1889"/>
      <c r="AL244" s="3534">
        <f>IF(OR($F$246&gt;0,$AL$249="Yes"),5,0)</f>
        <v>0</v>
      </c>
      <c r="AM244" s="1778"/>
      <c r="AN244" s="171"/>
      <c r="AP244" s="55"/>
      <c r="AQ244" s="90"/>
      <c r="AR244" s="90"/>
      <c r="AS244" s="90"/>
      <c r="AW244" s="55"/>
      <c r="AX244" s="55"/>
      <c r="AY244" s="55"/>
    </row>
    <row r="245" spans="1:51" s="171" customFormat="1" ht="18" hidden="1" customHeight="1">
      <c r="B245" s="206"/>
      <c r="E245" s="572" t="s">
        <v>1312</v>
      </c>
      <c r="F245" s="3313" t="s">
        <v>3587</v>
      </c>
      <c r="G245" s="1877"/>
      <c r="H245" s="1877"/>
      <c r="I245" s="1877"/>
      <c r="J245" s="1877"/>
      <c r="K245" s="1877"/>
      <c r="L245" s="1877"/>
      <c r="M245" s="1877"/>
      <c r="N245" s="1877"/>
      <c r="O245" s="1877"/>
      <c r="P245" s="1877"/>
      <c r="Q245" s="1877"/>
      <c r="R245" s="1877"/>
      <c r="S245" s="1877"/>
      <c r="T245" s="1877"/>
      <c r="U245" s="1877"/>
      <c r="V245" s="1877"/>
      <c r="W245" s="1877"/>
      <c r="X245" s="1877"/>
      <c r="Y245" s="1877"/>
      <c r="Z245" s="1877"/>
      <c r="AA245" s="1877"/>
      <c r="AB245" s="1877"/>
      <c r="AC245" s="1877"/>
      <c r="AD245" s="1877"/>
      <c r="AE245" s="1877"/>
      <c r="AF245" s="1877"/>
      <c r="AG245" s="1877"/>
      <c r="AH245" s="1877"/>
      <c r="AI245" s="1877"/>
      <c r="AJ245" s="1877"/>
      <c r="AK245" s="1877"/>
      <c r="AL245" s="847"/>
      <c r="AM245" s="1482"/>
      <c r="AO245" s="476" t="s">
        <v>3588</v>
      </c>
      <c r="AP245" s="57"/>
      <c r="AR245" s="90"/>
      <c r="AS245" s="90"/>
    </row>
    <row r="246" spans="1:51" s="57" customFormat="1" ht="72" hidden="1" customHeight="1">
      <c r="A246" s="120"/>
      <c r="B246" s="1672"/>
      <c r="F246" s="3277"/>
      <c r="G246" s="1861"/>
      <c r="H246" s="1861"/>
      <c r="I246" s="1861"/>
      <c r="J246" s="1861"/>
      <c r="K246" s="1861"/>
      <c r="L246" s="1861"/>
      <c r="M246" s="1861"/>
      <c r="N246" s="1861"/>
      <c r="O246" s="1861"/>
      <c r="P246" s="1861"/>
      <c r="Q246" s="1861"/>
      <c r="R246" s="1861"/>
      <c r="S246" s="1861"/>
      <c r="T246" s="1861"/>
      <c r="U246" s="1861"/>
      <c r="V246" s="1861"/>
      <c r="W246" s="1861"/>
      <c r="X246" s="1861"/>
      <c r="Y246" s="1861"/>
      <c r="Z246" s="1861"/>
      <c r="AA246" s="1861"/>
      <c r="AB246" s="1861"/>
      <c r="AC246" s="1861"/>
      <c r="AD246" s="1861"/>
      <c r="AE246" s="1861"/>
      <c r="AF246" s="1861"/>
      <c r="AG246" s="1861"/>
      <c r="AH246" s="1861"/>
      <c r="AI246" s="1861"/>
      <c r="AJ246" s="1861"/>
      <c r="AK246" s="1861"/>
      <c r="AL246" s="1861"/>
      <c r="AM246" s="1862"/>
      <c r="AN246" s="95"/>
      <c r="AO246" s="57" t="s">
        <v>3589</v>
      </c>
      <c r="AP246" s="55"/>
      <c r="AQ246" s="90"/>
      <c r="AR246" s="90"/>
      <c r="AS246" s="90"/>
    </row>
    <row r="247" spans="1:51" s="120" customFormat="1" ht="18" hidden="1" customHeight="1">
      <c r="B247" s="236"/>
      <c r="E247" s="244" t="s">
        <v>1318</v>
      </c>
      <c r="F247" s="3694" t="s">
        <v>3590</v>
      </c>
      <c r="G247" s="1953"/>
      <c r="H247" s="1953"/>
      <c r="I247" s="1953"/>
      <c r="J247" s="1953"/>
      <c r="K247" s="1953"/>
      <c r="L247" s="1953"/>
      <c r="M247" s="1953"/>
      <c r="N247" s="1953"/>
      <c r="O247" s="1953"/>
      <c r="P247" s="1953"/>
      <c r="Q247" s="1953"/>
      <c r="R247" s="1953"/>
      <c r="S247" s="1953"/>
      <c r="T247" s="1953"/>
      <c r="U247" s="1953"/>
      <c r="V247" s="1953"/>
      <c r="W247" s="1953"/>
      <c r="X247" s="1953"/>
      <c r="Y247" s="1953"/>
      <c r="Z247" s="1953"/>
      <c r="AA247" s="1953"/>
      <c r="AB247" s="1953"/>
      <c r="AC247" s="1953"/>
      <c r="AD247" s="1953"/>
      <c r="AE247" s="1953"/>
      <c r="AF247" s="1953"/>
      <c r="AG247" s="1953"/>
      <c r="AH247" s="1953"/>
      <c r="AI247" s="1953"/>
      <c r="AJ247" s="1953"/>
      <c r="AK247" s="1953"/>
      <c r="AL247" s="1953"/>
      <c r="AM247" s="1770"/>
      <c r="AN247" s="95"/>
      <c r="AO247" s="15" t="s">
        <v>3591</v>
      </c>
      <c r="AP247" s="55"/>
      <c r="AQ247" s="90"/>
      <c r="AR247" s="90"/>
      <c r="AS247" s="90"/>
      <c r="AT247" s="57"/>
      <c r="AU247" s="57"/>
      <c r="AV247" s="57"/>
      <c r="AW247" s="57"/>
      <c r="AX247" s="57"/>
      <c r="AY247" s="57"/>
    </row>
    <row r="248" spans="1:51" s="120" customFormat="1" ht="39" hidden="1" customHeight="1">
      <c r="B248" s="236"/>
      <c r="C248" s="382"/>
      <c r="F248" s="2998" t="s">
        <v>3592</v>
      </c>
      <c r="G248" s="1970"/>
      <c r="H248" s="1970"/>
      <c r="I248" s="1970"/>
      <c r="J248" s="3197"/>
      <c r="K248" s="1861"/>
      <c r="L248" s="1861"/>
      <c r="M248" s="1861"/>
      <c r="N248" s="1861"/>
      <c r="O248" s="1861"/>
      <c r="P248" s="1861"/>
      <c r="Q248" s="1861"/>
      <c r="R248" s="1861"/>
      <c r="S248" s="1861"/>
      <c r="T248" s="1861"/>
      <c r="U248" s="1861"/>
      <c r="V248" s="1861"/>
      <c r="W248" s="1861"/>
      <c r="X248" s="1861"/>
      <c r="Y248" s="1861"/>
      <c r="Z248" s="1861"/>
      <c r="AA248" s="1861"/>
      <c r="AB248" s="1861"/>
      <c r="AC248" s="1861"/>
      <c r="AD248" s="1861"/>
      <c r="AE248" s="1861"/>
      <c r="AF248" s="1861"/>
      <c r="AG248" s="1861"/>
      <c r="AH248" s="1861"/>
      <c r="AI248" s="1861"/>
      <c r="AJ248" s="1861"/>
      <c r="AK248" s="1862"/>
      <c r="AL248" s="3684">
        <f>IF($J$248=$AO$248,20,IF($J$248=$AO$249,15,IF($J$248=$AO$250,25,IF($J$248=$AO$251,45,IF($J$248=$AO$252,15,0)))))</f>
        <v>0</v>
      </c>
      <c r="AM248" s="1778"/>
      <c r="AN248" s="95"/>
      <c r="AO248" s="58" t="s">
        <v>3593</v>
      </c>
      <c r="AP248" s="55"/>
      <c r="AQ248" s="90"/>
      <c r="AR248" s="90"/>
      <c r="AS248" s="90"/>
      <c r="AT248" s="57"/>
      <c r="AU248" s="57"/>
      <c r="AV248" s="57"/>
      <c r="AW248" s="57"/>
      <c r="AX248" s="57"/>
      <c r="AY248" s="57"/>
    </row>
    <row r="249" spans="1:51" s="120" customFormat="1" ht="18" hidden="1" customHeight="1">
      <c r="B249" s="3686" t="s">
        <v>3594</v>
      </c>
      <c r="C249" s="1877"/>
      <c r="D249" s="1877"/>
      <c r="E249" s="1877"/>
      <c r="F249" s="1877"/>
      <c r="G249" s="1877"/>
      <c r="H249" s="1877"/>
      <c r="I249" s="1877"/>
      <c r="J249" s="1877"/>
      <c r="K249" s="1877"/>
      <c r="L249" s="1877"/>
      <c r="M249" s="3702">
        <f>IF($K$256=0,0,SUM($AL$250:$AM$255)/$K$256)</f>
        <v>0</v>
      </c>
      <c r="N249" s="1772"/>
      <c r="O249" s="3722" t="s">
        <v>3595</v>
      </c>
      <c r="P249" s="1877"/>
      <c r="Q249" s="1877"/>
      <c r="R249" s="1877"/>
      <c r="S249" s="1877"/>
      <c r="T249" s="1877"/>
      <c r="U249" s="1877"/>
      <c r="V249" s="1877"/>
      <c r="W249" s="1877"/>
      <c r="X249" s="1877"/>
      <c r="Y249" s="1877"/>
      <c r="Z249" s="1877"/>
      <c r="AA249" s="1877"/>
      <c r="AB249" s="1877"/>
      <c r="AC249" s="1877"/>
      <c r="AD249" s="1877"/>
      <c r="AE249" s="1877"/>
      <c r="AF249" s="1877"/>
      <c r="AG249" s="1877"/>
      <c r="AH249" s="1877"/>
      <c r="AI249" s="1877"/>
      <c r="AJ249" s="1877"/>
      <c r="AK249" s="1772"/>
      <c r="AL249" s="1902" t="str">
        <f>IF(M249=0,"",IF(AL248=0,"No",IF($M$249&gt;=MAX($AL$248,10),"Yes","No")))</f>
        <v/>
      </c>
      <c r="AM249" s="1778"/>
      <c r="AN249" s="95"/>
      <c r="AO249" s="58" t="s">
        <v>3596</v>
      </c>
      <c r="AP249" s="55"/>
      <c r="AQ249" s="90"/>
      <c r="AR249" s="90"/>
      <c r="AS249" s="90"/>
      <c r="AT249" s="57"/>
      <c r="AU249" s="57"/>
      <c r="AV249" s="57"/>
      <c r="AW249" s="57"/>
      <c r="AX249" s="57"/>
      <c r="AY249" s="57"/>
    </row>
    <row r="250" spans="1:51" s="120" customFormat="1" ht="18" hidden="1" customHeight="1">
      <c r="B250" s="3536" t="s">
        <v>3597</v>
      </c>
      <c r="C250" s="1777"/>
      <c r="D250" s="1777"/>
      <c r="E250" s="1777"/>
      <c r="F250" s="1777"/>
      <c r="G250" s="1777"/>
      <c r="H250" s="1777"/>
      <c r="I250" s="1777"/>
      <c r="J250" s="1778"/>
      <c r="K250" s="3666">
        <f>'Project Overview'!$H$221*43560</f>
        <v>0</v>
      </c>
      <c r="L250" s="1777"/>
      <c r="M250" s="1777"/>
      <c r="N250" s="1778"/>
      <c r="O250" s="3695"/>
      <c r="P250" s="3713" t="s">
        <v>3598</v>
      </c>
      <c r="Q250" s="1953"/>
      <c r="R250" s="1953"/>
      <c r="S250" s="1953"/>
      <c r="T250" s="1953"/>
      <c r="U250" s="1953"/>
      <c r="V250" s="1953"/>
      <c r="W250" s="1953"/>
      <c r="X250" s="1953"/>
      <c r="Y250" s="1953"/>
      <c r="Z250" s="1770"/>
      <c r="AA250" s="237"/>
      <c r="AB250" s="3691" t="s">
        <v>3599</v>
      </c>
      <c r="AC250" s="1953"/>
      <c r="AD250" s="1953"/>
      <c r="AE250" s="1953"/>
      <c r="AF250" s="1953"/>
      <c r="AG250" s="1953"/>
      <c r="AH250" s="1953"/>
      <c r="AI250" s="1953"/>
      <c r="AJ250" s="1953"/>
      <c r="AK250" s="1953"/>
      <c r="AL250" s="3535">
        <f>(SUMIF(UnitsTbl[Number of Bedrooms],"0",UnitsTbl[Total Units]))</f>
        <v>0</v>
      </c>
      <c r="AM250" s="1778"/>
      <c r="AN250" s="95"/>
      <c r="AO250" s="58" t="s">
        <v>3600</v>
      </c>
      <c r="AP250" s="55"/>
      <c r="AQ250" s="90"/>
      <c r="AR250" s="90"/>
      <c r="AS250" s="90"/>
      <c r="AT250" s="57"/>
      <c r="AU250" s="57"/>
      <c r="AV250" s="57"/>
      <c r="AW250" s="57"/>
      <c r="AX250" s="57"/>
      <c r="AY250" s="57"/>
    </row>
    <row r="251" spans="1:51" s="120" customFormat="1" ht="18" hidden="1" customHeight="1">
      <c r="B251" s="1902" t="s">
        <v>3601</v>
      </c>
      <c r="C251" s="1777"/>
      <c r="D251" s="1777"/>
      <c r="E251" s="1777"/>
      <c r="F251" s="1777"/>
      <c r="G251" s="1777"/>
      <c r="H251" s="1777"/>
      <c r="I251" s="1777"/>
      <c r="J251" s="1777"/>
      <c r="K251" s="1777"/>
      <c r="L251" s="1777"/>
      <c r="M251" s="1777"/>
      <c r="N251" s="1778"/>
      <c r="O251" s="1920"/>
      <c r="P251" s="1877"/>
      <c r="Q251" s="1877"/>
      <c r="R251" s="1877"/>
      <c r="S251" s="1877"/>
      <c r="T251" s="1877"/>
      <c r="U251" s="1877"/>
      <c r="V251" s="1877"/>
      <c r="W251" s="1877"/>
      <c r="X251" s="1877"/>
      <c r="Y251" s="1877"/>
      <c r="Z251" s="1772"/>
      <c r="AA251" s="236"/>
      <c r="AB251" s="3494" t="s">
        <v>3602</v>
      </c>
      <c r="AC251" s="1970"/>
      <c r="AD251" s="1970"/>
      <c r="AE251" s="1970"/>
      <c r="AF251" s="1970"/>
      <c r="AG251" s="1970"/>
      <c r="AH251" s="1970"/>
      <c r="AI251" s="1970"/>
      <c r="AJ251" s="1970"/>
      <c r="AK251" s="1970"/>
      <c r="AL251" s="3535">
        <f>(SUMIF(UnitsTbl[Number of Bedrooms],"1",UnitsTbl[Total Units]))</f>
        <v>0</v>
      </c>
      <c r="AM251" s="1778"/>
      <c r="AN251" s="95"/>
      <c r="AO251" s="58" t="s">
        <v>3603</v>
      </c>
      <c r="AP251" s="55"/>
      <c r="AQ251" s="90"/>
      <c r="AR251" s="90"/>
      <c r="AS251" s="90"/>
      <c r="AT251" s="57"/>
      <c r="AU251" s="57"/>
      <c r="AV251" s="57"/>
      <c r="AW251" s="57"/>
      <c r="AX251" s="57"/>
      <c r="AY251" s="57"/>
    </row>
    <row r="252" spans="1:51" s="120" customFormat="1" ht="18" hidden="1" customHeight="1">
      <c r="B252" s="3544" t="s">
        <v>3604</v>
      </c>
      <c r="C252" s="1970"/>
      <c r="D252" s="1970"/>
      <c r="E252" s="1970"/>
      <c r="F252" s="1970"/>
      <c r="G252" s="1970"/>
      <c r="H252" s="1970"/>
      <c r="I252" s="1970"/>
      <c r="J252" s="1970"/>
      <c r="K252" s="3672"/>
      <c r="L252" s="1869"/>
      <c r="M252" s="1869"/>
      <c r="N252" s="1870"/>
      <c r="O252" s="1920"/>
      <c r="P252" s="3585" t="s">
        <v>3605</v>
      </c>
      <c r="Q252" s="1970"/>
      <c r="R252" s="1970"/>
      <c r="S252" s="1970"/>
      <c r="T252" s="1970"/>
      <c r="U252" s="1970"/>
      <c r="V252" s="1970"/>
      <c r="W252" s="1970"/>
      <c r="X252" s="3580"/>
      <c r="Y252" s="1861"/>
      <c r="Z252" s="1862"/>
      <c r="AA252" s="236"/>
      <c r="AB252" s="3494" t="s">
        <v>3606</v>
      </c>
      <c r="AC252" s="1970"/>
      <c r="AD252" s="1970"/>
      <c r="AE252" s="1970"/>
      <c r="AF252" s="1970"/>
      <c r="AG252" s="1970"/>
      <c r="AH252" s="1970"/>
      <c r="AI252" s="1970"/>
      <c r="AJ252" s="1970"/>
      <c r="AK252" s="1970"/>
      <c r="AL252" s="3535">
        <f>(SUMIF(UnitsTbl[Number of Bedrooms],"2",UnitsTbl[Total Units]))</f>
        <v>0</v>
      </c>
      <c r="AM252" s="1778"/>
      <c r="AN252" s="95"/>
      <c r="AO252" s="58" t="s">
        <v>3607</v>
      </c>
      <c r="AP252" s="55"/>
      <c r="AQ252" s="90"/>
      <c r="AR252" s="90"/>
      <c r="AS252" s="90"/>
      <c r="AT252" s="57"/>
      <c r="AU252" s="57"/>
      <c r="AV252" s="57"/>
      <c r="AW252" s="57"/>
      <c r="AX252" s="57"/>
      <c r="AY252" s="57"/>
    </row>
    <row r="253" spans="1:51" s="120" customFormat="1" ht="18" hidden="1" customHeight="1">
      <c r="B253" s="3544" t="s">
        <v>3608</v>
      </c>
      <c r="C253" s="1970"/>
      <c r="D253" s="1970"/>
      <c r="E253" s="1970"/>
      <c r="F253" s="1970"/>
      <c r="G253" s="1970"/>
      <c r="H253" s="1970"/>
      <c r="I253" s="1970"/>
      <c r="J253" s="1970"/>
      <c r="K253" s="3532"/>
      <c r="L253" s="1861"/>
      <c r="M253" s="1861"/>
      <c r="N253" s="1862"/>
      <c r="O253" s="1920"/>
      <c r="Q253" s="3620" t="s">
        <v>3609</v>
      </c>
      <c r="R253" s="1970"/>
      <c r="S253" s="1970"/>
      <c r="T253" s="1970"/>
      <c r="U253" s="1970"/>
      <c r="V253" s="1970"/>
      <c r="W253" s="1970"/>
      <c r="X253" s="2090"/>
      <c r="Y253" s="1861"/>
      <c r="Z253" s="1862"/>
      <c r="AA253" s="236"/>
      <c r="AB253" s="3494" t="s">
        <v>3610</v>
      </c>
      <c r="AC253" s="1970"/>
      <c r="AD253" s="1970"/>
      <c r="AE253" s="1970"/>
      <c r="AF253" s="1970"/>
      <c r="AG253" s="1970"/>
      <c r="AH253" s="1970"/>
      <c r="AI253" s="1970"/>
      <c r="AJ253" s="1970"/>
      <c r="AK253" s="1970"/>
      <c r="AL253" s="3535">
        <f>(SUMIF(UnitsTbl[Number of Bedrooms],"3",UnitsTbl[Total Units]))</f>
        <v>0</v>
      </c>
      <c r="AM253" s="1778"/>
      <c r="AN253" s="95"/>
      <c r="AO253" s="57"/>
      <c r="AP253" s="55"/>
      <c r="AQ253" s="90"/>
      <c r="AR253" s="90"/>
      <c r="AS253" s="90"/>
      <c r="AT253" s="57"/>
      <c r="AU253" s="57"/>
      <c r="AV253" s="57"/>
      <c r="AW253" s="57"/>
      <c r="AX253" s="57"/>
      <c r="AY253" s="57"/>
    </row>
    <row r="254" spans="1:51" s="120" customFormat="1" ht="18" hidden="1" customHeight="1">
      <c r="B254" s="3544" t="s">
        <v>3611</v>
      </c>
      <c r="C254" s="1970"/>
      <c r="D254" s="1970"/>
      <c r="E254" s="1970"/>
      <c r="F254" s="1970"/>
      <c r="G254" s="1970"/>
      <c r="H254" s="1970"/>
      <c r="I254" s="1970"/>
      <c r="J254" s="1970"/>
      <c r="K254" s="3532"/>
      <c r="L254" s="1861"/>
      <c r="M254" s="1861"/>
      <c r="N254" s="1862"/>
      <c r="O254" s="1920"/>
      <c r="P254" s="3555"/>
      <c r="Q254" s="1970"/>
      <c r="R254" s="1970"/>
      <c r="S254" s="1970"/>
      <c r="T254" s="1970"/>
      <c r="U254" s="1970"/>
      <c r="V254" s="1970"/>
      <c r="W254" s="1970"/>
      <c r="X254" s="1970"/>
      <c r="Y254" s="1970"/>
      <c r="Z254" s="1970"/>
      <c r="AA254" s="236"/>
      <c r="AB254" s="3494" t="s">
        <v>3612</v>
      </c>
      <c r="AC254" s="1970"/>
      <c r="AD254" s="1970"/>
      <c r="AE254" s="1970"/>
      <c r="AF254" s="1970"/>
      <c r="AG254" s="1970"/>
      <c r="AH254" s="1970"/>
      <c r="AI254" s="1970"/>
      <c r="AJ254" s="1970"/>
      <c r="AK254" s="1970"/>
      <c r="AL254" s="3535">
        <f>(SUMIF(UnitsTbl[Number of Bedrooms],"4",UnitsTbl[Total Units]))+SUMIF(UnitsTbl[Number of Bedrooms],"5",UnitsTbl[Total Units])</f>
        <v>0</v>
      </c>
      <c r="AM254" s="1778"/>
      <c r="AN254" s="95"/>
      <c r="AO254" s="57"/>
      <c r="AP254" s="55"/>
      <c r="AQ254" s="90"/>
      <c r="AR254" s="90"/>
      <c r="AS254" s="90"/>
      <c r="AT254" s="57"/>
      <c r="AU254" s="57"/>
      <c r="AV254" s="57"/>
      <c r="AW254" s="57"/>
      <c r="AX254" s="57"/>
      <c r="AY254" s="57"/>
    </row>
    <row r="255" spans="1:51" s="120" customFormat="1" ht="18" hidden="1" customHeight="1">
      <c r="B255" s="3544" t="s">
        <v>3613</v>
      </c>
      <c r="C255" s="1970"/>
      <c r="D255" s="1970"/>
      <c r="E255" s="1970"/>
      <c r="F255" s="1970"/>
      <c r="G255" s="1970"/>
      <c r="H255" s="1970"/>
      <c r="I255" s="1970"/>
      <c r="J255" s="1970"/>
      <c r="K255" s="3532"/>
      <c r="L255" s="1861"/>
      <c r="M255" s="1861"/>
      <c r="N255" s="1862"/>
      <c r="O255" s="1920"/>
      <c r="P255" s="3605" t="s">
        <v>3614</v>
      </c>
      <c r="Q255" s="1970"/>
      <c r="R255" s="1970"/>
      <c r="S255" s="1970"/>
      <c r="T255" s="1970"/>
      <c r="U255" s="1970"/>
      <c r="V255" s="3616" t="str">
        <f>IF('Project Overview'!$H$454&gt;0,'Project Overview'!$H$454,"0")</f>
        <v>0</v>
      </c>
      <c r="W255" s="1970"/>
      <c r="X255" s="1970"/>
      <c r="Y255" s="1970"/>
      <c r="Z255" s="1889"/>
      <c r="AA255" s="1441"/>
      <c r="AB255" s="3683" t="s">
        <v>3615</v>
      </c>
      <c r="AC255" s="1777"/>
      <c r="AD255" s="1777"/>
      <c r="AE255" s="1777"/>
      <c r="AF255" s="1777"/>
      <c r="AG255" s="1777"/>
      <c r="AH255" s="1777"/>
      <c r="AI255" s="1777"/>
      <c r="AJ255" s="1777"/>
      <c r="AK255" s="1778"/>
      <c r="AL255" s="3685">
        <f>IF($X$252=0,0,IF($V$255&lt;=0,0,ROUNDDOWN(($V$255/$X$252),0)*$AA$255))</f>
        <v>0</v>
      </c>
      <c r="AM255" s="1770"/>
      <c r="AN255" s="95"/>
      <c r="AO255" s="55"/>
      <c r="AP255" s="55"/>
      <c r="AQ255" s="90"/>
      <c r="AR255" s="90"/>
      <c r="AS255" s="90"/>
      <c r="AT255" s="57"/>
      <c r="AU255" s="57"/>
      <c r="AV255" s="57"/>
      <c r="AW255" s="57"/>
      <c r="AX255" s="57"/>
      <c r="AY255" s="57"/>
    </row>
    <row r="256" spans="1:51" s="120" customFormat="1" ht="54" hidden="1" customHeight="1">
      <c r="B256" s="3574" t="s">
        <v>3616</v>
      </c>
      <c r="C256" s="1877"/>
      <c r="D256" s="1877"/>
      <c r="E256" s="1877"/>
      <c r="F256" s="1877"/>
      <c r="G256" s="1877"/>
      <c r="H256" s="1877"/>
      <c r="I256" s="1877"/>
      <c r="J256" s="1772"/>
      <c r="K256" s="3701">
        <f>($K$250-$K$252-$K$253-$K$254-$K$255)/43560</f>
        <v>0</v>
      </c>
      <c r="L256" s="1777"/>
      <c r="M256" s="1777"/>
      <c r="N256" s="1778"/>
      <c r="O256" s="2479"/>
      <c r="P256" s="3515" t="s">
        <v>1354</v>
      </c>
      <c r="Q256" s="1777"/>
      <c r="R256" s="1777"/>
      <c r="S256" s="1777"/>
      <c r="T256" s="1777"/>
      <c r="U256" s="1777"/>
      <c r="V256" s="1777"/>
      <c r="W256" s="1778"/>
      <c r="X256" s="3680">
        <f>INDEX('Unit Mix'!$CD$89:$CD$102,MATCH($M$249,'Unit Mix'!$CE$89:$CE$102,1))</f>
        <v>1</v>
      </c>
      <c r="Y256" s="1777"/>
      <c r="Z256" s="1778"/>
      <c r="AA256" s="433"/>
      <c r="AB256" s="3576" t="s">
        <v>3617</v>
      </c>
      <c r="AC256" s="1877"/>
      <c r="AD256" s="1877"/>
      <c r="AE256" s="1877"/>
      <c r="AF256" s="1877"/>
      <c r="AG256" s="1877"/>
      <c r="AH256" s="1877"/>
      <c r="AI256" s="1877"/>
      <c r="AJ256" s="1772"/>
      <c r="AK256" s="3692">
        <f>IF($K$256=0,0,SUM($AL$250:$AM$255)/MAX($AL$248,10)/$K$256)</f>
        <v>0</v>
      </c>
      <c r="AL256" s="1877"/>
      <c r="AM256" s="1772"/>
      <c r="AN256" s="95"/>
      <c r="AO256" s="55"/>
      <c r="AP256" s="55"/>
      <c r="AQ256" s="90"/>
      <c r="AR256" s="90"/>
      <c r="AS256" s="90"/>
      <c r="AT256" s="57"/>
      <c r="AU256" s="57"/>
      <c r="AV256" s="57"/>
      <c r="AW256" s="57"/>
      <c r="AX256" s="57"/>
      <c r="AY256" s="57"/>
    </row>
    <row r="257" spans="1:51" s="137" customFormat="1" ht="15" hidden="1">
      <c r="A257" s="120"/>
      <c r="B257" s="358"/>
      <c r="C257" s="903"/>
      <c r="D257" s="904">
        <v>1</v>
      </c>
      <c r="E257" s="2294" t="s">
        <v>3618</v>
      </c>
      <c r="F257" s="1953"/>
      <c r="G257" s="1953"/>
      <c r="H257" s="1953"/>
      <c r="I257" s="1953"/>
      <c r="J257" s="1953"/>
      <c r="K257" s="1953"/>
      <c r="L257" s="1953"/>
      <c r="M257" s="1953"/>
      <c r="N257" s="1953"/>
      <c r="O257" s="1953"/>
      <c r="P257" s="1953"/>
      <c r="Q257" s="1953"/>
      <c r="R257" s="1953"/>
      <c r="S257" s="1953"/>
      <c r="T257" s="1953"/>
      <c r="U257" s="1953"/>
      <c r="V257" s="1953"/>
      <c r="W257" s="1953"/>
      <c r="X257" s="1953"/>
      <c r="Y257" s="1953"/>
      <c r="Z257" s="1953"/>
      <c r="AA257" s="1953"/>
      <c r="AB257" s="1953"/>
      <c r="AC257" s="1953"/>
      <c r="AD257" s="1953"/>
      <c r="AE257" s="1953"/>
      <c r="AF257" s="1953"/>
      <c r="AG257" s="1953"/>
      <c r="AH257" s="1953"/>
      <c r="AI257" s="1953"/>
      <c r="AJ257" s="1953"/>
      <c r="AK257" s="1953"/>
      <c r="AL257" s="3696"/>
      <c r="AM257" s="1778"/>
    </row>
    <row r="258" spans="1:51" s="120" customFormat="1" ht="54" hidden="1" customHeight="1">
      <c r="B258" s="236"/>
      <c r="D258" s="382"/>
      <c r="E258" s="2989" t="s">
        <v>3619</v>
      </c>
      <c r="F258" s="1970"/>
      <c r="G258" s="1970"/>
      <c r="H258" s="1970"/>
      <c r="I258" s="1970"/>
      <c r="J258" s="1970"/>
      <c r="K258" s="1970"/>
      <c r="L258" s="1970"/>
      <c r="M258" s="1970"/>
      <c r="N258" s="1970"/>
      <c r="O258" s="1970"/>
      <c r="P258" s="1970"/>
      <c r="Q258" s="1970"/>
      <c r="R258" s="1970"/>
      <c r="S258" s="1970"/>
      <c r="T258" s="1970"/>
      <c r="U258" s="1970"/>
      <c r="V258" s="1970"/>
      <c r="W258" s="1970"/>
      <c r="X258" s="1970"/>
      <c r="Y258" s="1970"/>
      <c r="Z258" s="1970"/>
      <c r="AA258" s="1970"/>
      <c r="AB258" s="1970"/>
      <c r="AC258" s="1970"/>
      <c r="AD258" s="1970"/>
      <c r="AE258" s="1970"/>
      <c r="AF258" s="1970"/>
      <c r="AG258" s="1970"/>
      <c r="AH258" s="1970"/>
      <c r="AI258" s="1970"/>
      <c r="AJ258" s="1970"/>
      <c r="AK258" s="1889"/>
      <c r="AL258" s="3534">
        <f>IF(AND(vmTAL="Yes",$AL$263="Yes"),5,IF(AND(vmTAL="No",$AL$260&gt;0,$AL$263="Yes"),$AL$260*0.333,0))</f>
        <v>0</v>
      </c>
      <c r="AM258" s="1778"/>
      <c r="AN258" s="138"/>
      <c r="AO258" s="55"/>
      <c r="AP258" s="55"/>
      <c r="AQ258" s="90"/>
      <c r="AR258" s="90"/>
      <c r="AS258" s="90"/>
      <c r="AT258" s="57"/>
      <c r="AU258" s="57"/>
      <c r="AV258" s="57"/>
      <c r="AW258" s="57"/>
      <c r="AX258" s="57"/>
      <c r="AY258" s="57"/>
    </row>
    <row r="259" spans="1:51" s="120" customFormat="1" ht="36" hidden="1" customHeight="1">
      <c r="B259" s="236"/>
      <c r="D259" s="352"/>
      <c r="E259" s="3475" t="s">
        <v>3620</v>
      </c>
      <c r="F259" s="1970"/>
      <c r="G259" s="1970"/>
      <c r="H259" s="1970"/>
      <c r="I259" s="1970"/>
      <c r="J259" s="1970"/>
      <c r="K259" s="1970"/>
      <c r="L259" s="1970"/>
      <c r="M259" s="1970"/>
      <c r="N259" s="1970"/>
      <c r="O259" s="1970"/>
      <c r="P259" s="1970"/>
      <c r="Q259" s="1970"/>
      <c r="R259" s="1970"/>
      <c r="S259" s="1970"/>
      <c r="T259" s="1970"/>
      <c r="U259" s="1970"/>
      <c r="V259" s="1970"/>
      <c r="W259" s="1970"/>
      <c r="X259" s="1970"/>
      <c r="Y259" s="1970"/>
      <c r="Z259" s="1970"/>
      <c r="AA259" s="1970"/>
      <c r="AB259" s="1970"/>
      <c r="AC259" s="1970"/>
      <c r="AD259" s="1970"/>
      <c r="AE259" s="1970"/>
      <c r="AF259" s="1970"/>
      <c r="AG259" s="1970"/>
      <c r="AH259" s="1970"/>
      <c r="AI259" s="1970"/>
      <c r="AJ259" s="1970"/>
      <c r="AK259" s="1970"/>
      <c r="AL259" s="3126"/>
      <c r="AM259" s="1862"/>
      <c r="AN259" s="138"/>
      <c r="AO259" s="55"/>
      <c r="AP259" s="55"/>
      <c r="AQ259" s="90"/>
      <c r="AR259" s="90"/>
      <c r="AS259" s="90"/>
      <c r="AT259" s="57"/>
      <c r="AU259" s="57"/>
      <c r="AV259" s="57"/>
      <c r="AW259" s="57"/>
      <c r="AX259" s="57"/>
      <c r="AY259" s="57"/>
    </row>
    <row r="260" spans="1:51" s="120" customFormat="1" ht="18" hidden="1" customHeight="1">
      <c r="B260" s="236"/>
      <c r="E260" s="3452" t="s">
        <v>3621</v>
      </c>
      <c r="F260" s="1970"/>
      <c r="G260" s="1970"/>
      <c r="H260" s="1970"/>
      <c r="I260" s="1970"/>
      <c r="J260" s="1970"/>
      <c r="K260" s="1970"/>
      <c r="L260" s="1970"/>
      <c r="M260" s="1970"/>
      <c r="N260" s="1970"/>
      <c r="O260" s="1970"/>
      <c r="P260" s="1970"/>
      <c r="Q260" s="1970"/>
      <c r="R260" s="1970"/>
      <c r="S260" s="1970"/>
      <c r="T260" s="1970"/>
      <c r="U260" s="1970"/>
      <c r="AL260" s="1911"/>
      <c r="AM260" s="1862"/>
    </row>
    <row r="261" spans="1:51" s="120" customFormat="1" ht="18" hidden="1" customHeight="1">
      <c r="B261" s="433"/>
      <c r="C261" s="1751"/>
      <c r="D261" s="1751"/>
      <c r="E261" s="3529" t="s">
        <v>3622</v>
      </c>
      <c r="F261" s="1877"/>
      <c r="G261" s="1877"/>
      <c r="H261" s="1877"/>
      <c r="I261" s="1877"/>
      <c r="J261" s="1877"/>
      <c r="K261" s="1877"/>
      <c r="L261" s="1877"/>
      <c r="M261" s="1877"/>
      <c r="N261" s="1877"/>
      <c r="O261" s="1877"/>
      <c r="P261" s="1877"/>
      <c r="Q261" s="1877"/>
      <c r="R261" s="1877"/>
      <c r="S261" s="1877"/>
      <c r="T261" s="1877"/>
      <c r="U261" s="1877"/>
      <c r="V261" s="1877"/>
      <c r="W261" s="1877"/>
      <c r="X261" s="1877"/>
      <c r="Y261" s="1877"/>
      <c r="Z261" s="1877"/>
      <c r="AA261" s="1877"/>
      <c r="AB261" s="1877"/>
      <c r="AC261" s="1877"/>
      <c r="AD261" s="1877"/>
      <c r="AE261" s="1877"/>
      <c r="AF261" s="1877"/>
      <c r="AG261" s="1877"/>
      <c r="AH261" s="1877"/>
      <c r="AI261" s="1877"/>
      <c r="AJ261" s="1877"/>
      <c r="AK261" s="1877"/>
      <c r="AL261" s="1877"/>
      <c r="AM261" s="1772"/>
    </row>
    <row r="262" spans="1:51" s="120" customFormat="1" ht="54" hidden="1" customHeight="1">
      <c r="B262" s="2268" t="s">
        <v>558</v>
      </c>
      <c r="C262" s="1777"/>
      <c r="D262" s="1778"/>
      <c r="E262" s="2179" t="str">
        <f>'Document Checklist-Full List'!$E$196</f>
        <v>98. Walkable Route Location Map</v>
      </c>
      <c r="F262" s="1777"/>
      <c r="G262" s="1777"/>
      <c r="H262" s="1777"/>
      <c r="I262" s="1777"/>
      <c r="J262" s="1777"/>
      <c r="K262" s="1777"/>
      <c r="L262" s="1777"/>
      <c r="M262" s="1778"/>
      <c r="N262" s="2179" t="str">
        <f>'Document Checklist-Full List'!$N$196</f>
        <v>These transit points must be measured by a Walkable Route from the nearest boundary of the Project to the outer boundary of the site of the Transit Station or Major Transit Stop.</v>
      </c>
      <c r="O262" s="1777"/>
      <c r="P262" s="1777"/>
      <c r="Q262" s="1777"/>
      <c r="R262" s="1777"/>
      <c r="S262" s="1777"/>
      <c r="T262" s="1777"/>
      <c r="U262" s="1777"/>
      <c r="V262" s="1777"/>
      <c r="W262" s="1777"/>
      <c r="X262" s="1777"/>
      <c r="Y262" s="1777"/>
      <c r="Z262" s="1777"/>
      <c r="AA262" s="1777"/>
      <c r="AB262" s="1777"/>
      <c r="AC262" s="1777"/>
      <c r="AD262" s="1777"/>
      <c r="AE262" s="1778"/>
      <c r="AF262" s="1886" t="s">
        <v>559</v>
      </c>
      <c r="AG262" s="1777"/>
      <c r="AH262" s="1777"/>
      <c r="AI262" s="1777"/>
      <c r="AJ262" s="1777"/>
      <c r="AK262" s="1778"/>
      <c r="AL262" s="1911"/>
      <c r="AM262" s="1862"/>
      <c r="AN262" s="138"/>
      <c r="AO262" s="273"/>
      <c r="AP262" s="55"/>
      <c r="AQ262" s="90"/>
      <c r="AR262" s="90"/>
      <c r="AS262" s="90"/>
      <c r="AT262" s="57"/>
      <c r="AU262" s="57"/>
      <c r="AV262" s="57"/>
      <c r="AW262" s="57"/>
      <c r="AX262" s="57"/>
      <c r="AY262" s="57"/>
    </row>
    <row r="263" spans="1:51" s="120" customFormat="1" ht="54" hidden="1" customHeight="1">
      <c r="B263" s="2268" t="s">
        <v>558</v>
      </c>
      <c r="C263" s="1777"/>
      <c r="D263" s="1778"/>
      <c r="E263" s="2179" t="str">
        <f>'Document Checklist-Full List'!$E$197</f>
        <v>99. Service Amenity List - TCAC</v>
      </c>
      <c r="F263" s="1777"/>
      <c r="G263" s="1777"/>
      <c r="H263" s="1777"/>
      <c r="I263" s="1777"/>
      <c r="J263" s="1777"/>
      <c r="K263" s="1777"/>
      <c r="L263" s="1777"/>
      <c r="M263" s="1778"/>
      <c r="N263" s="2179" t="str">
        <f>'Document Checklist-Full List'!$N$197</f>
        <v xml:space="preserve">List of amenities qualifying for TCAC site amenities points identified in the "Scoring" Worksheet. Include amenity name, address, distance from the project, and amount of TCAC points earned. </v>
      </c>
      <c r="O263" s="1777"/>
      <c r="P263" s="1777"/>
      <c r="Q263" s="1777"/>
      <c r="R263" s="1777"/>
      <c r="S263" s="1777"/>
      <c r="T263" s="1777"/>
      <c r="U263" s="1777"/>
      <c r="V263" s="1777"/>
      <c r="W263" s="1777"/>
      <c r="X263" s="1777"/>
      <c r="Y263" s="1777"/>
      <c r="Z263" s="1777"/>
      <c r="AA263" s="1777"/>
      <c r="AB263" s="1777"/>
      <c r="AC263" s="1777"/>
      <c r="AD263" s="1777"/>
      <c r="AE263" s="1778"/>
      <c r="AF263" s="1886" t="s">
        <v>559</v>
      </c>
      <c r="AG263" s="1777"/>
      <c r="AH263" s="1777"/>
      <c r="AI263" s="1777"/>
      <c r="AJ263" s="1777"/>
      <c r="AK263" s="1778"/>
      <c r="AL263" s="3126"/>
      <c r="AM263" s="1862"/>
      <c r="AN263" s="138"/>
      <c r="AO263" s="55"/>
      <c r="AP263" s="55"/>
      <c r="AQ263" s="90"/>
      <c r="AR263" s="90"/>
      <c r="AS263" s="90"/>
      <c r="AT263" s="57"/>
      <c r="AU263" s="57"/>
      <c r="AV263" s="57"/>
      <c r="AW263" s="57"/>
      <c r="AX263" s="57"/>
      <c r="AY263" s="57"/>
    </row>
    <row r="264" spans="1:51" s="120" customFormat="1" ht="36" hidden="1" customHeight="1">
      <c r="B264" s="2268" t="s">
        <v>558</v>
      </c>
      <c r="C264" s="1777"/>
      <c r="D264" s="1778"/>
      <c r="E264" s="2179" t="str">
        <f>'Document Checklist-Full List'!$E$198</f>
        <v>100. Proximity to Site Amenities - Scaled Distance Map</v>
      </c>
      <c r="F264" s="1777"/>
      <c r="G264" s="1777"/>
      <c r="H264" s="1777"/>
      <c r="I264" s="1777"/>
      <c r="J264" s="1777"/>
      <c r="K264" s="1777"/>
      <c r="L264" s="1777"/>
      <c r="M264" s="1778"/>
      <c r="N264" s="2179" t="str">
        <f>'Document Checklist-Full List'!$N$198</f>
        <v>Provide a scaled distance map showing the location of site amenities in relation to the Project corresponding to the Amenities List.</v>
      </c>
      <c r="O264" s="1777"/>
      <c r="P264" s="1777"/>
      <c r="Q264" s="1777"/>
      <c r="R264" s="1777"/>
      <c r="S264" s="1777"/>
      <c r="T264" s="1777"/>
      <c r="U264" s="1777"/>
      <c r="V264" s="1777"/>
      <c r="W264" s="1777"/>
      <c r="X264" s="1777"/>
      <c r="Y264" s="1777"/>
      <c r="Z264" s="1777"/>
      <c r="AA264" s="1777"/>
      <c r="AB264" s="1777"/>
      <c r="AC264" s="1777"/>
      <c r="AD264" s="1777"/>
      <c r="AE264" s="1778"/>
      <c r="AF264" s="1886" t="s">
        <v>559</v>
      </c>
      <c r="AG264" s="1777"/>
      <c r="AH264" s="1777"/>
      <c r="AI264" s="1777"/>
      <c r="AJ264" s="1777"/>
      <c r="AK264" s="1778"/>
      <c r="AL264" s="3126"/>
      <c r="AM264" s="1862"/>
      <c r="AN264" s="138"/>
      <c r="AO264" s="55"/>
      <c r="AP264" s="55"/>
      <c r="AQ264" s="90"/>
      <c r="AR264" s="90"/>
      <c r="AS264" s="90"/>
      <c r="AT264" s="57"/>
      <c r="AU264" s="57"/>
      <c r="AV264" s="57"/>
      <c r="AW264" s="57"/>
      <c r="AX264" s="57"/>
      <c r="AY264" s="57"/>
    </row>
    <row r="265" spans="1:51" ht="18" hidden="1" customHeight="1">
      <c r="A265" s="120"/>
      <c r="B265" s="120"/>
      <c r="C265" s="120"/>
      <c r="D265" s="120"/>
      <c r="E265" s="120"/>
      <c r="F265" s="120"/>
      <c r="G265" s="120"/>
      <c r="H265" s="120"/>
      <c r="I265" s="120"/>
      <c r="J265" s="120"/>
      <c r="K265" s="120"/>
      <c r="L265" s="120"/>
      <c r="M265" s="120"/>
      <c r="N265" s="120"/>
      <c r="O265" s="120"/>
      <c r="P265" s="120"/>
      <c r="Q265" s="120"/>
      <c r="R265" s="120"/>
      <c r="S265" s="120"/>
      <c r="T265" s="120"/>
      <c r="U265" s="120"/>
      <c r="V265" s="120"/>
      <c r="W265" s="120"/>
      <c r="X265" s="120"/>
      <c r="Y265" s="120"/>
      <c r="Z265" s="120"/>
      <c r="AA265" s="120"/>
      <c r="AB265" s="120"/>
      <c r="AC265" s="120"/>
      <c r="AD265" s="120"/>
      <c r="AE265" s="120"/>
      <c r="AF265" s="120"/>
      <c r="AG265" s="120"/>
      <c r="AH265" s="120"/>
      <c r="AI265" s="120"/>
      <c r="AJ265" s="120"/>
      <c r="AK265" s="120"/>
      <c r="AL265" s="120"/>
      <c r="AM265" s="120"/>
      <c r="AN265" s="120"/>
      <c r="AO265" s="474"/>
      <c r="AP265" s="474"/>
      <c r="AQ265" s="1667"/>
      <c r="AR265" s="1667"/>
      <c r="AS265" s="1667"/>
    </row>
    <row r="266" spans="1:51" ht="18" customHeight="1">
      <c r="A266" s="120"/>
      <c r="B266" s="780"/>
      <c r="C266" s="1442" t="s">
        <v>3623</v>
      </c>
      <c r="D266" s="3531" t="s">
        <v>3624</v>
      </c>
      <c r="E266" s="1953"/>
      <c r="F266" s="1953"/>
      <c r="G266" s="1953"/>
      <c r="H266" s="1953"/>
      <c r="I266" s="1953"/>
      <c r="J266" s="1953"/>
      <c r="K266" s="1953"/>
      <c r="L266" s="1953"/>
      <c r="M266" s="1953"/>
      <c r="N266" s="1953"/>
      <c r="O266" s="1953"/>
      <c r="P266" s="1953"/>
      <c r="Q266" s="1953"/>
      <c r="R266" s="1953"/>
      <c r="S266" s="1953"/>
      <c r="T266" s="1953"/>
      <c r="U266" s="1953"/>
      <c r="V266" s="1953"/>
      <c r="W266" s="1953"/>
      <c r="X266" s="1953"/>
      <c r="Y266" s="1953"/>
      <c r="Z266" s="1953"/>
      <c r="AA266" s="1953"/>
      <c r="AB266" s="1953"/>
      <c r="AC266" s="1953"/>
      <c r="AD266" s="1953"/>
      <c r="AE266" s="1953"/>
      <c r="AF266" s="1953"/>
      <c r="AG266" s="1953"/>
      <c r="AH266" s="1953"/>
      <c r="AI266" s="1953"/>
      <c r="AJ266" s="1953"/>
      <c r="AK266" s="1953"/>
      <c r="AL266" s="3540">
        <f>MAX(MIN(5,ROUNDDOWN($AK$268,2)*100),0)</f>
        <v>0</v>
      </c>
      <c r="AM266" s="1778"/>
      <c r="AN266" s="3700"/>
      <c r="AO266" s="1924"/>
      <c r="AP266" s="1924"/>
      <c r="AQ266" s="1924"/>
      <c r="AR266" s="1924"/>
      <c r="AS266" s="1924"/>
      <c r="AT266" s="1924"/>
    </row>
    <row r="267" spans="1:51" s="120" customFormat="1" ht="36.75" customHeight="1">
      <c r="B267" s="236"/>
      <c r="C267" s="1634"/>
      <c r="D267" s="3492" t="s">
        <v>3625</v>
      </c>
      <c r="E267" s="1970"/>
      <c r="F267" s="1970"/>
      <c r="G267" s="1970"/>
      <c r="H267" s="1970"/>
      <c r="I267" s="1970"/>
      <c r="J267" s="1970"/>
      <c r="K267" s="1970"/>
      <c r="L267" s="1970"/>
      <c r="M267" s="1970"/>
      <c r="N267" s="1970"/>
      <c r="O267" s="1970"/>
      <c r="P267" s="1970"/>
      <c r="Q267" s="1970"/>
      <c r="R267" s="1970"/>
      <c r="S267" s="1970"/>
      <c r="T267" s="1970"/>
      <c r="U267" s="1970"/>
      <c r="V267" s="1970"/>
      <c r="W267" s="1970"/>
      <c r="X267" s="1970"/>
      <c r="Y267" s="1970"/>
      <c r="Z267" s="1970"/>
      <c r="AA267" s="1970"/>
      <c r="AB267" s="1970"/>
      <c r="AC267" s="1970"/>
      <c r="AD267" s="1970"/>
      <c r="AE267" s="1970"/>
      <c r="AF267" s="1970"/>
      <c r="AG267" s="1970"/>
      <c r="AH267" s="1970"/>
      <c r="AI267" s="1970"/>
      <c r="AJ267" s="1970"/>
      <c r="AK267" s="1970"/>
      <c r="AL267" s="1970"/>
      <c r="AM267" s="1889"/>
    </row>
    <row r="268" spans="1:51" s="120" customFormat="1" ht="18" customHeight="1">
      <c r="B268" s="236"/>
      <c r="D268" s="3112" t="s">
        <v>3626</v>
      </c>
      <c r="E268" s="1777"/>
      <c r="F268" s="1777"/>
      <c r="G268" s="1777"/>
      <c r="H268" s="1777"/>
      <c r="I268" s="1777"/>
      <c r="J268" s="1777"/>
      <c r="K268" s="1777"/>
      <c r="L268" s="1777"/>
      <c r="M268" s="1778"/>
      <c r="N268" s="3581">
        <f>'High-Cost Verification'!$AH$12</f>
        <v>0</v>
      </c>
      <c r="O268" s="1777"/>
      <c r="P268" s="1777"/>
      <c r="Q268" s="1778"/>
      <c r="Z268" s="241"/>
      <c r="AA268" s="241"/>
      <c r="AB268" s="241"/>
      <c r="AC268" s="241"/>
      <c r="AD268" s="241"/>
      <c r="AE268" s="241"/>
      <c r="AF268" s="241"/>
      <c r="AG268" s="241"/>
      <c r="AH268" s="3515" t="s">
        <v>3627</v>
      </c>
      <c r="AI268" s="1777"/>
      <c r="AJ268" s="1778"/>
      <c r="AK268" s="3528">
        <f>IFERROR(($M$270-$N$268)/$M$270,0)</f>
        <v>0</v>
      </c>
      <c r="AL268" s="1777"/>
      <c r="AM268" s="1778"/>
      <c r="AO268" s="359"/>
    </row>
    <row r="269" spans="1:51" s="120" customFormat="1" ht="166.5" customHeight="1">
      <c r="B269" s="236"/>
      <c r="C269" s="1634"/>
      <c r="D269" s="3492" t="s">
        <v>3628</v>
      </c>
      <c r="E269" s="1970"/>
      <c r="F269" s="1970"/>
      <c r="G269" s="1970"/>
      <c r="H269" s="1970"/>
      <c r="I269" s="1970"/>
      <c r="J269" s="1970"/>
      <c r="K269" s="1970"/>
      <c r="L269" s="1970"/>
      <c r="M269" s="1970"/>
      <c r="N269" s="1970"/>
      <c r="O269" s="1970"/>
      <c r="P269" s="1970"/>
      <c r="Q269" s="1970"/>
      <c r="R269" s="1970"/>
      <c r="S269" s="1970"/>
      <c r="T269" s="1970"/>
      <c r="U269" s="1970"/>
      <c r="V269" s="1970"/>
      <c r="W269" s="1970"/>
      <c r="X269" s="1970"/>
      <c r="Y269" s="1970"/>
      <c r="Z269" s="1970"/>
      <c r="AA269" s="1970"/>
      <c r="AB269" s="1970"/>
      <c r="AC269" s="1970"/>
      <c r="AD269" s="1970"/>
      <c r="AE269" s="1970"/>
      <c r="AF269" s="1970"/>
      <c r="AG269" s="1970"/>
      <c r="AH269" s="1970"/>
      <c r="AI269" s="1970"/>
      <c r="AJ269" s="1970"/>
      <c r="AK269" s="1970"/>
      <c r="AL269" s="1970"/>
      <c r="AM269" s="1889"/>
    </row>
    <row r="270" spans="1:51" s="120" customFormat="1" ht="18" customHeight="1">
      <c r="B270" s="236"/>
      <c r="D270" s="3112" t="s">
        <v>3629</v>
      </c>
      <c r="E270" s="1777"/>
      <c r="F270" s="1777"/>
      <c r="G270" s="1777"/>
      <c r="H270" s="1777"/>
      <c r="I270" s="1777"/>
      <c r="J270" s="1777"/>
      <c r="K270" s="1777"/>
      <c r="L270" s="1778"/>
      <c r="M270" s="3581">
        <f>'High-Cost Verification'!$AH$8+AI275</f>
        <v>0</v>
      </c>
      <c r="N270" s="1777"/>
      <c r="O270" s="1777"/>
      <c r="P270" s="1778"/>
      <c r="Q270" s="261"/>
      <c r="R270" s="261"/>
      <c r="S270" s="261"/>
      <c r="T270" s="1740"/>
      <c r="U270" s="1740"/>
      <c r="V270" s="1740"/>
      <c r="W270" s="1740"/>
      <c r="X270" s="1740"/>
      <c r="Y270" s="1740"/>
      <c r="Z270" s="1740"/>
      <c r="AA270" s="1740"/>
      <c r="AB270" s="1740"/>
      <c r="AC270" s="1740"/>
      <c r="AD270" s="1740"/>
      <c r="AE270" s="1740"/>
      <c r="AF270" s="1740"/>
      <c r="AG270" s="1740"/>
      <c r="AH270" s="1740"/>
      <c r="AI270" s="1740"/>
      <c r="AJ270" s="1740"/>
      <c r="AK270" s="1740"/>
      <c r="AL270" s="1744"/>
      <c r="AM270" s="1135"/>
    </row>
    <row r="271" spans="1:51" s="120" customFormat="1" ht="18" customHeight="1">
      <c r="B271" s="236"/>
      <c r="D271" s="3112" t="s">
        <v>276</v>
      </c>
      <c r="E271" s="1777"/>
      <c r="F271" s="1777"/>
      <c r="G271" s="1778"/>
      <c r="H271" s="3515">
        <f>SUM(UnitsTbl[Total Units])</f>
        <v>0</v>
      </c>
      <c r="I271" s="1778"/>
      <c r="AM271" s="1437"/>
    </row>
    <row r="272" spans="1:51" s="120" customFormat="1" ht="18" customHeight="1">
      <c r="B272" s="236"/>
      <c r="D272" s="2996" t="s">
        <v>3630</v>
      </c>
      <c r="E272" s="1970"/>
      <c r="F272" s="1970"/>
      <c r="G272" s="1970"/>
      <c r="H272" s="1970"/>
      <c r="I272" s="1970"/>
      <c r="J272" s="1970"/>
      <c r="K272" s="1970"/>
      <c r="L272" s="1970"/>
      <c r="M272" s="1970"/>
      <c r="N272" s="1970"/>
      <c r="O272" s="1970"/>
      <c r="P272" s="1970"/>
      <c r="Q272" s="1970"/>
      <c r="R272" s="1970"/>
      <c r="S272" s="1970"/>
      <c r="T272" s="1970"/>
      <c r="U272" s="1970"/>
      <c r="V272" s="1970"/>
      <c r="W272" s="1970"/>
      <c r="X272" s="1970"/>
      <c r="Y272" s="1970"/>
      <c r="Z272" s="1970"/>
      <c r="AA272" s="1970"/>
      <c r="AB272" s="1970"/>
      <c r="AC272" s="1970"/>
      <c r="AD272" s="1970"/>
      <c r="AE272" s="1970"/>
      <c r="AF272" s="1970"/>
      <c r="AG272" s="1970"/>
      <c r="AH272" s="1970"/>
      <c r="AI272" s="1970"/>
      <c r="AJ272" s="1970"/>
      <c r="AK272" s="1970"/>
      <c r="AL272" s="1970"/>
      <c r="AM272" s="1889"/>
      <c r="AN272" s="58"/>
      <c r="AO272" s="58"/>
    </row>
    <row r="273" spans="1:47" s="120" customFormat="1" ht="18" customHeight="1">
      <c r="B273" s="236"/>
      <c r="D273" s="1443">
        <v>0.01</v>
      </c>
      <c r="E273" s="3614" t="s">
        <v>3631</v>
      </c>
      <c r="F273" s="1777"/>
      <c r="G273" s="1777"/>
      <c r="H273" s="1777"/>
      <c r="I273" s="1777"/>
      <c r="J273" s="1777"/>
      <c r="K273" s="1778"/>
      <c r="L273" s="3515" t="s">
        <v>856</v>
      </c>
      <c r="M273" s="1778"/>
      <c r="N273" s="3515">
        <f>SUMIFS(UnitsTbl[Total Units],UnitsTbl[Restricted Income Level],"&gt;35%",UnitsTbl[Restricted Income Level],"&lt;=50%")</f>
        <v>0</v>
      </c>
      <c r="O273" s="1778"/>
      <c r="Q273" s="3515" t="s">
        <v>3632</v>
      </c>
      <c r="R273" s="1778"/>
      <c r="S273" s="3528">
        <f>IFERROR(ROUNDDOWN(($N$273/$H$271),2)*1,0)</f>
        <v>0</v>
      </c>
      <c r="T273" s="1777"/>
      <c r="U273" s="1778"/>
      <c r="W273" s="3515" t="s">
        <v>3633</v>
      </c>
      <c r="X273" s="1777"/>
      <c r="Y273" s="1778"/>
      <c r="Z273" s="3528">
        <f>MIN(SUM(S273:U274),80%)</f>
        <v>0</v>
      </c>
      <c r="AA273" s="1777"/>
      <c r="AB273" s="1778"/>
      <c r="AG273" s="476"/>
      <c r="AH273" s="476"/>
      <c r="AI273" s="476"/>
      <c r="AJ273" s="476"/>
      <c r="AK273" s="476"/>
      <c r="AL273" s="476"/>
      <c r="AM273" s="1702"/>
      <c r="AN273" s="476"/>
      <c r="AO273" s="476"/>
    </row>
    <row r="274" spans="1:47" s="120" customFormat="1" ht="18" customHeight="1">
      <c r="B274" s="236"/>
      <c r="D274" s="1444">
        <v>0.02</v>
      </c>
      <c r="E274" s="3678" t="s">
        <v>3634</v>
      </c>
      <c r="F274" s="1953"/>
      <c r="G274" s="1953"/>
      <c r="H274" s="1953"/>
      <c r="I274" s="1953"/>
      <c r="J274" s="1953"/>
      <c r="K274" s="1770"/>
      <c r="L274" s="3661" t="s">
        <v>856</v>
      </c>
      <c r="M274" s="1770"/>
      <c r="N274" s="3661">
        <f>SUMIFS(UnitsTbl[Total Units],UnitsTbl[Restricted Income Level],"&lt;=35%")</f>
        <v>0</v>
      </c>
      <c r="O274" s="1770"/>
      <c r="Q274" s="3661" t="s">
        <v>3632</v>
      </c>
      <c r="R274" s="1770"/>
      <c r="S274" s="3528">
        <f>IFERROR(ROUNDDOWN($N$274/$H$271,2)*2,0)</f>
        <v>0</v>
      </c>
      <c r="T274" s="1777"/>
      <c r="U274" s="1778"/>
      <c r="W274" s="476"/>
      <c r="X274" s="476"/>
      <c r="Y274" s="476"/>
      <c r="Z274" s="476"/>
      <c r="AA274" s="476"/>
      <c r="AB274" s="476"/>
      <c r="AC274" s="476"/>
      <c r="AD274" s="476"/>
      <c r="AE274" s="476"/>
      <c r="AF274" s="476"/>
      <c r="AG274" s="476"/>
      <c r="AH274" s="476"/>
      <c r="AI274" s="476"/>
      <c r="AJ274" s="476"/>
      <c r="AK274" s="476"/>
      <c r="AL274" s="476"/>
      <c r="AM274" s="1702"/>
      <c r="AN274" s="476"/>
      <c r="AO274" s="476"/>
    </row>
    <row r="275" spans="1:47" s="120" customFormat="1" ht="18" customHeight="1">
      <c r="B275" s="236"/>
      <c r="D275" s="3112" t="s">
        <v>3635</v>
      </c>
      <c r="E275" s="1777"/>
      <c r="F275" s="1777"/>
      <c r="G275" s="1777"/>
      <c r="H275" s="1777"/>
      <c r="I275" s="1777"/>
      <c r="J275" s="1777"/>
      <c r="K275" s="1777"/>
      <c r="L275" s="1777"/>
      <c r="M275" s="1777"/>
      <c r="N275" s="1777"/>
      <c r="O275" s="1777"/>
      <c r="P275" s="1778"/>
      <c r="Q275" s="3581">
        <f>'High-Cost Verification'!$AH$8</f>
        <v>0</v>
      </c>
      <c r="R275" s="1777"/>
      <c r="S275" s="1777"/>
      <c r="T275" s="1778"/>
      <c r="U275" s="261"/>
      <c r="V275" s="261"/>
      <c r="W275" s="3112" t="s">
        <v>3636</v>
      </c>
      <c r="X275" s="1777"/>
      <c r="Y275" s="1777"/>
      <c r="Z275" s="1777"/>
      <c r="AA275" s="1777"/>
      <c r="AB275" s="1777"/>
      <c r="AC275" s="1777"/>
      <c r="AD275" s="1777"/>
      <c r="AE275" s="1777"/>
      <c r="AF275" s="1777"/>
      <c r="AG275" s="1777"/>
      <c r="AH275" s="1778"/>
      <c r="AI275" s="3581">
        <f>'High-Cost Verification'!$AH$7*$Z$273</f>
        <v>0</v>
      </c>
      <c r="AJ275" s="1777"/>
      <c r="AK275" s="1777"/>
      <c r="AL275" s="1777"/>
      <c r="AM275" s="1778"/>
    </row>
    <row r="276" spans="1:47" s="120" customFormat="1" ht="59.25" customHeight="1">
      <c r="B276" s="433"/>
      <c r="C276" s="1751"/>
      <c r="D276" s="3615" t="s">
        <v>3637</v>
      </c>
      <c r="E276" s="1877"/>
      <c r="F276" s="1877"/>
      <c r="G276" s="1877"/>
      <c r="H276" s="1877"/>
      <c r="I276" s="1877"/>
      <c r="J276" s="1877"/>
      <c r="K276" s="1877"/>
      <c r="L276" s="1877"/>
      <c r="M276" s="1877"/>
      <c r="N276" s="1877"/>
      <c r="O276" s="1877"/>
      <c r="P276" s="1877"/>
      <c r="Q276" s="1877"/>
      <c r="R276" s="1877"/>
      <c r="S276" s="1877"/>
      <c r="T276" s="1877"/>
      <c r="U276" s="1877"/>
      <c r="V276" s="1877"/>
      <c r="W276" s="1877"/>
      <c r="X276" s="1877"/>
      <c r="Y276" s="1877"/>
      <c r="Z276" s="1877"/>
      <c r="AA276" s="1877"/>
      <c r="AB276" s="1877"/>
      <c r="AC276" s="1877"/>
      <c r="AD276" s="1877"/>
      <c r="AE276" s="1877"/>
      <c r="AF276" s="1877"/>
      <c r="AG276" s="1877"/>
      <c r="AH276" s="1877"/>
      <c r="AI276" s="1877"/>
      <c r="AJ276" s="1877"/>
      <c r="AK276" s="1877"/>
      <c r="AL276" s="1911"/>
      <c r="AM276" s="1862"/>
      <c r="AO276" s="137"/>
    </row>
    <row r="277" spans="1:47" s="120" customFormat="1" ht="18" customHeight="1"/>
    <row r="278" spans="1:47" s="95" customFormat="1" ht="67.349999999999994" hidden="1" customHeight="1">
      <c r="B278" s="357"/>
      <c r="C278" s="1445"/>
      <c r="D278" s="2088" t="s">
        <v>3638</v>
      </c>
      <c r="E278" s="1953"/>
      <c r="F278" s="1953"/>
      <c r="G278" s="1953"/>
      <c r="H278" s="1953"/>
      <c r="I278" s="1953"/>
      <c r="J278" s="1953"/>
      <c r="K278" s="1953"/>
      <c r="L278" s="1953"/>
      <c r="M278" s="1953"/>
      <c r="N278" s="1953"/>
      <c r="O278" s="1953"/>
      <c r="P278" s="1953"/>
      <c r="Q278" s="1953"/>
      <c r="R278" s="1953"/>
      <c r="S278" s="1953"/>
      <c r="T278" s="1953"/>
      <c r="U278" s="1953"/>
      <c r="V278" s="1953"/>
      <c r="W278" s="1953"/>
      <c r="X278" s="1953"/>
      <c r="Y278" s="1953"/>
      <c r="Z278" s="1953"/>
      <c r="AA278" s="1953"/>
      <c r="AB278" s="1953"/>
      <c r="AC278" s="1953"/>
      <c r="AD278" s="1953"/>
      <c r="AE278" s="1953"/>
      <c r="AF278" s="3679" t="s">
        <v>3639</v>
      </c>
      <c r="AG278" s="1953"/>
      <c r="AH278" s="1953"/>
      <c r="AI278" s="1953"/>
      <c r="AJ278" s="1953"/>
      <c r="AK278" s="1953"/>
      <c r="AL278" s="1953"/>
      <c r="AM278" s="1770"/>
    </row>
    <row r="279" spans="1:47" s="120" customFormat="1" ht="48" hidden="1" customHeight="1">
      <c r="B279" s="433"/>
      <c r="C279" s="1751"/>
      <c r="D279" s="3698" t="s">
        <v>3640</v>
      </c>
      <c r="E279" s="1877"/>
      <c r="F279" s="1877"/>
      <c r="G279" s="1877"/>
      <c r="H279" s="1877"/>
      <c r="I279" s="1877"/>
      <c r="J279" s="1877"/>
      <c r="K279" s="1877"/>
      <c r="L279" s="1877"/>
      <c r="M279" s="1877"/>
      <c r="N279" s="1877"/>
      <c r="O279" s="1877"/>
      <c r="P279" s="1877"/>
      <c r="Q279" s="1877"/>
      <c r="R279" s="1877"/>
      <c r="S279" s="1877"/>
      <c r="T279" s="1877"/>
      <c r="U279" s="1877"/>
      <c r="V279" s="1877"/>
      <c r="W279" s="1877"/>
      <c r="X279" s="1877"/>
      <c r="Y279" s="1877"/>
      <c r="Z279" s="1877"/>
      <c r="AA279" s="1877"/>
      <c r="AB279" s="1877"/>
      <c r="AC279" s="1877"/>
      <c r="AD279" s="1877"/>
      <c r="AE279" s="1877"/>
      <c r="AF279" s="1877"/>
      <c r="AG279" s="1877"/>
      <c r="AH279" s="1877"/>
      <c r="AI279" s="1877"/>
      <c r="AJ279" s="1877"/>
      <c r="AK279" s="1877"/>
      <c r="AL279" s="1751"/>
      <c r="AM279" s="1481"/>
    </row>
    <row r="280" spans="1:47" ht="18" hidden="1" customHeight="1">
      <c r="A280" s="120"/>
      <c r="AU280" s="474"/>
    </row>
    <row r="281" spans="1:47" ht="18" hidden="1" customHeight="1">
      <c r="A281" s="120"/>
      <c r="B281" s="780"/>
      <c r="C281" s="1446" t="s">
        <v>3641</v>
      </c>
      <c r="D281" s="3573" t="s">
        <v>3642</v>
      </c>
      <c r="E281" s="1953"/>
      <c r="F281" s="1953"/>
      <c r="G281" s="1953"/>
      <c r="H281" s="1953"/>
      <c r="I281" s="1953"/>
      <c r="J281" s="1953"/>
      <c r="K281" s="1953"/>
      <c r="L281" s="1953"/>
      <c r="M281" s="1953"/>
      <c r="N281" s="1953"/>
      <c r="O281" s="1953"/>
      <c r="P281" s="1953"/>
      <c r="Q281" s="1953"/>
      <c r="R281" s="1953"/>
      <c r="S281" s="1953"/>
      <c r="T281" s="1953"/>
      <c r="U281" s="1953"/>
      <c r="V281" s="1953"/>
      <c r="W281" s="1953"/>
      <c r="X281" s="1953"/>
      <c r="Y281" s="1953"/>
      <c r="Z281" s="1953"/>
      <c r="AA281" s="1953"/>
      <c r="AB281" s="1953"/>
      <c r="AC281" s="1953"/>
      <c r="AD281" s="1953"/>
      <c r="AE281" s="1953"/>
      <c r="AF281" s="1953"/>
      <c r="AG281" s="1953"/>
      <c r="AH281" s="1953"/>
      <c r="AI281" s="1953"/>
      <c r="AJ281" s="3579">
        <f>SUM(AK291,AJ312,AJ316)</f>
        <v>0</v>
      </c>
      <c r="AK281" s="1953"/>
      <c r="AL281" s="1953"/>
      <c r="AM281" s="1770"/>
      <c r="AO281" s="274"/>
      <c r="AU281" s="474"/>
    </row>
    <row r="282" spans="1:47" s="120" customFormat="1" ht="18" hidden="1" customHeight="1">
      <c r="B282" s="236"/>
      <c r="D282" s="3612"/>
      <c r="E282" s="1970"/>
      <c r="F282" s="1970"/>
      <c r="G282" s="1970"/>
      <c r="H282" s="1970"/>
      <c r="I282" s="1970"/>
      <c r="J282" s="1970"/>
      <c r="K282" s="1970"/>
      <c r="L282" s="1970"/>
      <c r="M282" s="1970"/>
      <c r="N282" s="1970"/>
      <c r="O282" s="1970"/>
      <c r="P282" s="1970"/>
      <c r="Q282" s="1970"/>
      <c r="R282" s="1970"/>
      <c r="S282" s="1970"/>
      <c r="T282" s="1970"/>
      <c r="U282" s="1970"/>
      <c r="V282" s="1970"/>
      <c r="W282" s="1970"/>
      <c r="X282" s="1970"/>
      <c r="Y282" s="1970"/>
      <c r="Z282" s="1970"/>
      <c r="AA282" s="1970"/>
      <c r="AB282" s="1970"/>
      <c r="AC282" s="1970"/>
      <c r="AD282" s="1970"/>
      <c r="AE282" s="1970"/>
      <c r="AF282" s="1970"/>
      <c r="AG282" s="1970"/>
      <c r="AH282" s="1970"/>
      <c r="AI282" s="1970"/>
      <c r="AJ282" s="1970"/>
      <c r="AK282" s="1970"/>
      <c r="AM282" s="1437"/>
    </row>
    <row r="283" spans="1:47" ht="39" hidden="1" customHeight="1">
      <c r="A283" s="120"/>
      <c r="B283" s="1644"/>
      <c r="C283" s="1634"/>
      <c r="D283" s="3492" t="s">
        <v>3643</v>
      </c>
      <c r="E283" s="1910"/>
      <c r="F283" s="1910"/>
      <c r="G283" s="1910"/>
      <c r="H283" s="1910"/>
      <c r="I283" s="1910"/>
      <c r="J283" s="1910"/>
      <c r="K283" s="1910"/>
      <c r="L283" s="1910"/>
      <c r="M283" s="1910"/>
      <c r="N283" s="1910"/>
      <c r="O283" s="1910"/>
      <c r="P283" s="1910"/>
      <c r="Q283" s="1910"/>
      <c r="R283" s="1910"/>
      <c r="S283" s="1910"/>
      <c r="T283" s="1910"/>
      <c r="U283" s="1910"/>
      <c r="V283" s="1910"/>
      <c r="W283" s="1910"/>
      <c r="X283" s="1910"/>
      <c r="Y283" s="1910"/>
      <c r="Z283" s="1910"/>
      <c r="AA283" s="1910"/>
      <c r="AB283" s="1910"/>
      <c r="AC283" s="1910"/>
      <c r="AD283" s="1910"/>
      <c r="AE283" s="1910"/>
      <c r="AF283" s="1910"/>
      <c r="AG283" s="1910"/>
      <c r="AH283" s="1910"/>
      <c r="AI283" s="1910"/>
      <c r="AJ283" s="1910"/>
      <c r="AK283" s="1910"/>
      <c r="AL283" s="1910"/>
      <c r="AM283" s="1889"/>
      <c r="AN283" s="120"/>
      <c r="AO283" s="274"/>
      <c r="AU283" s="474"/>
    </row>
    <row r="284" spans="1:47" ht="18" hidden="1" customHeight="1">
      <c r="A284" s="120"/>
      <c r="B284" s="243"/>
      <c r="D284" s="570">
        <v>1</v>
      </c>
      <c r="E284" s="3492" t="s">
        <v>3644</v>
      </c>
      <c r="F284" s="1910"/>
      <c r="G284" s="1910"/>
      <c r="H284" s="1910"/>
      <c r="I284" s="1910"/>
      <c r="J284" s="1910"/>
      <c r="K284" s="1910"/>
      <c r="L284" s="1910"/>
      <c r="M284" s="1910"/>
      <c r="N284" s="1910"/>
      <c r="O284" s="1910"/>
      <c r="P284" s="1910"/>
      <c r="Q284" s="1910"/>
      <c r="R284" s="1910"/>
      <c r="S284" s="1910"/>
      <c r="T284" s="1910"/>
      <c r="U284" s="1910"/>
      <c r="V284" s="1910"/>
      <c r="W284" s="1910"/>
      <c r="X284" s="1910"/>
      <c r="Y284" s="1910"/>
      <c r="Z284" s="1910"/>
      <c r="AA284" s="1910"/>
      <c r="AB284" s="1910"/>
      <c r="AC284" s="1910"/>
      <c r="AD284" s="1910"/>
      <c r="AE284" s="1910"/>
      <c r="AF284" s="1910"/>
      <c r="AG284" s="1910"/>
      <c r="AH284" s="1910"/>
      <c r="AI284" s="1910"/>
      <c r="AJ284" s="1910"/>
      <c r="AK284" s="1910"/>
      <c r="AL284" s="1910"/>
      <c r="AM284" s="1889"/>
      <c r="AN284" s="120"/>
      <c r="AO284" s="274"/>
      <c r="AU284" s="474"/>
    </row>
    <row r="285" spans="1:47" ht="54" hidden="1" customHeight="1">
      <c r="A285" s="120"/>
      <c r="B285" s="242"/>
      <c r="E285" s="92" t="s">
        <v>3645</v>
      </c>
      <c r="F285" s="2989" t="s">
        <v>3646</v>
      </c>
      <c r="G285" s="1910"/>
      <c r="H285" s="1910"/>
      <c r="I285" s="1910"/>
      <c r="J285" s="1910"/>
      <c r="K285" s="1910"/>
      <c r="L285" s="1910"/>
      <c r="M285" s="1910"/>
      <c r="N285" s="1910"/>
      <c r="O285" s="1910"/>
      <c r="P285" s="1910"/>
      <c r="Q285" s="1910"/>
      <c r="R285" s="1910"/>
      <c r="S285" s="1910"/>
      <c r="T285" s="1910"/>
      <c r="U285" s="1910"/>
      <c r="V285" s="1910"/>
      <c r="W285" s="1910"/>
      <c r="X285" s="1910"/>
      <c r="Y285" s="1910"/>
      <c r="Z285" s="1910"/>
      <c r="AA285" s="1910"/>
      <c r="AB285" s="1910"/>
      <c r="AC285" s="1910"/>
      <c r="AD285" s="1910"/>
      <c r="AE285" s="1910"/>
      <c r="AF285" s="1910"/>
      <c r="AG285" s="1910"/>
      <c r="AH285" s="1910"/>
      <c r="AI285" s="1910"/>
      <c r="AJ285" s="1910"/>
      <c r="AK285" s="1910"/>
      <c r="AL285" s="1910"/>
      <c r="AM285" s="1889"/>
      <c r="AN285" s="120"/>
      <c r="AO285" s="274"/>
      <c r="AU285" s="474"/>
    </row>
    <row r="286" spans="1:47" ht="18" hidden="1" customHeight="1">
      <c r="A286" s="120"/>
      <c r="B286" s="242"/>
      <c r="D286" s="818"/>
      <c r="F286" s="2996" t="s">
        <v>3647</v>
      </c>
      <c r="G286" s="1910"/>
      <c r="H286" s="1910"/>
      <c r="I286" s="1910"/>
      <c r="J286" s="1910"/>
      <c r="K286" s="1910"/>
      <c r="L286" s="1910"/>
      <c r="M286" s="1910"/>
      <c r="N286" s="1910"/>
      <c r="O286" s="1910"/>
      <c r="P286" s="1910"/>
      <c r="Q286" s="1910"/>
      <c r="R286" s="1910"/>
      <c r="S286" s="1910"/>
      <c r="T286" s="1910"/>
      <c r="U286" s="1910"/>
      <c r="V286" s="1910"/>
      <c r="W286" s="1910"/>
      <c r="X286" s="1910"/>
      <c r="Y286" s="1910"/>
      <c r="Z286" s="1910"/>
      <c r="AA286" s="1910"/>
      <c r="AB286" s="1910"/>
      <c r="AC286" s="1910"/>
      <c r="AD286" s="1910"/>
      <c r="AE286" s="1910"/>
      <c r="AF286" s="1910"/>
      <c r="AG286" s="1910"/>
      <c r="AH286" s="1910"/>
      <c r="AI286" s="1910"/>
      <c r="AJ286" s="1910"/>
      <c r="AK286" s="1910"/>
      <c r="AL286" s="1910"/>
      <c r="AM286" s="1889"/>
      <c r="AN286" s="120"/>
      <c r="AO286" s="274"/>
      <c r="AU286" s="474"/>
    </row>
    <row r="287" spans="1:47" ht="36" hidden="1" customHeight="1">
      <c r="A287" s="120"/>
      <c r="B287" s="242"/>
      <c r="D287" s="818"/>
      <c r="F287" s="819" t="s">
        <v>3648</v>
      </c>
      <c r="G287" s="2989" t="s">
        <v>3649</v>
      </c>
      <c r="H287" s="1910"/>
      <c r="I287" s="1910"/>
      <c r="J287" s="1910"/>
      <c r="K287" s="1910"/>
      <c r="L287" s="1910"/>
      <c r="M287" s="1910"/>
      <c r="N287" s="1910"/>
      <c r="O287" s="1910"/>
      <c r="P287" s="1910"/>
      <c r="Q287" s="1910"/>
      <c r="R287" s="1910"/>
      <c r="S287" s="1910"/>
      <c r="T287" s="1910"/>
      <c r="U287" s="1910"/>
      <c r="V287" s="1910"/>
      <c r="W287" s="1910"/>
      <c r="X287" s="1910"/>
      <c r="Y287" s="1910"/>
      <c r="Z287" s="1910"/>
      <c r="AA287" s="1910"/>
      <c r="AB287" s="1910"/>
      <c r="AC287" s="1910"/>
      <c r="AD287" s="1910"/>
      <c r="AE287" s="1910"/>
      <c r="AF287" s="1910"/>
      <c r="AG287" s="1910"/>
      <c r="AH287" s="1910"/>
      <c r="AI287" s="1910"/>
      <c r="AJ287" s="1910"/>
      <c r="AK287" s="1910"/>
      <c r="AL287" s="1910"/>
      <c r="AM287" s="1889"/>
      <c r="AN287" s="120"/>
      <c r="AO287" s="274"/>
      <c r="AU287" s="474"/>
    </row>
    <row r="288" spans="1:47" ht="36" hidden="1" customHeight="1">
      <c r="A288" s="120"/>
      <c r="B288" s="242"/>
      <c r="D288" s="818"/>
      <c r="F288" s="819" t="s">
        <v>3648</v>
      </c>
      <c r="G288" s="2989" t="s">
        <v>3650</v>
      </c>
      <c r="H288" s="1910"/>
      <c r="I288" s="1910"/>
      <c r="J288" s="1910"/>
      <c r="K288" s="1910"/>
      <c r="L288" s="1910"/>
      <c r="M288" s="1910"/>
      <c r="N288" s="1910"/>
      <c r="O288" s="1910"/>
      <c r="P288" s="1910"/>
      <c r="Q288" s="1910"/>
      <c r="R288" s="1910"/>
      <c r="S288" s="1910"/>
      <c r="T288" s="1910"/>
      <c r="U288" s="1910"/>
      <c r="V288" s="1910"/>
      <c r="W288" s="1910"/>
      <c r="X288" s="1910"/>
      <c r="Y288" s="1910"/>
      <c r="Z288" s="1910"/>
      <c r="AA288" s="1910"/>
      <c r="AB288" s="1910"/>
      <c r="AC288" s="1910"/>
      <c r="AD288" s="1910"/>
      <c r="AE288" s="1910"/>
      <c r="AF288" s="1910"/>
      <c r="AG288" s="1910"/>
      <c r="AH288" s="1910"/>
      <c r="AI288" s="1910"/>
      <c r="AJ288" s="1910"/>
      <c r="AK288" s="1910"/>
      <c r="AL288" s="1910"/>
      <c r="AM288" s="1889"/>
      <c r="AN288" s="120"/>
      <c r="AO288" s="274"/>
      <c r="AU288" s="474"/>
    </row>
    <row r="289" spans="1:48" ht="18" hidden="1" customHeight="1">
      <c r="A289" s="120"/>
      <c r="B289" s="242"/>
      <c r="E289" s="92" t="s">
        <v>1318</v>
      </c>
      <c r="F289" s="3464" t="s">
        <v>3651</v>
      </c>
      <c r="G289" s="1910"/>
      <c r="H289" s="1910"/>
      <c r="I289" s="1910"/>
      <c r="J289" s="1910"/>
      <c r="K289" s="1910"/>
      <c r="L289" s="1910"/>
      <c r="M289" s="1910"/>
      <c r="N289" s="1910"/>
      <c r="O289" s="1910"/>
      <c r="P289" s="1910"/>
      <c r="Q289" s="1910"/>
      <c r="R289" s="1910"/>
      <c r="S289" s="1910"/>
      <c r="T289" s="1910"/>
      <c r="U289" s="1910"/>
      <c r="V289" s="1910"/>
      <c r="W289" s="1910"/>
      <c r="X289" s="1910"/>
      <c r="Y289" s="1910"/>
      <c r="Z289" s="1910"/>
      <c r="AA289" s="1910"/>
      <c r="AB289" s="1910"/>
      <c r="AC289" s="1910"/>
      <c r="AD289" s="1910"/>
      <c r="AE289" s="1910"/>
      <c r="AF289" s="1910"/>
      <c r="AG289" s="1910"/>
      <c r="AH289" s="1910"/>
      <c r="AI289" s="1910"/>
      <c r="AJ289" s="1910"/>
      <c r="AK289" s="3592">
        <f>'Unit Mix'!$CR$8</f>
        <v>0</v>
      </c>
      <c r="AL289" s="1877"/>
      <c r="AM289" s="1772"/>
      <c r="AN289" s="120"/>
      <c r="AO289" s="274"/>
      <c r="AU289" s="474"/>
    </row>
    <row r="290" spans="1:48" ht="36" hidden="1" customHeight="1">
      <c r="A290" s="120"/>
      <c r="B290" s="242"/>
      <c r="E290" s="92" t="s">
        <v>1320</v>
      </c>
      <c r="F290" s="3464" t="s">
        <v>3652</v>
      </c>
      <c r="G290" s="1910"/>
      <c r="H290" s="1910"/>
      <c r="I290" s="1910"/>
      <c r="J290" s="1910"/>
      <c r="K290" s="1910"/>
      <c r="L290" s="1910"/>
      <c r="M290" s="1910"/>
      <c r="N290" s="1910"/>
      <c r="O290" s="1910"/>
      <c r="P290" s="1910"/>
      <c r="Q290" s="1910"/>
      <c r="R290" s="1910"/>
      <c r="S290" s="1910"/>
      <c r="T290" s="1910"/>
      <c r="U290" s="1910"/>
      <c r="V290" s="1910"/>
      <c r="W290" s="1910"/>
      <c r="X290" s="1910"/>
      <c r="Y290" s="1910"/>
      <c r="Z290" s="1910"/>
      <c r="AA290" s="1910"/>
      <c r="AB290" s="1910"/>
      <c r="AC290" s="1910"/>
      <c r="AD290" s="1910"/>
      <c r="AE290" s="1910"/>
      <c r="AF290" s="1910"/>
      <c r="AG290" s="1910"/>
      <c r="AH290" s="1910"/>
      <c r="AI290" s="1910"/>
      <c r="AJ290" s="1910"/>
      <c r="AK290" s="3530">
        <f>IFERROR('Unit Mix'!$CS$8,0)</f>
        <v>0</v>
      </c>
      <c r="AL290" s="1777"/>
      <c r="AM290" s="1778"/>
      <c r="AN290" s="120"/>
      <c r="AO290" s="274"/>
      <c r="AU290" s="474"/>
    </row>
    <row r="291" spans="1:48" ht="18" hidden="1" customHeight="1">
      <c r="A291" s="120"/>
      <c r="B291" s="242"/>
      <c r="E291" s="92" t="s">
        <v>1322</v>
      </c>
      <c r="F291" s="3492" t="s">
        <v>3653</v>
      </c>
      <c r="G291" s="1910"/>
      <c r="H291" s="1910"/>
      <c r="I291" s="1910"/>
      <c r="J291" s="1910"/>
      <c r="K291" s="1910"/>
      <c r="L291" s="1910"/>
      <c r="M291" s="1910"/>
      <c r="N291" s="1910"/>
      <c r="O291" s="1910"/>
      <c r="P291" s="1910"/>
      <c r="Q291" s="1910"/>
      <c r="R291" s="1910"/>
      <c r="S291" s="1910"/>
      <c r="T291" s="1910"/>
      <c r="U291" s="1910"/>
      <c r="V291" s="1910"/>
      <c r="W291" s="1910"/>
      <c r="X291" s="1910"/>
      <c r="Y291" s="1910"/>
      <c r="Z291" s="1910"/>
      <c r="AA291" s="1910"/>
      <c r="AB291" s="1910"/>
      <c r="AC291" s="1910"/>
      <c r="AD291" s="1910"/>
      <c r="AE291" s="1910"/>
      <c r="AF291" s="1910"/>
      <c r="AG291" s="1910"/>
      <c r="AH291" s="1910"/>
      <c r="AI291" s="1910"/>
      <c r="AJ291" s="1889"/>
      <c r="AK291" s="3677">
        <f>IFERROR(IF($AK$290&gt;0,1-$AK$290,0),0)</f>
        <v>0</v>
      </c>
      <c r="AL291" s="1877"/>
      <c r="AM291" s="1772"/>
      <c r="AN291" s="359"/>
      <c r="AO291" s="274"/>
      <c r="AU291" s="474"/>
    </row>
    <row r="292" spans="1:48" ht="18" hidden="1" customHeight="1">
      <c r="A292" s="120"/>
      <c r="B292" s="1644"/>
      <c r="D292" s="570">
        <v>2</v>
      </c>
      <c r="E292" s="3577" t="s">
        <v>3654</v>
      </c>
      <c r="F292" s="1910"/>
      <c r="G292" s="1910"/>
      <c r="H292" s="1910"/>
      <c r="I292" s="1910"/>
      <c r="J292" s="1910"/>
      <c r="K292" s="1910"/>
      <c r="L292" s="1910"/>
      <c r="M292" s="1910"/>
      <c r="N292" s="1910"/>
      <c r="O292" s="1910"/>
      <c r="P292" s="1910"/>
      <c r="Q292" s="1910"/>
      <c r="R292" s="1910"/>
      <c r="S292" s="1910"/>
      <c r="T292" s="1910"/>
      <c r="U292" s="1910"/>
      <c r="V292" s="1910"/>
      <c r="W292" s="1910"/>
      <c r="X292" s="1910"/>
      <c r="Y292" s="1910"/>
      <c r="Z292" s="1910"/>
      <c r="AA292" s="1910"/>
      <c r="AB292" s="1910"/>
      <c r="AC292" s="1910"/>
      <c r="AD292" s="1910"/>
      <c r="AE292" s="1910"/>
      <c r="AF292" s="1910"/>
      <c r="AG292" s="1910"/>
      <c r="AH292" s="1910"/>
      <c r="AI292" s="1910"/>
      <c r="AJ292" s="1910"/>
      <c r="AK292" s="1910"/>
      <c r="AL292" s="1910"/>
      <c r="AM292" s="1889"/>
      <c r="AN292" s="120"/>
      <c r="AO292" s="274"/>
      <c r="AU292" s="474"/>
    </row>
    <row r="293" spans="1:48" ht="36" hidden="1" customHeight="1">
      <c r="A293" s="120"/>
      <c r="B293" s="1630"/>
      <c r="E293" s="92" t="s">
        <v>1312</v>
      </c>
      <c r="F293" s="1802" t="s">
        <v>3655</v>
      </c>
      <c r="G293" s="1910"/>
      <c r="H293" s="1910"/>
      <c r="I293" s="1910"/>
      <c r="J293" s="1910"/>
      <c r="K293" s="1910"/>
      <c r="L293" s="1910"/>
      <c r="M293" s="1910"/>
      <c r="N293" s="1910"/>
      <c r="O293" s="1910"/>
      <c r="P293" s="1910"/>
      <c r="Q293" s="1910"/>
      <c r="R293" s="1910"/>
      <c r="S293" s="1910"/>
      <c r="T293" s="1910"/>
      <c r="U293" s="1910"/>
      <c r="V293" s="1910"/>
      <c r="W293" s="1910"/>
      <c r="X293" s="1910"/>
      <c r="Y293" s="1910"/>
      <c r="Z293" s="1910"/>
      <c r="AA293" s="1910"/>
      <c r="AB293" s="1910"/>
      <c r="AC293" s="1910"/>
      <c r="AD293" s="1910"/>
      <c r="AE293" s="1910"/>
      <c r="AF293" s="1910"/>
      <c r="AG293" s="1910"/>
      <c r="AH293" s="1910"/>
      <c r="AI293" s="1910"/>
      <c r="AJ293" s="2453">
        <f>SUM('Development Sources'!I34:I36)+SUM('Development Sources'!I43:I61)</f>
        <v>0</v>
      </c>
      <c r="AK293" s="1777"/>
      <c r="AL293" s="1777"/>
      <c r="AM293" s="1778"/>
      <c r="AO293" s="58"/>
      <c r="AR293" s="476"/>
      <c r="AV293" s="474"/>
    </row>
    <row r="294" spans="1:48" s="120" customFormat="1" ht="36" hidden="1" customHeight="1">
      <c r="B294" s="236"/>
      <c r="F294" s="819" t="s">
        <v>3648</v>
      </c>
      <c r="G294" s="3464" t="s">
        <v>3656</v>
      </c>
      <c r="H294" s="1970"/>
      <c r="I294" s="1970"/>
      <c r="J294" s="1970"/>
      <c r="K294" s="1970"/>
      <c r="L294" s="1970"/>
      <c r="M294" s="1970"/>
      <c r="N294" s="1970"/>
      <c r="O294" s="1970"/>
      <c r="P294" s="1970"/>
      <c r="Q294" s="1970"/>
      <c r="R294" s="1970"/>
      <c r="S294" s="1970"/>
      <c r="T294" s="1970"/>
      <c r="U294" s="1970"/>
      <c r="V294" s="1970"/>
      <c r="W294" s="1970"/>
      <c r="X294" s="1970"/>
      <c r="Y294" s="1970"/>
      <c r="Z294" s="1970"/>
      <c r="AA294" s="1970"/>
      <c r="AB294" s="1970"/>
      <c r="AC294" s="1970"/>
      <c r="AD294" s="1970"/>
      <c r="AE294" s="1970"/>
      <c r="AF294" s="1970"/>
      <c r="AG294" s="1970"/>
      <c r="AH294" s="1970"/>
      <c r="AI294" s="1970"/>
      <c r="AJ294" s="1970"/>
      <c r="AK294" s="1970"/>
      <c r="AM294" s="1437"/>
    </row>
    <row r="295" spans="1:48" ht="36" hidden="1" customHeight="1">
      <c r="A295" s="120"/>
      <c r="B295" s="1630"/>
      <c r="E295" s="92" t="s">
        <v>1318</v>
      </c>
      <c r="F295" s="2989" t="s">
        <v>3657</v>
      </c>
      <c r="G295" s="1910"/>
      <c r="H295" s="1910"/>
      <c r="I295" s="1910"/>
      <c r="J295" s="1910"/>
      <c r="K295" s="1910"/>
      <c r="L295" s="1910"/>
      <c r="M295" s="1910"/>
      <c r="N295" s="1910"/>
      <c r="O295" s="1910"/>
      <c r="P295" s="1910"/>
      <c r="Q295" s="1910"/>
      <c r="R295" s="1910"/>
      <c r="S295" s="1910"/>
      <c r="T295" s="1910"/>
      <c r="U295" s="1910"/>
      <c r="V295" s="1910"/>
      <c r="W295" s="1910"/>
      <c r="X295" s="1910"/>
      <c r="Y295" s="1910"/>
      <c r="Z295" s="1910"/>
      <c r="AA295" s="1910"/>
      <c r="AB295" s="1910"/>
      <c r="AC295" s="1910"/>
      <c r="AD295" s="1910"/>
      <c r="AE295" s="1910"/>
      <c r="AF295" s="1910"/>
      <c r="AG295" s="1910"/>
      <c r="AH295" s="1910"/>
      <c r="AI295" s="1910"/>
      <c r="AJ295" s="1910"/>
      <c r="AK295" s="1910"/>
      <c r="AL295" s="1910"/>
      <c r="AM295" s="1889"/>
      <c r="AN295" s="120"/>
    </row>
    <row r="296" spans="1:48" s="120" customFormat="1" ht="63" hidden="1" customHeight="1">
      <c r="B296" s="236"/>
      <c r="F296" s="1969" t="s">
        <v>3658</v>
      </c>
      <c r="G296" s="1970"/>
      <c r="H296" s="1970"/>
      <c r="I296" s="1970"/>
      <c r="J296" s="1970"/>
      <c r="K296" s="1970"/>
      <c r="L296" s="1970"/>
      <c r="M296" s="1970"/>
      <c r="N296" s="1970"/>
      <c r="O296" s="1970"/>
      <c r="P296" s="1970"/>
      <c r="Q296" s="1970"/>
      <c r="R296" s="1970"/>
      <c r="S296" s="1970"/>
      <c r="T296" s="1970"/>
      <c r="U296" s="1970"/>
      <c r="V296" s="1970"/>
      <c r="W296" s="1970"/>
      <c r="X296" s="1970"/>
      <c r="Y296" s="1970"/>
      <c r="Z296" s="1970"/>
      <c r="AA296" s="1970"/>
      <c r="AB296" s="1970"/>
      <c r="AC296" s="1970"/>
      <c r="AD296" s="1970"/>
      <c r="AE296" s="1970"/>
      <c r="AF296" s="1970"/>
      <c r="AG296" s="1970"/>
      <c r="AH296" s="1970"/>
      <c r="AI296" s="1970"/>
      <c r="AJ296" s="1970"/>
      <c r="AK296" s="1970"/>
      <c r="AM296" s="1481"/>
    </row>
    <row r="297" spans="1:48" ht="54" hidden="1" customHeight="1">
      <c r="A297" s="120"/>
      <c r="B297" s="1630"/>
      <c r="C297" s="1740"/>
      <c r="F297" s="2989" t="s">
        <v>3659</v>
      </c>
      <c r="G297" s="1910"/>
      <c r="H297" s="1910"/>
      <c r="I297" s="1910"/>
      <c r="J297" s="1910"/>
      <c r="K297" s="1910"/>
      <c r="L297" s="1910"/>
      <c r="M297" s="1910"/>
      <c r="N297" s="1910"/>
      <c r="O297" s="1910"/>
      <c r="P297" s="1910"/>
      <c r="Q297" s="1910"/>
      <c r="R297" s="1910"/>
      <c r="S297" s="1910"/>
      <c r="T297" s="1910"/>
      <c r="U297" s="1910"/>
      <c r="V297" s="1910"/>
      <c r="W297" s="1910"/>
      <c r="X297" s="1910"/>
      <c r="Y297" s="1910"/>
      <c r="Z297" s="1910"/>
      <c r="AA297" s="1910"/>
      <c r="AB297" s="1910"/>
      <c r="AC297" s="1910"/>
      <c r="AD297" s="1910"/>
      <c r="AE297" s="1910"/>
      <c r="AF297" s="1910"/>
      <c r="AG297" s="1910"/>
      <c r="AH297" s="1910"/>
      <c r="AI297" s="1910"/>
      <c r="AJ297" s="1910"/>
      <c r="AK297" s="1889"/>
      <c r="AL297" s="1911"/>
      <c r="AM297" s="1862"/>
      <c r="AN297" s="120"/>
    </row>
    <row r="298" spans="1:48" s="120" customFormat="1" ht="20.25" hidden="1" customHeight="1">
      <c r="B298" s="236"/>
      <c r="F298" s="3452" t="s">
        <v>3660</v>
      </c>
      <c r="G298" s="1970"/>
      <c r="H298" s="1970"/>
      <c r="I298" s="1970"/>
      <c r="J298" s="1970"/>
      <c r="K298" s="1970"/>
      <c r="L298" s="1970"/>
      <c r="M298" s="1970"/>
      <c r="N298" s="1970"/>
      <c r="O298" s="1970"/>
      <c r="P298" s="1970"/>
      <c r="Q298" s="1970"/>
      <c r="R298" s="1970"/>
      <c r="S298" s="1970"/>
      <c r="T298" s="1970"/>
      <c r="U298" s="1970"/>
      <c r="V298" s="1970"/>
      <c r="W298" s="1970"/>
      <c r="X298" s="1970"/>
      <c r="Y298" s="1970"/>
      <c r="Z298" s="1970"/>
      <c r="AA298" s="1970"/>
      <c r="AB298" s="1970"/>
      <c r="AC298" s="1970"/>
      <c r="AD298" s="1970"/>
      <c r="AE298" s="1970"/>
      <c r="AF298" s="1970"/>
      <c r="AG298" s="1970"/>
      <c r="AH298" s="1970"/>
      <c r="AI298" s="1970"/>
      <c r="AJ298" s="1970"/>
      <c r="AK298" s="1970"/>
      <c r="AL298" s="2339"/>
      <c r="AM298" s="1865"/>
    </row>
    <row r="299" spans="1:48" s="120" customFormat="1" ht="20.25" hidden="1" customHeight="1">
      <c r="B299" s="236"/>
      <c r="F299" s="3452" t="s">
        <v>3661</v>
      </c>
      <c r="G299" s="1970"/>
      <c r="H299" s="1970"/>
      <c r="I299" s="1970"/>
      <c r="J299" s="1970"/>
      <c r="K299" s="1970"/>
      <c r="L299" s="1970"/>
      <c r="M299" s="1970"/>
      <c r="N299" s="1970"/>
      <c r="O299" s="1970"/>
      <c r="P299" s="1970"/>
      <c r="Q299" s="1970"/>
      <c r="R299" s="1970"/>
      <c r="S299" s="1970"/>
      <c r="T299" s="1970"/>
      <c r="U299" s="1970"/>
      <c r="V299" s="1970"/>
      <c r="W299" s="1970"/>
      <c r="X299" s="1970"/>
      <c r="Y299" s="1970"/>
      <c r="Z299" s="1970"/>
      <c r="AA299" s="1970"/>
      <c r="AB299" s="1970"/>
      <c r="AC299" s="1970"/>
      <c r="AD299" s="1970"/>
      <c r="AE299" s="1970"/>
      <c r="AF299" s="1970"/>
      <c r="AG299" s="1970"/>
      <c r="AH299" s="1970"/>
      <c r="AI299" s="1970"/>
      <c r="AJ299" s="3575"/>
      <c r="AK299" s="1861"/>
      <c r="AL299" s="1861"/>
      <c r="AM299" s="1862"/>
    </row>
    <row r="300" spans="1:48" s="120" customFormat="1" ht="18" hidden="1" customHeight="1">
      <c r="B300" s="236"/>
      <c r="E300" s="92" t="s">
        <v>1320</v>
      </c>
      <c r="F300" s="3464" t="s">
        <v>3662</v>
      </c>
      <c r="G300" s="1970"/>
      <c r="H300" s="1970"/>
      <c r="I300" s="1970"/>
      <c r="J300" s="1970"/>
      <c r="K300" s="1970"/>
      <c r="L300" s="1970"/>
      <c r="M300" s="1970"/>
      <c r="N300" s="1970"/>
      <c r="O300" s="1970"/>
      <c r="P300" s="1970"/>
      <c r="Q300" s="1970"/>
      <c r="R300" s="1970"/>
      <c r="S300" s="1970"/>
      <c r="T300" s="1970"/>
      <c r="U300" s="1970"/>
      <c r="V300" s="1970"/>
      <c r="W300" s="1970"/>
      <c r="X300" s="1970"/>
      <c r="Y300" s="1970"/>
      <c r="Z300" s="1970"/>
      <c r="AA300" s="1970"/>
      <c r="AB300" s="1970"/>
      <c r="AC300" s="1970"/>
      <c r="AD300" s="1970"/>
      <c r="AE300" s="1970"/>
      <c r="AF300" s="1970"/>
      <c r="AG300" s="1970"/>
      <c r="AH300" s="1970"/>
      <c r="AI300" s="1970"/>
      <c r="AJ300" s="2453">
        <f>'Project Overview'!$T$209</f>
        <v>0</v>
      </c>
      <c r="AK300" s="1777"/>
      <c r="AL300" s="1777"/>
      <c r="AM300" s="1778"/>
    </row>
    <row r="301" spans="1:48" s="120" customFormat="1" ht="18" hidden="1" customHeight="1">
      <c r="B301" s="236"/>
      <c r="F301" s="3452" t="s">
        <v>3663</v>
      </c>
      <c r="G301" s="1970"/>
      <c r="H301" s="1970"/>
      <c r="I301" s="1970"/>
      <c r="J301" s="1970"/>
      <c r="K301" s="1970"/>
      <c r="L301" s="1970"/>
      <c r="M301" s="1970"/>
      <c r="N301" s="1970"/>
      <c r="O301" s="1970"/>
      <c r="P301" s="1970"/>
      <c r="Q301" s="1970"/>
      <c r="R301" s="1970"/>
      <c r="S301" s="1970"/>
      <c r="T301" s="1970"/>
      <c r="U301" s="1970"/>
      <c r="V301" s="1970"/>
      <c r="W301" s="1970"/>
      <c r="X301" s="1970"/>
      <c r="Y301" s="1970"/>
      <c r="Z301" s="1970"/>
      <c r="AA301" s="1970"/>
      <c r="AB301" s="1970"/>
      <c r="AC301" s="1970"/>
      <c r="AD301" s="1970"/>
      <c r="AE301" s="1970"/>
      <c r="AF301" s="1970"/>
      <c r="AG301" s="1970"/>
      <c r="AH301" s="1970"/>
      <c r="AI301" s="1970"/>
      <c r="AM301" s="1437"/>
    </row>
    <row r="302" spans="1:48" s="120" customFormat="1" ht="18" hidden="1" customHeight="1">
      <c r="B302" s="236"/>
      <c r="E302" s="92" t="s">
        <v>1322</v>
      </c>
      <c r="F302" s="3492" t="s">
        <v>3664</v>
      </c>
      <c r="G302" s="1970"/>
      <c r="H302" s="1970"/>
      <c r="I302" s="1970"/>
      <c r="J302" s="1970"/>
      <c r="K302" s="1970"/>
      <c r="L302" s="1970"/>
      <c r="M302" s="1970"/>
      <c r="N302" s="1970"/>
      <c r="O302" s="1970"/>
      <c r="P302" s="1970"/>
      <c r="Q302" s="1970"/>
      <c r="R302" s="1970"/>
      <c r="S302" s="1970"/>
      <c r="T302" s="1970"/>
      <c r="U302" s="1970"/>
      <c r="V302" s="1970"/>
      <c r="W302" s="1970"/>
      <c r="X302" s="1970"/>
      <c r="Y302" s="1970"/>
      <c r="Z302" s="1970"/>
      <c r="AA302" s="1970"/>
      <c r="AB302" s="1970"/>
      <c r="AC302" s="1970"/>
      <c r="AD302" s="1970"/>
      <c r="AE302" s="1970"/>
      <c r="AF302" s="1970"/>
      <c r="AG302" s="1970"/>
      <c r="AH302" s="1970"/>
      <c r="AI302" s="1970"/>
      <c r="AJ302" s="1970"/>
      <c r="AK302" s="1970"/>
      <c r="AL302" s="1970"/>
      <c r="AM302" s="1889"/>
    </row>
    <row r="303" spans="1:48" s="120" customFormat="1" ht="18" hidden="1" customHeight="1">
      <c r="B303" s="236"/>
      <c r="F303" s="820" t="s">
        <v>3648</v>
      </c>
      <c r="G303" s="1802" t="s">
        <v>3665</v>
      </c>
      <c r="H303" s="1970"/>
      <c r="I303" s="1970"/>
      <c r="J303" s="1970"/>
      <c r="K303" s="1970"/>
      <c r="L303" s="1970"/>
      <c r="M303" s="1970"/>
      <c r="N303" s="1970"/>
      <c r="O303" s="1970"/>
      <c r="P303" s="1970"/>
      <c r="Q303" s="1970"/>
      <c r="R303" s="1970"/>
      <c r="S303" s="1970"/>
      <c r="T303" s="1970"/>
      <c r="U303" s="1970"/>
      <c r="V303" s="1970"/>
      <c r="W303" s="1970"/>
      <c r="X303" s="1970"/>
      <c r="Y303" s="1970"/>
      <c r="Z303" s="1970"/>
      <c r="AA303" s="1970"/>
      <c r="AB303" s="1970"/>
      <c r="AC303" s="1970"/>
      <c r="AD303" s="1970"/>
      <c r="AE303" s="1970"/>
      <c r="AF303" s="1970"/>
      <c r="AG303" s="1970"/>
      <c r="AH303" s="1970"/>
      <c r="AI303" s="1970"/>
      <c r="AJ303" s="1970"/>
      <c r="AK303" s="1970"/>
      <c r="AM303" s="1437"/>
    </row>
    <row r="304" spans="1:48" s="120" customFormat="1" ht="18" hidden="1" customHeight="1">
      <c r="B304" s="236"/>
      <c r="F304" s="819"/>
      <c r="G304" s="1802" t="s">
        <v>3666</v>
      </c>
      <c r="H304" s="1970"/>
      <c r="I304" s="1970"/>
      <c r="J304" s="1970"/>
      <c r="K304" s="1970"/>
      <c r="L304" s="1970"/>
      <c r="M304" s="1970"/>
      <c r="N304" s="1970"/>
      <c r="O304" s="1970"/>
      <c r="P304" s="1970"/>
      <c r="Q304" s="1970"/>
      <c r="R304" s="1970"/>
      <c r="S304" s="1970"/>
      <c r="T304" s="1970"/>
      <c r="U304" s="1970"/>
      <c r="V304" s="1970"/>
      <c r="W304" s="1970"/>
      <c r="X304" s="1970"/>
      <c r="Y304" s="1970"/>
      <c r="Z304" s="1970"/>
      <c r="AA304" s="1970"/>
      <c r="AB304" s="1970"/>
      <c r="AC304" s="1970"/>
      <c r="AD304" s="1970"/>
      <c r="AE304" s="1970"/>
      <c r="AF304" s="1970"/>
      <c r="AG304" s="1970"/>
      <c r="AH304" s="1970"/>
      <c r="AI304" s="1970"/>
      <c r="AJ304" s="1970"/>
      <c r="AK304" s="1970"/>
      <c r="AL304" s="1911"/>
      <c r="AM304" s="1862"/>
    </row>
    <row r="305" spans="1:46" s="120" customFormat="1" ht="18" hidden="1" customHeight="1">
      <c r="A305" s="137"/>
      <c r="B305" s="236"/>
      <c r="F305" s="820" t="s">
        <v>3648</v>
      </c>
      <c r="G305" s="1802" t="s">
        <v>3667</v>
      </c>
      <c r="H305" s="1970"/>
      <c r="I305" s="1970"/>
      <c r="J305" s="1970"/>
      <c r="K305" s="1970"/>
      <c r="L305" s="1970"/>
      <c r="M305" s="1970"/>
      <c r="N305" s="1970"/>
      <c r="O305" s="1970"/>
      <c r="P305" s="1970"/>
      <c r="Q305" s="1970"/>
      <c r="R305" s="1970"/>
      <c r="S305" s="1970"/>
      <c r="T305" s="1970"/>
      <c r="U305" s="1970"/>
      <c r="V305" s="1970"/>
      <c r="W305" s="1970"/>
      <c r="X305" s="1970"/>
      <c r="Y305" s="1970"/>
      <c r="Z305" s="1970"/>
      <c r="AA305" s="1970"/>
      <c r="AB305" s="1970"/>
      <c r="AC305" s="1970"/>
      <c r="AD305" s="1970"/>
      <c r="AE305" s="1970"/>
      <c r="AF305" s="1970"/>
      <c r="AG305" s="1970"/>
      <c r="AH305" s="1970"/>
      <c r="AI305" s="1970"/>
      <c r="AJ305" s="1970"/>
      <c r="AK305" s="1970"/>
      <c r="AM305" s="1437"/>
    </row>
    <row r="306" spans="1:46" s="120" customFormat="1" ht="18" hidden="1" customHeight="1">
      <c r="A306" s="137"/>
      <c r="B306" s="236"/>
      <c r="F306" s="819"/>
      <c r="G306" s="1802" t="s">
        <v>3668</v>
      </c>
      <c r="H306" s="1970"/>
      <c r="I306" s="1970"/>
      <c r="J306" s="1970"/>
      <c r="K306" s="1970"/>
      <c r="L306" s="1970"/>
      <c r="M306" s="1970"/>
      <c r="N306" s="1970"/>
      <c r="O306" s="1970"/>
      <c r="P306" s="1970"/>
      <c r="Q306" s="1970"/>
      <c r="R306" s="1970"/>
      <c r="S306" s="1970"/>
      <c r="T306" s="1970"/>
      <c r="U306" s="1970"/>
      <c r="V306" s="1970"/>
      <c r="W306" s="1970"/>
      <c r="X306" s="1970"/>
      <c r="Y306" s="1970"/>
      <c r="Z306" s="1970"/>
      <c r="AA306" s="1970"/>
      <c r="AB306" s="1970"/>
      <c r="AC306" s="1970"/>
      <c r="AD306" s="1970"/>
      <c r="AE306" s="1970"/>
      <c r="AF306" s="1970"/>
      <c r="AG306" s="1970"/>
      <c r="AH306" s="1970"/>
      <c r="AI306" s="1970"/>
      <c r="AJ306" s="1970"/>
      <c r="AK306" s="1970"/>
      <c r="AL306" s="2339"/>
      <c r="AM306" s="1865"/>
    </row>
    <row r="307" spans="1:46" s="120" customFormat="1" ht="18" hidden="1" customHeight="1">
      <c r="A307" s="137"/>
      <c r="B307" s="236"/>
      <c r="F307" s="819"/>
      <c r="G307" s="2989" t="s">
        <v>3669</v>
      </c>
      <c r="H307" s="1970"/>
      <c r="I307" s="1970"/>
      <c r="J307" s="1970"/>
      <c r="K307" s="1970"/>
      <c r="L307" s="1970"/>
      <c r="M307" s="1970"/>
      <c r="N307" s="1970"/>
      <c r="O307" s="1970"/>
      <c r="P307" s="1970"/>
      <c r="Q307" s="1970"/>
      <c r="R307" s="1970"/>
      <c r="S307" s="1970"/>
      <c r="T307" s="1970"/>
      <c r="U307" s="1970"/>
      <c r="V307" s="1970"/>
      <c r="W307" s="1970"/>
      <c r="X307" s="1970"/>
      <c r="Y307" s="1970"/>
      <c r="Z307" s="1970"/>
      <c r="AA307" s="1970"/>
      <c r="AB307" s="1970"/>
      <c r="AC307" s="1970"/>
      <c r="AD307" s="1970"/>
      <c r="AE307" s="1970"/>
      <c r="AF307" s="1970"/>
      <c r="AG307" s="1970"/>
      <c r="AH307" s="1970"/>
      <c r="AI307" s="1889"/>
      <c r="AJ307" s="3582"/>
      <c r="AK307" s="1861"/>
      <c r="AL307" s="1861"/>
      <c r="AM307" s="1862"/>
    </row>
    <row r="308" spans="1:46" s="120" customFormat="1" ht="18" hidden="1" customHeight="1">
      <c r="A308" s="137"/>
      <c r="B308" s="236"/>
      <c r="F308" s="820" t="s">
        <v>3648</v>
      </c>
      <c r="G308" s="1802" t="s">
        <v>3670</v>
      </c>
      <c r="H308" s="1970"/>
      <c r="I308" s="1970"/>
      <c r="J308" s="1970"/>
      <c r="K308" s="1970"/>
      <c r="L308" s="1970"/>
      <c r="M308" s="1970"/>
      <c r="N308" s="1970"/>
      <c r="O308" s="1970"/>
      <c r="P308" s="1970"/>
      <c r="Q308" s="1970"/>
      <c r="R308" s="1970"/>
      <c r="S308" s="1970"/>
      <c r="T308" s="1970"/>
      <c r="U308" s="1970"/>
      <c r="V308" s="1970"/>
      <c r="W308" s="1970"/>
      <c r="X308" s="1970"/>
      <c r="Y308" s="1970"/>
      <c r="Z308" s="1970"/>
      <c r="AA308" s="1970"/>
      <c r="AB308" s="1970"/>
      <c r="AC308" s="1970"/>
      <c r="AD308" s="1970"/>
      <c r="AE308" s="1970"/>
      <c r="AF308" s="1970"/>
      <c r="AG308" s="1970"/>
      <c r="AH308" s="1970"/>
      <c r="AI308" s="1970"/>
      <c r="AJ308" s="382"/>
      <c r="AK308" s="382"/>
      <c r="AM308" s="1437"/>
    </row>
    <row r="309" spans="1:46" s="120" customFormat="1" ht="18" hidden="1" customHeight="1">
      <c r="A309" s="137"/>
      <c r="B309" s="236"/>
      <c r="G309" s="3452" t="s">
        <v>3671</v>
      </c>
      <c r="H309" s="1970"/>
      <c r="I309" s="1970"/>
      <c r="J309" s="1970"/>
      <c r="K309" s="1970"/>
      <c r="L309" s="1970"/>
      <c r="M309" s="1970"/>
      <c r="N309" s="1970"/>
      <c r="O309" s="1970"/>
      <c r="P309" s="1970"/>
      <c r="Q309" s="1970"/>
      <c r="R309" s="1970"/>
      <c r="S309" s="1970"/>
      <c r="T309" s="1970"/>
      <c r="U309" s="1970"/>
      <c r="V309" s="1970"/>
      <c r="W309" s="1970"/>
      <c r="X309" s="1970"/>
      <c r="Y309" s="1970"/>
      <c r="Z309" s="1970"/>
      <c r="AA309" s="1970"/>
      <c r="AB309" s="1970"/>
      <c r="AC309" s="1970"/>
      <c r="AD309" s="1970"/>
      <c r="AE309" s="1970"/>
      <c r="AF309" s="1970"/>
      <c r="AG309" s="1970"/>
      <c r="AH309" s="1970"/>
      <c r="AI309" s="1970"/>
      <c r="AJ309" s="3582"/>
      <c r="AK309" s="1861"/>
      <c r="AL309" s="1861"/>
      <c r="AM309" s="1862"/>
    </row>
    <row r="310" spans="1:46" s="120" customFormat="1" ht="18" hidden="1" customHeight="1">
      <c r="B310" s="236"/>
      <c r="AA310" s="3584" t="s">
        <v>3672</v>
      </c>
      <c r="AB310" s="1777"/>
      <c r="AC310" s="1777"/>
      <c r="AD310" s="1777"/>
      <c r="AE310" s="1777"/>
      <c r="AF310" s="1777"/>
      <c r="AG310" s="1777"/>
      <c r="AH310" s="1777"/>
      <c r="AI310" s="1778"/>
      <c r="AJ310" s="3593">
        <f>AJ309/2</f>
        <v>0</v>
      </c>
      <c r="AK310" s="1777"/>
      <c r="AL310" s="1777"/>
      <c r="AM310" s="1778"/>
    </row>
    <row r="311" spans="1:46" ht="18" hidden="1" customHeight="1">
      <c r="A311" s="120"/>
      <c r="B311" s="1630"/>
      <c r="E311" s="92" t="s">
        <v>1325</v>
      </c>
      <c r="F311" s="2996" t="s">
        <v>3673</v>
      </c>
      <c r="G311" s="1910"/>
      <c r="H311" s="1910"/>
      <c r="I311" s="1910"/>
      <c r="J311" s="1910"/>
      <c r="K311" s="1910"/>
      <c r="L311" s="1910"/>
      <c r="M311" s="1910"/>
      <c r="N311" s="1910"/>
      <c r="O311" s="1910"/>
      <c r="P311" s="1910"/>
      <c r="Q311" s="1910"/>
      <c r="R311" s="1910"/>
      <c r="S311" s="1910"/>
      <c r="T311" s="1910"/>
      <c r="U311" s="1910"/>
      <c r="V311" s="1910"/>
      <c r="W311" s="1910"/>
      <c r="X311" s="1910"/>
      <c r="Y311" s="1910"/>
      <c r="Z311" s="1910"/>
      <c r="AA311" s="1910"/>
      <c r="AB311" s="1910"/>
      <c r="AC311" s="1910"/>
      <c r="AD311" s="1910"/>
      <c r="AE311" s="1910"/>
      <c r="AF311" s="1910"/>
      <c r="AG311" s="1910"/>
      <c r="AH311" s="1910"/>
      <c r="AI311" s="1889"/>
      <c r="AJ311" s="3572">
        <f>SUM(AJ293-AJ299-AJ300-AJ310)</f>
        <v>0</v>
      </c>
      <c r="AK311" s="1777"/>
      <c r="AL311" s="1777"/>
      <c r="AM311" s="1778"/>
      <c r="AN311" s="120"/>
    </row>
    <row r="312" spans="1:46" ht="18" hidden="1" customHeight="1">
      <c r="A312" s="120"/>
      <c r="B312" s="1630"/>
      <c r="E312" s="92" t="s">
        <v>2641</v>
      </c>
      <c r="F312" s="2996" t="s">
        <v>3674</v>
      </c>
      <c r="G312" s="1910"/>
      <c r="H312" s="1910"/>
      <c r="I312" s="1910"/>
      <c r="J312" s="1910"/>
      <c r="K312" s="1910"/>
      <c r="L312" s="1910"/>
      <c r="M312" s="1910"/>
      <c r="N312" s="1910"/>
      <c r="O312" s="1910"/>
      <c r="P312" s="1910"/>
      <c r="Q312" s="1910"/>
      <c r="R312" s="1910"/>
      <c r="S312" s="1910"/>
      <c r="T312" s="1910"/>
      <c r="U312" s="1910"/>
      <c r="V312" s="1910"/>
      <c r="W312" s="1910"/>
      <c r="X312" s="1910"/>
      <c r="Y312" s="1910"/>
      <c r="Z312" s="1910"/>
      <c r="AA312" s="1910"/>
      <c r="AB312" s="1910"/>
      <c r="AC312" s="1910"/>
      <c r="AD312" s="1910"/>
      <c r="AE312" s="1910"/>
      <c r="AF312" s="1910"/>
      <c r="AG312" s="1910"/>
      <c r="AH312" s="1910"/>
      <c r="AI312" s="1889"/>
      <c r="AJ312" s="3570">
        <f>IFERROR($AJ$311/$AJ$313,0)</f>
        <v>0</v>
      </c>
      <c r="AK312" s="1777"/>
      <c r="AL312" s="1777"/>
      <c r="AM312" s="1778"/>
      <c r="AN312" s="120"/>
    </row>
    <row r="313" spans="1:46" ht="18" hidden="1" customHeight="1">
      <c r="A313" s="120"/>
      <c r="B313" s="1630"/>
      <c r="C313" s="818"/>
      <c r="E313" s="3583" t="s">
        <v>1119</v>
      </c>
      <c r="F313" s="1910"/>
      <c r="G313" s="1910"/>
      <c r="H313" s="1910"/>
      <c r="I313" s="1910"/>
      <c r="J313" s="1910"/>
      <c r="K313" s="1910"/>
      <c r="L313" s="1910"/>
      <c r="M313" s="1910"/>
      <c r="N313" s="1910"/>
      <c r="O313" s="1910"/>
      <c r="P313" s="1910"/>
      <c r="Q313" s="1910"/>
      <c r="R313" s="1910"/>
      <c r="S313" s="1910"/>
      <c r="T313" s="1910"/>
      <c r="U313" s="1910"/>
      <c r="V313" s="1910"/>
      <c r="W313" s="1910"/>
      <c r="X313" s="1910"/>
      <c r="Y313" s="1910"/>
      <c r="Z313" s="1910"/>
      <c r="AA313" s="1910"/>
      <c r="AB313" s="1910"/>
      <c r="AC313" s="1910"/>
      <c r="AD313" s="1910"/>
      <c r="AE313" s="1910"/>
      <c r="AF313" s="1910"/>
      <c r="AG313" s="1910"/>
      <c r="AH313" s="1910"/>
      <c r="AI313" s="1889"/>
      <c r="AJ313" s="3572">
        <f>SUM('Development Budget'!$D$3:$E$3)-$AJ$299</f>
        <v>0</v>
      </c>
      <c r="AK313" s="1777"/>
      <c r="AL313" s="1777"/>
      <c r="AM313" s="1778"/>
      <c r="AN313" s="55"/>
      <c r="AQ313" s="55"/>
    </row>
    <row r="314" spans="1:46" ht="18" hidden="1" customHeight="1">
      <c r="A314" s="120"/>
      <c r="B314" s="1644"/>
      <c r="D314" s="570">
        <v>3</v>
      </c>
      <c r="E314" s="2989" t="s">
        <v>3675</v>
      </c>
      <c r="F314" s="1910"/>
      <c r="G314" s="1910"/>
      <c r="H314" s="1910"/>
      <c r="I314" s="1910"/>
      <c r="J314" s="1910"/>
      <c r="K314" s="1910"/>
      <c r="L314" s="1910"/>
      <c r="M314" s="1910"/>
      <c r="N314" s="1910"/>
      <c r="O314" s="1910"/>
      <c r="P314" s="1910"/>
      <c r="Q314" s="1910"/>
      <c r="R314" s="1910"/>
      <c r="S314" s="1910"/>
      <c r="T314" s="1910"/>
      <c r="U314" s="1910"/>
      <c r="V314" s="1910"/>
      <c r="W314" s="1910"/>
      <c r="X314" s="1910"/>
      <c r="Y314" s="1910"/>
      <c r="Z314" s="1910"/>
      <c r="AA314" s="1910"/>
      <c r="AB314" s="1910"/>
      <c r="AC314" s="1910"/>
      <c r="AD314" s="1910"/>
      <c r="AE314" s="1910"/>
      <c r="AF314" s="1910"/>
      <c r="AG314" s="1910"/>
      <c r="AH314" s="1910"/>
      <c r="AI314" s="1910"/>
      <c r="AJ314" s="1910"/>
      <c r="AK314" s="1910"/>
      <c r="AL314" s="1910"/>
      <c r="AM314" s="1889"/>
      <c r="AN314" s="120"/>
      <c r="AO314" s="275"/>
      <c r="AP314" s="275"/>
      <c r="AQ314" s="275"/>
      <c r="AR314" s="275"/>
      <c r="AS314" s="275"/>
      <c r="AT314" s="275"/>
    </row>
    <row r="315" spans="1:46" s="120" customFormat="1" ht="36" hidden="1" customHeight="1">
      <c r="B315" s="236"/>
      <c r="E315" s="3492" t="s">
        <v>3676</v>
      </c>
      <c r="F315" s="1970"/>
      <c r="G315" s="1970"/>
      <c r="H315" s="1970"/>
      <c r="I315" s="1970"/>
      <c r="J315" s="1970"/>
      <c r="K315" s="1970"/>
      <c r="L315" s="1970"/>
      <c r="M315" s="1970"/>
      <c r="N315" s="1970"/>
      <c r="O315" s="1970"/>
      <c r="P315" s="1970"/>
      <c r="Q315" s="1970"/>
      <c r="R315" s="1970"/>
      <c r="S315" s="1970"/>
      <c r="T315" s="1970"/>
      <c r="U315" s="1970"/>
      <c r="V315" s="1970"/>
      <c r="W315" s="1970"/>
      <c r="X315" s="1970"/>
      <c r="Y315" s="1970"/>
      <c r="Z315" s="1970"/>
      <c r="AA315" s="1970"/>
      <c r="AB315" s="1970"/>
      <c r="AC315" s="1970"/>
      <c r="AD315" s="1970"/>
      <c r="AE315" s="1970"/>
      <c r="AF315" s="1970"/>
      <c r="AG315" s="1970"/>
      <c r="AH315" s="1970"/>
      <c r="AI315" s="1970"/>
      <c r="AJ315" s="1970"/>
      <c r="AK315" s="1970"/>
      <c r="AL315" s="1970"/>
      <c r="AM315" s="1889"/>
    </row>
    <row r="316" spans="1:46" ht="18" hidden="1" customHeight="1">
      <c r="A316" s="120"/>
      <c r="B316" s="1630"/>
      <c r="E316" s="2029" t="s">
        <v>3677</v>
      </c>
      <c r="F316" s="1777"/>
      <c r="G316" s="1777"/>
      <c r="H316" s="1777"/>
      <c r="I316" s="1777"/>
      <c r="J316" s="1777"/>
      <c r="K316" s="1777"/>
      <c r="L316" s="1777"/>
      <c r="M316" s="1777"/>
      <c r="N316" s="1777"/>
      <c r="O316" s="1777"/>
      <c r="P316" s="1778"/>
      <c r="Q316" s="1447" t="s">
        <v>3678</v>
      </c>
      <c r="R316" s="3613" t="s">
        <v>3679</v>
      </c>
      <c r="S316" s="1777"/>
      <c r="T316" s="1777"/>
      <c r="U316" s="1777"/>
      <c r="V316" s="1777"/>
      <c r="W316" s="1777"/>
      <c r="X316" s="1777"/>
      <c r="Y316" s="1777"/>
      <c r="Z316" s="1777"/>
      <c r="AA316" s="1777"/>
      <c r="AB316" s="1777"/>
      <c r="AC316" s="1777"/>
      <c r="AD316" s="1777"/>
      <c r="AE316" s="1777"/>
      <c r="AF316" s="1777"/>
      <c r="AG316" s="1777"/>
      <c r="AH316" s="1777"/>
      <c r="AI316" s="1778"/>
      <c r="AJ316" s="3570">
        <f>MIN($AK$268-$AL$266/100,25%)*0.75</f>
        <v>0</v>
      </c>
      <c r="AK316" s="1777"/>
      <c r="AL316" s="1777"/>
      <c r="AM316" s="1778"/>
      <c r="AN316" s="120"/>
      <c r="AO316" s="275"/>
      <c r="AP316" s="275"/>
      <c r="AQ316" s="275"/>
      <c r="AR316" s="275"/>
      <c r="AS316" s="275"/>
      <c r="AT316" s="275"/>
    </row>
    <row r="317" spans="1:46" ht="178.35" hidden="1" customHeight="1">
      <c r="A317" s="120"/>
      <c r="B317" s="1630"/>
      <c r="E317" s="3315" t="s">
        <v>3680</v>
      </c>
      <c r="F317" s="1953"/>
      <c r="G317" s="1953"/>
      <c r="H317" s="1953"/>
      <c r="I317" s="1953"/>
      <c r="J317" s="1953"/>
      <c r="K317" s="1953"/>
      <c r="L317" s="1953"/>
      <c r="M317" s="1953"/>
      <c r="N317" s="1953"/>
      <c r="O317" s="1953"/>
      <c r="P317" s="1953"/>
      <c r="Q317" s="1953"/>
      <c r="R317" s="1953"/>
      <c r="S317" s="1953"/>
      <c r="T317" s="1953"/>
      <c r="U317" s="1953"/>
      <c r="V317" s="1953"/>
      <c r="W317" s="1953"/>
      <c r="X317" s="1953"/>
      <c r="Y317" s="1953"/>
      <c r="Z317" s="1953"/>
      <c r="AA317" s="1953"/>
      <c r="AB317" s="1953"/>
      <c r="AC317" s="1953"/>
      <c r="AD317" s="1953"/>
      <c r="AE317" s="1953"/>
      <c r="AF317" s="1953"/>
      <c r="AG317" s="1953"/>
      <c r="AH317" s="1953"/>
      <c r="AI317" s="1953"/>
      <c r="AJ317" s="1953"/>
      <c r="AK317" s="1953"/>
      <c r="AL317" s="1953"/>
      <c r="AM317" s="1770"/>
      <c r="AN317" s="120"/>
      <c r="AO317" s="275"/>
      <c r="AP317" s="275"/>
      <c r="AQ317" s="275"/>
      <c r="AR317" s="275"/>
      <c r="AS317" s="275"/>
      <c r="AT317" s="275"/>
    </row>
    <row r="318" spans="1:46" ht="36" hidden="1" customHeight="1">
      <c r="A318" s="120"/>
      <c r="B318" s="1630"/>
      <c r="C318" s="778"/>
      <c r="E318" s="2989" t="s">
        <v>3681</v>
      </c>
      <c r="F318" s="1910"/>
      <c r="G318" s="1910"/>
      <c r="H318" s="1910"/>
      <c r="I318" s="1910"/>
      <c r="J318" s="1910"/>
      <c r="K318" s="1910"/>
      <c r="L318" s="1910"/>
      <c r="M318" s="1910"/>
      <c r="N318" s="1910"/>
      <c r="O318" s="1910"/>
      <c r="P318" s="1910"/>
      <c r="Q318" s="1910"/>
      <c r="R318" s="1910"/>
      <c r="S318" s="1910"/>
      <c r="T318" s="1910"/>
      <c r="U318" s="1910"/>
      <c r="V318" s="1910"/>
      <c r="W318" s="1910"/>
      <c r="X318" s="1910"/>
      <c r="Y318" s="1910"/>
      <c r="Z318" s="1910"/>
      <c r="AA318" s="1910"/>
      <c r="AB318" s="1910"/>
      <c r="AC318" s="1910"/>
      <c r="AD318" s="1910"/>
      <c r="AE318" s="1910"/>
      <c r="AF318" s="1910"/>
      <c r="AG318" s="1910"/>
      <c r="AH318" s="1910"/>
      <c r="AI318" s="1910"/>
      <c r="AJ318" s="1910"/>
      <c r="AK318" s="1910"/>
      <c r="AL318" s="1910"/>
      <c r="AM318" s="1889"/>
      <c r="AN318" s="120"/>
      <c r="AO318" s="137"/>
    </row>
    <row r="319" spans="1:46" s="120" customFormat="1" ht="18" hidden="1" customHeight="1">
      <c r="B319" s="236"/>
      <c r="AM319" s="1437"/>
    </row>
    <row r="320" spans="1:46" ht="18" hidden="1" customHeight="1">
      <c r="A320" s="120"/>
      <c r="B320" s="1630"/>
      <c r="C320" s="778"/>
      <c r="E320" s="3571" t="s">
        <v>3682</v>
      </c>
      <c r="F320" s="1910"/>
      <c r="G320" s="1910"/>
      <c r="H320" s="1910"/>
      <c r="I320" s="1910"/>
      <c r="J320" s="1910"/>
      <c r="K320" s="1910"/>
      <c r="L320" s="1910"/>
      <c r="M320" s="1910"/>
      <c r="N320" s="1910"/>
      <c r="O320" s="1910"/>
      <c r="P320" s="1910"/>
      <c r="Q320" s="1910"/>
      <c r="R320" s="1910"/>
      <c r="S320" s="1910"/>
      <c r="T320" s="1910"/>
      <c r="U320" s="1910"/>
      <c r="V320" s="1910"/>
      <c r="W320" s="1910"/>
      <c r="X320" s="1910"/>
      <c r="Y320" s="1910"/>
      <c r="Z320" s="1910"/>
      <c r="AA320" s="1910"/>
      <c r="AB320" s="1910"/>
      <c r="AC320" s="1910"/>
      <c r="AD320" s="1910"/>
      <c r="AE320" s="1910"/>
      <c r="AF320" s="1910"/>
      <c r="AG320" s="1910"/>
      <c r="AH320" s="1910"/>
      <c r="AI320" s="1910"/>
      <c r="AJ320" s="1910"/>
      <c r="AK320" s="1910"/>
      <c r="AL320" s="1910"/>
      <c r="AM320" s="1889"/>
      <c r="AN320" s="120"/>
      <c r="AO320" s="137"/>
    </row>
    <row r="321" spans="1:40" ht="36" hidden="1" customHeight="1">
      <c r="A321" s="120"/>
      <c r="B321" s="1630"/>
      <c r="C321" s="778"/>
      <c r="D321" s="778"/>
      <c r="E321" s="2989" t="s">
        <v>3683</v>
      </c>
      <c r="F321" s="1910"/>
      <c r="G321" s="1910"/>
      <c r="H321" s="1910"/>
      <c r="I321" s="1910"/>
      <c r="J321" s="1910"/>
      <c r="K321" s="1910"/>
      <c r="L321" s="1910"/>
      <c r="M321" s="1910"/>
      <c r="N321" s="1910"/>
      <c r="O321" s="1910"/>
      <c r="P321" s="1910"/>
      <c r="Q321" s="1910"/>
      <c r="R321" s="1910"/>
      <c r="S321" s="1910"/>
      <c r="T321" s="1910"/>
      <c r="U321" s="1910"/>
      <c r="V321" s="1910"/>
      <c r="W321" s="1910"/>
      <c r="X321" s="1910"/>
      <c r="Y321" s="1910"/>
      <c r="Z321" s="1910"/>
      <c r="AA321" s="1910"/>
      <c r="AB321" s="1910"/>
      <c r="AC321" s="1910"/>
      <c r="AD321" s="1910"/>
      <c r="AE321" s="1910"/>
      <c r="AF321" s="1910"/>
      <c r="AG321" s="1910"/>
      <c r="AH321" s="1910"/>
      <c r="AI321" s="1910"/>
      <c r="AJ321" s="1910"/>
      <c r="AK321" s="1910"/>
      <c r="AL321" s="1910"/>
      <c r="AM321" s="1889"/>
      <c r="AN321" s="120"/>
    </row>
    <row r="322" spans="1:40" ht="4.5" hidden="1" customHeight="1">
      <c r="A322" s="120"/>
      <c r="B322" s="1645"/>
      <c r="C322" s="1448"/>
      <c r="D322" s="1448"/>
      <c r="E322" s="1448"/>
      <c r="F322" s="1448"/>
      <c r="G322" s="1448"/>
      <c r="H322" s="1448"/>
      <c r="I322" s="1448"/>
      <c r="J322" s="1448"/>
      <c r="K322" s="1448"/>
      <c r="L322" s="1448"/>
      <c r="M322" s="1448"/>
      <c r="N322" s="1448"/>
      <c r="O322" s="1448"/>
      <c r="P322" s="1448"/>
      <c r="Q322" s="1448"/>
      <c r="R322" s="1448"/>
      <c r="S322" s="1448"/>
      <c r="T322" s="1448"/>
      <c r="U322" s="1448"/>
      <c r="V322" s="1448"/>
      <c r="W322" s="1448"/>
      <c r="X322" s="1448"/>
      <c r="Y322" s="1448"/>
      <c r="Z322" s="1448"/>
      <c r="AA322" s="1448"/>
      <c r="AB322" s="1448"/>
      <c r="AC322" s="1448"/>
      <c r="AD322" s="1448"/>
      <c r="AE322" s="1448"/>
      <c r="AF322" s="1448"/>
      <c r="AG322" s="1448"/>
      <c r="AH322" s="1448"/>
      <c r="AI322" s="1448"/>
      <c r="AJ322" s="1448"/>
      <c r="AK322" s="1448"/>
      <c r="AL322" s="1448"/>
      <c r="AM322" s="1483"/>
      <c r="AN322" s="120"/>
    </row>
    <row r="323" spans="1:40" ht="18" hidden="1" customHeight="1">
      <c r="A323" s="120"/>
      <c r="B323" s="778"/>
      <c r="C323" s="778"/>
      <c r="D323" s="778"/>
      <c r="E323" s="778"/>
      <c r="F323" s="778"/>
      <c r="G323" s="778"/>
      <c r="H323" s="778"/>
      <c r="I323" s="778"/>
      <c r="J323" s="778"/>
      <c r="K323" s="778"/>
      <c r="L323" s="778"/>
      <c r="M323" s="778"/>
      <c r="N323" s="778"/>
      <c r="O323" s="778"/>
      <c r="P323" s="778"/>
      <c r="Q323" s="778"/>
      <c r="R323" s="778"/>
      <c r="S323" s="778"/>
      <c r="T323" s="778"/>
      <c r="U323" s="778"/>
      <c r="V323" s="778"/>
      <c r="W323" s="778"/>
      <c r="X323" s="778"/>
      <c r="Y323" s="778"/>
      <c r="Z323" s="778"/>
      <c r="AA323" s="778"/>
      <c r="AB323" s="778"/>
      <c r="AC323" s="778"/>
      <c r="AD323" s="778"/>
      <c r="AE323" s="778"/>
      <c r="AF323" s="778"/>
      <c r="AG323" s="778"/>
      <c r="AH323" s="778"/>
      <c r="AI323" s="778"/>
      <c r="AJ323" s="778"/>
      <c r="AK323" s="778"/>
      <c r="AL323" s="778"/>
      <c r="AM323" s="778"/>
      <c r="AN323" s="120"/>
    </row>
    <row r="324" spans="1:40" ht="18" customHeight="1">
      <c r="A324" s="120"/>
      <c r="B324" s="2180" t="s">
        <v>3684</v>
      </c>
      <c r="C324" s="1910"/>
      <c r="D324" s="1910"/>
      <c r="E324" s="1910"/>
      <c r="F324" s="1910"/>
      <c r="G324" s="1910"/>
      <c r="H324" s="1910"/>
      <c r="I324" s="1910"/>
      <c r="J324" s="778"/>
      <c r="K324" s="778"/>
      <c r="L324" s="778"/>
      <c r="M324" s="778"/>
      <c r="N324" s="778"/>
      <c r="O324" s="778"/>
      <c r="P324" s="778"/>
      <c r="Q324" s="778"/>
      <c r="R324" s="778"/>
      <c r="S324" s="778"/>
      <c r="T324" s="778"/>
      <c r="U324" s="778"/>
      <c r="V324" s="778"/>
      <c r="W324" s="778"/>
      <c r="X324" s="778"/>
      <c r="Y324" s="778"/>
      <c r="Z324" s="778"/>
      <c r="AA324" s="778"/>
      <c r="AB324" s="778"/>
      <c r="AC324" s="778"/>
      <c r="AD324" s="778"/>
      <c r="AE324" s="778"/>
      <c r="AF324" s="778"/>
      <c r="AG324" s="778"/>
      <c r="AH324" s="778"/>
      <c r="AI324" s="778"/>
      <c r="AJ324" s="778"/>
      <c r="AK324" s="778"/>
      <c r="AL324" s="778"/>
      <c r="AM324" s="778"/>
      <c r="AN324" s="120"/>
    </row>
    <row r="325" spans="1:40" ht="99" customHeight="1">
      <c r="A325" s="120"/>
      <c r="B325" s="2003"/>
      <c r="C325" s="1861"/>
      <c r="D325" s="1861"/>
      <c r="E325" s="1861"/>
      <c r="F325" s="1861"/>
      <c r="G325" s="1861"/>
      <c r="H325" s="1861"/>
      <c r="I325" s="1861"/>
      <c r="J325" s="1861"/>
      <c r="K325" s="1861"/>
      <c r="L325" s="1861"/>
      <c r="M325" s="1861"/>
      <c r="N325" s="1861"/>
      <c r="O325" s="1861"/>
      <c r="P325" s="1861"/>
      <c r="Q325" s="1861"/>
      <c r="R325" s="1861"/>
      <c r="S325" s="1861"/>
      <c r="T325" s="1861"/>
      <c r="U325" s="1861"/>
      <c r="V325" s="1861"/>
      <c r="W325" s="1861"/>
      <c r="X325" s="1861"/>
      <c r="Y325" s="1861"/>
      <c r="Z325" s="1861"/>
      <c r="AA325" s="1861"/>
      <c r="AB325" s="1861"/>
      <c r="AC325" s="1861"/>
      <c r="AD325" s="1861"/>
      <c r="AE325" s="1861"/>
      <c r="AF325" s="1861"/>
      <c r="AG325" s="1861"/>
      <c r="AH325" s="1861"/>
      <c r="AI325" s="1861"/>
      <c r="AJ325" s="1861"/>
      <c r="AK325" s="1861"/>
      <c r="AL325" s="1861"/>
      <c r="AM325" s="1862"/>
      <c r="AN325" s="120"/>
    </row>
    <row r="326" spans="1:40" ht="18" customHeight="1">
      <c r="A326" s="120"/>
      <c r="B326" s="778"/>
      <c r="C326" s="778"/>
      <c r="D326" s="778"/>
      <c r="E326" s="778"/>
      <c r="F326" s="778"/>
      <c r="G326" s="778"/>
      <c r="H326" s="778"/>
      <c r="I326" s="778"/>
      <c r="J326" s="778"/>
      <c r="K326" s="778"/>
      <c r="L326" s="778"/>
      <c r="M326" s="778"/>
      <c r="N326" s="778"/>
      <c r="O326" s="778"/>
      <c r="P326" s="778"/>
      <c r="Q326" s="778"/>
      <c r="R326" s="778"/>
      <c r="S326" s="778"/>
      <c r="T326" s="778"/>
      <c r="U326" s="778"/>
      <c r="V326" s="778"/>
      <c r="W326" s="778"/>
      <c r="X326" s="778"/>
      <c r="Y326" s="778"/>
      <c r="Z326" s="778"/>
      <c r="AA326" s="778"/>
      <c r="AB326" s="778"/>
      <c r="AC326" s="778"/>
      <c r="AD326" s="778"/>
      <c r="AE326" s="778"/>
      <c r="AF326" s="778"/>
      <c r="AG326" s="778"/>
      <c r="AH326" s="778"/>
      <c r="AI326" s="778"/>
      <c r="AJ326" s="778"/>
      <c r="AK326" s="778"/>
      <c r="AL326" s="778"/>
      <c r="AM326" s="778"/>
      <c r="AN326" s="120"/>
    </row>
    <row r="327" spans="1:40" ht="18" customHeight="1">
      <c r="B327" s="1791" t="s">
        <v>461</v>
      </c>
      <c r="C327" s="1910"/>
      <c r="D327" s="1910"/>
      <c r="E327" s="1910"/>
      <c r="F327" s="1910"/>
      <c r="G327" s="1910"/>
      <c r="H327" s="1910"/>
      <c r="I327" s="1910"/>
      <c r="J327" s="1910"/>
      <c r="K327" s="1910"/>
      <c r="L327" s="1910"/>
      <c r="M327" s="1910"/>
      <c r="N327" s="1910"/>
      <c r="O327" s="1910"/>
      <c r="P327" s="1910"/>
      <c r="Q327" s="1910"/>
      <c r="R327" s="1910"/>
      <c r="S327" s="1910"/>
      <c r="T327" s="1910"/>
      <c r="U327" s="1910"/>
      <c r="V327" s="1910"/>
      <c r="W327" s="1910"/>
      <c r="X327" s="1910"/>
      <c r="Y327" s="1910"/>
      <c r="Z327" s="1910"/>
      <c r="AA327" s="1910"/>
      <c r="AB327" s="1910"/>
      <c r="AC327" s="1910"/>
      <c r="AD327" s="1910"/>
      <c r="AE327" s="1910"/>
      <c r="AF327" s="1910"/>
      <c r="AG327" s="1910"/>
      <c r="AH327" s="1910"/>
      <c r="AI327" s="1910"/>
      <c r="AJ327" s="1910"/>
      <c r="AK327" s="1910"/>
      <c r="AL327" s="1910"/>
      <c r="AM327" s="1910"/>
    </row>
    <row r="330" spans="1:40" ht="18" customHeight="1">
      <c r="A330" s="474"/>
    </row>
    <row r="337" spans="39:39" ht="18" customHeight="1">
      <c r="AM337" s="1584"/>
    </row>
  </sheetData>
  <sheetProtection algorithmName="SHA-512" hashValue="Lw3vskM6HHdm2BrwJaoTWG04F+LJ0cDp/gDaSkPuJktcS6ksVP02x4gbUb98JY+Cy1kWIfq1YXSFF177dLyc5g==" saltValue="Lyv4w5ql1FTsMthkuZi3Ew==" spinCount="100000" sheet="1" objects="1" scenarios="1"/>
  <protectedRanges>
    <protectedRange sqref="AL167 AL209 AL211 AL276 B325" name="Range4"/>
    <protectedRange sqref="AF74:AM74" name="Range2"/>
    <protectedRange sqref="I73:M73" name="Range1"/>
    <protectedRange sqref="AK75:AM75" name="Range3"/>
  </protectedRanges>
  <mergeCells count="1160">
    <mergeCell ref="B80:N80"/>
    <mergeCell ref="AL78:AM78"/>
    <mergeCell ref="AB79:AK79"/>
    <mergeCell ref="AB67:AI67"/>
    <mergeCell ref="AB66:AI66"/>
    <mergeCell ref="S273:U273"/>
    <mergeCell ref="AF184:AK184"/>
    <mergeCell ref="B209:D209"/>
    <mergeCell ref="AL185:AM185"/>
    <mergeCell ref="B215:D215"/>
    <mergeCell ref="Z150:AB150"/>
    <mergeCell ref="B217:AM217"/>
    <mergeCell ref="O249:AK249"/>
    <mergeCell ref="AS51:AW52"/>
    <mergeCell ref="B85:J85"/>
    <mergeCell ref="K85:N85"/>
    <mergeCell ref="P85:W85"/>
    <mergeCell ref="X85:Z85"/>
    <mergeCell ref="AB85:AJ85"/>
    <mergeCell ref="AK85:AM85"/>
    <mergeCell ref="AO62:AP62"/>
    <mergeCell ref="AS179:AU180"/>
    <mergeCell ref="AL172:AM172"/>
    <mergeCell ref="B82:J82"/>
    <mergeCell ref="K82:N82"/>
    <mergeCell ref="AB82:AK82"/>
    <mergeCell ref="B83:J83"/>
    <mergeCell ref="AN91:AT91"/>
    <mergeCell ref="B79:J79"/>
    <mergeCell ref="AN54:AQ54"/>
    <mergeCell ref="F86:AM86"/>
    <mergeCell ref="F87:I87"/>
    <mergeCell ref="J87:AK87"/>
    <mergeCell ref="AL87:AM87"/>
    <mergeCell ref="N230:AE230"/>
    <mergeCell ref="B254:J254"/>
    <mergeCell ref="E241:AK241"/>
    <mergeCell ref="E257:AK257"/>
    <mergeCell ref="AL253:AM253"/>
    <mergeCell ref="D239:AK239"/>
    <mergeCell ref="P250:Z251"/>
    <mergeCell ref="B211:D211"/>
    <mergeCell ref="E211:M211"/>
    <mergeCell ref="N211:AE211"/>
    <mergeCell ref="AF211:AK211"/>
    <mergeCell ref="AN239:AT239"/>
    <mergeCell ref="G206:M206"/>
    <mergeCell ref="AF202:AK202"/>
    <mergeCell ref="AL166:AM166"/>
    <mergeCell ref="Z156:AB156"/>
    <mergeCell ref="G198:AK198"/>
    <mergeCell ref="AB206:AC206"/>
    <mergeCell ref="AC188:AK188"/>
    <mergeCell ref="B189:D189"/>
    <mergeCell ref="AL197:AM197"/>
    <mergeCell ref="Z151:AB151"/>
    <mergeCell ref="AK122:AM122"/>
    <mergeCell ref="O160:R160"/>
    <mergeCell ref="AN77:AQ77"/>
    <mergeCell ref="O79:O85"/>
    <mergeCell ref="P79:Z80"/>
    <mergeCell ref="F295:AM295"/>
    <mergeCell ref="AH116:AJ116"/>
    <mergeCell ref="S152:V152"/>
    <mergeCell ref="AK152:AM152"/>
    <mergeCell ref="B143:D143"/>
    <mergeCell ref="AF160:AG160"/>
    <mergeCell ref="AL257:AM257"/>
    <mergeCell ref="W225:X225"/>
    <mergeCell ref="B219:D219"/>
    <mergeCell ref="D279:AK279"/>
    <mergeCell ref="D283:AM283"/>
    <mergeCell ref="AB251:AK251"/>
    <mergeCell ref="E128:AM128"/>
    <mergeCell ref="AC146:AE147"/>
    <mergeCell ref="E231:M231"/>
    <mergeCell ref="AN266:AT266"/>
    <mergeCell ref="AT165:AU165"/>
    <mergeCell ref="AT166:AW166"/>
    <mergeCell ref="D267:AM267"/>
    <mergeCell ref="K256:N256"/>
    <mergeCell ref="F233:L233"/>
    <mergeCell ref="E178:M178"/>
    <mergeCell ref="N204:AE204"/>
    <mergeCell ref="AK162:AM162"/>
    <mergeCell ref="Z155:AB155"/>
    <mergeCell ref="E184:M184"/>
    <mergeCell ref="N264:AE264"/>
    <mergeCell ref="F234:AK234"/>
    <mergeCell ref="AB253:AK253"/>
    <mergeCell ref="M249:N249"/>
    <mergeCell ref="G212:M212"/>
    <mergeCell ref="G294:AK294"/>
    <mergeCell ref="N274:O274"/>
    <mergeCell ref="P255:U255"/>
    <mergeCell ref="F290:AJ290"/>
    <mergeCell ref="H271:I271"/>
    <mergeCell ref="B255:J255"/>
    <mergeCell ref="AL259:AM259"/>
    <mergeCell ref="M270:P270"/>
    <mergeCell ref="D269:AM269"/>
    <mergeCell ref="N209:AE209"/>
    <mergeCell ref="B262:D262"/>
    <mergeCell ref="Q253:W253"/>
    <mergeCell ref="AL276:AM276"/>
    <mergeCell ref="E244:AK244"/>
    <mergeCell ref="Q212:AA212"/>
    <mergeCell ref="AB212:AC212"/>
    <mergeCell ref="F232:AK232"/>
    <mergeCell ref="AL237:AM237"/>
    <mergeCell ref="N268:Q268"/>
    <mergeCell ref="F289:AJ289"/>
    <mergeCell ref="F221:AM221"/>
    <mergeCell ref="F285:AM285"/>
    <mergeCell ref="N262:AE262"/>
    <mergeCell ref="E260:U260"/>
    <mergeCell ref="F247:AM247"/>
    <mergeCell ref="O250:O256"/>
    <mergeCell ref="AL252:AM252"/>
    <mergeCell ref="I152:M152"/>
    <mergeCell ref="B230:D230"/>
    <mergeCell ref="AF152:AG152"/>
    <mergeCell ref="G197:AK197"/>
    <mergeCell ref="AL189:AM189"/>
    <mergeCell ref="I153:M153"/>
    <mergeCell ref="AL167:AM167"/>
    <mergeCell ref="AF210:AK210"/>
    <mergeCell ref="AL216:AM216"/>
    <mergeCell ref="F181:AK181"/>
    <mergeCell ref="D240:AM240"/>
    <mergeCell ref="B173:D173"/>
    <mergeCell ref="W160:Y160"/>
    <mergeCell ref="B264:D264"/>
    <mergeCell ref="D268:M268"/>
    <mergeCell ref="E235:AM235"/>
    <mergeCell ref="AB250:AK250"/>
    <mergeCell ref="AK256:AM256"/>
    <mergeCell ref="AB254:AK254"/>
    <mergeCell ref="B252:J252"/>
    <mergeCell ref="AL175:AM175"/>
    <mergeCell ref="AK291:AM291"/>
    <mergeCell ref="AK153:AM153"/>
    <mergeCell ref="E262:M262"/>
    <mergeCell ref="E263:M263"/>
    <mergeCell ref="E274:K274"/>
    <mergeCell ref="AF278:AM278"/>
    <mergeCell ref="Z273:AB273"/>
    <mergeCell ref="L274:M274"/>
    <mergeCell ref="X256:Z256"/>
    <mergeCell ref="F291:AJ291"/>
    <mergeCell ref="AL251:AM251"/>
    <mergeCell ref="F218:AK218"/>
    <mergeCell ref="I154:M154"/>
    <mergeCell ref="W162:Y162"/>
    <mergeCell ref="B263:D263"/>
    <mergeCell ref="AH159:AJ159"/>
    <mergeCell ref="E202:M202"/>
    <mergeCell ref="G207:AK207"/>
    <mergeCell ref="K254:N254"/>
    <mergeCell ref="E204:M204"/>
    <mergeCell ref="AF178:AK178"/>
    <mergeCell ref="E183:M183"/>
    <mergeCell ref="AL213:AM213"/>
    <mergeCell ref="B251:N251"/>
    <mergeCell ref="AB255:AK255"/>
    <mergeCell ref="AL183:AM183"/>
    <mergeCell ref="AL248:AM248"/>
    <mergeCell ref="C159:H159"/>
    <mergeCell ref="Q275:T275"/>
    <mergeCell ref="AL255:AM255"/>
    <mergeCell ref="AL227:AM227"/>
    <mergeCell ref="AL184:AM184"/>
    <mergeCell ref="N215:AE215"/>
    <mergeCell ref="AH268:AJ268"/>
    <mergeCell ref="AA188:AB188"/>
    <mergeCell ref="Z158:AB158"/>
    <mergeCell ref="F224:AK224"/>
    <mergeCell ref="G208:AK208"/>
    <mergeCell ref="N201:O201"/>
    <mergeCell ref="G196:AK196"/>
    <mergeCell ref="P254:Z254"/>
    <mergeCell ref="G205:AK205"/>
    <mergeCell ref="AL207:AM207"/>
    <mergeCell ref="X253:Z253"/>
    <mergeCell ref="E259:AK259"/>
    <mergeCell ref="K252:N252"/>
    <mergeCell ref="P256:W256"/>
    <mergeCell ref="Z161:AB161"/>
    <mergeCell ref="B178:D178"/>
    <mergeCell ref="G188:Z188"/>
    <mergeCell ref="O158:R158"/>
    <mergeCell ref="F223:AM223"/>
    <mergeCell ref="B177:C177"/>
    <mergeCell ref="B184:D184"/>
    <mergeCell ref="F226:AM226"/>
    <mergeCell ref="F222:AM222"/>
    <mergeCell ref="AL218:AM218"/>
    <mergeCell ref="C162:H162"/>
    <mergeCell ref="AC162:AE162"/>
    <mergeCell ref="E258:AK258"/>
    <mergeCell ref="B249:L249"/>
    <mergeCell ref="I160:M160"/>
    <mergeCell ref="G172:AK172"/>
    <mergeCell ref="AK161:AM161"/>
    <mergeCell ref="K250:N250"/>
    <mergeCell ref="E130:X130"/>
    <mergeCell ref="E236:AK236"/>
    <mergeCell ref="AK150:AM150"/>
    <mergeCell ref="AF145:AK145"/>
    <mergeCell ref="W156:Y156"/>
    <mergeCell ref="I159:M159"/>
    <mergeCell ref="AL174:AM174"/>
    <mergeCell ref="AL215:AM215"/>
    <mergeCell ref="F140:AK140"/>
    <mergeCell ref="O150:R150"/>
    <mergeCell ref="Z146:AB147"/>
    <mergeCell ref="AL124:AM124"/>
    <mergeCell ref="F177:AM177"/>
    <mergeCell ref="AH154:AJ154"/>
    <mergeCell ref="AL126:AM126"/>
    <mergeCell ref="AL229:AM229"/>
    <mergeCell ref="N219:AE219"/>
    <mergeCell ref="E219:M219"/>
    <mergeCell ref="N212:O212"/>
    <mergeCell ref="N184:AE184"/>
    <mergeCell ref="O156:R156"/>
    <mergeCell ref="AC153:AE153"/>
    <mergeCell ref="C157:H157"/>
    <mergeCell ref="AL236:AM236"/>
    <mergeCell ref="B231:D231"/>
    <mergeCell ref="O155:R155"/>
    <mergeCell ref="AF157:AG157"/>
    <mergeCell ref="F168:AI168"/>
    <mergeCell ref="D167:AK167"/>
    <mergeCell ref="L170:S170"/>
    <mergeCell ref="AF209:AK209"/>
    <mergeCell ref="D12:AM12"/>
    <mergeCell ref="B327:AM327"/>
    <mergeCell ref="V35:W35"/>
    <mergeCell ref="AF183:AK183"/>
    <mergeCell ref="AC152:AE152"/>
    <mergeCell ref="O159:R159"/>
    <mergeCell ref="AH148:AJ148"/>
    <mergeCell ref="H121:L121"/>
    <mergeCell ref="AH41:AK41"/>
    <mergeCell ref="AL104:AM104"/>
    <mergeCell ref="AD34:AE34"/>
    <mergeCell ref="AL91:AM91"/>
    <mergeCell ref="AK159:AM159"/>
    <mergeCell ref="Q274:R274"/>
    <mergeCell ref="O161:R161"/>
    <mergeCell ref="AB36:AC36"/>
    <mergeCell ref="AD36:AE36"/>
    <mergeCell ref="AJ316:AM316"/>
    <mergeCell ref="C55:AK55"/>
    <mergeCell ref="AL194:AM194"/>
    <mergeCell ref="P37:Q37"/>
    <mergeCell ref="AL254:AM254"/>
    <mergeCell ref="T117:W117"/>
    <mergeCell ref="B253:J253"/>
    <mergeCell ref="M59:AB60"/>
    <mergeCell ref="H62:AD62"/>
    <mergeCell ref="AH29:AK29"/>
    <mergeCell ref="B325:AM325"/>
    <mergeCell ref="AJ313:AM313"/>
    <mergeCell ref="AL249:AM249"/>
    <mergeCell ref="B89:D89"/>
    <mergeCell ref="S150:V150"/>
    <mergeCell ref="AB2:AJ2"/>
    <mergeCell ref="AF147:AG147"/>
    <mergeCell ref="C121:G121"/>
    <mergeCell ref="O149:R149"/>
    <mergeCell ref="N143:AE143"/>
    <mergeCell ref="AH155:AJ155"/>
    <mergeCell ref="W159:Y159"/>
    <mergeCell ref="W153:Y153"/>
    <mergeCell ref="T51:U51"/>
    <mergeCell ref="AD115:AE115"/>
    <mergeCell ref="AF115:AG115"/>
    <mergeCell ref="H116:L116"/>
    <mergeCell ref="AJ35:AK35"/>
    <mergeCell ref="X49:Y49"/>
    <mergeCell ref="X21:Z21"/>
    <mergeCell ref="L31:M31"/>
    <mergeCell ref="AK4:AM4"/>
    <mergeCell ref="M47:S47"/>
    <mergeCell ref="AB35:AC35"/>
    <mergeCell ref="AB3:AJ3"/>
    <mergeCell ref="AL123:AM123"/>
    <mergeCell ref="X117:Z117"/>
    <mergeCell ref="C120:G120"/>
    <mergeCell ref="C152:H152"/>
    <mergeCell ref="AL143:AM143"/>
    <mergeCell ref="AB64:AI64"/>
    <mergeCell ref="AB63:AI63"/>
    <mergeCell ref="B2:AA5"/>
    <mergeCell ref="T35:U35"/>
    <mergeCell ref="E144:M144"/>
    <mergeCell ref="AB5:AJ5"/>
    <mergeCell ref="AB15:AD15"/>
    <mergeCell ref="D30:E30"/>
    <mergeCell ref="X19:Z19"/>
    <mergeCell ref="E20:W20"/>
    <mergeCell ref="AD48:AE48"/>
    <mergeCell ref="V36:W36"/>
    <mergeCell ref="X119:Z119"/>
    <mergeCell ref="AD39:AE39"/>
    <mergeCell ref="AA118:AC118"/>
    <mergeCell ref="C49:J49"/>
    <mergeCell ref="AD111:AE111"/>
    <mergeCell ref="F109:O109"/>
    <mergeCell ref="Z45:AA45"/>
    <mergeCell ref="Z49:AA49"/>
    <mergeCell ref="N36:O36"/>
    <mergeCell ref="L63:S63"/>
    <mergeCell ref="Z38:AA38"/>
    <mergeCell ref="AB38:AC38"/>
    <mergeCell ref="AD44:AE44"/>
    <mergeCell ref="V45:W45"/>
    <mergeCell ref="H34:I34"/>
    <mergeCell ref="X114:Z114"/>
    <mergeCell ref="M93:AM93"/>
    <mergeCell ref="T119:W119"/>
    <mergeCell ref="M111:M112"/>
    <mergeCell ref="AD112:AE112"/>
    <mergeCell ref="Z34:AA34"/>
    <mergeCell ref="AH30:AI30"/>
    <mergeCell ref="AL34:AM34"/>
    <mergeCell ref="M45:S45"/>
    <mergeCell ref="N76:AE76"/>
    <mergeCell ref="D31:E31"/>
    <mergeCell ref="T116:W116"/>
    <mergeCell ref="B7:AM7"/>
    <mergeCell ref="N117:P117"/>
    <mergeCell ref="AF39:AG39"/>
    <mergeCell ref="AK111:AM112"/>
    <mergeCell ref="P38:Q38"/>
    <mergeCell ref="R38:S38"/>
    <mergeCell ref="E19:W19"/>
    <mergeCell ref="V30:W30"/>
    <mergeCell ref="AE18:AM18"/>
    <mergeCell ref="D13:Z13"/>
    <mergeCell ref="W28:X28"/>
    <mergeCell ref="C59:L60"/>
    <mergeCell ref="AE16:AM16"/>
    <mergeCell ref="X16:Z16"/>
    <mergeCell ref="E15:W15"/>
    <mergeCell ref="L64:S64"/>
    <mergeCell ref="F101:AM101"/>
    <mergeCell ref="AB18:AD18"/>
    <mergeCell ref="AH35:AI35"/>
    <mergeCell ref="AF116:AG116"/>
    <mergeCell ref="H115:L115"/>
    <mergeCell ref="V29:Y29"/>
    <mergeCell ref="R29:U29"/>
    <mergeCell ref="X38:Y38"/>
    <mergeCell ref="Z29:AC29"/>
    <mergeCell ref="M78:N78"/>
    <mergeCell ref="O78:AK78"/>
    <mergeCell ref="B76:D76"/>
    <mergeCell ref="M50:S50"/>
    <mergeCell ref="AF113:AG113"/>
    <mergeCell ref="Q115:S115"/>
    <mergeCell ref="X17:Z17"/>
    <mergeCell ref="D33:E33"/>
    <mergeCell ref="AB44:AC44"/>
    <mergeCell ref="AH117:AJ117"/>
    <mergeCell ref="P34:Q34"/>
    <mergeCell ref="AL39:AM39"/>
    <mergeCell ref="N34:O34"/>
    <mergeCell ref="T37:U37"/>
    <mergeCell ref="X39:Y39"/>
    <mergeCell ref="T48:U48"/>
    <mergeCell ref="AL173:AM173"/>
    <mergeCell ref="X50:Y50"/>
    <mergeCell ref="V48:W48"/>
    <mergeCell ref="AD35:AE35"/>
    <mergeCell ref="AL38:AM38"/>
    <mergeCell ref="J31:K31"/>
    <mergeCell ref="B126:D126"/>
    <mergeCell ref="T31:U31"/>
    <mergeCell ref="AK148:AM148"/>
    <mergeCell ref="AH152:AJ152"/>
    <mergeCell ref="P107:AB107"/>
    <mergeCell ref="AJ32:AK32"/>
    <mergeCell ref="AJ33:AK33"/>
    <mergeCell ref="AL81:AM81"/>
    <mergeCell ref="AB47:AC47"/>
    <mergeCell ref="AB50:AC50"/>
    <mergeCell ref="H122:L122"/>
    <mergeCell ref="W149:Y149"/>
    <mergeCell ref="AF118:AG118"/>
    <mergeCell ref="B145:D145"/>
    <mergeCell ref="AA122:AC122"/>
    <mergeCell ref="AC159:AE159"/>
    <mergeCell ref="T122:W122"/>
    <mergeCell ref="AD46:AE46"/>
    <mergeCell ref="P81:W81"/>
    <mergeCell ref="AD120:AE120"/>
    <mergeCell ref="AL179:AM179"/>
    <mergeCell ref="N146:N147"/>
    <mergeCell ref="Q201:AA201"/>
    <mergeCell ref="AF153:AG153"/>
    <mergeCell ref="AA117:AC117"/>
    <mergeCell ref="Q121:S121"/>
    <mergeCell ref="Z35:AA35"/>
    <mergeCell ref="X115:Z115"/>
    <mergeCell ref="P33:Q33"/>
    <mergeCell ref="AD32:AE32"/>
    <mergeCell ref="R31:S31"/>
    <mergeCell ref="X45:Y45"/>
    <mergeCell ref="V44:W44"/>
    <mergeCell ref="F39:G39"/>
    <mergeCell ref="G201:M201"/>
    <mergeCell ref="S159:V159"/>
    <mergeCell ref="AH150:AJ150"/>
    <mergeCell ref="S146:V146"/>
    <mergeCell ref="W146:Y146"/>
    <mergeCell ref="AK154:AM154"/>
    <mergeCell ref="S153:V153"/>
    <mergeCell ref="Z157:AB157"/>
    <mergeCell ref="AC148:AE148"/>
    <mergeCell ref="Z152:AB152"/>
    <mergeCell ref="AA131:AB131"/>
    <mergeCell ref="AF125:AK125"/>
    <mergeCell ref="AK149:AM149"/>
    <mergeCell ref="K79:N79"/>
    <mergeCell ref="E76:M76"/>
    <mergeCell ref="AJ309:AM309"/>
    <mergeCell ref="AL214:AM214"/>
    <mergeCell ref="AL230:AM230"/>
    <mergeCell ref="F245:AK245"/>
    <mergeCell ref="AL262:AM262"/>
    <mergeCell ref="B204:D204"/>
    <mergeCell ref="AL298:AM298"/>
    <mergeCell ref="F229:AK229"/>
    <mergeCell ref="K255:N255"/>
    <mergeCell ref="G304:AK304"/>
    <mergeCell ref="AF215:AK215"/>
    <mergeCell ref="B210:D210"/>
    <mergeCell ref="F300:AI300"/>
    <mergeCell ref="H176:AK176"/>
    <mergeCell ref="D94:AK94"/>
    <mergeCell ref="Q119:S119"/>
    <mergeCell ref="Q82:W82"/>
    <mergeCell ref="X82:Z82"/>
    <mergeCell ref="F105:AM105"/>
    <mergeCell ref="P139:AC139"/>
    <mergeCell ref="F107:O107"/>
    <mergeCell ref="AL108:AM108"/>
    <mergeCell ref="N116:P116"/>
    <mergeCell ref="S151:V151"/>
    <mergeCell ref="E89:AK89"/>
    <mergeCell ref="AL82:AM82"/>
    <mergeCell ref="N129:AE129"/>
    <mergeCell ref="N123:AE123"/>
    <mergeCell ref="AL244:AM244"/>
    <mergeCell ref="AF159:AG159"/>
    <mergeCell ref="AF204:AK204"/>
    <mergeCell ref="AH118:AJ118"/>
    <mergeCell ref="G193:AM193"/>
    <mergeCell ref="C158:H158"/>
    <mergeCell ref="AF189:AK189"/>
    <mergeCell ref="B146:H147"/>
    <mergeCell ref="AL231:AM231"/>
    <mergeCell ref="Y130:AM130"/>
    <mergeCell ref="AL181:AM181"/>
    <mergeCell ref="I162:M162"/>
    <mergeCell ref="AH160:AJ160"/>
    <mergeCell ref="H175:AK175"/>
    <mergeCell ref="AB65:AI65"/>
    <mergeCell ref="AF34:AG34"/>
    <mergeCell ref="F37:G37"/>
    <mergeCell ref="AF158:AG158"/>
    <mergeCell ref="AA120:AC120"/>
    <mergeCell ref="I161:M161"/>
    <mergeCell ref="I146:M147"/>
    <mergeCell ref="S148:V148"/>
    <mergeCell ref="E77:AK77"/>
    <mergeCell ref="D66:K66"/>
    <mergeCell ref="AD38:AE38"/>
    <mergeCell ref="D36:E36"/>
    <mergeCell ref="B111:G112"/>
    <mergeCell ref="AF120:AG120"/>
    <mergeCell ref="N183:AE183"/>
    <mergeCell ref="S160:V160"/>
    <mergeCell ref="D165:AM165"/>
    <mergeCell ref="W158:Y158"/>
    <mergeCell ref="AH111:AJ112"/>
    <mergeCell ref="AF124:AK124"/>
    <mergeCell ref="F179:AK179"/>
    <mergeCell ref="AL80:AM80"/>
    <mergeCell ref="B8:AM8"/>
    <mergeCell ref="B324:I324"/>
    <mergeCell ref="W147:Y147"/>
    <mergeCell ref="AL187:AM187"/>
    <mergeCell ref="P84:U84"/>
    <mergeCell ref="V84:Z84"/>
    <mergeCell ref="AB84:AK84"/>
    <mergeCell ref="AL84:AM84"/>
    <mergeCell ref="K83:N83"/>
    <mergeCell ref="AB83:AK83"/>
    <mergeCell ref="AL83:AM83"/>
    <mergeCell ref="B84:J84"/>
    <mergeCell ref="K84:N84"/>
    <mergeCell ref="B78:L78"/>
    <mergeCell ref="AL178:AM178"/>
    <mergeCell ref="AA119:AC119"/>
    <mergeCell ref="H118:L118"/>
    <mergeCell ref="D282:AK282"/>
    <mergeCell ref="E318:AM318"/>
    <mergeCell ref="E264:M264"/>
    <mergeCell ref="R316:AI316"/>
    <mergeCell ref="E273:K273"/>
    <mergeCell ref="AF231:AK231"/>
    <mergeCell ref="D276:AK276"/>
    <mergeCell ref="AL33:AM33"/>
    <mergeCell ref="AH158:AJ158"/>
    <mergeCell ref="W275:AH275"/>
    <mergeCell ref="T30:U30"/>
    <mergeCell ref="AJ34:AK34"/>
    <mergeCell ref="G309:AI309"/>
    <mergeCell ref="AJ300:AM300"/>
    <mergeCell ref="V255:Z255"/>
    <mergeCell ref="AK2:AM2"/>
    <mergeCell ref="N178:AE178"/>
    <mergeCell ref="AB17:AD17"/>
    <mergeCell ref="N144:AE144"/>
    <mergeCell ref="D42:AK42"/>
    <mergeCell ref="AF129:AK129"/>
    <mergeCell ref="K50:L50"/>
    <mergeCell ref="X37:Y37"/>
    <mergeCell ref="Z37:AA37"/>
    <mergeCell ref="AD118:AE118"/>
    <mergeCell ref="H35:I35"/>
    <mergeCell ref="J34:K34"/>
    <mergeCell ref="P36:Q36"/>
    <mergeCell ref="AL57:AM57"/>
    <mergeCell ref="R36:S36"/>
    <mergeCell ref="H36:I36"/>
    <mergeCell ref="E124:M124"/>
    <mergeCell ref="J36:K36"/>
    <mergeCell ref="AL77:AM77"/>
    <mergeCell ref="F33:G33"/>
    <mergeCell ref="D38:E38"/>
    <mergeCell ref="V46:W46"/>
    <mergeCell ref="E123:M123"/>
    <mergeCell ref="D11:AM11"/>
    <mergeCell ref="D95:AK95"/>
    <mergeCell ref="AD114:AE114"/>
    <mergeCell ref="F133:AM133"/>
    <mergeCell ref="AH33:AI33"/>
    <mergeCell ref="T49:U49"/>
    <mergeCell ref="V51:AC51"/>
    <mergeCell ref="AH151:AJ151"/>
    <mergeCell ref="R39:S39"/>
    <mergeCell ref="E315:AM315"/>
    <mergeCell ref="R33:S33"/>
    <mergeCell ref="G305:AK305"/>
    <mergeCell ref="N202:AE202"/>
    <mergeCell ref="D64:K64"/>
    <mergeCell ref="D65:K65"/>
    <mergeCell ref="N206:O206"/>
    <mergeCell ref="Q118:S118"/>
    <mergeCell ref="AF162:AG162"/>
    <mergeCell ref="AF156:AG156"/>
    <mergeCell ref="F301:AI301"/>
    <mergeCell ref="E314:AM314"/>
    <mergeCell ref="AK289:AM289"/>
    <mergeCell ref="AJ310:AM310"/>
    <mergeCell ref="AF262:AK262"/>
    <mergeCell ref="E242:AK242"/>
    <mergeCell ref="AL202:AM202"/>
    <mergeCell ref="E284:AM284"/>
    <mergeCell ref="AH34:AI34"/>
    <mergeCell ref="AD45:AE45"/>
    <mergeCell ref="AB49:AC49"/>
    <mergeCell ref="N35:O35"/>
    <mergeCell ref="G307:AI307"/>
    <mergeCell ref="D272:AM272"/>
    <mergeCell ref="AL297:AM297"/>
    <mergeCell ref="G306:AK306"/>
    <mergeCell ref="P233:Z233"/>
    <mergeCell ref="AD47:AE47"/>
    <mergeCell ref="AA233:AB233"/>
    <mergeCell ref="F216:AK216"/>
    <mergeCell ref="AL204:AM204"/>
    <mergeCell ref="F293:AI293"/>
    <mergeCell ref="AK3:AM3"/>
    <mergeCell ref="AK5:AM5"/>
    <mergeCell ref="AL145:AM145"/>
    <mergeCell ref="B203:D203"/>
    <mergeCell ref="AA114:AC114"/>
    <mergeCell ref="F110:AK110"/>
    <mergeCell ref="X20:Z20"/>
    <mergeCell ref="D25:AK25"/>
    <mergeCell ref="X14:Z14"/>
    <mergeCell ref="J29:M29"/>
    <mergeCell ref="V32:W32"/>
    <mergeCell ref="AD30:AE30"/>
    <mergeCell ref="AF30:AG30"/>
    <mergeCell ref="AF31:AG31"/>
    <mergeCell ref="P92:AM92"/>
    <mergeCell ref="AF150:AG150"/>
    <mergeCell ref="AK118:AM118"/>
    <mergeCell ref="D27:AK27"/>
    <mergeCell ref="AD31:AE31"/>
    <mergeCell ref="L37:M37"/>
    <mergeCell ref="F35:G35"/>
    <mergeCell ref="T112:W112"/>
    <mergeCell ref="C119:G119"/>
    <mergeCell ref="AF33:AG33"/>
    <mergeCell ref="Q122:S122"/>
    <mergeCell ref="F190:AM190"/>
    <mergeCell ref="AL188:AM188"/>
    <mergeCell ref="G171:AJ171"/>
    <mergeCell ref="H173:AK173"/>
    <mergeCell ref="AB201:AC201"/>
    <mergeCell ref="F142:AK142"/>
    <mergeCell ref="AL54:AM54"/>
    <mergeCell ref="F180:AM180"/>
    <mergeCell ref="Z149:AB149"/>
    <mergeCell ref="AC160:AE160"/>
    <mergeCell ref="Q116:S116"/>
    <mergeCell ref="AC151:AE151"/>
    <mergeCell ref="F186:AK186"/>
    <mergeCell ref="G200:AK200"/>
    <mergeCell ref="G214:AK214"/>
    <mergeCell ref="F225:V225"/>
    <mergeCell ref="AH156:AJ156"/>
    <mergeCell ref="AK155:AM155"/>
    <mergeCell ref="AF121:AG121"/>
    <mergeCell ref="AK158:AM158"/>
    <mergeCell ref="AC155:AE155"/>
    <mergeCell ref="AH119:AJ119"/>
    <mergeCell ref="AK120:AM120"/>
    <mergeCell ref="C117:G117"/>
    <mergeCell ref="T118:W118"/>
    <mergeCell ref="AC137:AD137"/>
    <mergeCell ref="H119:L119"/>
    <mergeCell ref="AF123:AK123"/>
    <mergeCell ref="C122:G122"/>
    <mergeCell ref="AD139:AE139"/>
    <mergeCell ref="X122:Z122"/>
    <mergeCell ref="C151:H151"/>
    <mergeCell ref="AK117:AM117"/>
    <mergeCell ref="AK116:AM116"/>
    <mergeCell ref="C118:G118"/>
    <mergeCell ref="N118:P118"/>
    <mergeCell ref="W148:Y148"/>
    <mergeCell ref="F191:AM191"/>
    <mergeCell ref="H117:L117"/>
    <mergeCell ref="E321:AM321"/>
    <mergeCell ref="AF161:AG161"/>
    <mergeCell ref="AC156:AE156"/>
    <mergeCell ref="AF230:AK230"/>
    <mergeCell ref="AJ281:AM281"/>
    <mergeCell ref="N125:AE125"/>
    <mergeCell ref="S158:V158"/>
    <mergeCell ref="AL205:AM205"/>
    <mergeCell ref="M233:N233"/>
    <mergeCell ref="X252:Z252"/>
    <mergeCell ref="E237:AK237"/>
    <mergeCell ref="E145:M145"/>
    <mergeCell ref="E316:P316"/>
    <mergeCell ref="AI275:AM275"/>
    <mergeCell ref="F302:AM302"/>
    <mergeCell ref="AJ307:AM307"/>
    <mergeCell ref="E313:AI313"/>
    <mergeCell ref="F299:AI299"/>
    <mergeCell ref="E215:M215"/>
    <mergeCell ref="F312:AI312"/>
    <mergeCell ref="AJ293:AM293"/>
    <mergeCell ref="AA310:AI310"/>
    <mergeCell ref="O154:R154"/>
    <mergeCell ref="G213:AK213"/>
    <mergeCell ref="J248:AK248"/>
    <mergeCell ref="P252:W252"/>
    <mergeCell ref="E189:M189"/>
    <mergeCell ref="G194:AK194"/>
    <mergeCell ref="AL304:AM304"/>
    <mergeCell ref="F246:AM246"/>
    <mergeCell ref="AH157:AJ157"/>
    <mergeCell ref="G199:AK199"/>
    <mergeCell ref="AJ312:AM312"/>
    <mergeCell ref="E317:AM317"/>
    <mergeCell ref="E320:AM320"/>
    <mergeCell ref="AJ311:AM311"/>
    <mergeCell ref="D281:AI281"/>
    <mergeCell ref="AL260:AM260"/>
    <mergeCell ref="AF143:AK143"/>
    <mergeCell ref="AL203:AM203"/>
    <mergeCell ref="AL306:AM306"/>
    <mergeCell ref="AL263:AM263"/>
    <mergeCell ref="B256:J256"/>
    <mergeCell ref="G288:AM288"/>
    <mergeCell ref="F286:AM286"/>
    <mergeCell ref="AJ299:AM299"/>
    <mergeCell ref="H174:AK174"/>
    <mergeCell ref="AL228:AM228"/>
    <mergeCell ref="N231:AE231"/>
    <mergeCell ref="AB256:AJ256"/>
    <mergeCell ref="AC161:AE161"/>
    <mergeCell ref="I155:M155"/>
    <mergeCell ref="I157:M157"/>
    <mergeCell ref="AC158:AE158"/>
    <mergeCell ref="Z154:AB154"/>
    <mergeCell ref="O152:R152"/>
    <mergeCell ref="E292:AM292"/>
    <mergeCell ref="N210:AE210"/>
    <mergeCell ref="E210:M210"/>
    <mergeCell ref="Q206:AA206"/>
    <mergeCell ref="N273:O273"/>
    <mergeCell ref="AL234:AM234"/>
    <mergeCell ref="D271:G271"/>
    <mergeCell ref="F311:AI311"/>
    <mergeCell ref="AB4:AJ4"/>
    <mergeCell ref="Q117:S117"/>
    <mergeCell ref="M46:S46"/>
    <mergeCell ref="N121:P121"/>
    <mergeCell ref="H30:I30"/>
    <mergeCell ref="AF111:AG111"/>
    <mergeCell ref="N115:P115"/>
    <mergeCell ref="N38:O38"/>
    <mergeCell ref="F30:G30"/>
    <mergeCell ref="R37:S37"/>
    <mergeCell ref="AB21:AD21"/>
    <mergeCell ref="F38:G38"/>
    <mergeCell ref="AB31:AC31"/>
    <mergeCell ref="J30:K30"/>
    <mergeCell ref="L36:M36"/>
    <mergeCell ref="F36:G36"/>
    <mergeCell ref="N33:O33"/>
    <mergeCell ref="T120:W120"/>
    <mergeCell ref="R32:S32"/>
    <mergeCell ref="AB20:AD20"/>
    <mergeCell ref="N111:P112"/>
    <mergeCell ref="AD117:AE117"/>
    <mergeCell ref="AC107:AD107"/>
    <mergeCell ref="X46:Y46"/>
    <mergeCell ref="Z46:AA46"/>
    <mergeCell ref="AB80:AK80"/>
    <mergeCell ref="D67:K67"/>
    <mergeCell ref="L66:S66"/>
    <mergeCell ref="L67:S67"/>
    <mergeCell ref="E58:AK58"/>
    <mergeCell ref="M51:S51"/>
    <mergeCell ref="AB16:AD16"/>
    <mergeCell ref="AK157:AM157"/>
    <mergeCell ref="AL125:AM125"/>
    <mergeCell ref="AC150:AE150"/>
    <mergeCell ref="N114:P114"/>
    <mergeCell ref="S147:V147"/>
    <mergeCell ref="C154:H154"/>
    <mergeCell ref="AA116:AC116"/>
    <mergeCell ref="F138:AK138"/>
    <mergeCell ref="N122:P122"/>
    <mergeCell ref="O146:R147"/>
    <mergeCell ref="AD122:AE122"/>
    <mergeCell ref="S156:V156"/>
    <mergeCell ref="C114:G114"/>
    <mergeCell ref="AK119:AM119"/>
    <mergeCell ref="AF148:AG148"/>
    <mergeCell ref="AL129:AM129"/>
    <mergeCell ref="E143:M143"/>
    <mergeCell ref="AL134:AM134"/>
    <mergeCell ref="AD116:AE116"/>
    <mergeCell ref="AK156:AM156"/>
    <mergeCell ref="AF154:AG154"/>
    <mergeCell ref="C156:H156"/>
    <mergeCell ref="T115:W115"/>
    <mergeCell ref="O148:R148"/>
    <mergeCell ref="N119:P119"/>
    <mergeCell ref="F135:AK135"/>
    <mergeCell ref="B144:D144"/>
    <mergeCell ref="B125:D125"/>
    <mergeCell ref="AL208:AM208"/>
    <mergeCell ref="AF126:AK126"/>
    <mergeCell ref="AC157:AE157"/>
    <mergeCell ref="AL95:AM95"/>
    <mergeCell ref="E99:AM99"/>
    <mergeCell ref="E57:AK57"/>
    <mergeCell ref="K49:L49"/>
    <mergeCell ref="X48:Y48"/>
    <mergeCell ref="AD50:AE50"/>
    <mergeCell ref="C47:J47"/>
    <mergeCell ref="P83:Z83"/>
    <mergeCell ref="AL36:AM36"/>
    <mergeCell ref="E203:M203"/>
    <mergeCell ref="F137:O137"/>
    <mergeCell ref="O157:R157"/>
    <mergeCell ref="E126:M126"/>
    <mergeCell ref="AH114:AJ114"/>
    <mergeCell ref="Q114:S114"/>
    <mergeCell ref="F139:O139"/>
    <mergeCell ref="AH121:AJ121"/>
    <mergeCell ref="H120:L120"/>
    <mergeCell ref="AH162:AJ162"/>
    <mergeCell ref="C160:H160"/>
    <mergeCell ref="AK160:AM160"/>
    <mergeCell ref="F106:AK106"/>
    <mergeCell ref="T121:W121"/>
    <mergeCell ref="C161:H161"/>
    <mergeCell ref="AA121:AC121"/>
    <mergeCell ref="W155:Y155"/>
    <mergeCell ref="X116:Z116"/>
    <mergeCell ref="AF114:AG114"/>
    <mergeCell ref="AA113:AC113"/>
    <mergeCell ref="AF151:AG151"/>
    <mergeCell ref="F141:AK141"/>
    <mergeCell ref="AF76:AK76"/>
    <mergeCell ref="F136:AM136"/>
    <mergeCell ref="AH120:AJ120"/>
    <mergeCell ref="C113:G113"/>
    <mergeCell ref="D91:AK91"/>
    <mergeCell ref="AL76:AM76"/>
    <mergeCell ref="AL144:AM144"/>
    <mergeCell ref="AH122:AJ122"/>
    <mergeCell ref="X113:Z113"/>
    <mergeCell ref="AL94:AM94"/>
    <mergeCell ref="X111:Z111"/>
    <mergeCell ref="E88:AK88"/>
    <mergeCell ref="AD119:AE119"/>
    <mergeCell ref="B129:D129"/>
    <mergeCell ref="AC149:AE149"/>
    <mergeCell ref="Z148:AB148"/>
    <mergeCell ref="I148:M148"/>
    <mergeCell ref="I150:M150"/>
    <mergeCell ref="AF146:AG146"/>
    <mergeCell ref="S149:V149"/>
    <mergeCell ref="N145:AE145"/>
    <mergeCell ref="X81:Z81"/>
    <mergeCell ref="AL103:AM103"/>
    <mergeCell ref="AF119:AG119"/>
    <mergeCell ref="AD113:AE113"/>
    <mergeCell ref="AF117:AG117"/>
    <mergeCell ref="I151:M151"/>
    <mergeCell ref="N126:AE126"/>
    <mergeCell ref="T113:W113"/>
    <mergeCell ref="AD109:AE109"/>
    <mergeCell ref="D275:P275"/>
    <mergeCell ref="W273:Y273"/>
    <mergeCell ref="AF264:AK264"/>
    <mergeCell ref="L273:M273"/>
    <mergeCell ref="AL79:AM79"/>
    <mergeCell ref="C148:H148"/>
    <mergeCell ref="Z153:AB153"/>
    <mergeCell ref="AC154:AE154"/>
    <mergeCell ref="AL110:AM110"/>
    <mergeCell ref="AK121:AM121"/>
    <mergeCell ref="T111:W111"/>
    <mergeCell ref="F103:AK103"/>
    <mergeCell ref="H114:L114"/>
    <mergeCell ref="F100:AM100"/>
    <mergeCell ref="X112:Z112"/>
    <mergeCell ref="AL266:AM266"/>
    <mergeCell ref="C153:H153"/>
    <mergeCell ref="Z159:AB159"/>
    <mergeCell ref="Z162:AB162"/>
    <mergeCell ref="O162:R162"/>
    <mergeCell ref="AL171:AM171"/>
    <mergeCell ref="AL186:AM186"/>
    <mergeCell ref="AL264:AM264"/>
    <mergeCell ref="AL239:AM239"/>
    <mergeCell ref="F227:AK227"/>
    <mergeCell ref="N263:AE263"/>
    <mergeCell ref="AF263:AK263"/>
    <mergeCell ref="Z160:AB160"/>
    <mergeCell ref="W157:Y157"/>
    <mergeCell ref="AF144:AK144"/>
    <mergeCell ref="AL219:AM219"/>
    <mergeCell ref="N120:P120"/>
    <mergeCell ref="F296:AK296"/>
    <mergeCell ref="F297:AK297"/>
    <mergeCell ref="C149:H149"/>
    <mergeCell ref="G303:AK303"/>
    <mergeCell ref="G287:AM287"/>
    <mergeCell ref="S274:U274"/>
    <mergeCell ref="G195:AK195"/>
    <mergeCell ref="O153:R153"/>
    <mergeCell ref="D278:AE278"/>
    <mergeCell ref="Q273:R273"/>
    <mergeCell ref="G308:AI308"/>
    <mergeCell ref="AK268:AM268"/>
    <mergeCell ref="E261:AM261"/>
    <mergeCell ref="AK290:AM290"/>
    <mergeCell ref="D266:AK266"/>
    <mergeCell ref="F298:AK298"/>
    <mergeCell ref="K253:N253"/>
    <mergeCell ref="D270:L270"/>
    <mergeCell ref="F220:AM220"/>
    <mergeCell ref="AF219:AK219"/>
    <mergeCell ref="AL258:AM258"/>
    <mergeCell ref="AB252:AK252"/>
    <mergeCell ref="E230:M230"/>
    <mergeCell ref="AL182:AM182"/>
    <mergeCell ref="S154:V154"/>
    <mergeCell ref="AF155:AG155"/>
    <mergeCell ref="I156:M156"/>
    <mergeCell ref="AH153:AJ153"/>
    <mergeCell ref="AL250:AM250"/>
    <mergeCell ref="N203:AE203"/>
    <mergeCell ref="F169:Y169"/>
    <mergeCell ref="B250:J250"/>
    <mergeCell ref="B183:D183"/>
    <mergeCell ref="S162:V162"/>
    <mergeCell ref="F134:AK134"/>
    <mergeCell ref="AL211:AM211"/>
    <mergeCell ref="C150:H150"/>
    <mergeCell ref="AL209:AM209"/>
    <mergeCell ref="AL210:AM210"/>
    <mergeCell ref="AF203:AK203"/>
    <mergeCell ref="AK151:AM151"/>
    <mergeCell ref="W161:Y161"/>
    <mergeCell ref="C155:H155"/>
    <mergeCell ref="B123:D123"/>
    <mergeCell ref="F29:I29"/>
    <mergeCell ref="X18:Z18"/>
    <mergeCell ref="AB28:AC28"/>
    <mergeCell ref="AB13:AD14"/>
    <mergeCell ref="AJ31:AK31"/>
    <mergeCell ref="X15:Z15"/>
    <mergeCell ref="F131:Z131"/>
    <mergeCell ref="S155:V155"/>
    <mergeCell ref="J35:K35"/>
    <mergeCell ref="E125:M125"/>
    <mergeCell ref="K48:L48"/>
    <mergeCell ref="AJ39:AK39"/>
    <mergeCell ref="AK115:AM115"/>
    <mergeCell ref="W154:Y154"/>
    <mergeCell ref="J37:K37"/>
    <mergeCell ref="D26:AK26"/>
    <mergeCell ref="C50:J50"/>
    <mergeCell ref="B124:D124"/>
    <mergeCell ref="AD59:AJ59"/>
    <mergeCell ref="L68:S68"/>
    <mergeCell ref="AD121:AE121"/>
    <mergeCell ref="AL10:AM10"/>
    <mergeCell ref="X121:Z121"/>
    <mergeCell ref="E18:W18"/>
    <mergeCell ref="D32:E32"/>
    <mergeCell ref="X47:Y47"/>
    <mergeCell ref="F32:G32"/>
    <mergeCell ref="X32:Y32"/>
    <mergeCell ref="D54:AK54"/>
    <mergeCell ref="F104:AK104"/>
    <mergeCell ref="R35:S35"/>
    <mergeCell ref="X34:Y34"/>
    <mergeCell ref="M49:S49"/>
    <mergeCell ref="AH39:AI39"/>
    <mergeCell ref="E14:W14"/>
    <mergeCell ref="E17:W17"/>
    <mergeCell ref="X31:Y31"/>
    <mergeCell ref="AB19:AD19"/>
    <mergeCell ref="D29:E29"/>
    <mergeCell ref="N29:Q29"/>
    <mergeCell ref="D14:D20"/>
    <mergeCell ref="D24:AK24"/>
    <mergeCell ref="E16:W16"/>
    <mergeCell ref="T67:AA67"/>
    <mergeCell ref="AB69:AI69"/>
    <mergeCell ref="AB68:AI68"/>
    <mergeCell ref="AL89:AM89"/>
    <mergeCell ref="AH115:AJ115"/>
    <mergeCell ref="B81:J81"/>
    <mergeCell ref="K81:N81"/>
    <mergeCell ref="AA115:AC115"/>
    <mergeCell ref="AA111:AC112"/>
    <mergeCell ref="C10:AK10"/>
    <mergeCell ref="L35:M35"/>
    <mergeCell ref="C116:G116"/>
    <mergeCell ref="I158:M158"/>
    <mergeCell ref="AF38:AG38"/>
    <mergeCell ref="L34:M34"/>
    <mergeCell ref="T46:U46"/>
    <mergeCell ref="AB37:AC37"/>
    <mergeCell ref="AL164:AM164"/>
    <mergeCell ref="D37:E37"/>
    <mergeCell ref="E129:M129"/>
    <mergeCell ref="AH161:AJ161"/>
    <mergeCell ref="W152:Y152"/>
    <mergeCell ref="O151:R151"/>
    <mergeCell ref="AF149:AG149"/>
    <mergeCell ref="AL135:AM135"/>
    <mergeCell ref="AK146:AM147"/>
    <mergeCell ref="T69:AA69"/>
    <mergeCell ref="AD51:AE51"/>
    <mergeCell ref="T65:AA65"/>
    <mergeCell ref="T47:U47"/>
    <mergeCell ref="K47:L47"/>
    <mergeCell ref="C46:J46"/>
    <mergeCell ref="AH37:AI37"/>
    <mergeCell ref="AF35:AG35"/>
    <mergeCell ref="AD60:AJ60"/>
    <mergeCell ref="AL42:AM42"/>
    <mergeCell ref="AH149:AJ149"/>
    <mergeCell ref="C115:G115"/>
    <mergeCell ref="N113:P113"/>
    <mergeCell ref="W151:Y151"/>
    <mergeCell ref="AE21:AM21"/>
    <mergeCell ref="S161:V161"/>
    <mergeCell ref="F132:AM132"/>
    <mergeCell ref="H37:I37"/>
    <mergeCell ref="AL24:AM24"/>
    <mergeCell ref="F248:I248"/>
    <mergeCell ref="F108:AK108"/>
    <mergeCell ref="D164:AK164"/>
    <mergeCell ref="F34:G34"/>
    <mergeCell ref="AJ37:AK37"/>
    <mergeCell ref="J38:K38"/>
    <mergeCell ref="AK114:AM114"/>
    <mergeCell ref="S157:V157"/>
    <mergeCell ref="X118:Z118"/>
    <mergeCell ref="N189:AE189"/>
    <mergeCell ref="AL140:AM140"/>
    <mergeCell ref="F182:AK182"/>
    <mergeCell ref="E209:M209"/>
    <mergeCell ref="AH146:AJ147"/>
    <mergeCell ref="F228:AK228"/>
    <mergeCell ref="AL195:AM195"/>
    <mergeCell ref="F31:G31"/>
    <mergeCell ref="V50:W50"/>
    <mergeCell ref="X44:Y44"/>
    <mergeCell ref="D93:L93"/>
    <mergeCell ref="I149:M149"/>
    <mergeCell ref="V37:W37"/>
    <mergeCell ref="AB81:AK81"/>
    <mergeCell ref="AL88:AM88"/>
    <mergeCell ref="T68:AA68"/>
    <mergeCell ref="T63:AA63"/>
    <mergeCell ref="T64:AA64"/>
    <mergeCell ref="AH36:AI36"/>
    <mergeCell ref="D21:W21"/>
    <mergeCell ref="P137:AB137"/>
    <mergeCell ref="W150:Y150"/>
    <mergeCell ref="E98:AM98"/>
    <mergeCell ref="Z39:AA39"/>
    <mergeCell ref="AB39:AC39"/>
    <mergeCell ref="T44:U44"/>
    <mergeCell ref="AB46:AC46"/>
    <mergeCell ref="T45:U45"/>
    <mergeCell ref="D35:E35"/>
    <mergeCell ref="H111:L112"/>
    <mergeCell ref="T66:AA66"/>
    <mergeCell ref="V49:W49"/>
    <mergeCell ref="M48:S48"/>
    <mergeCell ref="L38:M38"/>
    <mergeCell ref="N30:O30"/>
    <mergeCell ref="C45:J45"/>
    <mergeCell ref="H113:L113"/>
    <mergeCell ref="Q111:S112"/>
    <mergeCell ref="T39:U39"/>
    <mergeCell ref="AF37:AG37"/>
    <mergeCell ref="N32:O32"/>
    <mergeCell ref="AB45:AC45"/>
    <mergeCell ref="AJ36:AK36"/>
    <mergeCell ref="AF36:AG36"/>
    <mergeCell ref="N39:O39"/>
    <mergeCell ref="D92:O92"/>
    <mergeCell ref="P39:Q39"/>
    <mergeCell ref="AH113:AJ113"/>
    <mergeCell ref="Z32:AA32"/>
    <mergeCell ref="AD33:AE33"/>
    <mergeCell ref="X120:Z120"/>
    <mergeCell ref="F192:AM192"/>
    <mergeCell ref="B29:C39"/>
    <mergeCell ref="AL138:AM138"/>
    <mergeCell ref="B202:D202"/>
    <mergeCell ref="AF122:AG122"/>
    <mergeCell ref="F185:AK185"/>
    <mergeCell ref="F187:AK187"/>
    <mergeCell ref="D68:K68"/>
    <mergeCell ref="D69:S69"/>
    <mergeCell ref="T36:U36"/>
    <mergeCell ref="C51:J51"/>
    <mergeCell ref="AB34:AC34"/>
    <mergeCell ref="T34:U34"/>
    <mergeCell ref="AL35:AM35"/>
    <mergeCell ref="AL37:AM37"/>
    <mergeCell ref="T114:W114"/>
    <mergeCell ref="T50:U50"/>
    <mergeCell ref="K51:L51"/>
    <mergeCell ref="AJ30:AK30"/>
    <mergeCell ref="V34:W34"/>
    <mergeCell ref="Z31:AA31"/>
    <mergeCell ref="N124:AE124"/>
    <mergeCell ref="L33:M33"/>
    <mergeCell ref="K45:L45"/>
    <mergeCell ref="P109:AC109"/>
    <mergeCell ref="D39:E39"/>
    <mergeCell ref="X33:Y33"/>
    <mergeCell ref="Q120:S120"/>
    <mergeCell ref="V38:W38"/>
    <mergeCell ref="AD29:AG29"/>
    <mergeCell ref="AL29:AM30"/>
    <mergeCell ref="AL198:AM198"/>
    <mergeCell ref="AK113:AM113"/>
    <mergeCell ref="T38:U38"/>
    <mergeCell ref="AD49:AE49"/>
    <mergeCell ref="V39:W39"/>
    <mergeCell ref="H33:I33"/>
    <mergeCell ref="J33:K33"/>
    <mergeCell ref="Z50:AA50"/>
    <mergeCell ref="K46:L46"/>
    <mergeCell ref="Z47:AA47"/>
    <mergeCell ref="V47:W47"/>
    <mergeCell ref="C48:J48"/>
    <mergeCell ref="AH38:AI38"/>
    <mergeCell ref="Z44:AA44"/>
    <mergeCell ref="AL32:AM32"/>
    <mergeCell ref="D34:E34"/>
    <mergeCell ref="AJ38:AK38"/>
    <mergeCell ref="X36:Y36"/>
    <mergeCell ref="H32:I32"/>
    <mergeCell ref="X35:Y35"/>
    <mergeCell ref="H38:I38"/>
    <mergeCell ref="Z33:AA33"/>
    <mergeCell ref="AB33:AC33"/>
    <mergeCell ref="P32:Q32"/>
    <mergeCell ref="D43:AK43"/>
    <mergeCell ref="Q113:S113"/>
    <mergeCell ref="AB48:AC48"/>
    <mergeCell ref="AB32:AC32"/>
    <mergeCell ref="V33:W33"/>
    <mergeCell ref="AH32:AI32"/>
    <mergeCell ref="J32:K32"/>
    <mergeCell ref="AF32:AG32"/>
    <mergeCell ref="Z48:AA48"/>
    <mergeCell ref="AL41:AM41"/>
    <mergeCell ref="P35:Q35"/>
    <mergeCell ref="D41:AG41"/>
    <mergeCell ref="H39:I39"/>
    <mergeCell ref="AL106:AM106"/>
    <mergeCell ref="Z36:AA36"/>
    <mergeCell ref="J39:K39"/>
    <mergeCell ref="E97:AM97"/>
    <mergeCell ref="D63:K63"/>
    <mergeCell ref="Z30:AA30"/>
    <mergeCell ref="AB30:AC30"/>
    <mergeCell ref="H31:I31"/>
    <mergeCell ref="N31:O31"/>
    <mergeCell ref="T32:U32"/>
    <mergeCell ref="X30:Y30"/>
    <mergeCell ref="AF112:AG112"/>
    <mergeCell ref="L32:M32"/>
    <mergeCell ref="AD37:AE37"/>
    <mergeCell ref="T33:U33"/>
    <mergeCell ref="N37:O37"/>
    <mergeCell ref="L39:M39"/>
    <mergeCell ref="AH31:AI31"/>
    <mergeCell ref="P31:Q31"/>
    <mergeCell ref="F102:AM102"/>
    <mergeCell ref="E96:AM96"/>
    <mergeCell ref="L30:M30"/>
    <mergeCell ref="R30:S30"/>
    <mergeCell ref="AL31:AM31"/>
    <mergeCell ref="V31:W31"/>
    <mergeCell ref="P30:Q30"/>
    <mergeCell ref="R34:S34"/>
    <mergeCell ref="L65:S65"/>
  </mergeCells>
  <conditionalFormatting sqref="AC160:AC162">
    <cfRule type="expression" dxfId="604" priority="432">
      <formula>$AH$113="FALSE"</formula>
    </cfRule>
  </conditionalFormatting>
  <conditionalFormatting sqref="AD113:AJ122 AD123:AE125 AF148:AJ162">
    <cfRule type="cellIs" dxfId="603" priority="428" operator="equal">
      <formula>FALSE</formula>
    </cfRule>
    <cfRule type="cellIs" dxfId="602" priority="429" operator="equal">
      <formula>TRUE</formula>
    </cfRule>
  </conditionalFormatting>
  <conditionalFormatting sqref="W148 X113:Z113 X119:Z125">
    <cfRule type="expression" dxfId="601" priority="416">
      <formula>W113=""</formula>
    </cfRule>
    <cfRule type="expression" dxfId="600" priority="418">
      <formula>(W113=FALSE)</formula>
    </cfRule>
    <cfRule type="cellIs" dxfId="599" priority="427" operator="equal">
      <formula>TRUE</formula>
    </cfRule>
  </conditionalFormatting>
  <conditionalFormatting sqref="AK113:AM113">
    <cfRule type="expression" dxfId="598" priority="415">
      <formula>$AH$113="FALSE"</formula>
    </cfRule>
  </conditionalFormatting>
  <conditionalFormatting sqref="AK148:AM148">
    <cfRule type="expression" dxfId="597" priority="407">
      <formula>$AH$113="FALSE"</formula>
    </cfRule>
  </conditionalFormatting>
  <conditionalFormatting sqref="AC159">
    <cfRule type="expression" dxfId="596" priority="348">
      <formula>$AH$113="FALSE"</formula>
    </cfRule>
  </conditionalFormatting>
  <conditionalFormatting sqref="AD129:AE129">
    <cfRule type="cellIs" dxfId="595" priority="342" operator="equal">
      <formula>FALSE</formula>
    </cfRule>
    <cfRule type="cellIs" dxfId="594" priority="343" operator="equal">
      <formula>TRUE</formula>
    </cfRule>
  </conditionalFormatting>
  <conditionalFormatting sqref="X129:Z129">
    <cfRule type="expression" dxfId="593" priority="339">
      <formula>X129=""</formula>
    </cfRule>
    <cfRule type="expression" dxfId="592" priority="340">
      <formula>(X129=FALSE)</formula>
    </cfRule>
    <cfRule type="cellIs" dxfId="591" priority="341" operator="equal">
      <formula>TRUE</formula>
    </cfRule>
  </conditionalFormatting>
  <conditionalFormatting sqref="AL178 AL183 AL215 AL278:AL279">
    <cfRule type="cellIs" dxfId="590" priority="314" operator="equal">
      <formula>"No"</formula>
    </cfRule>
  </conditionalFormatting>
  <conditionalFormatting sqref="AA118:AC118">
    <cfRule type="expression" dxfId="589" priority="293">
      <formula>$AH$113="FALSE"</formula>
    </cfRule>
  </conditionalFormatting>
  <conditionalFormatting sqref="X118:Z118">
    <cfRule type="expression" dxfId="588" priority="290">
      <formula>X118=""</formula>
    </cfRule>
    <cfRule type="expression" dxfId="587" priority="291">
      <formula>(X118=FALSE)</formula>
    </cfRule>
    <cfRule type="cellIs" dxfId="586" priority="292" operator="equal">
      <formula>TRUE</formula>
    </cfRule>
  </conditionalFormatting>
  <conditionalFormatting sqref="AL249">
    <cfRule type="cellIs" dxfId="585" priority="289" operator="equal">
      <formula>"No"</formula>
    </cfRule>
  </conditionalFormatting>
  <conditionalFormatting sqref="V255">
    <cfRule type="cellIs" dxfId="584" priority="287" operator="equal">
      <formula>0</formula>
    </cfRule>
  </conditionalFormatting>
  <conditionalFormatting sqref="AL249:AM249">
    <cfRule type="cellIs" dxfId="583" priority="286" operator="equal">
      <formula>"Yes"</formula>
    </cfRule>
  </conditionalFormatting>
  <conditionalFormatting sqref="AL123:AL125">
    <cfRule type="cellIs" dxfId="582" priority="274" operator="equal">
      <formula>"No"</formula>
    </cfRule>
  </conditionalFormatting>
  <conditionalFormatting sqref="AL129">
    <cfRule type="cellIs" dxfId="581" priority="276" operator="equal">
      <formula>"No"</formula>
    </cfRule>
  </conditionalFormatting>
  <conditionalFormatting sqref="AL262">
    <cfRule type="cellIs" dxfId="580" priority="253" operator="equal">
      <formula>"No"</formula>
    </cfRule>
  </conditionalFormatting>
  <conditionalFormatting sqref="H31:I39 L31:M39 P31:Q39 T31:U39 X31:Y39 AB31:AC39 AF31:AG39 AJ31:AK39">
    <cfRule type="cellIs" dxfId="579" priority="243" operator="between">
      <formula>1</formula>
      <formula>30</formula>
    </cfRule>
  </conditionalFormatting>
  <conditionalFormatting sqref="AL63">
    <cfRule type="cellIs" dxfId="578" priority="234" operator="equal">
      <formula>"No"</formula>
    </cfRule>
  </conditionalFormatting>
  <conditionalFormatting sqref="AL95">
    <cfRule type="cellIs" dxfId="577" priority="232" operator="equal">
      <formula>"No"</formula>
    </cfRule>
  </conditionalFormatting>
  <conditionalFormatting sqref="X114:Z114">
    <cfRule type="expression" dxfId="576" priority="228">
      <formula>X114=""</formula>
    </cfRule>
    <cfRule type="expression" dxfId="575" priority="229">
      <formula>(X114=FALSE)</formula>
    </cfRule>
    <cfRule type="cellIs" dxfId="574" priority="230" operator="equal">
      <formula>TRUE</formula>
    </cfRule>
  </conditionalFormatting>
  <conditionalFormatting sqref="AA115:AC115">
    <cfRule type="expression" dxfId="573" priority="227">
      <formula>$AH$113="FALSE"</formula>
    </cfRule>
  </conditionalFormatting>
  <conditionalFormatting sqref="X115:Z115">
    <cfRule type="expression" dxfId="572" priority="224">
      <formula>X115=""</formula>
    </cfRule>
    <cfRule type="expression" dxfId="571" priority="225">
      <formula>(X115=FALSE)</formula>
    </cfRule>
    <cfRule type="cellIs" dxfId="570" priority="226" operator="equal">
      <formula>TRUE</formula>
    </cfRule>
  </conditionalFormatting>
  <conditionalFormatting sqref="AA116:AC116">
    <cfRule type="expression" dxfId="569" priority="223">
      <formula>$AH$113="FALSE"</formula>
    </cfRule>
  </conditionalFormatting>
  <conditionalFormatting sqref="X116:Z116">
    <cfRule type="expression" dxfId="568" priority="220">
      <formula>X116=""</formula>
    </cfRule>
    <cfRule type="expression" dxfId="567" priority="221">
      <formula>(X116=FALSE)</formula>
    </cfRule>
    <cfRule type="cellIs" dxfId="566" priority="222" operator="equal">
      <formula>TRUE</formula>
    </cfRule>
  </conditionalFormatting>
  <conditionalFormatting sqref="AA117:AC117">
    <cfRule type="expression" dxfId="565" priority="219">
      <formula>$AH$113="FALSE"</formula>
    </cfRule>
  </conditionalFormatting>
  <conditionalFormatting sqref="X117:Z117">
    <cfRule type="expression" dxfId="564" priority="216">
      <formula>X117=""</formula>
    </cfRule>
    <cfRule type="expression" dxfId="563" priority="217">
      <formula>(X117=FALSE)</formula>
    </cfRule>
    <cfRule type="cellIs" dxfId="562" priority="218" operator="equal">
      <formula>TRUE</formula>
    </cfRule>
  </conditionalFormatting>
  <conditionalFormatting sqref="AC152">
    <cfRule type="expression" dxfId="561" priority="200">
      <formula>$AH$113="FALSE"</formula>
    </cfRule>
  </conditionalFormatting>
  <conditionalFormatting sqref="AC153">
    <cfRule type="expression" dxfId="560" priority="195">
      <formula>$AH$113="FALSE"</formula>
    </cfRule>
  </conditionalFormatting>
  <conditionalFormatting sqref="AC154">
    <cfRule type="expression" dxfId="559" priority="190">
      <formula>$AH$113="FALSE"</formula>
    </cfRule>
  </conditionalFormatting>
  <conditionalFormatting sqref="AC155">
    <cfRule type="expression" dxfId="558" priority="185">
      <formula>$AH$113="FALSE"</formula>
    </cfRule>
  </conditionalFormatting>
  <conditionalFormatting sqref="AC156">
    <cfRule type="expression" dxfId="557" priority="180">
      <formula>$AH$113="FALSE"</formula>
    </cfRule>
  </conditionalFormatting>
  <conditionalFormatting sqref="AC157">
    <cfRule type="expression" dxfId="556" priority="175">
      <formula>$AH$113="FALSE"</formula>
    </cfRule>
  </conditionalFormatting>
  <conditionalFormatting sqref="AC158">
    <cfRule type="expression" dxfId="555" priority="170">
      <formula>$AH$113="FALSE"</formula>
    </cfRule>
  </conditionalFormatting>
  <conditionalFormatting sqref="AD230:AE230">
    <cfRule type="cellIs" dxfId="554" priority="164" operator="equal">
      <formula>FALSE</formula>
    </cfRule>
    <cfRule type="cellIs" dxfId="553" priority="165" operator="equal">
      <formula>TRUE</formula>
    </cfRule>
  </conditionalFormatting>
  <conditionalFormatting sqref="X230:Z230">
    <cfRule type="expression" dxfId="552" priority="161">
      <formula>X230=""</formula>
    </cfRule>
    <cfRule type="expression" dxfId="551" priority="162">
      <formula>(X230=FALSE)</formula>
    </cfRule>
    <cfRule type="cellIs" dxfId="550" priority="163" operator="equal">
      <formula>TRUE</formula>
    </cfRule>
  </conditionalFormatting>
  <conditionalFormatting sqref="AL230">
    <cfRule type="cellIs" dxfId="549" priority="159" operator="equal">
      <formula>"No"</formula>
    </cfRule>
  </conditionalFormatting>
  <conditionalFormatting sqref="AD231:AE231">
    <cfRule type="cellIs" dxfId="548" priority="157" operator="equal">
      <formula>FALSE</formula>
    </cfRule>
    <cfRule type="cellIs" dxfId="547" priority="158" operator="equal">
      <formula>TRUE</formula>
    </cfRule>
  </conditionalFormatting>
  <conditionalFormatting sqref="X231:Z231">
    <cfRule type="expression" dxfId="546" priority="154">
      <formula>X231=""</formula>
    </cfRule>
    <cfRule type="expression" dxfId="545" priority="155">
      <formula>(X231=FALSE)</formula>
    </cfRule>
    <cfRule type="cellIs" dxfId="544" priority="156" operator="equal">
      <formula>TRUE</formula>
    </cfRule>
  </conditionalFormatting>
  <conditionalFormatting sqref="AL231">
    <cfRule type="cellIs" dxfId="543" priority="152" operator="equal">
      <formula>"No"</formula>
    </cfRule>
  </conditionalFormatting>
  <conditionalFormatting sqref="AD203:AE203">
    <cfRule type="cellIs" dxfId="542" priority="150" operator="equal">
      <formula>FALSE</formula>
    </cfRule>
    <cfRule type="cellIs" dxfId="541" priority="151" operator="equal">
      <formula>TRUE</formula>
    </cfRule>
  </conditionalFormatting>
  <conditionalFormatting sqref="X203:Z203">
    <cfRule type="expression" dxfId="540" priority="147">
      <formula>X203=""</formula>
    </cfRule>
    <cfRule type="expression" dxfId="539" priority="148">
      <formula>(X203=FALSE)</formula>
    </cfRule>
    <cfRule type="cellIs" dxfId="538" priority="149" operator="equal">
      <formula>TRUE</formula>
    </cfRule>
  </conditionalFormatting>
  <conditionalFormatting sqref="AL203">
    <cfRule type="cellIs" dxfId="537" priority="145" operator="equal">
      <formula>"No"</formula>
    </cfRule>
  </conditionalFormatting>
  <conditionalFormatting sqref="AD204:AE204">
    <cfRule type="cellIs" dxfId="536" priority="143" operator="equal">
      <formula>FALSE</formula>
    </cfRule>
    <cfRule type="cellIs" dxfId="535" priority="144" operator="equal">
      <formula>TRUE</formula>
    </cfRule>
  </conditionalFormatting>
  <conditionalFormatting sqref="X204:Z204">
    <cfRule type="expression" dxfId="534" priority="140">
      <formula>X204=""</formula>
    </cfRule>
    <cfRule type="expression" dxfId="533" priority="141">
      <formula>(X204=FALSE)</formula>
    </cfRule>
    <cfRule type="cellIs" dxfId="532" priority="142" operator="equal">
      <formula>TRUE</formula>
    </cfRule>
  </conditionalFormatting>
  <conditionalFormatting sqref="AL204">
    <cfRule type="cellIs" dxfId="531" priority="138" operator="equal">
      <formula>"No"</formula>
    </cfRule>
  </conditionalFormatting>
  <conditionalFormatting sqref="AD210:AE210">
    <cfRule type="cellIs" dxfId="530" priority="136" operator="equal">
      <formula>FALSE</formula>
    </cfRule>
    <cfRule type="cellIs" dxfId="529" priority="137" operator="equal">
      <formula>TRUE</formula>
    </cfRule>
  </conditionalFormatting>
  <conditionalFormatting sqref="X210:Z210">
    <cfRule type="expression" dxfId="528" priority="133">
      <formula>X210=""</formula>
    </cfRule>
    <cfRule type="expression" dxfId="527" priority="134">
      <formula>(X210=FALSE)</formula>
    </cfRule>
    <cfRule type="cellIs" dxfId="526" priority="135" operator="equal">
      <formula>TRUE</formula>
    </cfRule>
  </conditionalFormatting>
  <conditionalFormatting sqref="AL210">
    <cfRule type="cellIs" dxfId="525" priority="131" operator="equal">
      <formula>"No"</formula>
    </cfRule>
  </conditionalFormatting>
  <conditionalFormatting sqref="T45:U50">
    <cfRule type="cellIs" dxfId="524" priority="113" operator="greaterThan">
      <formula>0</formula>
    </cfRule>
  </conditionalFormatting>
  <conditionalFormatting sqref="K45:L50 T45:AC50">
    <cfRule type="cellIs" dxfId="523" priority="111" operator="equal">
      <formula>0</formula>
    </cfRule>
  </conditionalFormatting>
  <conditionalFormatting sqref="AD45:AE51">
    <cfRule type="cellIs" dxfId="522" priority="92" operator="equal">
      <formula>FALSE</formula>
    </cfRule>
    <cfRule type="cellIs" dxfId="521" priority="110" operator="equal">
      <formula>TRUE</formula>
    </cfRule>
  </conditionalFormatting>
  <conditionalFormatting sqref="W149:W162">
    <cfRule type="expression" dxfId="520" priority="103">
      <formula>W149=""</formula>
    </cfRule>
    <cfRule type="expression" dxfId="519" priority="104">
      <formula>(W149=FALSE)</formula>
    </cfRule>
    <cfRule type="cellIs" dxfId="518" priority="105" operator="equal">
      <formula>TRUE</formula>
    </cfRule>
  </conditionalFormatting>
  <conditionalFormatting sqref="Z152:Z162">
    <cfRule type="expression" dxfId="517" priority="102">
      <formula>$AH$113="FALSE"</formula>
    </cfRule>
  </conditionalFormatting>
  <conditionalFormatting sqref="AD219:AE219">
    <cfRule type="cellIs" dxfId="516" priority="100" operator="equal">
      <formula>FALSE</formula>
    </cfRule>
    <cfRule type="cellIs" dxfId="515" priority="101" operator="equal">
      <formula>TRUE</formula>
    </cfRule>
  </conditionalFormatting>
  <conditionalFormatting sqref="X219:Z219">
    <cfRule type="expression" dxfId="514" priority="97">
      <formula>X219=""</formula>
    </cfRule>
    <cfRule type="expression" dxfId="513" priority="98">
      <formula>(X219=FALSE)</formula>
    </cfRule>
    <cfRule type="cellIs" dxfId="512" priority="99" operator="equal">
      <formula>TRUE</formula>
    </cfRule>
  </conditionalFormatting>
  <conditionalFormatting sqref="AL219">
    <cfRule type="cellIs" dxfId="511" priority="95" operator="equal">
      <formula>"No"</formula>
    </cfRule>
  </conditionalFormatting>
  <conditionalFormatting sqref="AL276">
    <cfRule type="cellIs" dxfId="510" priority="93" operator="equal">
      <formula>"No"</formula>
    </cfRule>
  </conditionalFormatting>
  <conditionalFormatting sqref="AL106">
    <cfRule type="cellIs" dxfId="509" priority="90" operator="equal">
      <formula>"No"</formula>
    </cfRule>
  </conditionalFormatting>
  <conditionalFormatting sqref="AD126:AE126">
    <cfRule type="cellIs" dxfId="508" priority="88" operator="equal">
      <formula>FALSE</formula>
    </cfRule>
    <cfRule type="cellIs" dxfId="507" priority="89" operator="equal">
      <formula>TRUE</formula>
    </cfRule>
  </conditionalFormatting>
  <conditionalFormatting sqref="X126:Z126">
    <cfRule type="expression" dxfId="506" priority="85">
      <formula>X126=""</formula>
    </cfRule>
    <cfRule type="expression" dxfId="505" priority="86">
      <formula>(X126=FALSE)</formula>
    </cfRule>
    <cfRule type="cellIs" dxfId="504" priority="87" operator="equal">
      <formula>TRUE</formula>
    </cfRule>
  </conditionalFormatting>
  <conditionalFormatting sqref="AL126">
    <cfRule type="cellIs" dxfId="503" priority="83" operator="equal">
      <formula>"No"</formula>
    </cfRule>
  </conditionalFormatting>
  <conditionalFormatting sqref="AD113:AG113">
    <cfRule type="expression" dxfId="502" priority="82">
      <formula>$C$113=""</formula>
    </cfRule>
  </conditionalFormatting>
  <conditionalFormatting sqref="AD114:AG114">
    <cfRule type="expression" dxfId="501" priority="81">
      <formula>$C$114=""</formula>
    </cfRule>
  </conditionalFormatting>
  <conditionalFormatting sqref="AD115:AG115">
    <cfRule type="expression" dxfId="500" priority="80">
      <formula>$C$115=""</formula>
    </cfRule>
  </conditionalFormatting>
  <conditionalFormatting sqref="AD116:AG116">
    <cfRule type="expression" dxfId="499" priority="79">
      <formula>$C$116=""</formula>
    </cfRule>
  </conditionalFormatting>
  <conditionalFormatting sqref="AD117:AG117">
    <cfRule type="expression" dxfId="498" priority="78">
      <formula>$C$117=""</formula>
    </cfRule>
  </conditionalFormatting>
  <conditionalFormatting sqref="AD118:AG118">
    <cfRule type="expression" dxfId="497" priority="77">
      <formula>$C$118=""</formula>
    </cfRule>
  </conditionalFormatting>
  <conditionalFormatting sqref="AD119:AG119">
    <cfRule type="expression" dxfId="496" priority="76">
      <formula>$C$119=""</formula>
    </cfRule>
  </conditionalFormatting>
  <conditionalFormatting sqref="AD120:AG120">
    <cfRule type="expression" dxfId="495" priority="75">
      <formula>$C$120=""</formula>
    </cfRule>
  </conditionalFormatting>
  <conditionalFormatting sqref="AD121:AG121">
    <cfRule type="expression" dxfId="494" priority="74">
      <formula>$C$121=""</formula>
    </cfRule>
  </conditionalFormatting>
  <conditionalFormatting sqref="AD122:AG122">
    <cfRule type="expression" dxfId="493" priority="73">
      <formula>$C$122=""</formula>
    </cfRule>
  </conditionalFormatting>
  <conditionalFormatting sqref="AF148:AG148">
    <cfRule type="expression" dxfId="492" priority="72">
      <formula>$C$148=""</formula>
    </cfRule>
  </conditionalFormatting>
  <conditionalFormatting sqref="AF149:AG149">
    <cfRule type="expression" dxfId="491" priority="71">
      <formula>$C$149=""</formula>
    </cfRule>
  </conditionalFormatting>
  <conditionalFormatting sqref="AF150:AG150">
    <cfRule type="expression" dxfId="490" priority="70">
      <formula>$C$150=""</formula>
    </cfRule>
  </conditionalFormatting>
  <conditionalFormatting sqref="AF151:AG151">
    <cfRule type="expression" dxfId="489" priority="69">
      <formula>$C$151=""</formula>
    </cfRule>
  </conditionalFormatting>
  <conditionalFormatting sqref="AF152:AG152">
    <cfRule type="expression" dxfId="488" priority="68">
      <formula>$C$152=""</formula>
    </cfRule>
  </conditionalFormatting>
  <conditionalFormatting sqref="AF153:AG153">
    <cfRule type="expression" dxfId="487" priority="67">
      <formula>$C$153=""</formula>
    </cfRule>
  </conditionalFormatting>
  <conditionalFormatting sqref="AF154:AG154">
    <cfRule type="expression" dxfId="486" priority="66">
      <formula>$C$154=""</formula>
    </cfRule>
  </conditionalFormatting>
  <conditionalFormatting sqref="AF155:AG155">
    <cfRule type="expression" dxfId="485" priority="65">
      <formula>$C$155=""</formula>
    </cfRule>
  </conditionalFormatting>
  <conditionalFormatting sqref="AF156:AG156">
    <cfRule type="expression" dxfId="484" priority="64">
      <formula>$C$156=""</formula>
    </cfRule>
  </conditionalFormatting>
  <conditionalFormatting sqref="AF157:AG157">
    <cfRule type="expression" dxfId="483" priority="63">
      <formula>$C$157=""</formula>
    </cfRule>
  </conditionalFormatting>
  <conditionalFormatting sqref="AF158:AG158">
    <cfRule type="expression" dxfId="482" priority="62">
      <formula>$C$158=""</formula>
    </cfRule>
  </conditionalFormatting>
  <conditionalFormatting sqref="AF159:AG159">
    <cfRule type="expression" dxfId="481" priority="61">
      <formula>$C$159=""</formula>
    </cfRule>
  </conditionalFormatting>
  <conditionalFormatting sqref="AF160:AG160">
    <cfRule type="expression" dxfId="480" priority="60">
      <formula>$C$160=""</formula>
    </cfRule>
  </conditionalFormatting>
  <conditionalFormatting sqref="AF161:AG161">
    <cfRule type="expression" dxfId="479" priority="59">
      <formula>$C$161=""</formula>
    </cfRule>
  </conditionalFormatting>
  <conditionalFormatting sqref="AF162:AG162">
    <cfRule type="expression" dxfId="478" priority="58">
      <formula>$C$162=""</formula>
    </cfRule>
  </conditionalFormatting>
  <conditionalFormatting sqref="AA113:AC114">
    <cfRule type="expression" dxfId="477" priority="57">
      <formula>$AH$113="FALSE"</formula>
    </cfRule>
  </conditionalFormatting>
  <conditionalFormatting sqref="Z148:AB148">
    <cfRule type="expression" dxfId="476" priority="56">
      <formula>$AH$112="FALSE"</formula>
    </cfRule>
  </conditionalFormatting>
  <conditionalFormatting sqref="AC148:AE148">
    <cfRule type="expression" dxfId="475" priority="55">
      <formula>$AH$112="FALSE"</formula>
    </cfRule>
  </conditionalFormatting>
  <conditionalFormatting sqref="AL143">
    <cfRule type="cellIs" dxfId="474" priority="51" operator="equal">
      <formula>"No"</formula>
    </cfRule>
  </conditionalFormatting>
  <conditionalFormatting sqref="AD202:AE202">
    <cfRule type="cellIs" dxfId="473" priority="49" operator="equal">
      <formula>FALSE</formula>
    </cfRule>
    <cfRule type="cellIs" dxfId="472" priority="50" operator="equal">
      <formula>TRUE</formula>
    </cfRule>
  </conditionalFormatting>
  <conditionalFormatting sqref="X202:Z202">
    <cfRule type="expression" dxfId="471" priority="46">
      <formula>X202=""</formula>
    </cfRule>
    <cfRule type="expression" dxfId="470" priority="47">
      <formula>(X202=FALSE)</formula>
    </cfRule>
    <cfRule type="cellIs" dxfId="469" priority="48" operator="equal">
      <formula>TRUE</formula>
    </cfRule>
  </conditionalFormatting>
  <conditionalFormatting sqref="AL202">
    <cfRule type="cellIs" dxfId="468" priority="45" operator="equal">
      <formula>"No"</formula>
    </cfRule>
  </conditionalFormatting>
  <conditionalFormatting sqref="AL234">
    <cfRule type="cellIs" dxfId="467" priority="44" operator="equal">
      <formula>"No"</formula>
    </cfRule>
  </conditionalFormatting>
  <conditionalFormatting sqref="AL189">
    <cfRule type="cellIs" dxfId="466" priority="38" operator="equal">
      <formula>"No"</formula>
    </cfRule>
  </conditionalFormatting>
  <conditionalFormatting sqref="AL144:AL145">
    <cfRule type="cellIs" dxfId="465" priority="37" operator="equal">
      <formula>"No"</formula>
    </cfRule>
  </conditionalFormatting>
  <conditionalFormatting sqref="AL184">
    <cfRule type="cellIs" dxfId="464" priority="34" operator="equal">
      <formula>"No"</formula>
    </cfRule>
  </conditionalFormatting>
  <conditionalFormatting sqref="AE16:AM16">
    <cfRule type="cellIs" dxfId="463" priority="30" operator="equal">
      <formula>"Minimum point score NOT achieved"</formula>
    </cfRule>
  </conditionalFormatting>
  <conditionalFormatting sqref="AE18:AM18">
    <cfRule type="cellIs" dxfId="462" priority="29" operator="equal">
      <formula>"Minimum point score NOT achieved"</formula>
    </cfRule>
  </conditionalFormatting>
  <conditionalFormatting sqref="AE21:AM21">
    <cfRule type="cellIs" dxfId="461" priority="28" operator="equal">
      <formula>"Minimum point score NOT achieved"</formula>
    </cfRule>
  </conditionalFormatting>
  <conditionalFormatting sqref="AL76">
    <cfRule type="cellIs" dxfId="460" priority="27" operator="equal">
      <formula>"No"</formula>
    </cfRule>
  </conditionalFormatting>
  <conditionalFormatting sqref="AL173">
    <cfRule type="cellIs" dxfId="459" priority="22" operator="equal">
      <formula>"No"</formula>
    </cfRule>
  </conditionalFormatting>
  <conditionalFormatting sqref="AK75">
    <cfRule type="cellIs" dxfId="458" priority="21" operator="equal">
      <formula>"No"</formula>
    </cfRule>
  </conditionalFormatting>
  <conditionalFormatting sqref="AK75">
    <cfRule type="cellIs" dxfId="457" priority="18" operator="equal">
      <formula>"Yes"</formula>
    </cfRule>
    <cfRule type="cellIs" dxfId="456" priority="19" operator="equal">
      <formula>Yes</formula>
    </cfRule>
    <cfRule type="cellIs" dxfId="455" priority="20" operator="equal">
      <formula>No</formula>
    </cfRule>
  </conditionalFormatting>
  <conditionalFormatting sqref="AL78">
    <cfRule type="cellIs" dxfId="454" priority="17" operator="equal">
      <formula>"No"</formula>
    </cfRule>
  </conditionalFormatting>
  <conditionalFormatting sqref="V84">
    <cfRule type="cellIs" dxfId="453" priority="16" operator="equal">
      <formula>0</formula>
    </cfRule>
  </conditionalFormatting>
  <conditionalFormatting sqref="AL78:AM78">
    <cfRule type="cellIs" dxfId="452" priority="15" operator="equal">
      <formula>"Yes"</formula>
    </cfRule>
  </conditionalFormatting>
  <conditionalFormatting sqref="AD60:AJ60">
    <cfRule type="expression" dxfId="451" priority="9">
      <formula>AND(A1&lt;=250000, A1&lt;&gt;"")</formula>
    </cfRule>
    <cfRule type="expression" dxfId="450" priority="10">
      <formula>AND(AD60&gt;250000, AD60&lt;&gt;"")</formula>
    </cfRule>
  </conditionalFormatting>
  <conditionalFormatting sqref="AL209">
    <cfRule type="cellIs" dxfId="449" priority="7" operator="equal">
      <formula>"Included"</formula>
    </cfRule>
    <cfRule type="cellIs" dxfId="448" priority="8" operator="equal">
      <formula>"Not Included"</formula>
    </cfRule>
  </conditionalFormatting>
  <conditionalFormatting sqref="AL211">
    <cfRule type="cellIs" dxfId="447" priority="5" operator="equal">
      <formula>"Included"</formula>
    </cfRule>
    <cfRule type="cellIs" dxfId="446" priority="6" operator="equal">
      <formula>"Not Included"</formula>
    </cfRule>
  </conditionalFormatting>
  <conditionalFormatting sqref="AE18:AM21">
    <cfRule type="containsText" dxfId="445" priority="3" operator="containsText" text="Minimum point score achieved">
      <formula>NOT(ISERROR(SEARCH("Minimum point score achieved",AE18)))</formula>
    </cfRule>
  </conditionalFormatting>
  <conditionalFormatting sqref="AL209:AM211">
    <cfRule type="containsText" dxfId="444" priority="2" operator="containsText" text="Not Applicable">
      <formula>NOT(ISERROR(SEARCH("Not Applicable",AL209)))</formula>
    </cfRule>
  </conditionalFormatting>
  <conditionalFormatting sqref="AL276:AM276">
    <cfRule type="containsText" dxfId="443" priority="1" operator="containsText" text="Yes">
      <formula>NOT(ISERROR(SEARCH("Yes",AL276)))</formula>
    </cfRule>
  </conditionalFormatting>
  <dataValidations count="20">
    <dataValidation type="list" allowBlank="1" showInputMessage="1" showErrorMessage="1" sqref="W225:X225 X195:Y195 AA131:AB131 AJ143:AK145 AL278:AM279 AL89:AM89 AL106:AM106 AL181:AM182 AL194:AM195 AL197:AM198 AL207:AM207 AL213:AM213 AL227:AM229 AL237:AM237 AL262:AM264 AL276:AM276 AL167:AM167 AL185:AM185" xr:uid="{00000000-0002-0000-2100-000000000000}">
      <formula1>"Yes,No"</formula1>
    </dataValidation>
    <dataValidation type="list" allowBlank="1" showInputMessage="1" showErrorMessage="1" sqref="AA188 AL94:AM94 AL123:AM126 AL129:AM129 AL143:AM145 AL183:AM184 AL178:AM178 AL188:AM189 AL202:AM205 AL306:AM306 AL214:AM215 AL218:AM219 AL230:AM231 AL234:AM234 AL238 AL259 AL297:AM298 AL304:AM304 AL210:AM210" xr:uid="{00000000-0002-0000-2100-000001000000}">
      <formula1>"Yes,No,N/A"</formula1>
    </dataValidation>
    <dataValidation type="list" allowBlank="1" showInputMessage="1" showErrorMessage="1" sqref="X253 X82" xr:uid="{00000000-0002-0000-2100-000002000000}">
      <formula1>"0,1,2,3,4"</formula1>
    </dataValidation>
    <dataValidation type="list" allowBlank="1" showInputMessage="1" showErrorMessage="1" sqref="AL63:AM63 AL76:AM76" xr:uid="{00000000-0002-0000-2100-000003000000}">
      <formula1>"Yes, No,N/A"</formula1>
    </dataValidation>
    <dataValidation type="list" allowBlank="1" showInputMessage="1" showErrorMessage="1" sqref="K123:M126 K129:M129 K143:M145 K202:M204 K210:M210 K219:M219 K230:M231 AL94:AM94 AL106:AM106 AL123:AM126 AL129:AM129 AL143:AM145 AL210:AM210 AL178:AM178 AL183:AM184 AL189:AM189 AL202:AM204 AL306:AM306 AL215:AM215 AL219:AM219 AL230:AM231 AL234:AM234 AL262:AM262 AL276:AM276 AL278:AM279 AL297:AM298 AL304:AM304" xr:uid="{00000000-0002-0000-2100-000004000000}">
      <formula1>$AQ$91:$AQ$94</formula1>
    </dataValidation>
    <dataValidation type="date" operator="greaterThanOrEqual" allowBlank="1" showInputMessage="1" showErrorMessage="1" errorTitle="Try again" error="The property management Experience with a project shall not pre-date the project’s Construction completion date." sqref="AC152:AE162" xr:uid="{00000000-0002-0000-2100-000005000000}">
      <formula1>Z152</formula1>
    </dataValidation>
    <dataValidation type="list" allowBlank="1" showInputMessage="1" showErrorMessage="1" sqref="AL95:AM95 AK75" xr:uid="{00000000-0002-0000-2100-000006000000}">
      <formula1>"Yes, No"</formula1>
    </dataValidation>
    <dataValidation type="list" allowBlank="1" showInputMessage="1" showErrorMessage="1" sqref="F246" xr:uid="{00000000-0002-0000-2100-000007000000}">
      <formula1>$AO$245:$AO$247</formula1>
    </dataValidation>
    <dataValidation type="list" allowBlank="1" showInputMessage="1" showErrorMessage="1" sqref="J248 J87" xr:uid="{00000000-0002-0000-2100-000008000000}">
      <formula1>$AO$248:$AO$252</formula1>
    </dataValidation>
    <dataValidation type="list" allowBlank="1" showInputMessage="1" showErrorMessage="1" sqref="K262" xr:uid="{00000000-0002-0000-2100-000009000000}">
      <formula1>$AO$262:$AO$262</formula1>
    </dataValidation>
    <dataValidation type="list" allowBlank="1" showInputMessage="1" showErrorMessage="1" sqref="M93" xr:uid="{00000000-0002-0000-2100-00000A000000}">
      <formula1>$AO$91:$AO$94</formula1>
    </dataValidation>
    <dataValidation type="list" allowBlank="1" showInputMessage="1" showErrorMessage="1" sqref="O148:R162" xr:uid="{00000000-0002-0000-2100-00000B000000}">
      <formula1>"Special Needs, Farmworker, Veteran, Other"</formula1>
    </dataValidation>
    <dataValidation type="list" allowBlank="1" showInputMessage="1" showErrorMessage="1" sqref="Q113:S122" xr:uid="{00000000-0002-0000-2100-00000C000000}">
      <formula1>"Agricultural household, Veterans, Other"</formula1>
    </dataValidation>
    <dataValidation type="list" allowBlank="1" showInputMessage="1" showErrorMessage="1" sqref="S148:V162 T113:W122" xr:uid="{00000000-0002-0000-2100-00000D000000}">
      <formula1>"HCD - Regulated,Federal Regulated, State Regulated (Non-HCD), Local Regulated, 4% TCAC, 9% TCAC, N/A"</formula1>
    </dataValidation>
    <dataValidation type="list" allowBlank="1" showInputMessage="1" showErrorMessage="1" sqref="N113:P122" xr:uid="{00000000-0002-0000-2100-00000E000000}">
      <formula1>"At High Risk, Farmworker Housing, Large Family, Senior, Special Needs, Other"</formula1>
    </dataValidation>
    <dataValidation type="list" allowBlank="1" showInputMessage="1" showErrorMessage="1" sqref="L76" xr:uid="{00000000-0002-0000-2100-00000F000000}">
      <formula1>"a 1 mile radius of the fire perimeter., a 3-mile radius of the fire perimeter., a 10-mile radius of the fire perimeter."</formula1>
    </dataValidation>
    <dataValidation type="list" allowBlank="1" showInputMessage="1" showErrorMessage="1" sqref="AF74:AM74" xr:uid="{90D6FC35-39E0-4205-8BC8-1ED42EB77A6F}">
      <formula1>"Prior to 2025, Within or after 2025"</formula1>
    </dataValidation>
    <dataValidation type="list" allowBlank="1" showInputMessage="1" showErrorMessage="1" sqref="AL211" xr:uid="{2A40C208-DA43-4176-984F-8CB562FAB163}">
      <formula1>"Included, Not Included, Not Applicable"</formula1>
    </dataValidation>
    <dataValidation type="list" allowBlank="1" showInputMessage="1" showErrorMessage="1" sqref="L170" xr:uid="{0F6699D3-1BD0-48C5-A3A6-8E0008785FEF}">
      <formula1>"i. LIHTC Project, ii. Non-LIHTC Project"</formula1>
    </dataValidation>
    <dataValidation type="list" allowBlank="1" showInputMessage="1" showErrorMessage="1" sqref="AL209:AM209" xr:uid="{A82E06D4-3A34-42A1-B278-355FCA94C06E}">
      <formula1>"Included, Not Included"</formula1>
    </dataValidation>
  </dataValidations>
  <hyperlinks>
    <hyperlink ref="AF278" r:id="rId1" xr:uid="{00000000-0004-0000-2100-000000000000}"/>
  </hyperlinks>
  <printOptions horizontalCentered="1"/>
  <pageMargins left="0" right="0.25" top="0" bottom="0" header="0.25" footer="0.25"/>
  <pageSetup scale="65" orientation="portrait" r:id="rId2"/>
  <headerFooter>
    <oddFooter>&amp;L&amp;F&amp;C&amp;P of &amp;N&amp;R &amp;A</oddFooter>
  </headerFooter>
  <legacyDrawing r:id="rId3"/>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LocalEnviroVerification">
    <pageSetUpPr fitToPage="1"/>
  </sheetPr>
  <dimension ref="B2:AO31"/>
  <sheetViews>
    <sheetView showGridLines="0" showRowColHeaders="0" zoomScale="67" zoomScaleNormal="100" zoomScaleSheetLayoutView="100" workbookViewId="0">
      <selection activeCell="BI17" sqref="BI17"/>
    </sheetView>
  </sheetViews>
  <sheetFormatPr defaultColWidth="5.28515625" defaultRowHeight="18" customHeight="1"/>
  <cols>
    <col min="1" max="1" width="8.7109375" style="26" customWidth="1"/>
    <col min="2" max="39" width="4.28515625" style="26" customWidth="1"/>
    <col min="40" max="40" width="5.28515625" style="26" customWidth="1"/>
    <col min="41" max="16384" width="5.28515625" style="26"/>
  </cols>
  <sheetData>
    <row r="2" spans="2:41" ht="24" customHeight="1">
      <c r="B2" s="3734" t="s">
        <v>3685</v>
      </c>
      <c r="C2" s="3735"/>
      <c r="D2" s="3735"/>
      <c r="E2" s="3735"/>
      <c r="F2" s="3735"/>
      <c r="G2" s="3735"/>
      <c r="H2" s="3735"/>
      <c r="I2" s="3735"/>
      <c r="J2" s="3735"/>
      <c r="K2" s="3735"/>
      <c r="L2" s="3735"/>
      <c r="M2" s="3735"/>
      <c r="N2" s="3735"/>
      <c r="O2" s="3735"/>
      <c r="P2" s="3735"/>
      <c r="Q2" s="3735"/>
      <c r="R2" s="3735"/>
      <c r="S2" s="3735"/>
      <c r="T2" s="3735"/>
      <c r="U2" s="3735"/>
      <c r="V2" s="3735"/>
      <c r="W2" s="3735"/>
      <c r="X2" s="3735"/>
      <c r="Y2" s="3735"/>
      <c r="Z2" s="3735"/>
      <c r="AA2" s="3735"/>
      <c r="AB2" s="3735"/>
      <c r="AC2" s="3735"/>
      <c r="AD2" s="3735"/>
      <c r="AE2" s="3735"/>
      <c r="AF2" s="3735"/>
      <c r="AG2" s="3735"/>
      <c r="AH2" s="3735"/>
      <c r="AI2" s="3735"/>
      <c r="AJ2" s="3735"/>
      <c r="AK2" s="3735"/>
      <c r="AL2" s="3735"/>
      <c r="AM2" s="3735"/>
    </row>
    <row r="3" spans="2:41" ht="36" customHeight="1">
      <c r="B3" s="3301" t="s">
        <v>3686</v>
      </c>
      <c r="C3" s="3735"/>
      <c r="D3" s="3735"/>
      <c r="E3" s="3735"/>
      <c r="F3" s="3735"/>
      <c r="G3" s="3735"/>
      <c r="H3" s="3735"/>
      <c r="I3" s="3735"/>
      <c r="J3" s="3735"/>
      <c r="K3" s="3735"/>
      <c r="L3" s="3735"/>
      <c r="M3" s="3735"/>
      <c r="N3" s="3735"/>
      <c r="O3" s="3735"/>
      <c r="P3" s="3735"/>
      <c r="Q3" s="3735"/>
      <c r="R3" s="3735"/>
      <c r="S3" s="3735"/>
      <c r="T3" s="3735"/>
      <c r="U3" s="3735"/>
      <c r="V3" s="3735"/>
      <c r="W3" s="3735"/>
      <c r="X3" s="3735"/>
      <c r="Y3" s="3735"/>
      <c r="Z3" s="3735"/>
      <c r="AA3" s="3735"/>
      <c r="AB3" s="3735"/>
      <c r="AC3" s="3735"/>
      <c r="AD3" s="3735"/>
      <c r="AE3" s="3735"/>
      <c r="AF3" s="3735"/>
      <c r="AG3" s="3735"/>
      <c r="AH3" s="3735"/>
      <c r="AI3" s="3735"/>
      <c r="AJ3" s="3735"/>
      <c r="AK3" s="3735"/>
      <c r="AL3" s="3735"/>
      <c r="AM3" s="3735"/>
    </row>
    <row r="4" spans="2:41" ht="18" customHeight="1">
      <c r="B4" s="3736" t="s">
        <v>3687</v>
      </c>
      <c r="C4" s="3735"/>
      <c r="D4" s="3735"/>
      <c r="E4" s="3735"/>
      <c r="F4" s="3735"/>
      <c r="G4" s="3735"/>
      <c r="H4" s="3735"/>
      <c r="I4" s="3735"/>
      <c r="J4" s="3735"/>
      <c r="K4" s="3735"/>
      <c r="L4" s="3735"/>
      <c r="M4" s="3735"/>
      <c r="N4" s="3738" t="str">
        <f>IF('Project Overview'!$P$256&gt;0,'Project Overview'!$P$256,"")</f>
        <v/>
      </c>
      <c r="O4" s="1777"/>
      <c r="P4" s="1777"/>
      <c r="Q4" s="1777"/>
      <c r="R4" s="1777"/>
      <c r="S4" s="1777"/>
      <c r="T4" s="1777"/>
      <c r="U4" s="1777"/>
      <c r="V4" s="1777"/>
      <c r="W4" s="1777"/>
      <c r="X4" s="1777"/>
      <c r="Y4" s="1777"/>
      <c r="Z4" s="1777"/>
      <c r="AA4" s="1777"/>
      <c r="AB4" s="1777"/>
      <c r="AC4" s="1777"/>
      <c r="AD4" s="1777"/>
      <c r="AE4" s="1777"/>
      <c r="AF4" s="1777"/>
      <c r="AG4" s="1777"/>
      <c r="AH4" s="1777"/>
      <c r="AI4" s="1777"/>
      <c r="AJ4" s="1777"/>
      <c r="AK4" s="1777"/>
      <c r="AL4" s="1777"/>
      <c r="AM4" s="1778"/>
      <c r="AO4" s="62"/>
    </row>
    <row r="5" spans="2:41" ht="18" customHeight="1">
      <c r="B5" s="3736" t="s">
        <v>3688</v>
      </c>
      <c r="C5" s="3735"/>
      <c r="D5" s="3735"/>
      <c r="E5" s="3735"/>
      <c r="F5" s="3735"/>
      <c r="G5" s="3735"/>
      <c r="H5" s="3735"/>
      <c r="I5" s="3735"/>
      <c r="J5" s="3735"/>
      <c r="K5" s="3735"/>
      <c r="L5" s="3735"/>
      <c r="M5" s="3735"/>
      <c r="N5" s="3738" t="str">
        <f>IF('Contact List'!$F$5&gt;0,'Contact List'!$F$5,"")</f>
        <v/>
      </c>
      <c r="O5" s="1777"/>
      <c r="P5" s="1777"/>
      <c r="Q5" s="1777"/>
      <c r="R5" s="1777"/>
      <c r="S5" s="1777"/>
      <c r="T5" s="1777"/>
      <c r="U5" s="1777"/>
      <c r="V5" s="1777"/>
      <c r="W5" s="1777"/>
      <c r="X5" s="1777"/>
      <c r="Y5" s="1777"/>
      <c r="Z5" s="1777"/>
      <c r="AA5" s="1777"/>
      <c r="AB5" s="1777"/>
      <c r="AC5" s="1777"/>
      <c r="AD5" s="1777"/>
      <c r="AE5" s="1777"/>
      <c r="AF5" s="1777"/>
      <c r="AG5" s="1777"/>
      <c r="AH5" s="1777"/>
      <c r="AI5" s="1777"/>
      <c r="AJ5" s="1777"/>
      <c r="AK5" s="1777"/>
      <c r="AL5" s="1777"/>
      <c r="AM5" s="1778"/>
    </row>
    <row r="6" spans="2:41" ht="18" customHeight="1">
      <c r="B6" s="3736" t="s">
        <v>3689</v>
      </c>
      <c r="C6" s="3735"/>
      <c r="D6" s="3735"/>
      <c r="E6" s="3735"/>
      <c r="F6" s="3735"/>
      <c r="G6" s="3735"/>
      <c r="H6" s="3735"/>
      <c r="I6" s="3735"/>
      <c r="J6" s="3735"/>
      <c r="K6" s="3735"/>
      <c r="L6" s="3735"/>
      <c r="M6" s="3735"/>
      <c r="N6" s="3738" t="str">
        <f>IF('Contact List'!$G$5&gt;0,'Contact List'!$G$5,"")</f>
        <v/>
      </c>
      <c r="O6" s="1777"/>
      <c r="P6" s="1777"/>
      <c r="Q6" s="1777"/>
      <c r="R6" s="1777"/>
      <c r="S6" s="1777"/>
      <c r="T6" s="1777"/>
      <c r="U6" s="1777"/>
      <c r="V6" s="1777"/>
      <c r="W6" s="1777"/>
      <c r="X6" s="1777"/>
      <c r="Y6" s="1777"/>
      <c r="Z6" s="1777"/>
      <c r="AA6" s="1777"/>
      <c r="AB6" s="1777"/>
      <c r="AC6" s="1777"/>
      <c r="AD6" s="1777"/>
      <c r="AE6" s="1777"/>
      <c r="AF6" s="1777"/>
      <c r="AG6" s="1777"/>
      <c r="AH6" s="1777"/>
      <c r="AI6" s="1777"/>
      <c r="AJ6" s="1777"/>
      <c r="AK6" s="1777"/>
      <c r="AL6" s="1777"/>
      <c r="AM6" s="1778"/>
    </row>
    <row r="7" spans="2:41" ht="18" customHeight="1">
      <c r="B7" s="3736" t="s">
        <v>3690</v>
      </c>
      <c r="C7" s="3735"/>
      <c r="D7" s="3735"/>
      <c r="E7" s="3735"/>
      <c r="F7" s="3735"/>
      <c r="G7" s="3735"/>
      <c r="H7" s="3735"/>
      <c r="I7" s="3735"/>
      <c r="J7" s="3735"/>
      <c r="K7" s="3735"/>
      <c r="L7" s="3735"/>
      <c r="M7" s="3735"/>
      <c r="N7" s="3738" t="str">
        <f>IF(ProjectName&gt;0,ProjectName,"")</f>
        <v/>
      </c>
      <c r="O7" s="1777"/>
      <c r="P7" s="1777"/>
      <c r="Q7" s="1777"/>
      <c r="R7" s="1777"/>
      <c r="S7" s="1777"/>
      <c r="T7" s="1777"/>
      <c r="U7" s="1777"/>
      <c r="V7" s="1777"/>
      <c r="W7" s="1777"/>
      <c r="X7" s="1777"/>
      <c r="Y7" s="1777"/>
      <c r="Z7" s="1777"/>
      <c r="AA7" s="1777"/>
      <c r="AB7" s="1777"/>
      <c r="AC7" s="1777"/>
      <c r="AD7" s="1777"/>
      <c r="AE7" s="1777"/>
      <c r="AF7" s="1777"/>
      <c r="AG7" s="1777"/>
      <c r="AH7" s="1777"/>
      <c r="AI7" s="1777"/>
      <c r="AJ7" s="1777"/>
      <c r="AK7" s="1777"/>
      <c r="AL7" s="1777"/>
      <c r="AM7" s="1778"/>
    </row>
    <row r="8" spans="2:41" ht="18" customHeight="1">
      <c r="B8" s="3736" t="s">
        <v>3691</v>
      </c>
      <c r="C8" s="3735"/>
      <c r="D8" s="3735"/>
      <c r="E8" s="3735"/>
      <c r="F8" s="3735"/>
      <c r="G8" s="3735"/>
      <c r="H8" s="3735"/>
      <c r="I8" s="3735"/>
      <c r="J8" s="3735"/>
      <c r="K8" s="3735"/>
      <c r="L8" s="3735"/>
      <c r="M8" s="3735"/>
      <c r="N8" s="3738" t="str">
        <f>IF('Project Overview'!$Y$180&gt;0,'Project Overview'!$Y$180,"")</f>
        <v/>
      </c>
      <c r="O8" s="1777"/>
      <c r="P8" s="1777"/>
      <c r="Q8" s="1777"/>
      <c r="R8" s="1777"/>
      <c r="S8" s="1777"/>
      <c r="T8" s="1777"/>
      <c r="U8" s="1777"/>
      <c r="V8" s="1777"/>
      <c r="W8" s="1777"/>
      <c r="X8" s="1777"/>
      <c r="Y8" s="1777"/>
      <c r="Z8" s="1777"/>
      <c r="AA8" s="1777"/>
      <c r="AB8" s="1777"/>
      <c r="AC8" s="1777"/>
      <c r="AD8" s="1777"/>
      <c r="AE8" s="1777"/>
      <c r="AF8" s="1777"/>
      <c r="AG8" s="1777"/>
      <c r="AH8" s="1777"/>
      <c r="AI8" s="1777"/>
      <c r="AJ8" s="1777"/>
      <c r="AK8" s="1777"/>
      <c r="AL8" s="1777"/>
      <c r="AM8" s="1778"/>
    </row>
    <row r="9" spans="2:41" ht="18" customHeight="1">
      <c r="B9" s="3736" t="s">
        <v>3692</v>
      </c>
      <c r="C9" s="3735"/>
      <c r="D9" s="3735"/>
      <c r="E9" s="3735"/>
      <c r="F9" s="3735"/>
      <c r="G9" s="3735"/>
      <c r="H9" s="3735"/>
      <c r="I9" s="3735"/>
      <c r="J9" s="3735"/>
      <c r="K9" s="3735"/>
      <c r="L9" s="3735"/>
      <c r="M9" s="3735"/>
      <c r="N9" s="3738" t="str">
        <f>IF('Project Overview'!$O$181&gt;0,'Project Overview'!$O$181,"")</f>
        <v/>
      </c>
      <c r="O9" s="1777"/>
      <c r="P9" s="1777"/>
      <c r="Q9" s="1777"/>
      <c r="R9" s="1777"/>
      <c r="S9" s="1777"/>
      <c r="T9" s="1777"/>
      <c r="U9" s="1777"/>
      <c r="V9" s="1777"/>
      <c r="W9" s="1777"/>
      <c r="X9" s="1777"/>
      <c r="Y9" s="1777"/>
      <c r="Z9" s="1777"/>
      <c r="AA9" s="1777"/>
      <c r="AB9" s="1777"/>
      <c r="AC9" s="1777"/>
      <c r="AD9" s="1777"/>
      <c r="AE9" s="1777"/>
      <c r="AF9" s="1777"/>
      <c r="AG9" s="1777"/>
      <c r="AH9" s="1777"/>
      <c r="AI9" s="1777"/>
      <c r="AJ9" s="1777"/>
      <c r="AK9" s="1777"/>
      <c r="AL9" s="1777"/>
      <c r="AM9" s="1778"/>
    </row>
    <row r="10" spans="2:41" ht="18" customHeight="1">
      <c r="B10" s="3736" t="s">
        <v>3693</v>
      </c>
      <c r="C10" s="3735"/>
      <c r="D10" s="3735"/>
      <c r="E10" s="3735"/>
      <c r="F10" s="3735"/>
      <c r="G10" s="3735"/>
      <c r="H10" s="3735"/>
      <c r="I10" s="3735"/>
      <c r="J10" s="3735"/>
      <c r="K10" s="3735"/>
      <c r="L10" s="3735"/>
      <c r="M10" s="3735"/>
      <c r="N10" s="3738" t="str">
        <f>IF('Project Overview'!$F$181="","",'Project Overview'!$F$181)</f>
        <v/>
      </c>
      <c r="O10" s="1777"/>
      <c r="P10" s="1777"/>
      <c r="Q10" s="1777"/>
      <c r="R10" s="1777"/>
      <c r="S10" s="1777"/>
      <c r="T10" s="1777"/>
      <c r="U10" s="1777"/>
      <c r="V10" s="1777"/>
      <c r="W10" s="1777"/>
      <c r="X10" s="1777"/>
      <c r="Y10" s="1777"/>
      <c r="Z10" s="1777"/>
      <c r="AA10" s="1777"/>
      <c r="AB10" s="1777"/>
      <c r="AC10" s="1777"/>
      <c r="AD10" s="1777"/>
      <c r="AE10" s="1777"/>
      <c r="AF10" s="1777"/>
      <c r="AG10" s="1777"/>
      <c r="AH10" s="1777"/>
      <c r="AI10" s="1777"/>
      <c r="AJ10" s="1777"/>
      <c r="AK10" s="1777"/>
      <c r="AL10" s="1777"/>
      <c r="AM10" s="1778"/>
    </row>
    <row r="11" spans="2:41" ht="18" customHeight="1">
      <c r="B11" s="3736" t="s">
        <v>3694</v>
      </c>
      <c r="C11" s="3735"/>
      <c r="D11" s="3735"/>
      <c r="E11" s="3735"/>
      <c r="F11" s="3735"/>
      <c r="G11" s="3735"/>
      <c r="H11" s="3735"/>
      <c r="I11" s="3735"/>
      <c r="J11" s="3735"/>
      <c r="K11" s="3735"/>
      <c r="L11" s="3735"/>
      <c r="M11" s="3735"/>
      <c r="N11" s="3738" t="str">
        <f>CONCATENATE('Project Overview'!$B$188,"  ",'Project Overview'!$B$189,"  ", 'Project Overview'!$B$190, 'Project Overview'!$H$188,"  ", 'Project Overview'!$H$189, 'Project Overview'!$H$190,"  ",'Project Overview'!$N$188,"  ",'Project Overview'!$N$189,"  ", 'Project Overview'!$N$190)</f>
        <v xml:space="preserve">            </v>
      </c>
      <c r="O11" s="1777"/>
      <c r="P11" s="1777"/>
      <c r="Q11" s="1777"/>
      <c r="R11" s="1777"/>
      <c r="S11" s="1777"/>
      <c r="T11" s="1777"/>
      <c r="U11" s="1777"/>
      <c r="V11" s="1777"/>
      <c r="W11" s="1777"/>
      <c r="X11" s="1777"/>
      <c r="Y11" s="1777"/>
      <c r="Z11" s="1777"/>
      <c r="AA11" s="1777"/>
      <c r="AB11" s="1777"/>
      <c r="AC11" s="1777"/>
      <c r="AD11" s="1777"/>
      <c r="AE11" s="1777"/>
      <c r="AF11" s="1777"/>
      <c r="AG11" s="1777"/>
      <c r="AH11" s="1777"/>
      <c r="AI11" s="1777"/>
      <c r="AJ11" s="1777"/>
      <c r="AK11" s="1777"/>
      <c r="AL11" s="1777"/>
      <c r="AM11" s="1778"/>
    </row>
    <row r="12" spans="2:41" ht="54" customHeight="1">
      <c r="B12" s="3301" t="s">
        <v>3695</v>
      </c>
      <c r="C12" s="3735"/>
      <c r="D12" s="3735"/>
      <c r="E12" s="3735"/>
      <c r="F12" s="3735"/>
      <c r="G12" s="3735"/>
      <c r="H12" s="3735"/>
      <c r="I12" s="3735"/>
      <c r="J12" s="3735"/>
      <c r="K12" s="3735"/>
      <c r="L12" s="3735"/>
      <c r="M12" s="3735"/>
      <c r="N12" s="3735"/>
      <c r="O12" s="3735"/>
      <c r="P12" s="3735"/>
      <c r="Q12" s="3735"/>
      <c r="R12" s="3735"/>
      <c r="S12" s="3735"/>
      <c r="T12" s="3735"/>
      <c r="U12" s="3735"/>
      <c r="V12" s="3735"/>
      <c r="W12" s="3735"/>
      <c r="X12" s="3735"/>
      <c r="Y12" s="3735"/>
      <c r="Z12" s="3735"/>
      <c r="AA12" s="3735"/>
      <c r="AB12" s="3735"/>
      <c r="AC12" s="3735"/>
      <c r="AD12" s="3735"/>
      <c r="AE12" s="3735"/>
      <c r="AF12" s="3735"/>
      <c r="AG12" s="3735"/>
      <c r="AH12" s="3735"/>
      <c r="AI12" s="3735"/>
      <c r="AJ12" s="3735"/>
      <c r="AK12" s="3735"/>
      <c r="AL12" s="3735"/>
      <c r="AM12" s="3735"/>
    </row>
    <row r="13" spans="2:41" ht="18.75" customHeight="1">
      <c r="B13" s="2466" t="s">
        <v>3696</v>
      </c>
      <c r="C13" s="3735"/>
      <c r="D13" s="3735"/>
      <c r="E13" s="3735"/>
      <c r="F13" s="3735"/>
      <c r="G13" s="3735"/>
      <c r="H13" s="3735"/>
      <c r="I13" s="3735"/>
      <c r="J13" s="3735"/>
      <c r="K13" s="3735"/>
      <c r="L13" s="3735"/>
      <c r="M13" s="3735"/>
      <c r="N13" s="3735"/>
      <c r="O13" s="3735"/>
      <c r="P13" s="3735"/>
      <c r="Q13" s="3735"/>
      <c r="R13" s="3735"/>
      <c r="S13" s="3735"/>
      <c r="T13" s="3735"/>
      <c r="U13" s="3735"/>
      <c r="V13" s="3735"/>
      <c r="W13" s="3735"/>
      <c r="X13" s="3735"/>
      <c r="Y13" s="3735"/>
      <c r="Z13" s="3735"/>
      <c r="AA13" s="3735"/>
      <c r="AB13" s="3735"/>
      <c r="AC13" s="3735"/>
      <c r="AD13" s="3735"/>
      <c r="AE13" s="3735"/>
      <c r="AF13" s="3735"/>
      <c r="AG13" s="3735"/>
      <c r="AH13" s="3735"/>
      <c r="AI13" s="3735"/>
      <c r="AJ13" s="3735"/>
      <c r="AK13" s="3735"/>
      <c r="AL13" s="3742"/>
      <c r="AM13" s="1865"/>
    </row>
    <row r="14" spans="2:41" ht="36" customHeight="1">
      <c r="B14" s="2687"/>
      <c r="C14" s="1877"/>
      <c r="D14" s="1877"/>
      <c r="E14" s="1877"/>
      <c r="F14" s="1877"/>
      <c r="G14" s="1877"/>
      <c r="H14" s="1877"/>
      <c r="I14" s="1877"/>
      <c r="J14" s="1877"/>
      <c r="K14" s="1877"/>
      <c r="L14" s="1877"/>
      <c r="M14" s="1877"/>
      <c r="N14" s="1877"/>
      <c r="O14" s="1877"/>
      <c r="P14" s="1877"/>
      <c r="Q14" s="1877"/>
      <c r="R14" s="1877"/>
      <c r="S14" s="1877"/>
      <c r="T14" s="1877"/>
      <c r="U14" s="1877"/>
      <c r="V14" s="1877"/>
      <c r="W14" s="1877"/>
      <c r="X14" s="1877"/>
      <c r="Y14" s="3068" t="s">
        <v>3697</v>
      </c>
      <c r="Z14" s="1777"/>
      <c r="AA14" s="1777"/>
      <c r="AB14" s="1777"/>
      <c r="AC14" s="1778"/>
      <c r="AD14" s="3068" t="s">
        <v>3698</v>
      </c>
      <c r="AE14" s="1777"/>
      <c r="AF14" s="1777"/>
      <c r="AG14" s="1777"/>
      <c r="AH14" s="1778"/>
      <c r="AI14" s="3068" t="s">
        <v>3699</v>
      </c>
      <c r="AJ14" s="1777"/>
      <c r="AK14" s="1777"/>
      <c r="AL14" s="1777"/>
      <c r="AM14" s="1778"/>
      <c r="AN14" s="190"/>
    </row>
    <row r="15" spans="2:41" ht="18" customHeight="1">
      <c r="B15" s="3034" t="s">
        <v>3700</v>
      </c>
      <c r="C15" s="1777"/>
      <c r="D15" s="1777"/>
      <c r="E15" s="1777"/>
      <c r="F15" s="1777"/>
      <c r="G15" s="1777"/>
      <c r="H15" s="1777"/>
      <c r="I15" s="1777"/>
      <c r="J15" s="1777"/>
      <c r="K15" s="1777"/>
      <c r="L15" s="1777"/>
      <c r="M15" s="1777"/>
      <c r="N15" s="1777"/>
      <c r="O15" s="1777"/>
      <c r="P15" s="1777"/>
      <c r="Q15" s="1777"/>
      <c r="R15" s="1777"/>
      <c r="S15" s="1777"/>
      <c r="T15" s="1777"/>
      <c r="U15" s="1778"/>
      <c r="V15" s="3749" t="s">
        <v>3701</v>
      </c>
      <c r="W15" s="1877"/>
      <c r="X15" s="1772"/>
      <c r="Y15" s="3745"/>
      <c r="Z15" s="1861"/>
      <c r="AA15" s="1861"/>
      <c r="AB15" s="1861"/>
      <c r="AC15" s="1862"/>
      <c r="AD15" s="3741"/>
      <c r="AE15" s="1861"/>
      <c r="AF15" s="1861"/>
      <c r="AG15" s="1861"/>
      <c r="AH15" s="1862"/>
      <c r="AI15" s="3741"/>
      <c r="AJ15" s="1861"/>
      <c r="AK15" s="1861"/>
      <c r="AL15" s="1861"/>
      <c r="AM15" s="1862"/>
    </row>
    <row r="16" spans="2:41" ht="18" customHeight="1">
      <c r="B16" s="3746" t="s">
        <v>3702</v>
      </c>
      <c r="C16" s="1777"/>
      <c r="D16" s="1777"/>
      <c r="E16" s="1777"/>
      <c r="F16" s="1777"/>
      <c r="G16" s="1777"/>
      <c r="H16" s="1777"/>
      <c r="I16" s="1777"/>
      <c r="J16" s="1777"/>
      <c r="K16" s="1777"/>
      <c r="L16" s="1777"/>
      <c r="M16" s="1777"/>
      <c r="N16" s="1777"/>
      <c r="O16" s="1777"/>
      <c r="P16" s="1777"/>
      <c r="Q16" s="1777"/>
      <c r="R16" s="1777"/>
      <c r="S16" s="1777"/>
      <c r="T16" s="1777"/>
      <c r="U16" s="1777"/>
      <c r="V16" s="1777"/>
      <c r="W16" s="1777"/>
      <c r="X16" s="1777"/>
      <c r="Y16" s="1777"/>
      <c r="Z16" s="1777"/>
      <c r="AA16" s="1777"/>
      <c r="AB16" s="1777"/>
      <c r="AC16" s="1777"/>
      <c r="AD16" s="1777"/>
      <c r="AE16" s="1777"/>
      <c r="AF16" s="1777"/>
      <c r="AG16" s="1777"/>
      <c r="AH16" s="1777"/>
      <c r="AI16" s="1777"/>
      <c r="AJ16" s="1777"/>
      <c r="AK16" s="1777"/>
      <c r="AL16" s="1777"/>
      <c r="AM16" s="1778"/>
    </row>
    <row r="17" spans="2:39" ht="54" customHeight="1">
      <c r="B17" s="3302"/>
      <c r="C17" s="1861"/>
      <c r="D17" s="1861"/>
      <c r="E17" s="1861"/>
      <c r="F17" s="1861"/>
      <c r="G17" s="1861"/>
      <c r="H17" s="1861"/>
      <c r="I17" s="1861"/>
      <c r="J17" s="1861"/>
      <c r="K17" s="1861"/>
      <c r="L17" s="1861"/>
      <c r="M17" s="1861"/>
      <c r="N17" s="1861"/>
      <c r="O17" s="1861"/>
      <c r="P17" s="1861"/>
      <c r="Q17" s="1861"/>
      <c r="R17" s="1861"/>
      <c r="S17" s="1861"/>
      <c r="T17" s="1861"/>
      <c r="U17" s="1861"/>
      <c r="V17" s="1861"/>
      <c r="W17" s="1861"/>
      <c r="X17" s="1861"/>
      <c r="Y17" s="1861"/>
      <c r="Z17" s="1861"/>
      <c r="AA17" s="1861"/>
      <c r="AB17" s="1861"/>
      <c r="AC17" s="1861"/>
      <c r="AD17" s="1861"/>
      <c r="AE17" s="1861"/>
      <c r="AF17" s="1861"/>
      <c r="AG17" s="1861"/>
      <c r="AH17" s="1861"/>
      <c r="AI17" s="1861"/>
      <c r="AJ17" s="1861"/>
      <c r="AK17" s="1861"/>
      <c r="AL17" s="1861"/>
      <c r="AM17" s="1862"/>
    </row>
    <row r="18" spans="2:39" ht="36" customHeight="1">
      <c r="B18" s="3739"/>
      <c r="C18" s="1953"/>
      <c r="D18" s="1953"/>
      <c r="E18" s="1953"/>
      <c r="F18" s="1953"/>
      <c r="G18" s="1953"/>
      <c r="H18" s="1953"/>
      <c r="I18" s="1953"/>
      <c r="J18" s="1953"/>
      <c r="K18" s="1953"/>
      <c r="L18" s="1953"/>
      <c r="M18" s="1953"/>
      <c r="N18" s="1953"/>
      <c r="O18" s="1953"/>
      <c r="P18" s="1953"/>
      <c r="Q18" s="1953"/>
      <c r="R18" s="1953"/>
      <c r="S18" s="1953"/>
      <c r="T18" s="1953"/>
      <c r="U18" s="1953"/>
      <c r="V18" s="1953"/>
      <c r="W18" s="1770"/>
      <c r="X18" s="3068" t="s">
        <v>3703</v>
      </c>
      <c r="Y18" s="1777"/>
      <c r="Z18" s="1777"/>
      <c r="AA18" s="1778"/>
      <c r="AB18" s="3068" t="s">
        <v>3704</v>
      </c>
      <c r="AC18" s="1777"/>
      <c r="AD18" s="1777"/>
      <c r="AE18" s="1778"/>
      <c r="AF18" s="3068" t="s">
        <v>3705</v>
      </c>
      <c r="AG18" s="1777"/>
      <c r="AH18" s="1777"/>
      <c r="AI18" s="1777"/>
      <c r="AJ18" s="1777"/>
      <c r="AK18" s="1777"/>
      <c r="AL18" s="1777"/>
      <c r="AM18" s="1778"/>
    </row>
    <row r="19" spans="2:39" ht="36" customHeight="1">
      <c r="B19" s="3747" t="s">
        <v>3706</v>
      </c>
      <c r="C19" s="1777"/>
      <c r="D19" s="1777"/>
      <c r="E19" s="1777"/>
      <c r="F19" s="1777"/>
      <c r="G19" s="1777"/>
      <c r="H19" s="1777"/>
      <c r="I19" s="1777"/>
      <c r="J19" s="1777"/>
      <c r="K19" s="1777"/>
      <c r="L19" s="1777"/>
      <c r="M19" s="1777"/>
      <c r="N19" s="1777"/>
      <c r="O19" s="1777"/>
      <c r="P19" s="1777"/>
      <c r="Q19" s="1777"/>
      <c r="R19" s="1777"/>
      <c r="S19" s="1777"/>
      <c r="T19" s="1777"/>
      <c r="U19" s="1777"/>
      <c r="V19" s="1777"/>
      <c r="W19" s="1778"/>
      <c r="X19" s="3740"/>
      <c r="Y19" s="1861"/>
      <c r="Z19" s="1861"/>
      <c r="AA19" s="1862"/>
      <c r="AB19" s="3740"/>
      <c r="AC19" s="1861"/>
      <c r="AD19" s="1861"/>
      <c r="AE19" s="1862"/>
      <c r="AF19" s="3737"/>
      <c r="AG19" s="1861"/>
      <c r="AH19" s="1861"/>
      <c r="AI19" s="1861"/>
      <c r="AJ19" s="1861"/>
      <c r="AK19" s="1861"/>
      <c r="AL19" s="1861"/>
      <c r="AM19" s="1862"/>
    </row>
    <row r="20" spans="2:39" ht="18" customHeight="1">
      <c r="B20" s="3748" t="s">
        <v>3702</v>
      </c>
      <c r="C20" s="1877"/>
      <c r="D20" s="1877"/>
      <c r="E20" s="1877"/>
      <c r="F20" s="1877"/>
      <c r="G20" s="1877"/>
      <c r="H20" s="1877"/>
      <c r="I20" s="1877"/>
      <c r="J20" s="1877"/>
      <c r="K20" s="1877"/>
      <c r="L20" s="1877"/>
      <c r="M20" s="1877"/>
      <c r="N20" s="1877"/>
      <c r="O20" s="1877"/>
      <c r="P20" s="1877"/>
      <c r="Q20" s="1877"/>
      <c r="R20" s="1877"/>
      <c r="S20" s="1877"/>
      <c r="T20" s="1877"/>
      <c r="U20" s="1877"/>
      <c r="V20" s="1877"/>
      <c r="W20" s="1877"/>
      <c r="X20" s="1877"/>
      <c r="Y20" s="1877"/>
      <c r="Z20" s="1877"/>
      <c r="AA20" s="1877"/>
      <c r="AB20" s="1877"/>
      <c r="AC20" s="1877"/>
      <c r="AD20" s="1877"/>
      <c r="AE20" s="1877"/>
      <c r="AF20" s="1877"/>
      <c r="AG20" s="1877"/>
      <c r="AH20" s="1877"/>
      <c r="AI20" s="1877"/>
      <c r="AJ20" s="1877"/>
      <c r="AK20" s="1877"/>
      <c r="AL20" s="1877"/>
      <c r="AM20" s="1772"/>
    </row>
    <row r="21" spans="2:39" ht="54" customHeight="1">
      <c r="B21" s="3302"/>
      <c r="C21" s="1861"/>
      <c r="D21" s="1861"/>
      <c r="E21" s="1861"/>
      <c r="F21" s="1861"/>
      <c r="G21" s="1861"/>
      <c r="H21" s="1861"/>
      <c r="I21" s="1861"/>
      <c r="J21" s="1861"/>
      <c r="K21" s="1861"/>
      <c r="L21" s="1861"/>
      <c r="M21" s="1861"/>
      <c r="N21" s="1861"/>
      <c r="O21" s="1861"/>
      <c r="P21" s="1861"/>
      <c r="Q21" s="1861"/>
      <c r="R21" s="1861"/>
      <c r="S21" s="1861"/>
      <c r="T21" s="1861"/>
      <c r="U21" s="1861"/>
      <c r="V21" s="1861"/>
      <c r="W21" s="1861"/>
      <c r="X21" s="1861"/>
      <c r="Y21" s="1861"/>
      <c r="Z21" s="1861"/>
      <c r="AA21" s="1861"/>
      <c r="AB21" s="1861"/>
      <c r="AC21" s="1861"/>
      <c r="AD21" s="1861"/>
      <c r="AE21" s="1861"/>
      <c r="AF21" s="1861"/>
      <c r="AG21" s="1861"/>
      <c r="AH21" s="1861"/>
      <c r="AI21" s="1861"/>
      <c r="AJ21" s="1861"/>
      <c r="AK21" s="1861"/>
      <c r="AL21" s="1861"/>
      <c r="AM21" s="1862"/>
    </row>
    <row r="23" spans="2:39" ht="18" customHeight="1">
      <c r="B23" s="3736" t="s">
        <v>3099</v>
      </c>
      <c r="C23" s="3735"/>
      <c r="D23" s="3735"/>
      <c r="E23" s="3737"/>
      <c r="F23" s="1861"/>
      <c r="G23" s="1861"/>
      <c r="H23" s="1862"/>
      <c r="I23" s="2439"/>
      <c r="J23" s="3735"/>
      <c r="K23" s="3735"/>
      <c r="L23" s="3735"/>
      <c r="M23" s="3735"/>
      <c r="N23" s="3735"/>
      <c r="O23" s="3735"/>
      <c r="P23" s="3735"/>
      <c r="Q23" s="3735"/>
      <c r="R23" s="3735"/>
      <c r="S23" s="3735"/>
      <c r="T23" s="3735"/>
      <c r="U23" s="3735"/>
      <c r="V23" s="3735"/>
      <c r="W23" s="3735"/>
      <c r="X23" s="3735"/>
      <c r="Y23" s="3735"/>
      <c r="Z23" s="3735"/>
      <c r="AA23" s="3735"/>
      <c r="AB23" s="3735"/>
      <c r="AC23" s="3735"/>
      <c r="AD23" s="3735"/>
      <c r="AE23" s="3735"/>
      <c r="AF23" s="3735"/>
      <c r="AG23" s="3735"/>
      <c r="AH23" s="3735"/>
      <c r="AI23" s="3735"/>
      <c r="AJ23" s="3735"/>
      <c r="AK23" s="3735"/>
      <c r="AL23" s="3735"/>
      <c r="AM23" s="3735"/>
    </row>
    <row r="24" spans="2:39" ht="18" customHeight="1">
      <c r="B24" s="3736" t="s">
        <v>3100</v>
      </c>
      <c r="C24" s="3735"/>
      <c r="D24" s="3735"/>
      <c r="E24" s="3735"/>
      <c r="F24" s="3735"/>
      <c r="G24" s="3735"/>
      <c r="H24" s="3735"/>
      <c r="I24" s="3735"/>
      <c r="J24" s="3735"/>
      <c r="K24" s="3735"/>
      <c r="L24" s="3735"/>
      <c r="M24" s="3735"/>
      <c r="N24" s="3744"/>
      <c r="O24" s="1861"/>
      <c r="P24" s="1861"/>
      <c r="Q24" s="1861"/>
      <c r="R24" s="1861"/>
      <c r="S24" s="1861"/>
      <c r="T24" s="1861"/>
      <c r="U24" s="1861"/>
      <c r="V24" s="1861"/>
      <c r="W24" s="1861"/>
      <c r="X24" s="1861"/>
      <c r="Y24" s="1861"/>
      <c r="Z24" s="1861"/>
      <c r="AA24" s="1861"/>
      <c r="AB24" s="1861"/>
      <c r="AC24" s="1861"/>
      <c r="AD24" s="1861"/>
      <c r="AE24" s="1861"/>
      <c r="AF24" s="1861"/>
      <c r="AG24" s="1861"/>
      <c r="AH24" s="1861"/>
      <c r="AI24" s="1861"/>
      <c r="AJ24" s="1861"/>
      <c r="AK24" s="1861"/>
      <c r="AL24" s="1861"/>
      <c r="AM24" s="1862"/>
    </row>
    <row r="25" spans="2:39" ht="18" customHeight="1">
      <c r="B25" s="3303" t="s">
        <v>2294</v>
      </c>
      <c r="C25" s="3735"/>
      <c r="D25" s="3735"/>
      <c r="E25" s="3735"/>
      <c r="F25" s="3735"/>
      <c r="G25" s="3735"/>
      <c r="H25" s="3735"/>
      <c r="I25" s="3735"/>
      <c r="J25" s="3735"/>
      <c r="K25" s="3735"/>
      <c r="L25" s="3735"/>
      <c r="M25" s="3735"/>
      <c r="N25" s="3744"/>
      <c r="O25" s="1861"/>
      <c r="P25" s="1861"/>
      <c r="Q25" s="1861"/>
      <c r="R25" s="1861"/>
      <c r="S25" s="1861"/>
      <c r="T25" s="1861"/>
      <c r="U25" s="1861"/>
      <c r="V25" s="1861"/>
      <c r="W25" s="1861"/>
      <c r="X25" s="1861"/>
      <c r="Y25" s="1861"/>
      <c r="Z25" s="1861"/>
      <c r="AA25" s="1861"/>
      <c r="AB25" s="1861"/>
      <c r="AC25" s="1861"/>
      <c r="AD25" s="1861"/>
      <c r="AE25" s="1861"/>
      <c r="AF25" s="1861"/>
      <c r="AG25" s="1861"/>
      <c r="AH25" s="1861"/>
      <c r="AI25" s="1861"/>
      <c r="AJ25" s="1861"/>
      <c r="AK25" s="1861"/>
      <c r="AL25" s="1861"/>
      <c r="AM25" s="1862"/>
    </row>
    <row r="26" spans="2:39" ht="18" customHeight="1">
      <c r="B26" s="3736" t="s">
        <v>2296</v>
      </c>
      <c r="C26" s="3735"/>
      <c r="D26" s="3735"/>
      <c r="E26" s="3735"/>
      <c r="F26" s="3735"/>
      <c r="G26" s="3735"/>
      <c r="H26" s="3735"/>
      <c r="I26" s="3735"/>
      <c r="J26" s="3735"/>
      <c r="K26" s="3735"/>
      <c r="L26" s="3735"/>
      <c r="M26" s="3735"/>
      <c r="N26" s="3744"/>
      <c r="O26" s="1861"/>
      <c r="P26" s="1861"/>
      <c r="Q26" s="1861"/>
      <c r="R26" s="1861"/>
      <c r="S26" s="1861"/>
      <c r="T26" s="1861"/>
      <c r="U26" s="1861"/>
      <c r="V26" s="1861"/>
      <c r="W26" s="1861"/>
      <c r="X26" s="1861"/>
      <c r="Y26" s="1861"/>
      <c r="Z26" s="1861"/>
      <c r="AA26" s="1861"/>
      <c r="AB26" s="1861"/>
      <c r="AC26" s="1861"/>
      <c r="AD26" s="1861"/>
      <c r="AE26" s="1861"/>
      <c r="AF26" s="1861"/>
      <c r="AG26" s="1861"/>
      <c r="AH26" s="1861"/>
      <c r="AI26" s="1861"/>
      <c r="AJ26" s="1861"/>
      <c r="AK26" s="1861"/>
      <c r="AL26" s="1861"/>
      <c r="AM26" s="1862"/>
    </row>
    <row r="27" spans="2:39" ht="18" customHeight="1">
      <c r="B27" s="3736" t="s">
        <v>3101</v>
      </c>
      <c r="C27" s="3735"/>
      <c r="D27" s="3735"/>
      <c r="E27" s="3735"/>
      <c r="F27" s="3735"/>
      <c r="G27" s="3735"/>
      <c r="H27" s="3735"/>
      <c r="I27" s="3735"/>
      <c r="J27" s="3735"/>
      <c r="K27" s="3735"/>
      <c r="L27" s="3735"/>
      <c r="M27" s="3735"/>
      <c r="N27" s="3744"/>
      <c r="O27" s="1861"/>
      <c r="P27" s="1861"/>
      <c r="Q27" s="1861"/>
      <c r="R27" s="1861"/>
      <c r="S27" s="1861"/>
      <c r="T27" s="1861"/>
      <c r="U27" s="1861"/>
      <c r="V27" s="1861"/>
      <c r="W27" s="1861"/>
      <c r="X27" s="1861"/>
      <c r="Y27" s="1861"/>
      <c r="Z27" s="1861"/>
      <c r="AA27" s="1861"/>
      <c r="AB27" s="1861"/>
      <c r="AC27" s="1861"/>
      <c r="AD27" s="1861"/>
      <c r="AE27" s="1861"/>
      <c r="AF27" s="1861"/>
      <c r="AG27" s="1861"/>
      <c r="AH27" s="1861"/>
      <c r="AI27" s="1861"/>
      <c r="AJ27" s="1861"/>
      <c r="AK27" s="1861"/>
      <c r="AL27" s="1861"/>
      <c r="AM27" s="1862"/>
    </row>
    <row r="28" spans="2:39" ht="18" customHeight="1">
      <c r="B28" s="3736" t="s">
        <v>3102</v>
      </c>
      <c r="C28" s="3735"/>
      <c r="D28" s="3735"/>
      <c r="E28" s="3735"/>
      <c r="F28" s="3735"/>
      <c r="G28" s="3735"/>
      <c r="H28" s="3735"/>
      <c r="I28" s="3735"/>
      <c r="J28" s="3735"/>
      <c r="K28" s="3735"/>
      <c r="L28" s="3735"/>
      <c r="M28" s="3735"/>
      <c r="N28" s="3744"/>
      <c r="O28" s="1861"/>
      <c r="P28" s="1861"/>
      <c r="Q28" s="1861"/>
      <c r="R28" s="1861"/>
      <c r="S28" s="1861"/>
      <c r="T28" s="1861"/>
      <c r="U28" s="1861"/>
      <c r="V28" s="1861"/>
      <c r="W28" s="1861"/>
      <c r="X28" s="1861"/>
      <c r="Y28" s="1861"/>
      <c r="Z28" s="1861"/>
      <c r="AA28" s="1861"/>
      <c r="AB28" s="1861"/>
      <c r="AC28" s="1861"/>
      <c r="AD28" s="1861"/>
      <c r="AE28" s="1861"/>
      <c r="AF28" s="1861"/>
      <c r="AG28" s="1861"/>
      <c r="AH28" s="1861"/>
      <c r="AI28" s="1861"/>
      <c r="AJ28" s="1861"/>
      <c r="AK28" s="1861"/>
      <c r="AL28" s="1861"/>
      <c r="AM28" s="1862"/>
    </row>
    <row r="29" spans="2:39" ht="18" customHeight="1">
      <c r="B29" s="3736" t="s">
        <v>3103</v>
      </c>
      <c r="C29" s="3735"/>
      <c r="D29" s="3735"/>
      <c r="E29" s="3735"/>
      <c r="F29" s="3735"/>
      <c r="G29" s="3735"/>
      <c r="H29" s="3735"/>
      <c r="I29" s="3735"/>
      <c r="J29" s="3735"/>
      <c r="K29" s="3735"/>
      <c r="L29" s="3735"/>
      <c r="M29" s="3735"/>
      <c r="N29" s="3743"/>
      <c r="O29" s="1861"/>
      <c r="P29" s="1861"/>
      <c r="Q29" s="1861"/>
      <c r="R29" s="1861"/>
      <c r="S29" s="1861"/>
      <c r="T29" s="1861"/>
      <c r="U29" s="1861"/>
      <c r="V29" s="1861"/>
      <c r="W29" s="1861"/>
      <c r="X29" s="1861"/>
      <c r="Y29" s="1861"/>
      <c r="Z29" s="1861"/>
      <c r="AA29" s="1861"/>
      <c r="AB29" s="1861"/>
      <c r="AC29" s="1861"/>
      <c r="AD29" s="1861"/>
      <c r="AE29" s="1861"/>
      <c r="AF29" s="1861"/>
      <c r="AG29" s="1861"/>
      <c r="AH29" s="1861"/>
      <c r="AI29" s="1861"/>
      <c r="AJ29" s="1861"/>
      <c r="AK29" s="1861"/>
      <c r="AL29" s="1861"/>
      <c r="AM29" s="1862"/>
    </row>
    <row r="31" spans="2:39" ht="18" customHeight="1">
      <c r="B31" s="2529" t="s">
        <v>461</v>
      </c>
      <c r="C31" s="3735"/>
      <c r="D31" s="3735"/>
      <c r="E31" s="3735"/>
      <c r="F31" s="3735"/>
      <c r="G31" s="3735"/>
      <c r="H31" s="3735"/>
      <c r="I31" s="3735"/>
      <c r="J31" s="3735"/>
      <c r="K31" s="3735"/>
      <c r="L31" s="3735"/>
      <c r="M31" s="3735"/>
      <c r="N31" s="3735"/>
      <c r="O31" s="3735"/>
      <c r="P31" s="3735"/>
      <c r="Q31" s="3735"/>
      <c r="R31" s="3735"/>
      <c r="S31" s="3735"/>
      <c r="T31" s="3735"/>
      <c r="U31" s="3735"/>
      <c r="V31" s="3735"/>
      <c r="W31" s="3735"/>
      <c r="X31" s="3735"/>
      <c r="Y31" s="3735"/>
      <c r="Z31" s="3735"/>
      <c r="AA31" s="3735"/>
      <c r="AB31" s="3735"/>
      <c r="AC31" s="3735"/>
      <c r="AD31" s="3735"/>
      <c r="AE31" s="3735"/>
      <c r="AF31" s="3735"/>
      <c r="AG31" s="3735"/>
      <c r="AH31" s="3735"/>
      <c r="AI31" s="3735"/>
      <c r="AJ31" s="3735"/>
      <c r="AK31" s="3735"/>
      <c r="AL31" s="3735"/>
      <c r="AM31" s="3735"/>
    </row>
  </sheetData>
  <sheetProtection algorithmName="SHA-512" hashValue="pIAPZ3mNyTOCOBKXLXyQMhtHOMj2yy726/nX0nvBAT184jZgbGOkqf3vbHfkOJAFkaLWniD69o2ygt3AK5uJnA==" saltValue="W5T8xKgt8PkxNaf7GU6c9w==" spinCount="100000" sheet="1" objects="1" scenarios="1"/>
  <mergeCells count="58">
    <mergeCell ref="AB19:AE19"/>
    <mergeCell ref="AF18:AM18"/>
    <mergeCell ref="B29:M29"/>
    <mergeCell ref="B16:AM16"/>
    <mergeCell ref="B11:M11"/>
    <mergeCell ref="B19:W19"/>
    <mergeCell ref="B20:AM20"/>
    <mergeCell ref="B23:D23"/>
    <mergeCell ref="N11:AM11"/>
    <mergeCell ref="V15:X15"/>
    <mergeCell ref="B3:AM3"/>
    <mergeCell ref="AB18:AE18"/>
    <mergeCell ref="B10:M10"/>
    <mergeCell ref="B28:M28"/>
    <mergeCell ref="B13:AK13"/>
    <mergeCell ref="N6:AM6"/>
    <mergeCell ref="N24:AM24"/>
    <mergeCell ref="N27:AM27"/>
    <mergeCell ref="N4:AM4"/>
    <mergeCell ref="B8:M8"/>
    <mergeCell ref="N26:AM26"/>
    <mergeCell ref="I23:AM23"/>
    <mergeCell ref="AD14:AH14"/>
    <mergeCell ref="Y15:AC15"/>
    <mergeCell ref="N7:AM7"/>
    <mergeCell ref="N25:AM25"/>
    <mergeCell ref="B31:AM31"/>
    <mergeCell ref="AI15:AM15"/>
    <mergeCell ref="Y14:AC14"/>
    <mergeCell ref="B9:M9"/>
    <mergeCell ref="B21:AM21"/>
    <mergeCell ref="AD15:AH15"/>
    <mergeCell ref="B12:AM12"/>
    <mergeCell ref="AL13:AM13"/>
    <mergeCell ref="B26:M26"/>
    <mergeCell ref="N29:AM29"/>
    <mergeCell ref="N28:AM28"/>
    <mergeCell ref="B25:M25"/>
    <mergeCell ref="N9:AM9"/>
    <mergeCell ref="B27:M27"/>
    <mergeCell ref="AF19:AM19"/>
    <mergeCell ref="AI14:AM14"/>
    <mergeCell ref="B2:AM2"/>
    <mergeCell ref="B6:M6"/>
    <mergeCell ref="B24:M24"/>
    <mergeCell ref="B14:X14"/>
    <mergeCell ref="E23:H23"/>
    <mergeCell ref="B5:M5"/>
    <mergeCell ref="N5:AM5"/>
    <mergeCell ref="N8:AM8"/>
    <mergeCell ref="B17:AM17"/>
    <mergeCell ref="B18:W18"/>
    <mergeCell ref="B4:M4"/>
    <mergeCell ref="X19:AA19"/>
    <mergeCell ref="N10:AM10"/>
    <mergeCell ref="X18:AA18"/>
    <mergeCell ref="B7:M7"/>
    <mergeCell ref="B15:U15"/>
  </mergeCells>
  <dataValidations count="1">
    <dataValidation type="list" allowBlank="1" showInputMessage="1" showErrorMessage="1" sqref="X19:AE19 Y15:AC15 AL13:AM13" xr:uid="{00000000-0002-0000-2200-000000000000}">
      <formula1>"Yes,No"</formula1>
    </dataValidation>
  </dataValidations>
  <printOptions horizontalCentered="1"/>
  <pageMargins left="0.25" right="0.25" top="0.5" bottom="0" header="0.25" footer="0.25"/>
  <pageSetup scale="64" firstPageNumber="61" fitToHeight="0" orientation="portrait" r:id="rId1"/>
  <headerFooter>
    <oddFooter>&amp;L&amp;F&amp;C&amp;P of &amp;N&amp;R &amp;A</oddFooter>
  </headerFooter>
  <legacy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ntityOrgDocs">
    <pageSetUpPr fitToPage="1"/>
  </sheetPr>
  <dimension ref="B2:AR38"/>
  <sheetViews>
    <sheetView showGridLines="0" showRowColHeaders="0" zoomScaleNormal="100" zoomScaleSheetLayoutView="100" workbookViewId="0">
      <selection activeCell="B11" sqref="B11:AM11"/>
    </sheetView>
  </sheetViews>
  <sheetFormatPr defaultColWidth="9.28515625" defaultRowHeight="18" customHeight="1"/>
  <cols>
    <col min="1" max="1" width="8.7109375" style="100" customWidth="1"/>
    <col min="2" max="39" width="4.28515625" style="100" customWidth="1"/>
    <col min="40" max="41" width="5.7109375" style="100" customWidth="1"/>
    <col min="42" max="42" width="6" style="100" customWidth="1"/>
    <col min="43" max="43" width="9.28515625" style="100" customWidth="1"/>
    <col min="44" max="16384" width="9.28515625" style="100"/>
  </cols>
  <sheetData>
    <row r="2" spans="2:44" s="96" customFormat="1">
      <c r="B2" s="3734" t="s">
        <v>3707</v>
      </c>
      <c r="C2" s="3751"/>
      <c r="D2" s="3751"/>
      <c r="E2" s="3751"/>
      <c r="F2" s="3751"/>
      <c r="G2" s="3751"/>
      <c r="H2" s="3751"/>
      <c r="I2" s="3751"/>
      <c r="J2" s="3751"/>
      <c r="K2" s="3751"/>
      <c r="L2" s="3751"/>
      <c r="M2" s="3751"/>
      <c r="N2" s="3751"/>
      <c r="O2" s="3751"/>
      <c r="P2" s="3751"/>
      <c r="Q2" s="3751"/>
      <c r="R2" s="3751"/>
      <c r="S2" s="3751"/>
      <c r="T2" s="3751"/>
      <c r="U2" s="3751"/>
      <c r="V2" s="3751"/>
      <c r="W2" s="3751"/>
      <c r="X2" s="3751"/>
      <c r="Y2" s="3751"/>
      <c r="Z2" s="3751"/>
      <c r="AA2" s="3751"/>
      <c r="AB2" s="3751"/>
      <c r="AC2" s="3751"/>
      <c r="AD2" s="3751"/>
      <c r="AE2" s="3751"/>
      <c r="AF2" s="3751"/>
      <c r="AG2" s="3751"/>
      <c r="AH2" s="3751"/>
      <c r="AI2" s="3751"/>
      <c r="AJ2" s="3751"/>
      <c r="AK2" s="3751"/>
      <c r="AL2" s="3751"/>
      <c r="AM2" s="3751"/>
      <c r="AN2" s="3750"/>
      <c r="AO2" s="3751"/>
      <c r="AP2" s="97"/>
    </row>
    <row r="3" spans="2:44" s="96" customFormat="1" ht="9" customHeight="1">
      <c r="B3" s="1668"/>
      <c r="C3" s="1668"/>
      <c r="D3" s="1668"/>
      <c r="E3" s="1668"/>
      <c r="F3" s="1668"/>
      <c r="G3" s="1668"/>
      <c r="H3" s="1668"/>
      <c r="I3" s="1668"/>
      <c r="J3" s="1668"/>
      <c r="K3" s="1668"/>
      <c r="L3" s="1668"/>
      <c r="M3" s="1668"/>
      <c r="N3" s="1668"/>
      <c r="O3" s="1668"/>
      <c r="P3" s="1668"/>
      <c r="Q3" s="1668"/>
      <c r="R3" s="1668"/>
      <c r="S3" s="1668"/>
      <c r="T3" s="1668"/>
      <c r="U3" s="1668"/>
      <c r="V3" s="1668"/>
      <c r="W3" s="1668"/>
      <c r="X3" s="1668"/>
      <c r="Y3" s="1668"/>
      <c r="Z3" s="1668"/>
      <c r="AA3" s="1668"/>
      <c r="AB3" s="1668"/>
      <c r="AC3" s="1668"/>
      <c r="AD3" s="1668"/>
      <c r="AE3" s="1668"/>
      <c r="AF3" s="1668"/>
      <c r="AG3" s="1668"/>
      <c r="AH3" s="1668"/>
      <c r="AI3" s="1668"/>
      <c r="AJ3" s="1668"/>
      <c r="AK3" s="1668"/>
      <c r="AL3" s="1668"/>
      <c r="AM3" s="1668"/>
      <c r="AN3" s="1759"/>
      <c r="AO3" s="1759"/>
      <c r="AP3" s="97"/>
    </row>
    <row r="4" spans="2:44" s="98" customFormat="1" ht="18" customHeight="1">
      <c r="B4" s="3752" t="s">
        <v>3708</v>
      </c>
      <c r="C4" s="3759"/>
      <c r="D4" s="3759"/>
      <c r="E4" s="3759"/>
      <c r="F4" s="3759"/>
      <c r="G4" s="3759"/>
      <c r="H4" s="3759"/>
      <c r="I4" s="3759"/>
      <c r="J4" s="3759"/>
      <c r="K4" s="3759"/>
      <c r="L4" s="3759"/>
      <c r="M4" s="3759"/>
      <c r="N4" s="3759"/>
      <c r="O4" s="3759"/>
      <c r="P4" s="3759"/>
      <c r="Q4" s="3759"/>
      <c r="R4" s="3759"/>
      <c r="S4" s="3759"/>
      <c r="T4" s="3759"/>
      <c r="U4" s="3759"/>
      <c r="V4" s="3759"/>
      <c r="W4" s="3759"/>
      <c r="X4" s="3759"/>
      <c r="Y4" s="3759"/>
      <c r="Z4" s="3759"/>
      <c r="AA4" s="3759"/>
      <c r="AB4" s="3759"/>
      <c r="AC4" s="3759"/>
      <c r="AD4" s="3759"/>
      <c r="AE4" s="3759"/>
      <c r="AF4" s="3759"/>
      <c r="AG4" s="3759"/>
      <c r="AH4" s="3759"/>
      <c r="AI4" s="3759"/>
      <c r="AJ4" s="3759"/>
      <c r="AK4" s="3759"/>
      <c r="AL4" s="3759"/>
      <c r="AM4" s="3759"/>
    </row>
    <row r="5" spans="2:44" ht="72" customHeight="1">
      <c r="B5" s="3758" t="s">
        <v>3709</v>
      </c>
      <c r="C5" s="3753"/>
      <c r="D5" s="3753"/>
      <c r="E5" s="3753"/>
      <c r="F5" s="3753"/>
      <c r="G5" s="3753"/>
      <c r="H5" s="3753"/>
      <c r="I5" s="3753"/>
      <c r="J5" s="3753"/>
      <c r="K5" s="3753"/>
      <c r="L5" s="3753"/>
      <c r="M5" s="3753"/>
      <c r="N5" s="3753"/>
      <c r="O5" s="3753"/>
      <c r="P5" s="3753"/>
      <c r="Q5" s="3753"/>
      <c r="R5" s="3753"/>
      <c r="S5" s="3753"/>
      <c r="T5" s="3753"/>
      <c r="U5" s="3753"/>
      <c r="V5" s="3753"/>
      <c r="W5" s="3753"/>
      <c r="X5" s="3753"/>
      <c r="Y5" s="3753"/>
      <c r="Z5" s="3753"/>
      <c r="AA5" s="3753"/>
      <c r="AB5" s="3753"/>
      <c r="AC5" s="3753"/>
      <c r="AD5" s="3753"/>
      <c r="AE5" s="3753"/>
      <c r="AF5" s="3753"/>
      <c r="AG5" s="3753"/>
      <c r="AH5" s="3753"/>
      <c r="AI5" s="3753"/>
      <c r="AJ5" s="3753"/>
      <c r="AK5" s="3753"/>
      <c r="AL5" s="3753"/>
      <c r="AM5" s="3753"/>
      <c r="AN5" s="68"/>
      <c r="AO5" s="96"/>
      <c r="AP5" s="96"/>
      <c r="AQ5" s="96"/>
      <c r="AR5" s="96"/>
    </row>
    <row r="6" spans="2:44" ht="18" customHeight="1">
      <c r="B6" s="3754"/>
      <c r="C6" s="3753"/>
      <c r="D6" s="3753"/>
      <c r="E6" s="3753"/>
      <c r="F6" s="3753"/>
      <c r="G6" s="3753"/>
      <c r="H6" s="3753"/>
      <c r="I6" s="3753"/>
      <c r="J6" s="3753"/>
      <c r="K6" s="3753"/>
      <c r="L6" s="3753"/>
      <c r="M6" s="3753"/>
      <c r="N6" s="3753"/>
      <c r="O6" s="3753"/>
      <c r="P6" s="3753"/>
      <c r="Q6" s="3753"/>
      <c r="R6" s="3753"/>
      <c r="S6" s="3753"/>
      <c r="T6" s="3753"/>
      <c r="U6" s="3753"/>
      <c r="V6" s="3753"/>
      <c r="W6" s="3753"/>
      <c r="X6" s="3753"/>
      <c r="Y6" s="3753"/>
      <c r="Z6" s="3753"/>
      <c r="AA6" s="3753"/>
      <c r="AB6" s="3753"/>
      <c r="AC6" s="3753"/>
      <c r="AD6" s="3753"/>
      <c r="AE6" s="3753"/>
      <c r="AF6" s="3753"/>
      <c r="AG6" s="3753"/>
      <c r="AH6" s="3753"/>
      <c r="AI6" s="3753"/>
      <c r="AJ6" s="3753"/>
      <c r="AK6" s="3753"/>
      <c r="AL6" s="3753"/>
      <c r="AM6" s="3753"/>
    </row>
    <row r="7" spans="2:44" ht="18" customHeight="1">
      <c r="B7" s="3752" t="s">
        <v>3710</v>
      </c>
      <c r="C7" s="3753"/>
      <c r="D7" s="3753"/>
      <c r="E7" s="3753"/>
      <c r="F7" s="3753"/>
      <c r="G7" s="3753"/>
      <c r="H7" s="3753"/>
      <c r="I7" s="3753"/>
      <c r="J7" s="3753"/>
      <c r="K7" s="3753"/>
      <c r="L7" s="3753"/>
      <c r="M7" s="3753"/>
      <c r="N7" s="3753"/>
      <c r="O7" s="3753"/>
      <c r="P7" s="3753"/>
      <c r="Q7" s="3753"/>
      <c r="R7" s="3753"/>
      <c r="S7" s="3753"/>
      <c r="T7" s="3753"/>
      <c r="U7" s="3753"/>
      <c r="V7" s="3753"/>
      <c r="W7" s="3753"/>
      <c r="X7" s="3753"/>
      <c r="Y7" s="3753"/>
      <c r="Z7" s="3753"/>
      <c r="AA7" s="3753"/>
      <c r="AB7" s="3753"/>
      <c r="AC7" s="3753"/>
      <c r="AD7" s="3753"/>
      <c r="AE7" s="3753"/>
      <c r="AF7" s="3753"/>
      <c r="AG7" s="3753"/>
      <c r="AH7" s="3753"/>
      <c r="AI7" s="3753"/>
      <c r="AJ7" s="3753"/>
      <c r="AK7" s="3753"/>
      <c r="AL7" s="3753"/>
      <c r="AM7" s="3753"/>
      <c r="AN7" s="96"/>
      <c r="AO7" s="96"/>
      <c r="AP7" s="96"/>
      <c r="AQ7" s="96"/>
      <c r="AR7" s="96"/>
    </row>
    <row r="8" spans="2:44" s="99" customFormat="1" ht="18" customHeight="1">
      <c r="B8" s="3671" t="s">
        <v>3711</v>
      </c>
      <c r="C8" s="3755"/>
      <c r="D8" s="3755"/>
      <c r="E8" s="3755"/>
      <c r="F8" s="3755"/>
      <c r="G8" s="3755"/>
      <c r="H8" s="3755"/>
      <c r="I8" s="3755"/>
      <c r="J8" s="3755"/>
      <c r="K8" s="3755"/>
      <c r="L8" s="3755"/>
      <c r="M8" s="3755"/>
      <c r="N8" s="3755"/>
      <c r="O8" s="3755"/>
      <c r="P8" s="3755"/>
      <c r="Q8" s="3755"/>
      <c r="R8" s="3755"/>
      <c r="S8" s="3755"/>
      <c r="T8" s="3755"/>
      <c r="U8" s="3755"/>
      <c r="V8" s="3755"/>
      <c r="W8" s="3755"/>
      <c r="X8" s="3755"/>
      <c r="Y8" s="3755"/>
      <c r="Z8" s="3755"/>
      <c r="AA8" s="3755"/>
      <c r="AB8" s="3755"/>
      <c r="AC8" s="3755"/>
      <c r="AD8" s="3755"/>
      <c r="AE8" s="3755"/>
      <c r="AF8" s="3755"/>
      <c r="AG8" s="3755"/>
      <c r="AH8" s="3755"/>
      <c r="AI8" s="3755"/>
      <c r="AJ8" s="3755"/>
      <c r="AK8" s="3755"/>
      <c r="AL8" s="3755"/>
      <c r="AM8" s="3755"/>
    </row>
    <row r="9" spans="2:44" s="99" customFormat="1" ht="18" customHeight="1">
      <c r="B9" s="3754"/>
      <c r="C9" s="3755"/>
      <c r="D9" s="3755"/>
      <c r="E9" s="3755"/>
      <c r="F9" s="3755"/>
      <c r="G9" s="3755"/>
      <c r="H9" s="3755"/>
      <c r="I9" s="3755"/>
      <c r="J9" s="3755"/>
      <c r="K9" s="3755"/>
      <c r="L9" s="3755"/>
      <c r="M9" s="3755"/>
      <c r="N9" s="3755"/>
      <c r="O9" s="3755"/>
      <c r="P9" s="3755"/>
      <c r="Q9" s="3755"/>
      <c r="R9" s="3755"/>
      <c r="S9" s="3755"/>
      <c r="T9" s="3755"/>
      <c r="U9" s="3755"/>
      <c r="V9" s="3755"/>
      <c r="W9" s="3755"/>
      <c r="X9" s="3755"/>
      <c r="Y9" s="3755"/>
      <c r="Z9" s="3755"/>
      <c r="AA9" s="3755"/>
      <c r="AB9" s="3755"/>
      <c r="AC9" s="3755"/>
      <c r="AD9" s="3755"/>
      <c r="AE9" s="3755"/>
      <c r="AF9" s="3755"/>
      <c r="AG9" s="3755"/>
      <c r="AH9" s="3755"/>
      <c r="AI9" s="3755"/>
      <c r="AJ9" s="3755"/>
      <c r="AK9" s="3755"/>
      <c r="AL9" s="3755"/>
      <c r="AM9" s="3755"/>
    </row>
    <row r="10" spans="2:44" ht="18" customHeight="1">
      <c r="B10" s="3752" t="s">
        <v>3712</v>
      </c>
      <c r="C10" s="3753"/>
      <c r="D10" s="3753"/>
      <c r="E10" s="3753"/>
      <c r="F10" s="3753"/>
      <c r="G10" s="3753"/>
      <c r="H10" s="3753"/>
      <c r="I10" s="3753"/>
      <c r="J10" s="3753"/>
      <c r="K10" s="3753"/>
      <c r="L10" s="3753"/>
      <c r="M10" s="3753"/>
      <c r="N10" s="3753"/>
      <c r="O10" s="3753"/>
      <c r="P10" s="3753"/>
      <c r="Q10" s="3753"/>
      <c r="R10" s="3753"/>
      <c r="S10" s="3753"/>
      <c r="T10" s="3753"/>
      <c r="U10" s="3753"/>
      <c r="V10" s="3753"/>
      <c r="W10" s="3753"/>
      <c r="X10" s="3753"/>
      <c r="Y10" s="3753"/>
      <c r="Z10" s="3753"/>
      <c r="AA10" s="3753"/>
      <c r="AB10" s="3753"/>
      <c r="AC10" s="3753"/>
      <c r="AD10" s="3753"/>
      <c r="AE10" s="3753"/>
      <c r="AF10" s="3753"/>
      <c r="AG10" s="3753"/>
      <c r="AH10" s="3753"/>
      <c r="AI10" s="3753"/>
      <c r="AJ10" s="3753"/>
      <c r="AK10" s="3753"/>
      <c r="AL10" s="3753"/>
      <c r="AM10" s="3753"/>
      <c r="AN10" s="96"/>
      <c r="AO10" s="96"/>
      <c r="AP10" s="96"/>
      <c r="AQ10" s="96"/>
      <c r="AR10" s="96"/>
    </row>
    <row r="11" spans="2:44" ht="144" customHeight="1">
      <c r="B11" s="3671" t="s">
        <v>3713</v>
      </c>
      <c r="C11" s="3753"/>
      <c r="D11" s="3753"/>
      <c r="E11" s="3753"/>
      <c r="F11" s="3753"/>
      <c r="G11" s="3753"/>
      <c r="H11" s="3753"/>
      <c r="I11" s="3753"/>
      <c r="J11" s="3753"/>
      <c r="K11" s="3753"/>
      <c r="L11" s="3753"/>
      <c r="M11" s="3753"/>
      <c r="N11" s="3753"/>
      <c r="O11" s="3753"/>
      <c r="P11" s="3753"/>
      <c r="Q11" s="3753"/>
      <c r="R11" s="3753"/>
      <c r="S11" s="3753"/>
      <c r="T11" s="3753"/>
      <c r="U11" s="3753"/>
      <c r="V11" s="3753"/>
      <c r="W11" s="3753"/>
      <c r="X11" s="3753"/>
      <c r="Y11" s="3753"/>
      <c r="Z11" s="3753"/>
      <c r="AA11" s="3753"/>
      <c r="AB11" s="3753"/>
      <c r="AC11" s="3753"/>
      <c r="AD11" s="3753"/>
      <c r="AE11" s="3753"/>
      <c r="AF11" s="3753"/>
      <c r="AG11" s="3753"/>
      <c r="AH11" s="3753"/>
      <c r="AI11" s="3753"/>
      <c r="AJ11" s="3753"/>
      <c r="AK11" s="3753"/>
      <c r="AL11" s="3753"/>
      <c r="AM11" s="3753"/>
    </row>
    <row r="12" spans="2:44" ht="18" customHeight="1">
      <c r="B12" s="3754"/>
      <c r="C12" s="3753"/>
      <c r="D12" s="3753"/>
      <c r="E12" s="3753"/>
      <c r="F12" s="3753"/>
      <c r="G12" s="3753"/>
      <c r="H12" s="3753"/>
      <c r="I12" s="3753"/>
      <c r="J12" s="3753"/>
      <c r="K12" s="3753"/>
      <c r="L12" s="3753"/>
      <c r="M12" s="3753"/>
      <c r="N12" s="3753"/>
      <c r="O12" s="3753"/>
      <c r="P12" s="3753"/>
      <c r="Q12" s="3753"/>
      <c r="R12" s="3753"/>
      <c r="S12" s="3753"/>
      <c r="T12" s="3753"/>
      <c r="U12" s="3753"/>
      <c r="V12" s="3753"/>
      <c r="W12" s="3753"/>
      <c r="X12" s="3753"/>
      <c r="Y12" s="3753"/>
      <c r="Z12" s="3753"/>
      <c r="AA12" s="3753"/>
      <c r="AB12" s="3753"/>
      <c r="AC12" s="3753"/>
      <c r="AD12" s="3753"/>
      <c r="AE12" s="3753"/>
      <c r="AF12" s="3753"/>
      <c r="AG12" s="3753"/>
      <c r="AH12" s="3753"/>
      <c r="AI12" s="3753"/>
      <c r="AJ12" s="3753"/>
      <c r="AK12" s="3753"/>
      <c r="AL12" s="3753"/>
      <c r="AM12" s="3753"/>
    </row>
    <row r="13" spans="2:44" ht="18" customHeight="1">
      <c r="B13" s="3752" t="s">
        <v>3714</v>
      </c>
      <c r="C13" s="3753"/>
      <c r="D13" s="3753"/>
      <c r="E13" s="3753"/>
      <c r="F13" s="3753"/>
      <c r="G13" s="3753"/>
      <c r="H13" s="3753"/>
      <c r="I13" s="3753"/>
      <c r="J13" s="3753"/>
      <c r="K13" s="3753"/>
      <c r="L13" s="3753"/>
      <c r="M13" s="3753"/>
      <c r="N13" s="3753"/>
      <c r="O13" s="3753"/>
      <c r="P13" s="3753"/>
      <c r="Q13" s="3753"/>
      <c r="R13" s="3753"/>
      <c r="S13" s="3753"/>
      <c r="T13" s="3753"/>
      <c r="U13" s="3753"/>
      <c r="V13" s="3753"/>
      <c r="W13" s="3753"/>
      <c r="X13" s="3753"/>
      <c r="Y13" s="3753"/>
      <c r="Z13" s="3753"/>
      <c r="AA13" s="3753"/>
      <c r="AB13" s="3753"/>
      <c r="AC13" s="3753"/>
      <c r="AD13" s="3753"/>
      <c r="AE13" s="3753"/>
      <c r="AF13" s="3753"/>
      <c r="AG13" s="3753"/>
      <c r="AH13" s="3753"/>
      <c r="AI13" s="3753"/>
      <c r="AJ13" s="3753"/>
      <c r="AK13" s="3753"/>
      <c r="AL13" s="3753"/>
      <c r="AM13" s="3753"/>
      <c r="AN13" s="101"/>
    </row>
    <row r="14" spans="2:44" ht="108" customHeight="1">
      <c r="B14" s="3671" t="s">
        <v>3715</v>
      </c>
      <c r="C14" s="3753"/>
      <c r="D14" s="3753"/>
      <c r="E14" s="3753"/>
      <c r="F14" s="3753"/>
      <c r="G14" s="3753"/>
      <c r="H14" s="3753"/>
      <c r="I14" s="3753"/>
      <c r="J14" s="3753"/>
      <c r="K14" s="3753"/>
      <c r="L14" s="3753"/>
      <c r="M14" s="3753"/>
      <c r="N14" s="3753"/>
      <c r="O14" s="3753"/>
      <c r="P14" s="3753"/>
      <c r="Q14" s="3753"/>
      <c r="R14" s="3753"/>
      <c r="S14" s="3753"/>
      <c r="T14" s="3753"/>
      <c r="U14" s="3753"/>
      <c r="V14" s="3753"/>
      <c r="W14" s="3753"/>
      <c r="X14" s="3753"/>
      <c r="Y14" s="3753"/>
      <c r="Z14" s="3753"/>
      <c r="AA14" s="3753"/>
      <c r="AB14" s="3753"/>
      <c r="AC14" s="3753"/>
      <c r="AD14" s="3753"/>
      <c r="AE14" s="3753"/>
      <c r="AF14" s="3753"/>
      <c r="AG14" s="3753"/>
      <c r="AH14" s="3753"/>
      <c r="AI14" s="3753"/>
      <c r="AJ14" s="3753"/>
      <c r="AK14" s="3753"/>
      <c r="AL14" s="3753"/>
      <c r="AM14" s="3753"/>
    </row>
    <row r="15" spans="2:44" ht="18" customHeight="1">
      <c r="B15" s="3754"/>
      <c r="C15" s="3753"/>
      <c r="D15" s="3753"/>
      <c r="E15" s="3753"/>
      <c r="F15" s="3753"/>
      <c r="G15" s="3753"/>
      <c r="H15" s="3753"/>
      <c r="I15" s="3753"/>
      <c r="J15" s="3753"/>
      <c r="K15" s="3753"/>
      <c r="L15" s="3753"/>
      <c r="M15" s="3753"/>
      <c r="N15" s="3753"/>
      <c r="O15" s="3753"/>
      <c r="P15" s="3753"/>
      <c r="Q15" s="3753"/>
      <c r="R15" s="3753"/>
      <c r="S15" s="3753"/>
      <c r="T15" s="3753"/>
      <c r="U15" s="3753"/>
      <c r="V15" s="3753"/>
      <c r="W15" s="3753"/>
      <c r="X15" s="3753"/>
      <c r="Y15" s="3753"/>
      <c r="Z15" s="3753"/>
      <c r="AA15" s="3753"/>
      <c r="AB15" s="3753"/>
      <c r="AC15" s="3753"/>
      <c r="AD15" s="3753"/>
      <c r="AE15" s="3753"/>
      <c r="AF15" s="3753"/>
      <c r="AG15" s="3753"/>
      <c r="AH15" s="3753"/>
      <c r="AI15" s="3753"/>
      <c r="AJ15" s="3753"/>
      <c r="AK15" s="3753"/>
      <c r="AL15" s="3753"/>
      <c r="AM15" s="3753"/>
    </row>
    <row r="16" spans="2:44" ht="18" customHeight="1">
      <c r="B16" s="3752" t="s">
        <v>3716</v>
      </c>
      <c r="C16" s="3753"/>
      <c r="D16" s="3753"/>
      <c r="E16" s="3753"/>
      <c r="F16" s="3753"/>
      <c r="G16" s="3753"/>
      <c r="H16" s="3753"/>
      <c r="I16" s="3753"/>
      <c r="J16" s="3753"/>
      <c r="K16" s="3753"/>
      <c r="L16" s="3753"/>
      <c r="M16" s="3753"/>
      <c r="N16" s="3753"/>
      <c r="O16" s="3753"/>
      <c r="P16" s="3753"/>
      <c r="Q16" s="3753"/>
      <c r="R16" s="3753"/>
      <c r="S16" s="3753"/>
      <c r="T16" s="3753"/>
      <c r="U16" s="3753"/>
      <c r="V16" s="3753"/>
      <c r="W16" s="3753"/>
      <c r="X16" s="3753"/>
      <c r="Y16" s="3753"/>
      <c r="Z16" s="3753"/>
      <c r="AA16" s="3753"/>
      <c r="AB16" s="3753"/>
      <c r="AC16" s="3753"/>
      <c r="AD16" s="3753"/>
      <c r="AE16" s="3753"/>
      <c r="AF16" s="3753"/>
      <c r="AG16" s="3753"/>
      <c r="AH16" s="3753"/>
      <c r="AI16" s="3753"/>
      <c r="AJ16" s="3753"/>
      <c r="AK16" s="3753"/>
      <c r="AL16" s="3753"/>
      <c r="AM16" s="3753"/>
    </row>
    <row r="17" spans="2:39" s="103" customFormat="1" ht="99" customHeight="1">
      <c r="B17" s="3756" t="s">
        <v>3717</v>
      </c>
      <c r="C17" s="3757"/>
      <c r="D17" s="3757"/>
      <c r="E17" s="3757"/>
      <c r="F17" s="3757"/>
      <c r="G17" s="3757"/>
      <c r="H17" s="3757"/>
      <c r="I17" s="3757"/>
      <c r="J17" s="3757"/>
      <c r="K17" s="3757"/>
      <c r="L17" s="3757"/>
      <c r="M17" s="3757"/>
      <c r="N17" s="3757"/>
      <c r="O17" s="3757"/>
      <c r="P17" s="3757"/>
      <c r="Q17" s="3757"/>
      <c r="R17" s="3757"/>
      <c r="S17" s="3757"/>
      <c r="T17" s="3757"/>
      <c r="U17" s="3757"/>
      <c r="V17" s="3757"/>
      <c r="W17" s="3757"/>
      <c r="X17" s="3757"/>
      <c r="Y17" s="3757"/>
      <c r="Z17" s="3757"/>
      <c r="AA17" s="3757"/>
      <c r="AB17" s="3757"/>
      <c r="AC17" s="3757"/>
      <c r="AD17" s="3757"/>
      <c r="AE17" s="3757"/>
      <c r="AF17" s="3757"/>
      <c r="AG17" s="3757"/>
      <c r="AH17" s="3757"/>
      <c r="AI17" s="3757"/>
      <c r="AJ17" s="3757"/>
      <c r="AK17" s="3757"/>
      <c r="AL17" s="3757"/>
      <c r="AM17" s="3757"/>
    </row>
    <row r="18" spans="2:39" ht="18" customHeight="1">
      <c r="B18" s="3754"/>
      <c r="C18" s="3753"/>
      <c r="D18" s="3753"/>
      <c r="E18" s="3753"/>
      <c r="F18" s="3753"/>
      <c r="G18" s="3753"/>
      <c r="H18" s="3753"/>
      <c r="I18" s="3753"/>
      <c r="J18" s="3753"/>
      <c r="K18" s="3753"/>
      <c r="L18" s="3753"/>
      <c r="M18" s="3753"/>
      <c r="N18" s="3753"/>
      <c r="O18" s="3753"/>
      <c r="P18" s="3753"/>
      <c r="Q18" s="3753"/>
      <c r="R18" s="3753"/>
      <c r="S18" s="3753"/>
      <c r="T18" s="3753"/>
      <c r="U18" s="3753"/>
      <c r="V18" s="3753"/>
      <c r="W18" s="3753"/>
      <c r="X18" s="3753"/>
      <c r="Y18" s="3753"/>
      <c r="Z18" s="3753"/>
      <c r="AA18" s="3753"/>
      <c r="AB18" s="3753"/>
      <c r="AC18" s="3753"/>
      <c r="AD18" s="3753"/>
      <c r="AE18" s="3753"/>
      <c r="AF18" s="3753"/>
      <c r="AG18" s="3753"/>
      <c r="AH18" s="3753"/>
      <c r="AI18" s="3753"/>
      <c r="AJ18" s="3753"/>
      <c r="AK18" s="3753"/>
      <c r="AL18" s="3753"/>
      <c r="AM18" s="3753"/>
    </row>
    <row r="19" spans="2:39" ht="18" customHeight="1">
      <c r="B19" s="3752" t="s">
        <v>44</v>
      </c>
      <c r="C19" s="3753"/>
      <c r="D19" s="3753"/>
      <c r="E19" s="3753"/>
      <c r="F19" s="3753"/>
      <c r="G19" s="3753"/>
      <c r="H19" s="3753"/>
      <c r="I19" s="3753"/>
      <c r="J19" s="3753"/>
      <c r="K19" s="3753"/>
      <c r="L19" s="3753"/>
      <c r="M19" s="3753"/>
      <c r="N19" s="3753"/>
      <c r="O19" s="3753"/>
      <c r="P19" s="3753"/>
      <c r="Q19" s="3753"/>
      <c r="R19" s="3753"/>
      <c r="S19" s="3753"/>
      <c r="T19" s="3753"/>
      <c r="U19" s="3753"/>
      <c r="V19" s="3753"/>
      <c r="W19" s="3753"/>
      <c r="X19" s="3753"/>
      <c r="Y19" s="3753"/>
      <c r="Z19" s="3753"/>
      <c r="AA19" s="3753"/>
      <c r="AB19" s="3753"/>
      <c r="AC19" s="3753"/>
      <c r="AD19" s="3753"/>
      <c r="AE19" s="3753"/>
      <c r="AF19" s="3753"/>
      <c r="AG19" s="3753"/>
      <c r="AH19" s="3753"/>
      <c r="AI19" s="3753"/>
      <c r="AJ19" s="3753"/>
      <c r="AK19" s="3753"/>
      <c r="AL19" s="3753"/>
      <c r="AM19" s="3753"/>
    </row>
    <row r="20" spans="2:39" ht="63" customHeight="1">
      <c r="B20" s="3671" t="s">
        <v>3718</v>
      </c>
      <c r="C20" s="3753"/>
      <c r="D20" s="3753"/>
      <c r="E20" s="3753"/>
      <c r="F20" s="3753"/>
      <c r="G20" s="3753"/>
      <c r="H20" s="3753"/>
      <c r="I20" s="3753"/>
      <c r="J20" s="3753"/>
      <c r="K20" s="3753"/>
      <c r="L20" s="3753"/>
      <c r="M20" s="3753"/>
      <c r="N20" s="3753"/>
      <c r="O20" s="3753"/>
      <c r="P20" s="3753"/>
      <c r="Q20" s="3753"/>
      <c r="R20" s="3753"/>
      <c r="S20" s="3753"/>
      <c r="T20" s="3753"/>
      <c r="U20" s="3753"/>
      <c r="V20" s="3753"/>
      <c r="W20" s="3753"/>
      <c r="X20" s="3753"/>
      <c r="Y20" s="3753"/>
      <c r="Z20" s="3753"/>
      <c r="AA20" s="3753"/>
      <c r="AB20" s="3753"/>
      <c r="AC20" s="3753"/>
      <c r="AD20" s="3753"/>
      <c r="AE20" s="3753"/>
      <c r="AF20" s="3753"/>
      <c r="AG20" s="3753"/>
      <c r="AH20" s="3753"/>
      <c r="AI20" s="3753"/>
      <c r="AJ20" s="3753"/>
      <c r="AK20" s="3753"/>
      <c r="AL20" s="3753"/>
      <c r="AM20" s="3753"/>
    </row>
    <row r="21" spans="2:39" ht="18" customHeight="1">
      <c r="B21" s="102"/>
      <c r="C21" s="102"/>
      <c r="D21" s="102"/>
      <c r="E21" s="102"/>
      <c r="F21" s="102"/>
      <c r="G21" s="102"/>
      <c r="H21" s="102"/>
      <c r="I21" s="102"/>
      <c r="J21" s="102"/>
      <c r="K21" s="102"/>
    </row>
    <row r="22" spans="2:39" ht="18" customHeight="1">
      <c r="B22" s="2529" t="s">
        <v>461</v>
      </c>
      <c r="C22" s="3753"/>
      <c r="D22" s="3753"/>
      <c r="E22" s="3753"/>
      <c r="F22" s="3753"/>
      <c r="G22" s="3753"/>
      <c r="H22" s="3753"/>
      <c r="I22" s="3753"/>
      <c r="J22" s="3753"/>
      <c r="K22" s="3753"/>
      <c r="L22" s="3753"/>
      <c r="M22" s="3753"/>
      <c r="N22" s="3753"/>
      <c r="O22" s="3753"/>
      <c r="P22" s="3753"/>
      <c r="Q22" s="3753"/>
      <c r="R22" s="3753"/>
      <c r="S22" s="3753"/>
      <c r="T22" s="3753"/>
      <c r="U22" s="3753"/>
      <c r="V22" s="3753"/>
      <c r="W22" s="3753"/>
      <c r="X22" s="3753"/>
      <c r="Y22" s="3753"/>
      <c r="Z22" s="3753"/>
      <c r="AA22" s="3753"/>
      <c r="AB22" s="3753"/>
      <c r="AC22" s="3753"/>
      <c r="AD22" s="3753"/>
      <c r="AE22" s="3753"/>
      <c r="AF22" s="3753"/>
      <c r="AG22" s="3753"/>
      <c r="AH22" s="3753"/>
      <c r="AI22" s="3753"/>
      <c r="AJ22" s="3753"/>
      <c r="AK22" s="3753"/>
      <c r="AL22" s="3753"/>
      <c r="AM22" s="3753"/>
    </row>
    <row r="23" spans="2:39" ht="18" customHeight="1">
      <c r="B23" s="102"/>
      <c r="C23" s="102"/>
      <c r="D23" s="102"/>
      <c r="E23" s="102"/>
      <c r="F23" s="102"/>
      <c r="G23" s="102"/>
      <c r="H23" s="102"/>
      <c r="I23" s="102"/>
      <c r="J23" s="102"/>
      <c r="K23" s="102"/>
    </row>
    <row r="24" spans="2:39" ht="18" customHeight="1">
      <c r="B24" s="102"/>
      <c r="C24" s="102"/>
      <c r="D24" s="102"/>
      <c r="E24" s="102"/>
      <c r="F24" s="102"/>
      <c r="G24" s="102"/>
      <c r="H24" s="102"/>
      <c r="I24" s="102"/>
      <c r="J24" s="102"/>
      <c r="K24" s="102"/>
    </row>
    <row r="25" spans="2:39" ht="18" customHeight="1">
      <c r="B25" s="102"/>
      <c r="C25" s="102"/>
      <c r="D25" s="102"/>
      <c r="E25" s="102"/>
      <c r="F25" s="102"/>
      <c r="G25" s="102"/>
      <c r="H25" s="102"/>
      <c r="I25" s="102"/>
      <c r="J25" s="102"/>
      <c r="K25" s="102"/>
    </row>
    <row r="26" spans="2:39" ht="18" customHeight="1">
      <c r="B26" s="102"/>
      <c r="C26" s="102"/>
      <c r="D26" s="102"/>
      <c r="E26" s="102"/>
      <c r="F26" s="102"/>
      <c r="G26" s="102"/>
      <c r="H26" s="102"/>
      <c r="I26" s="102"/>
      <c r="J26" s="102"/>
      <c r="K26" s="102"/>
    </row>
    <row r="27" spans="2:39" ht="18" customHeight="1">
      <c r="B27" s="102"/>
      <c r="C27" s="102"/>
      <c r="D27" s="102"/>
      <c r="E27" s="102"/>
      <c r="F27" s="102"/>
      <c r="G27" s="102"/>
      <c r="H27" s="102"/>
      <c r="I27" s="102"/>
      <c r="J27" s="102"/>
      <c r="K27" s="102"/>
    </row>
    <row r="28" spans="2:39" ht="18" customHeight="1">
      <c r="B28" s="102"/>
      <c r="C28" s="102"/>
      <c r="D28" s="102"/>
      <c r="E28" s="102"/>
      <c r="F28" s="102"/>
      <c r="G28" s="102"/>
      <c r="H28" s="102"/>
      <c r="I28" s="102"/>
      <c r="J28" s="102"/>
      <c r="K28" s="102"/>
    </row>
    <row r="29" spans="2:39" ht="18" customHeight="1">
      <c r="B29" s="102"/>
      <c r="C29" s="102"/>
      <c r="D29" s="102"/>
      <c r="E29" s="102"/>
      <c r="F29" s="102"/>
      <c r="G29" s="102"/>
      <c r="H29" s="102"/>
      <c r="I29" s="102"/>
      <c r="J29" s="102"/>
      <c r="K29" s="102"/>
    </row>
    <row r="30" spans="2:39" ht="18" customHeight="1">
      <c r="B30" s="102"/>
      <c r="C30" s="102"/>
      <c r="D30" s="102"/>
      <c r="E30" s="102"/>
      <c r="F30" s="102"/>
      <c r="G30" s="102"/>
      <c r="H30" s="102"/>
      <c r="I30" s="102"/>
      <c r="J30" s="102"/>
      <c r="K30" s="102"/>
    </row>
    <row r="31" spans="2:39" ht="18" customHeight="1">
      <c r="B31" s="102"/>
      <c r="C31" s="102"/>
      <c r="D31" s="102"/>
      <c r="E31" s="102"/>
      <c r="F31" s="102"/>
      <c r="G31" s="102"/>
      <c r="H31" s="102"/>
      <c r="I31" s="102"/>
      <c r="J31" s="102"/>
      <c r="K31" s="102"/>
    </row>
    <row r="32" spans="2:39" ht="18" customHeight="1">
      <c r="B32" s="102"/>
      <c r="C32" s="102"/>
      <c r="D32" s="102"/>
      <c r="E32" s="102"/>
      <c r="F32" s="102"/>
      <c r="G32" s="102"/>
      <c r="H32" s="102"/>
      <c r="I32" s="102"/>
      <c r="J32" s="102"/>
      <c r="K32" s="102"/>
    </row>
    <row r="33" spans="2:11" ht="18" customHeight="1">
      <c r="B33" s="102"/>
      <c r="C33" s="102"/>
      <c r="D33" s="102"/>
      <c r="E33" s="102"/>
      <c r="F33" s="102"/>
      <c r="G33" s="102"/>
      <c r="H33" s="102"/>
      <c r="I33" s="102"/>
      <c r="J33" s="102"/>
      <c r="K33" s="102"/>
    </row>
    <row r="34" spans="2:11" ht="18" customHeight="1">
      <c r="B34" s="102"/>
      <c r="C34" s="102"/>
      <c r="D34" s="102"/>
      <c r="E34" s="102"/>
      <c r="F34" s="102"/>
      <c r="G34" s="102"/>
      <c r="H34" s="102"/>
      <c r="I34" s="102"/>
      <c r="J34" s="102"/>
      <c r="K34" s="102"/>
    </row>
    <row r="35" spans="2:11" ht="18" customHeight="1">
      <c r="B35" s="102"/>
      <c r="C35" s="102"/>
      <c r="D35" s="102"/>
      <c r="E35" s="102"/>
      <c r="F35" s="102"/>
      <c r="G35" s="102"/>
      <c r="H35" s="102"/>
      <c r="I35" s="102"/>
      <c r="J35" s="102"/>
      <c r="K35" s="102"/>
    </row>
    <row r="36" spans="2:11" ht="18" customHeight="1">
      <c r="B36" s="102"/>
      <c r="C36" s="102"/>
      <c r="D36" s="102"/>
      <c r="E36" s="102"/>
      <c r="F36" s="102"/>
      <c r="G36" s="102"/>
      <c r="H36" s="102"/>
      <c r="I36" s="102"/>
      <c r="J36" s="102"/>
      <c r="K36" s="102"/>
    </row>
    <row r="37" spans="2:11" ht="18" customHeight="1">
      <c r="B37" s="102"/>
      <c r="C37" s="102"/>
      <c r="D37" s="102"/>
      <c r="E37" s="102"/>
      <c r="F37" s="102"/>
      <c r="G37" s="102"/>
      <c r="H37" s="102"/>
      <c r="I37" s="102"/>
      <c r="J37" s="102"/>
      <c r="K37" s="102"/>
    </row>
    <row r="38" spans="2:11" ht="18" customHeight="1">
      <c r="B38" s="102"/>
      <c r="C38" s="102"/>
      <c r="D38" s="102"/>
      <c r="E38" s="102"/>
      <c r="F38" s="102"/>
      <c r="G38" s="102"/>
      <c r="H38" s="102"/>
      <c r="I38" s="102"/>
      <c r="J38" s="102"/>
      <c r="K38" s="102"/>
    </row>
  </sheetData>
  <sheetProtection algorithmName="SHA-512" hashValue="eMFgWrqULznWwM8NIfFC41gmc7uGkq/JBuwk++mVij1zXTds8YOXaXPsHpk5EAnVItVYmE2ZJKx25JTxRRIhSg==" saltValue="BmDtHirPHJCebdMe8Zw3Qg==" spinCount="100000" sheet="1" objects="1" scenarios="1"/>
  <mergeCells count="20">
    <mergeCell ref="B22:AM22"/>
    <mergeCell ref="B18:AM18"/>
    <mergeCell ref="B12:AM12"/>
    <mergeCell ref="B2:AM2"/>
    <mergeCell ref="B11:AM11"/>
    <mergeCell ref="B8:AM8"/>
    <mergeCell ref="B14:AM14"/>
    <mergeCell ref="B17:AM17"/>
    <mergeCell ref="B15:AM15"/>
    <mergeCell ref="B5:AM5"/>
    <mergeCell ref="B20:AM20"/>
    <mergeCell ref="B4:AM4"/>
    <mergeCell ref="B16:AM16"/>
    <mergeCell ref="B7:AM7"/>
    <mergeCell ref="AN2:AO2"/>
    <mergeCell ref="B13:AM13"/>
    <mergeCell ref="B10:AM10"/>
    <mergeCell ref="B19:AM19"/>
    <mergeCell ref="B9:AM9"/>
    <mergeCell ref="B6:AM6"/>
  </mergeCells>
  <printOptions horizontalCentered="1"/>
  <pageMargins left="0" right="0.25" top="0" bottom="0" header="0.25" footer="0.25"/>
  <pageSetup scale="65" orientation="portrait" r:id="rId1"/>
  <headerFooter>
    <oddFooter>&amp;L&amp;F&amp;C&amp;P of &amp;N&amp;R &amp;A</oddFooter>
  </headerFooter>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SponsorCertification">
    <pageSetUpPr fitToPage="1"/>
  </sheetPr>
  <dimension ref="B2:AP46"/>
  <sheetViews>
    <sheetView showGridLines="0" topLeftCell="A30" zoomScaleNormal="100" zoomScaleSheetLayoutView="100" workbookViewId="0"/>
  </sheetViews>
  <sheetFormatPr defaultColWidth="9.28515625" defaultRowHeight="18" customHeight="1"/>
  <cols>
    <col min="1" max="1" width="8.7109375" customWidth="1"/>
    <col min="2" max="39" width="4.28515625" customWidth="1"/>
    <col min="40" max="41" width="6.42578125" customWidth="1"/>
    <col min="42" max="42" width="7" customWidth="1"/>
  </cols>
  <sheetData>
    <row r="2" spans="2:42" ht="14.25">
      <c r="B2" s="3304" t="s">
        <v>3719</v>
      </c>
      <c r="C2" s="2015"/>
      <c r="D2" s="2015"/>
      <c r="E2" s="2015"/>
      <c r="F2" s="2015"/>
      <c r="G2" s="2015"/>
      <c r="H2" s="2015"/>
      <c r="I2" s="2015"/>
      <c r="J2" s="2015"/>
      <c r="K2" s="2015"/>
      <c r="L2" s="2015"/>
      <c r="M2" s="2015"/>
      <c r="N2" s="2015"/>
      <c r="O2" s="2015"/>
      <c r="P2" s="2015"/>
      <c r="Q2" s="2015"/>
      <c r="R2" s="2015"/>
      <c r="S2" s="2015"/>
      <c r="T2" s="2015"/>
      <c r="U2" s="2015"/>
      <c r="V2" s="2015"/>
      <c r="W2" s="2015"/>
      <c r="X2" s="2015"/>
      <c r="Y2" s="2015"/>
      <c r="Z2" s="2015"/>
      <c r="AA2" s="2015"/>
      <c r="AB2" s="2015"/>
      <c r="AC2" s="2015"/>
      <c r="AD2" s="2015"/>
      <c r="AE2" s="2015"/>
      <c r="AF2" s="2015"/>
      <c r="AG2" s="2015"/>
      <c r="AH2" s="2015"/>
      <c r="AI2" s="2015"/>
      <c r="AJ2" s="2015"/>
      <c r="AK2" s="2015"/>
      <c r="AL2" s="2015"/>
      <c r="AM2" s="2015"/>
      <c r="AN2" s="3750"/>
      <c r="AO2" s="2015"/>
      <c r="AP2" s="71"/>
    </row>
    <row r="3" spans="2:42" ht="9" customHeight="1">
      <c r="B3" s="1731"/>
      <c r="C3" s="1731"/>
      <c r="D3" s="1731"/>
      <c r="E3" s="1731"/>
      <c r="F3" s="1731"/>
      <c r="G3" s="1731"/>
      <c r="H3" s="1731"/>
      <c r="I3" s="1731"/>
      <c r="J3" s="1731"/>
      <c r="K3" s="1731"/>
      <c r="L3" s="1731"/>
      <c r="M3" s="1731"/>
      <c r="N3" s="1731"/>
      <c r="O3" s="1731"/>
      <c r="P3" s="1731"/>
      <c r="Q3" s="1731"/>
      <c r="R3" s="1731"/>
      <c r="S3" s="1731"/>
      <c r="T3" s="1731"/>
      <c r="U3" s="1731"/>
      <c r="V3" s="1731"/>
      <c r="W3" s="1731"/>
      <c r="X3" s="1731"/>
      <c r="Y3" s="1731"/>
      <c r="Z3" s="1731"/>
      <c r="AA3" s="1731"/>
      <c r="AB3" s="1731"/>
      <c r="AC3" s="1731"/>
      <c r="AD3" s="1731"/>
      <c r="AE3" s="1731"/>
      <c r="AF3" s="1731"/>
      <c r="AG3" s="1731"/>
      <c r="AH3" s="1731"/>
      <c r="AI3" s="1731"/>
      <c r="AJ3" s="1731"/>
      <c r="AK3" s="1731"/>
      <c r="AL3" s="1731"/>
      <c r="AM3" s="1731"/>
      <c r="AN3" s="1759"/>
      <c r="AO3" s="1759"/>
      <c r="AP3" s="71"/>
    </row>
    <row r="4" spans="2:42" ht="18" customHeight="1">
      <c r="B4" s="3774" t="s">
        <v>3720</v>
      </c>
      <c r="C4" s="2015"/>
      <c r="D4" s="2015"/>
      <c r="E4" s="2015"/>
      <c r="F4" s="2015"/>
      <c r="G4" s="2015"/>
      <c r="H4" s="2015"/>
      <c r="I4" s="2015"/>
      <c r="J4" s="2015"/>
      <c r="K4" s="2015"/>
      <c r="L4" s="2015"/>
      <c r="M4" s="2015"/>
      <c r="N4" s="2015"/>
      <c r="O4" s="2015"/>
      <c r="P4" s="2015"/>
      <c r="Q4" s="2015"/>
      <c r="R4" s="2015"/>
      <c r="S4" s="2015"/>
      <c r="T4" s="2015"/>
      <c r="U4" s="2015"/>
      <c r="V4" s="2015"/>
      <c r="W4" s="2015"/>
      <c r="X4" s="2015"/>
      <c r="Y4" s="2015"/>
      <c r="Z4" s="2015"/>
      <c r="AA4" s="2015"/>
      <c r="AB4" s="2015"/>
      <c r="AC4" s="2015"/>
      <c r="AD4" s="2015"/>
      <c r="AE4" s="2015"/>
      <c r="AF4" s="2015"/>
      <c r="AG4" s="2015"/>
      <c r="AH4" s="2015"/>
      <c r="AI4" s="2015"/>
      <c r="AJ4" s="2015"/>
      <c r="AK4" s="2015"/>
      <c r="AL4" s="2015"/>
      <c r="AM4" s="2015"/>
    </row>
    <row r="5" spans="2:42" ht="18" customHeight="1">
      <c r="B5" s="3761" t="s">
        <v>3721</v>
      </c>
      <c r="C5" s="2015"/>
      <c r="D5" s="2015"/>
      <c r="E5" s="2015"/>
      <c r="F5" s="2015"/>
      <c r="G5" s="2015"/>
      <c r="H5" s="2015"/>
      <c r="I5" s="2015"/>
      <c r="J5" s="2015"/>
      <c r="K5" s="2015"/>
      <c r="L5" s="2015"/>
      <c r="M5" s="2015"/>
      <c r="N5" s="2015"/>
      <c r="O5" s="2015"/>
      <c r="P5" s="2015"/>
      <c r="Q5" s="2015"/>
      <c r="R5" s="2015"/>
      <c r="S5" s="2015"/>
      <c r="T5" s="2015"/>
      <c r="U5" s="2015"/>
      <c r="V5" s="2015"/>
      <c r="W5" s="2015"/>
      <c r="X5" s="2015"/>
      <c r="Y5" s="2015"/>
      <c r="Z5" s="2015"/>
      <c r="AA5" s="2015"/>
      <c r="AB5" s="2015"/>
      <c r="AC5" s="2015"/>
      <c r="AD5" s="2015"/>
      <c r="AE5" s="2015"/>
      <c r="AF5" s="2015"/>
      <c r="AG5" s="2015"/>
      <c r="AH5" s="2015"/>
      <c r="AI5" s="2015"/>
      <c r="AJ5" s="2015"/>
      <c r="AK5" s="2015"/>
      <c r="AL5" s="2015"/>
      <c r="AM5" s="2015"/>
      <c r="AN5" s="3776"/>
      <c r="AO5" s="2015"/>
      <c r="AP5" s="73"/>
    </row>
    <row r="6" spans="2:42" ht="18" customHeight="1">
      <c r="B6" s="3761" t="s">
        <v>3722</v>
      </c>
      <c r="C6" s="2015"/>
      <c r="D6" s="2015"/>
      <c r="E6" s="2015"/>
      <c r="F6" s="2015"/>
      <c r="G6" s="2015"/>
      <c r="H6" s="2015"/>
      <c r="I6" s="2015"/>
      <c r="J6" s="2015"/>
      <c r="K6" s="2015"/>
      <c r="L6" s="2015"/>
      <c r="M6" s="2015"/>
      <c r="N6" s="2015"/>
      <c r="O6" s="2015"/>
      <c r="P6" s="2015"/>
      <c r="Q6" s="2015"/>
      <c r="R6" s="2015"/>
      <c r="S6" s="2015"/>
      <c r="T6" s="2015"/>
      <c r="U6" s="2015"/>
      <c r="V6" s="2015"/>
      <c r="W6" s="2015"/>
      <c r="X6" s="2015"/>
      <c r="Y6" s="2015"/>
      <c r="Z6" s="2015"/>
      <c r="AA6" s="2015"/>
      <c r="AB6" s="2015"/>
      <c r="AC6" s="2015"/>
      <c r="AD6" s="2015"/>
      <c r="AE6" s="2015"/>
      <c r="AF6" s="2015"/>
      <c r="AG6" s="2015"/>
      <c r="AH6" s="2015"/>
      <c r="AI6" s="2015"/>
      <c r="AJ6" s="2015"/>
      <c r="AK6" s="2015"/>
      <c r="AL6" s="2015"/>
      <c r="AM6" s="2015"/>
    </row>
    <row r="7" spans="2:42" ht="54" customHeight="1">
      <c r="B7" s="3778" t="s">
        <v>3723</v>
      </c>
      <c r="C7" s="2015"/>
      <c r="D7" s="2015"/>
      <c r="E7" s="2015"/>
      <c r="F7" s="2015"/>
      <c r="G7" s="2015"/>
      <c r="H7" s="2015"/>
      <c r="I7" s="2015"/>
      <c r="J7" s="2015"/>
      <c r="K7" s="2015"/>
      <c r="L7" s="2015"/>
      <c r="M7" s="2015"/>
      <c r="N7" s="2015"/>
      <c r="O7" s="2015"/>
      <c r="P7" s="2015"/>
      <c r="Q7" s="2015"/>
      <c r="R7" s="2015"/>
      <c r="S7" s="2015"/>
      <c r="T7" s="2015"/>
      <c r="U7" s="2015"/>
      <c r="V7" s="2015"/>
      <c r="W7" s="2015"/>
      <c r="X7" s="2015"/>
      <c r="Y7" s="2015"/>
      <c r="Z7" s="2015"/>
      <c r="AA7" s="2015"/>
      <c r="AB7" s="2015"/>
      <c r="AC7" s="2015"/>
      <c r="AD7" s="2015"/>
      <c r="AE7" s="2015"/>
      <c r="AF7" s="2015"/>
      <c r="AG7" s="2015"/>
      <c r="AH7" s="2015"/>
      <c r="AI7" s="2015"/>
      <c r="AJ7" s="2015"/>
      <c r="AK7" s="2015"/>
      <c r="AL7" s="2015"/>
      <c r="AM7" s="2015"/>
    </row>
    <row r="8" spans="2:42" ht="54" customHeight="1">
      <c r="B8" s="3773"/>
      <c r="C8" s="1861"/>
      <c r="D8" s="1861"/>
      <c r="E8" s="1861"/>
      <c r="F8" s="1861"/>
      <c r="G8" s="1861"/>
      <c r="H8" s="1861"/>
      <c r="I8" s="1861"/>
      <c r="J8" s="1861"/>
      <c r="K8" s="1861"/>
      <c r="L8" s="1861"/>
      <c r="M8" s="1861"/>
      <c r="N8" s="1861"/>
      <c r="O8" s="1861"/>
      <c r="P8" s="1861"/>
      <c r="Q8" s="1861"/>
      <c r="R8" s="1861"/>
      <c r="S8" s="1861"/>
      <c r="T8" s="1861"/>
      <c r="U8" s="1861"/>
      <c r="V8" s="1861"/>
      <c r="W8" s="1861"/>
      <c r="X8" s="1861"/>
      <c r="Y8" s="1861"/>
      <c r="Z8" s="1861"/>
      <c r="AA8" s="1861"/>
      <c r="AB8" s="1861"/>
      <c r="AC8" s="1861"/>
      <c r="AD8" s="1861"/>
      <c r="AE8" s="1861"/>
      <c r="AF8" s="1861"/>
      <c r="AG8" s="1861"/>
      <c r="AH8" s="1861"/>
      <c r="AI8" s="1861"/>
      <c r="AJ8" s="1861"/>
      <c r="AK8" s="1861"/>
      <c r="AL8" s="1861"/>
      <c r="AM8" s="1862"/>
    </row>
    <row r="9" spans="2:42" ht="36" customHeight="1">
      <c r="B9" s="3761" t="s">
        <v>3724</v>
      </c>
      <c r="C9" s="2015"/>
      <c r="D9" s="2015"/>
      <c r="E9" s="2015"/>
      <c r="F9" s="2015"/>
      <c r="G9" s="2015"/>
      <c r="H9" s="2015"/>
      <c r="I9" s="2015"/>
      <c r="J9" s="2015"/>
      <c r="K9" s="2015"/>
      <c r="L9" s="2015"/>
      <c r="M9" s="2015"/>
      <c r="N9" s="2015"/>
      <c r="O9" s="2015"/>
      <c r="P9" s="2015"/>
      <c r="Q9" s="2015"/>
      <c r="R9" s="2015"/>
      <c r="S9" s="2015"/>
      <c r="T9" s="2015"/>
      <c r="U9" s="2015"/>
      <c r="V9" s="2015"/>
      <c r="W9" s="2015"/>
      <c r="X9" s="2015"/>
      <c r="Y9" s="2015"/>
      <c r="Z9" s="2015"/>
      <c r="AA9" s="2015"/>
      <c r="AB9" s="2015"/>
      <c r="AC9" s="2015"/>
      <c r="AD9" s="2015"/>
      <c r="AE9" s="2015"/>
      <c r="AF9" s="2015"/>
      <c r="AG9" s="2015"/>
      <c r="AH9" s="2015"/>
      <c r="AI9" s="2015"/>
      <c r="AJ9" s="2015"/>
      <c r="AK9" s="2015"/>
      <c r="AL9" s="2015"/>
      <c r="AM9" s="2015"/>
    </row>
    <row r="10" spans="2:42" ht="18" customHeight="1">
      <c r="B10" s="3761" t="s">
        <v>3725</v>
      </c>
      <c r="C10" s="2015"/>
      <c r="D10" s="2015"/>
      <c r="E10" s="2015"/>
      <c r="F10" s="2015"/>
      <c r="G10" s="2015"/>
      <c r="H10" s="2015"/>
      <c r="I10" s="2015"/>
      <c r="J10" s="2015"/>
      <c r="K10" s="2015"/>
      <c r="L10" s="2015"/>
      <c r="M10" s="2015"/>
      <c r="N10" s="2015"/>
      <c r="O10" s="2015"/>
      <c r="P10" s="2015"/>
      <c r="Q10" s="2015"/>
      <c r="R10" s="2015"/>
      <c r="S10" s="2015"/>
      <c r="T10" s="2015"/>
      <c r="U10" s="2015"/>
      <c r="V10" s="2015"/>
      <c r="W10" s="2015"/>
      <c r="X10" s="2015"/>
      <c r="Y10" s="2015"/>
      <c r="Z10" s="2015"/>
      <c r="AA10" s="2015"/>
      <c r="AB10" s="2015"/>
      <c r="AC10" s="2015"/>
      <c r="AD10" s="2015"/>
      <c r="AE10" s="2015"/>
      <c r="AF10" s="2015"/>
      <c r="AG10" s="2015"/>
      <c r="AH10" s="2015"/>
      <c r="AI10" s="2015"/>
      <c r="AJ10" s="2015"/>
      <c r="AK10" s="2015"/>
      <c r="AL10" s="2015"/>
      <c r="AM10" s="2015"/>
    </row>
    <row r="11" spans="2:42" ht="18" customHeight="1">
      <c r="B11" s="3761" t="s">
        <v>3726</v>
      </c>
      <c r="C11" s="2015"/>
      <c r="D11" s="2015"/>
      <c r="E11" s="2015"/>
      <c r="F11" s="2015"/>
      <c r="G11" s="2015"/>
      <c r="H11" s="2015"/>
      <c r="I11" s="2015"/>
      <c r="J11" s="2015"/>
      <c r="K11" s="2015"/>
      <c r="L11" s="2015"/>
      <c r="M11" s="2015"/>
      <c r="N11" s="2015"/>
      <c r="O11" s="2015"/>
      <c r="P11" s="2015"/>
      <c r="Q11" s="2015"/>
      <c r="R11" s="2015"/>
      <c r="S11" s="2015"/>
      <c r="T11" s="2015"/>
      <c r="U11" s="2015"/>
      <c r="V11" s="2015"/>
      <c r="W11" s="2015"/>
      <c r="X11" s="2015"/>
      <c r="Y11" s="2015"/>
      <c r="Z11" s="2015"/>
      <c r="AA11" s="2015"/>
      <c r="AB11" s="2015"/>
      <c r="AC11" s="2015"/>
      <c r="AD11" s="2015"/>
      <c r="AE11" s="2015"/>
      <c r="AF11" s="2015"/>
      <c r="AG11" s="2015"/>
      <c r="AH11" s="2015"/>
      <c r="AI11" s="2015"/>
      <c r="AJ11" s="2015"/>
      <c r="AK11" s="2015"/>
      <c r="AL11" s="2015"/>
      <c r="AM11" s="2015"/>
    </row>
    <row r="12" spans="2:42" ht="18" customHeight="1">
      <c r="B12" s="3780"/>
      <c r="C12" s="1877"/>
      <c r="D12" s="1877"/>
      <c r="E12" s="1877"/>
      <c r="F12" s="1877"/>
      <c r="G12" s="1877"/>
      <c r="H12" s="1877"/>
      <c r="I12" s="1877"/>
      <c r="J12" s="1877"/>
      <c r="K12" s="1877"/>
      <c r="L12" s="1877"/>
      <c r="M12" s="1877"/>
      <c r="N12" s="1877"/>
      <c r="O12" s="1877"/>
      <c r="P12" s="1877"/>
      <c r="Q12" s="1877"/>
      <c r="R12" s="1877"/>
      <c r="S12" s="1877"/>
      <c r="T12" s="1877"/>
      <c r="U12" s="1877"/>
      <c r="V12" s="1877"/>
      <c r="W12" s="1877"/>
      <c r="X12" s="1877"/>
      <c r="Y12" s="1877"/>
      <c r="Z12" s="1877"/>
      <c r="AA12" s="1877"/>
      <c r="AB12" s="1877"/>
      <c r="AC12" s="1877"/>
      <c r="AD12" s="1877"/>
      <c r="AE12" s="1877"/>
      <c r="AF12" s="1877"/>
      <c r="AG12" s="1877"/>
      <c r="AH12" s="1877"/>
      <c r="AI12" s="1877"/>
      <c r="AJ12" s="1877"/>
      <c r="AK12" s="1877"/>
      <c r="AL12" s="1877"/>
      <c r="AM12" s="1877"/>
    </row>
    <row r="13" spans="2:42" ht="36" customHeight="1">
      <c r="B13" s="3775"/>
      <c r="C13" s="1861"/>
      <c r="D13" s="1861"/>
      <c r="E13" s="1861"/>
      <c r="F13" s="1861"/>
      <c r="G13" s="1861"/>
      <c r="H13" s="1861"/>
      <c r="I13" s="1861"/>
      <c r="J13" s="1862"/>
      <c r="K13" s="1449"/>
      <c r="L13" s="3775"/>
      <c r="M13" s="1861"/>
      <c r="N13" s="1861"/>
      <c r="O13" s="1861"/>
      <c r="P13" s="1861"/>
      <c r="Q13" s="1861"/>
      <c r="R13" s="1861"/>
      <c r="S13" s="1861"/>
      <c r="T13" s="1861"/>
      <c r="U13" s="1861"/>
      <c r="V13" s="1862"/>
      <c r="X13" s="3772"/>
      <c r="Y13" s="1777"/>
      <c r="Z13" s="1777"/>
      <c r="AA13" s="1777"/>
      <c r="AB13" s="1777"/>
      <c r="AC13" s="1777"/>
      <c r="AD13" s="1777"/>
      <c r="AE13" s="1777"/>
      <c r="AF13" s="1777"/>
      <c r="AG13" s="1777"/>
      <c r="AH13" s="1777"/>
      <c r="AI13" s="1778"/>
      <c r="AJ13" s="1450"/>
      <c r="AK13" s="3771"/>
      <c r="AL13" s="1861"/>
      <c r="AM13" s="1862"/>
    </row>
    <row r="14" spans="2:42" ht="18" customHeight="1">
      <c r="B14" s="3781" t="s">
        <v>3727</v>
      </c>
      <c r="C14" s="1953"/>
      <c r="D14" s="1953"/>
      <c r="E14" s="1953"/>
      <c r="F14" s="1953"/>
      <c r="G14" s="1953"/>
      <c r="H14" s="1953"/>
      <c r="I14" s="1953"/>
      <c r="J14" s="1953"/>
      <c r="K14" s="131"/>
      <c r="L14" s="3766" t="s">
        <v>3728</v>
      </c>
      <c r="M14" s="2015"/>
      <c r="N14" s="2015"/>
      <c r="O14" s="2015"/>
      <c r="P14" s="2015"/>
      <c r="Q14" s="2015"/>
      <c r="R14" s="2015"/>
      <c r="S14" s="2015"/>
      <c r="T14" s="2015"/>
      <c r="U14" s="65"/>
      <c r="X14" s="3760" t="s">
        <v>3729</v>
      </c>
      <c r="Y14" s="1953"/>
      <c r="Z14" s="1953"/>
      <c r="AA14" s="1953"/>
      <c r="AB14" s="1953"/>
      <c r="AC14" s="1953"/>
      <c r="AD14" s="1953"/>
      <c r="AE14" s="1953"/>
      <c r="AF14" s="1953"/>
      <c r="AG14" s="1953"/>
      <c r="AH14" s="1953"/>
      <c r="AI14" s="1953"/>
      <c r="AJ14" s="132"/>
      <c r="AK14" s="3760" t="s">
        <v>776</v>
      </c>
      <c r="AL14" s="1953"/>
      <c r="AM14" s="1953"/>
      <c r="AO14" s="14"/>
    </row>
    <row r="15" spans="2:42" ht="18" customHeight="1">
      <c r="B15" s="1761"/>
      <c r="C15" s="1761"/>
      <c r="D15" s="1761"/>
      <c r="E15" s="1761"/>
      <c r="F15" s="1761"/>
      <c r="G15" s="1761"/>
      <c r="H15" s="1761"/>
      <c r="I15" s="1761"/>
      <c r="J15" s="1761"/>
      <c r="K15" s="131"/>
      <c r="L15" s="1761"/>
      <c r="M15" s="1761"/>
      <c r="N15" s="1761"/>
      <c r="O15" s="1761"/>
      <c r="P15" s="1761"/>
      <c r="Q15" s="1761"/>
      <c r="R15" s="1761"/>
      <c r="S15" s="1761"/>
      <c r="T15" s="1761"/>
      <c r="U15" s="65"/>
      <c r="V15" s="1762"/>
      <c r="W15" s="1762"/>
      <c r="X15" s="1762"/>
      <c r="Y15" s="1762"/>
      <c r="Z15" s="1762"/>
      <c r="AA15" s="1762"/>
      <c r="AB15" s="1762"/>
      <c r="AC15" s="1762"/>
      <c r="AD15" s="1762"/>
      <c r="AE15" s="1762"/>
      <c r="AF15" s="1762"/>
      <c r="AG15" s="1762"/>
      <c r="AH15" s="1762"/>
      <c r="AI15" s="1762"/>
      <c r="AJ15" s="132"/>
      <c r="AK15" s="1762"/>
      <c r="AL15" s="1762"/>
      <c r="AM15" s="1762"/>
      <c r="AO15" s="14"/>
    </row>
    <row r="16" spans="2:42" s="63" customFormat="1" ht="18" customHeight="1">
      <c r="B16" s="3777" t="s">
        <v>3730</v>
      </c>
      <c r="C16" s="3767"/>
      <c r="D16" s="3767"/>
      <c r="E16" s="3767"/>
      <c r="F16" s="3767"/>
      <c r="G16" s="3767"/>
      <c r="H16" s="3767"/>
      <c r="I16" s="3767"/>
      <c r="J16" s="3767"/>
      <c r="K16" s="3767"/>
      <c r="L16" s="3767"/>
      <c r="M16" s="3767"/>
      <c r="N16" s="3767"/>
      <c r="O16" s="3767"/>
      <c r="P16" s="3767"/>
      <c r="Q16" s="3767"/>
      <c r="R16" s="3767"/>
      <c r="S16" s="3767"/>
      <c r="T16" s="3767"/>
      <c r="U16" s="3767"/>
      <c r="V16" s="3767"/>
      <c r="W16" s="3767"/>
      <c r="X16" s="3767"/>
      <c r="Y16" s="3767"/>
      <c r="Z16" s="3767"/>
      <c r="AA16" s="3767"/>
      <c r="AB16" s="3767"/>
      <c r="AC16" s="3767"/>
      <c r="AD16" s="3767"/>
      <c r="AE16" s="3767"/>
      <c r="AF16" s="3767"/>
      <c r="AG16" s="3767"/>
      <c r="AH16" s="3767"/>
      <c r="AI16" s="3767"/>
      <c r="AJ16" s="3767"/>
      <c r="AK16" s="3767"/>
      <c r="AL16" s="3767"/>
      <c r="AM16" s="3767"/>
    </row>
    <row r="17" spans="2:40" s="63" customFormat="1" ht="36" customHeight="1">
      <c r="B17" s="3761" t="s">
        <v>3731</v>
      </c>
      <c r="C17" s="3767"/>
      <c r="D17" s="3767"/>
      <c r="E17" s="3767"/>
      <c r="F17" s="3767"/>
      <c r="G17" s="3767"/>
      <c r="H17" s="3767"/>
      <c r="I17" s="3767"/>
      <c r="J17" s="3767"/>
      <c r="K17" s="3767"/>
      <c r="L17" s="3767"/>
      <c r="M17" s="3767"/>
      <c r="N17" s="3767"/>
      <c r="O17" s="3767"/>
      <c r="P17" s="3767"/>
      <c r="Q17" s="3767"/>
      <c r="R17" s="3767"/>
      <c r="S17" s="3767"/>
      <c r="T17" s="3767"/>
      <c r="U17" s="3767"/>
      <c r="V17" s="3767"/>
      <c r="W17" s="3767"/>
      <c r="X17" s="3767"/>
      <c r="Y17" s="3767"/>
      <c r="Z17" s="3767"/>
      <c r="AA17" s="3767"/>
      <c r="AB17" s="3767"/>
      <c r="AC17" s="3767"/>
      <c r="AD17" s="3767"/>
      <c r="AE17" s="3767"/>
      <c r="AF17" s="3767"/>
      <c r="AG17" s="3767"/>
      <c r="AH17" s="3767"/>
      <c r="AI17" s="3767"/>
      <c r="AJ17" s="3767"/>
      <c r="AK17" s="3767"/>
      <c r="AL17" s="3767"/>
      <c r="AM17" s="3767"/>
      <c r="AN17" s="74"/>
    </row>
    <row r="18" spans="2:40" s="64" customFormat="1" ht="72" customHeight="1">
      <c r="B18" s="3761" t="s">
        <v>3732</v>
      </c>
      <c r="C18" s="3765"/>
      <c r="D18" s="3765"/>
      <c r="E18" s="3765"/>
      <c r="F18" s="3765"/>
      <c r="G18" s="3765"/>
      <c r="H18" s="3765"/>
      <c r="I18" s="3765"/>
      <c r="J18" s="3765"/>
      <c r="K18" s="3765"/>
      <c r="L18" s="3765"/>
      <c r="M18" s="3765"/>
      <c r="N18" s="3765"/>
      <c r="O18" s="3765"/>
      <c r="P18" s="3765"/>
      <c r="Q18" s="3765"/>
      <c r="R18" s="3765"/>
      <c r="S18" s="3765"/>
      <c r="T18" s="3765"/>
      <c r="U18" s="3765"/>
      <c r="V18" s="3765"/>
      <c r="W18" s="3765"/>
      <c r="X18" s="3765"/>
      <c r="Y18" s="3765"/>
      <c r="Z18" s="3765"/>
      <c r="AA18" s="3765"/>
      <c r="AB18" s="3765"/>
      <c r="AC18" s="3765"/>
      <c r="AD18" s="3765"/>
      <c r="AE18" s="3765"/>
      <c r="AF18" s="3765"/>
      <c r="AG18" s="3765"/>
      <c r="AH18" s="3765"/>
      <c r="AI18" s="3765"/>
      <c r="AJ18" s="3765"/>
      <c r="AK18" s="3765"/>
      <c r="AL18" s="3765"/>
      <c r="AM18" s="3765"/>
    </row>
    <row r="19" spans="2:40" s="65" customFormat="1" ht="18" customHeight="1">
      <c r="B19" s="3761" t="s">
        <v>3733</v>
      </c>
      <c r="C19" s="3762"/>
      <c r="D19" s="3762"/>
      <c r="E19" s="3762"/>
      <c r="F19" s="3762"/>
      <c r="G19" s="3762"/>
      <c r="H19" s="3762"/>
      <c r="I19" s="3762"/>
      <c r="J19" s="3762"/>
      <c r="K19" s="3762"/>
      <c r="L19" s="3762"/>
      <c r="M19" s="3762"/>
      <c r="N19" s="3762"/>
      <c r="O19" s="3762"/>
      <c r="P19" s="3762"/>
      <c r="Q19" s="3762"/>
      <c r="R19" s="3762"/>
      <c r="S19" s="3762"/>
      <c r="T19" s="3762"/>
      <c r="U19" s="3762"/>
      <c r="V19" s="3762"/>
      <c r="W19" s="3762"/>
      <c r="X19" s="3762"/>
      <c r="Y19" s="3762"/>
      <c r="Z19" s="3762"/>
      <c r="AA19" s="3762"/>
      <c r="AB19" s="3762"/>
      <c r="AC19" s="3762"/>
      <c r="AD19" s="3762"/>
      <c r="AE19" s="3762"/>
      <c r="AF19" s="3762"/>
      <c r="AG19" s="3762"/>
      <c r="AH19" s="3762"/>
      <c r="AI19" s="3762"/>
      <c r="AJ19" s="3762"/>
      <c r="AK19" s="3762"/>
      <c r="AL19" s="3762"/>
      <c r="AM19" s="3762"/>
    </row>
    <row r="20" spans="2:40" s="65" customFormat="1" ht="18" customHeight="1">
      <c r="B20" s="3779" t="s">
        <v>3734</v>
      </c>
      <c r="C20" s="3762"/>
      <c r="D20" s="3762"/>
      <c r="E20" s="3762"/>
      <c r="F20" s="3762"/>
      <c r="G20" s="3762"/>
      <c r="H20" s="3762"/>
      <c r="I20" s="3762"/>
      <c r="J20" s="3762"/>
      <c r="K20" s="3762"/>
      <c r="L20" s="3762"/>
      <c r="M20" s="3762"/>
      <c r="N20" s="3762"/>
      <c r="O20" s="3762"/>
      <c r="P20" s="3762"/>
      <c r="Q20" s="3762"/>
      <c r="R20" s="3762"/>
      <c r="S20" s="3762"/>
      <c r="T20" s="3762"/>
      <c r="U20" s="3762"/>
      <c r="V20" s="3762"/>
      <c r="W20" s="3762"/>
      <c r="X20" s="3762"/>
      <c r="Y20" s="3762"/>
      <c r="Z20" s="3762"/>
      <c r="AA20" s="3762"/>
      <c r="AB20" s="3762"/>
      <c r="AC20" s="3762"/>
      <c r="AD20" s="3762"/>
      <c r="AE20" s="3762"/>
      <c r="AF20" s="3762"/>
      <c r="AG20" s="3762"/>
      <c r="AH20" s="3762"/>
      <c r="AI20" s="3762"/>
      <c r="AJ20" s="3762"/>
      <c r="AK20" s="3762"/>
      <c r="AL20" s="3762"/>
      <c r="AM20" s="3762"/>
    </row>
    <row r="21" spans="2:40" s="66" customFormat="1" ht="18" customHeight="1">
      <c r="B21" s="3779" t="s">
        <v>3735</v>
      </c>
      <c r="C21" s="3783"/>
      <c r="D21" s="3783"/>
      <c r="E21" s="3783"/>
      <c r="F21" s="3783"/>
      <c r="G21" s="3783"/>
      <c r="H21" s="3783"/>
      <c r="I21" s="3783"/>
      <c r="J21" s="3783"/>
      <c r="K21" s="3783"/>
      <c r="L21" s="3783"/>
      <c r="M21" s="3783"/>
      <c r="N21" s="3783"/>
      <c r="O21" s="3783"/>
      <c r="P21" s="3783"/>
      <c r="Q21" s="3783"/>
      <c r="R21" s="3783"/>
      <c r="S21" s="3783"/>
      <c r="T21" s="3783"/>
      <c r="U21" s="3783"/>
      <c r="V21" s="3783"/>
      <c r="W21" s="3783"/>
      <c r="X21" s="3783"/>
      <c r="Y21" s="3783"/>
      <c r="Z21" s="3783"/>
      <c r="AA21" s="3783"/>
      <c r="AB21" s="3783"/>
      <c r="AC21" s="3783"/>
      <c r="AD21" s="3783"/>
      <c r="AE21" s="3783"/>
      <c r="AF21" s="3783"/>
      <c r="AG21" s="3783"/>
      <c r="AH21" s="3783"/>
      <c r="AI21" s="3783"/>
      <c r="AJ21" s="3783"/>
      <c r="AK21" s="3783"/>
      <c r="AL21" s="3783"/>
      <c r="AM21" s="3783"/>
    </row>
    <row r="22" spans="2:40" s="65" customFormat="1" ht="36" customHeight="1">
      <c r="B22" s="3761" t="s">
        <v>3736</v>
      </c>
      <c r="C22" s="3762"/>
      <c r="D22" s="3762"/>
      <c r="E22" s="3762"/>
      <c r="F22" s="3762"/>
      <c r="G22" s="3762"/>
      <c r="H22" s="3762"/>
      <c r="I22" s="3762"/>
      <c r="J22" s="3762"/>
      <c r="K22" s="3762"/>
      <c r="L22" s="3762"/>
      <c r="M22" s="3762"/>
      <c r="N22" s="3762"/>
      <c r="O22" s="3762"/>
      <c r="P22" s="3762"/>
      <c r="Q22" s="3762"/>
      <c r="R22" s="3762"/>
      <c r="S22" s="3762"/>
      <c r="T22" s="3762"/>
      <c r="U22" s="3762"/>
      <c r="V22" s="3762"/>
      <c r="W22" s="3762"/>
      <c r="X22" s="3762"/>
      <c r="Y22" s="3762"/>
      <c r="Z22" s="3762"/>
      <c r="AA22" s="3762"/>
      <c r="AB22" s="3762"/>
      <c r="AC22" s="3762"/>
      <c r="AD22" s="3762"/>
      <c r="AE22" s="3762"/>
      <c r="AF22" s="3762"/>
      <c r="AG22" s="3762"/>
      <c r="AH22" s="3762"/>
      <c r="AI22" s="3762"/>
      <c r="AJ22" s="3762"/>
      <c r="AK22" s="3762"/>
      <c r="AL22" s="3762"/>
      <c r="AM22" s="3762"/>
    </row>
    <row r="23" spans="2:40" s="65" customFormat="1" ht="54" customHeight="1">
      <c r="B23" s="3761" t="s">
        <v>3737</v>
      </c>
      <c r="C23" s="3762"/>
      <c r="D23" s="3762"/>
      <c r="E23" s="3762"/>
      <c r="F23" s="3762"/>
      <c r="G23" s="3762"/>
      <c r="H23" s="3762"/>
      <c r="I23" s="3762"/>
      <c r="J23" s="3762"/>
      <c r="K23" s="3762"/>
      <c r="L23" s="3762"/>
      <c r="M23" s="3762"/>
      <c r="N23" s="3762"/>
      <c r="O23" s="3762"/>
      <c r="P23" s="3762"/>
      <c r="Q23" s="3762"/>
      <c r="R23" s="3762"/>
      <c r="S23" s="3762"/>
      <c r="T23" s="3762"/>
      <c r="U23" s="3762"/>
      <c r="V23" s="3762"/>
      <c r="W23" s="3762"/>
      <c r="X23" s="3762"/>
      <c r="Y23" s="3762"/>
      <c r="Z23" s="3762"/>
      <c r="AA23" s="3762"/>
      <c r="AB23" s="3762"/>
      <c r="AC23" s="3762"/>
      <c r="AD23" s="3762"/>
      <c r="AE23" s="3762"/>
      <c r="AF23" s="3762"/>
      <c r="AG23" s="3762"/>
      <c r="AH23" s="3762"/>
      <c r="AI23" s="3762"/>
      <c r="AJ23" s="3762"/>
      <c r="AK23" s="3762"/>
      <c r="AL23" s="3762"/>
      <c r="AM23" s="3762"/>
    </row>
    <row r="24" spans="2:40" s="64" customFormat="1" ht="18" customHeight="1">
      <c r="B24" s="3769" t="s">
        <v>3738</v>
      </c>
      <c r="C24" s="3765"/>
      <c r="D24" s="3765"/>
      <c r="E24" s="3765"/>
      <c r="F24" s="3765"/>
      <c r="G24" s="3765"/>
      <c r="H24" s="3765"/>
      <c r="I24" s="3765"/>
      <c r="J24" s="3765"/>
      <c r="K24" s="3765"/>
      <c r="L24" s="3765"/>
      <c r="M24" s="3765"/>
      <c r="N24" s="3765"/>
      <c r="O24" s="3765"/>
      <c r="P24" s="3765"/>
      <c r="Q24" s="3765"/>
      <c r="R24" s="3765"/>
      <c r="S24" s="3765"/>
      <c r="T24" s="3765"/>
      <c r="U24" s="3765"/>
      <c r="V24" s="3765"/>
      <c r="W24" s="3765"/>
      <c r="X24" s="3765"/>
      <c r="Y24" s="3765"/>
      <c r="Z24" s="3765"/>
      <c r="AA24" s="3765"/>
      <c r="AB24" s="3765"/>
      <c r="AC24" s="3765"/>
      <c r="AD24" s="3765"/>
      <c r="AE24" s="3765"/>
      <c r="AF24" s="3765"/>
      <c r="AG24" s="3765"/>
      <c r="AH24" s="3765"/>
      <c r="AI24" s="3765"/>
      <c r="AJ24" s="3765"/>
      <c r="AK24" s="3765"/>
      <c r="AL24" s="3765"/>
      <c r="AM24" s="3765"/>
    </row>
    <row r="25" spans="2:40" s="65" customFormat="1" ht="36" customHeight="1">
      <c r="B25" s="3761" t="s">
        <v>3739</v>
      </c>
      <c r="C25" s="3762"/>
      <c r="D25" s="3762"/>
      <c r="E25" s="3762"/>
      <c r="F25" s="3762"/>
      <c r="G25" s="3762"/>
      <c r="H25" s="3762"/>
      <c r="I25" s="3762"/>
      <c r="J25" s="3762"/>
      <c r="K25" s="3762"/>
      <c r="L25" s="3762"/>
      <c r="M25" s="3762"/>
      <c r="N25" s="3762"/>
      <c r="O25" s="3762"/>
      <c r="P25" s="3762"/>
      <c r="Q25" s="3762"/>
      <c r="R25" s="3762"/>
      <c r="S25" s="3762"/>
      <c r="T25" s="3762"/>
      <c r="U25" s="3762"/>
      <c r="V25" s="3762"/>
      <c r="W25" s="3762"/>
      <c r="X25" s="3762"/>
      <c r="Y25" s="3762"/>
      <c r="Z25" s="3762"/>
      <c r="AA25" s="3762"/>
      <c r="AB25" s="3762"/>
      <c r="AC25" s="3762"/>
      <c r="AD25" s="3762"/>
      <c r="AE25" s="3762"/>
      <c r="AF25" s="3762"/>
      <c r="AG25" s="3762"/>
      <c r="AH25" s="3762"/>
      <c r="AI25" s="3762"/>
      <c r="AJ25" s="3762"/>
      <c r="AK25" s="3762"/>
      <c r="AL25" s="3289"/>
      <c r="AM25" s="1862"/>
    </row>
    <row r="26" spans="2:40" s="65" customFormat="1" ht="36" customHeight="1">
      <c r="B26" s="3761" t="s">
        <v>3740</v>
      </c>
      <c r="C26" s="3762"/>
      <c r="D26" s="3762"/>
      <c r="E26" s="3762"/>
      <c r="F26" s="3762"/>
      <c r="G26" s="3762"/>
      <c r="H26" s="3762"/>
      <c r="I26" s="3762"/>
      <c r="J26" s="3762"/>
      <c r="K26" s="3762"/>
      <c r="L26" s="3762"/>
      <c r="M26" s="3762"/>
      <c r="N26" s="3762"/>
      <c r="O26" s="3762"/>
      <c r="P26" s="3762"/>
      <c r="Q26" s="3762"/>
      <c r="R26" s="3762"/>
      <c r="S26" s="3762"/>
      <c r="T26" s="3762"/>
      <c r="U26" s="3762"/>
      <c r="V26" s="3762"/>
      <c r="W26" s="3762"/>
      <c r="X26" s="3762"/>
      <c r="Y26" s="3762"/>
      <c r="Z26" s="3762"/>
      <c r="AA26" s="3762"/>
      <c r="AB26" s="3762"/>
      <c r="AC26" s="3762"/>
      <c r="AD26" s="3762"/>
      <c r="AE26" s="3762"/>
      <c r="AF26" s="3762"/>
      <c r="AG26" s="3762"/>
      <c r="AH26" s="3762"/>
      <c r="AI26" s="3762"/>
      <c r="AJ26" s="3762"/>
      <c r="AK26" s="3762"/>
      <c r="AL26" s="3289"/>
      <c r="AM26" s="1862"/>
    </row>
    <row r="27" spans="2:40" s="65" customFormat="1" ht="36" customHeight="1">
      <c r="B27" s="3761" t="s">
        <v>3741</v>
      </c>
      <c r="C27" s="3762"/>
      <c r="D27" s="3762"/>
      <c r="E27" s="3762"/>
      <c r="F27" s="3762"/>
      <c r="G27" s="3762"/>
      <c r="H27" s="3762"/>
      <c r="I27" s="3762"/>
      <c r="J27" s="3762"/>
      <c r="K27" s="3762"/>
      <c r="L27" s="3762"/>
      <c r="M27" s="3762"/>
      <c r="N27" s="3762"/>
      <c r="O27" s="3762"/>
      <c r="P27" s="3762"/>
      <c r="Q27" s="3762"/>
      <c r="R27" s="3762"/>
      <c r="S27" s="3762"/>
      <c r="T27" s="3762"/>
      <c r="U27" s="3762"/>
      <c r="V27" s="3762"/>
      <c r="W27" s="3762"/>
      <c r="X27" s="3762"/>
      <c r="Y27" s="3762"/>
      <c r="Z27" s="3762"/>
      <c r="AA27" s="3762"/>
      <c r="AB27" s="3762"/>
      <c r="AC27" s="3762"/>
      <c r="AD27" s="3762"/>
      <c r="AE27" s="3762"/>
      <c r="AF27" s="3762"/>
      <c r="AG27" s="3762"/>
      <c r="AH27" s="3762"/>
      <c r="AI27" s="3762"/>
      <c r="AJ27" s="3762"/>
      <c r="AK27" s="3762"/>
      <c r="AL27" s="3289"/>
      <c r="AM27" s="1862"/>
    </row>
    <row r="28" spans="2:40" s="65" customFormat="1" ht="36" customHeight="1">
      <c r="B28" s="3761" t="s">
        <v>3742</v>
      </c>
      <c r="C28" s="3762"/>
      <c r="D28" s="3762"/>
      <c r="E28" s="3762"/>
      <c r="F28" s="3762"/>
      <c r="G28" s="3762"/>
      <c r="H28" s="3762"/>
      <c r="I28" s="3762"/>
      <c r="J28" s="3762"/>
      <c r="K28" s="3762"/>
      <c r="L28" s="3762"/>
      <c r="M28" s="3762"/>
      <c r="N28" s="3762"/>
      <c r="O28" s="3762"/>
      <c r="P28" s="3762"/>
      <c r="Q28" s="3762"/>
      <c r="R28" s="3762"/>
      <c r="S28" s="3762"/>
      <c r="T28" s="3762"/>
      <c r="U28" s="3762"/>
      <c r="V28" s="3762"/>
      <c r="W28" s="3762"/>
      <c r="X28" s="3762"/>
      <c r="Y28" s="3762"/>
      <c r="Z28" s="3762"/>
      <c r="AA28" s="3762"/>
      <c r="AB28" s="3762"/>
      <c r="AC28" s="3762"/>
      <c r="AD28" s="3762"/>
      <c r="AE28" s="3762"/>
      <c r="AF28" s="3762"/>
      <c r="AG28" s="3762"/>
      <c r="AH28" s="3762"/>
      <c r="AI28" s="3762"/>
      <c r="AJ28" s="3762"/>
      <c r="AK28" s="3762"/>
      <c r="AL28" s="3289"/>
      <c r="AM28" s="1862"/>
    </row>
    <row r="29" spans="2:40" s="65" customFormat="1" ht="54" customHeight="1">
      <c r="B29" s="3761" t="s">
        <v>3743</v>
      </c>
      <c r="C29" s="3762"/>
      <c r="D29" s="3762"/>
      <c r="E29" s="3762"/>
      <c r="F29" s="3762"/>
      <c r="G29" s="3762"/>
      <c r="H29" s="3762"/>
      <c r="I29" s="3762"/>
      <c r="J29" s="3762"/>
      <c r="K29" s="3762"/>
      <c r="L29" s="3762"/>
      <c r="M29" s="3762"/>
      <c r="N29" s="3762"/>
      <c r="O29" s="3762"/>
      <c r="P29" s="3762"/>
      <c r="Q29" s="3762"/>
      <c r="R29" s="3762"/>
      <c r="S29" s="3762"/>
      <c r="T29" s="3762"/>
      <c r="U29" s="3762"/>
      <c r="V29" s="3762"/>
      <c r="W29" s="3762"/>
      <c r="X29" s="3762"/>
      <c r="Y29" s="3762"/>
      <c r="Z29" s="3762"/>
      <c r="AA29" s="3762"/>
      <c r="AB29" s="3762"/>
      <c r="AC29" s="3762"/>
      <c r="AD29" s="3762"/>
      <c r="AE29" s="3762"/>
      <c r="AF29" s="3762"/>
      <c r="AG29" s="3762"/>
      <c r="AH29" s="3762"/>
      <c r="AI29" s="3762"/>
      <c r="AJ29" s="3762"/>
      <c r="AK29" s="3762"/>
      <c r="AL29" s="3289"/>
      <c r="AM29" s="1862"/>
    </row>
    <row r="30" spans="2:40" s="64" customFormat="1" ht="18" customHeight="1">
      <c r="B30" s="3764" t="s">
        <v>3744</v>
      </c>
      <c r="C30" s="3765"/>
      <c r="D30" s="3765"/>
      <c r="E30" s="3765"/>
      <c r="F30" s="3765"/>
      <c r="G30" s="3765"/>
      <c r="H30" s="3765"/>
      <c r="I30" s="3765"/>
      <c r="J30" s="3765"/>
      <c r="K30" s="3765"/>
      <c r="L30" s="3765"/>
      <c r="M30" s="3765"/>
      <c r="N30" s="3765"/>
      <c r="O30" s="3765"/>
      <c r="P30" s="3765"/>
      <c r="Q30" s="3765"/>
      <c r="R30" s="3765"/>
      <c r="S30" s="3765"/>
      <c r="T30" s="3765"/>
      <c r="U30" s="3765"/>
      <c r="V30" s="3765"/>
      <c r="W30" s="3765"/>
      <c r="X30" s="3765"/>
      <c r="Y30" s="3765"/>
      <c r="Z30" s="3765"/>
      <c r="AA30" s="3765"/>
      <c r="AB30" s="3765"/>
      <c r="AC30" s="3765"/>
      <c r="AD30" s="3765"/>
      <c r="AE30" s="3765"/>
      <c r="AF30" s="3765"/>
      <c r="AG30" s="3765"/>
      <c r="AH30" s="3765"/>
      <c r="AI30" s="3765"/>
      <c r="AJ30" s="3765"/>
      <c r="AK30" s="3765"/>
      <c r="AL30" s="3765"/>
      <c r="AM30" s="1889"/>
    </row>
    <row r="31" spans="2:40" s="65" customFormat="1" ht="36" customHeight="1">
      <c r="B31" s="3761" t="s">
        <v>3745</v>
      </c>
      <c r="C31" s="3762"/>
      <c r="D31" s="3762"/>
      <c r="E31" s="3762"/>
      <c r="F31" s="3762"/>
      <c r="G31" s="3762"/>
      <c r="H31" s="3762"/>
      <c r="I31" s="3762"/>
      <c r="J31" s="3762"/>
      <c r="K31" s="3762"/>
      <c r="L31" s="3762"/>
      <c r="M31" s="3762"/>
      <c r="N31" s="3762"/>
      <c r="O31" s="3762"/>
      <c r="P31" s="3762"/>
      <c r="Q31" s="3762"/>
      <c r="R31" s="3762"/>
      <c r="S31" s="3762"/>
      <c r="T31" s="3762"/>
      <c r="U31" s="3762"/>
      <c r="V31" s="3762"/>
      <c r="W31" s="3762"/>
      <c r="X31" s="3762"/>
      <c r="Y31" s="3762"/>
      <c r="Z31" s="3762"/>
      <c r="AA31" s="3762"/>
      <c r="AB31" s="3762"/>
      <c r="AC31" s="3762"/>
      <c r="AD31" s="3762"/>
      <c r="AE31" s="3762"/>
      <c r="AF31" s="3762"/>
      <c r="AG31" s="3762"/>
      <c r="AH31" s="3762"/>
      <c r="AI31" s="3762"/>
      <c r="AJ31" s="3762"/>
      <c r="AK31" s="3762"/>
      <c r="AL31" s="3289"/>
      <c r="AM31" s="1862"/>
    </row>
    <row r="32" spans="2:40" s="65" customFormat="1" ht="54" customHeight="1">
      <c r="B32" s="3761" t="s">
        <v>3746</v>
      </c>
      <c r="C32" s="3762"/>
      <c r="D32" s="3762"/>
      <c r="E32" s="3762"/>
      <c r="F32" s="3762"/>
      <c r="G32" s="3762"/>
      <c r="H32" s="3762"/>
      <c r="I32" s="3762"/>
      <c r="J32" s="3762"/>
      <c r="K32" s="3762"/>
      <c r="L32" s="3762"/>
      <c r="M32" s="3762"/>
      <c r="N32" s="3762"/>
      <c r="O32" s="3762"/>
      <c r="P32" s="3762"/>
      <c r="Q32" s="3762"/>
      <c r="R32" s="3762"/>
      <c r="S32" s="3762"/>
      <c r="T32" s="3762"/>
      <c r="U32" s="3762"/>
      <c r="V32" s="3762"/>
      <c r="W32" s="3762"/>
      <c r="X32" s="3762"/>
      <c r="Y32" s="3762"/>
      <c r="Z32" s="3762"/>
      <c r="AA32" s="3762"/>
      <c r="AB32" s="3762"/>
      <c r="AC32" s="3762"/>
      <c r="AD32" s="3762"/>
      <c r="AE32" s="3762"/>
      <c r="AF32" s="3762"/>
      <c r="AG32" s="3762"/>
      <c r="AH32" s="3762"/>
      <c r="AI32" s="3762"/>
      <c r="AJ32" s="3762"/>
      <c r="AK32" s="3762"/>
      <c r="AL32" s="3289"/>
      <c r="AM32" s="1862"/>
    </row>
    <row r="33" spans="2:40" s="65" customFormat="1" ht="54" customHeight="1">
      <c r="B33" s="3761" t="s">
        <v>3747</v>
      </c>
      <c r="C33" s="3762"/>
      <c r="D33" s="3762"/>
      <c r="E33" s="3762"/>
      <c r="F33" s="3762"/>
      <c r="G33" s="3762"/>
      <c r="H33" s="3762"/>
      <c r="I33" s="3762"/>
      <c r="J33" s="3762"/>
      <c r="K33" s="3762"/>
      <c r="L33" s="3762"/>
      <c r="M33" s="3762"/>
      <c r="N33" s="3762"/>
      <c r="O33" s="3762"/>
      <c r="P33" s="3762"/>
      <c r="Q33" s="3762"/>
      <c r="R33" s="3762"/>
      <c r="S33" s="3762"/>
      <c r="T33" s="3762"/>
      <c r="U33" s="3762"/>
      <c r="V33" s="3762"/>
      <c r="W33" s="3762"/>
      <c r="X33" s="3762"/>
      <c r="Y33" s="3762"/>
      <c r="Z33" s="3762"/>
      <c r="AA33" s="3762"/>
      <c r="AB33" s="3762"/>
      <c r="AC33" s="3762"/>
      <c r="AD33" s="3762"/>
      <c r="AE33" s="3762"/>
      <c r="AF33" s="3762"/>
      <c r="AG33" s="3762"/>
      <c r="AH33" s="3762"/>
      <c r="AI33" s="3762"/>
      <c r="AJ33" s="3762"/>
      <c r="AK33" s="3762"/>
      <c r="AL33" s="3289"/>
      <c r="AM33" s="1862"/>
    </row>
    <row r="34" spans="2:40" s="65" customFormat="1" ht="36" customHeight="1">
      <c r="B34" s="3761" t="s">
        <v>3748</v>
      </c>
      <c r="C34" s="3762"/>
      <c r="D34" s="3762"/>
      <c r="E34" s="3762"/>
      <c r="F34" s="3762"/>
      <c r="G34" s="3762"/>
      <c r="H34" s="3762"/>
      <c r="I34" s="3762"/>
      <c r="J34" s="3762"/>
      <c r="K34" s="3762"/>
      <c r="L34" s="3762"/>
      <c r="M34" s="3762"/>
      <c r="N34" s="3762"/>
      <c r="O34" s="3762"/>
      <c r="P34" s="3762"/>
      <c r="Q34" s="3762"/>
      <c r="R34" s="3762"/>
      <c r="S34" s="3762"/>
      <c r="T34" s="3762"/>
      <c r="U34" s="3762"/>
      <c r="V34" s="3762"/>
      <c r="W34" s="3762"/>
      <c r="X34" s="3762"/>
      <c r="Y34" s="3762"/>
      <c r="Z34" s="3762"/>
      <c r="AA34" s="3762"/>
      <c r="AB34" s="3762"/>
      <c r="AC34" s="3762"/>
      <c r="AD34" s="3762"/>
      <c r="AE34" s="3762"/>
      <c r="AF34" s="3762"/>
      <c r="AG34" s="3762"/>
      <c r="AH34" s="3762"/>
      <c r="AI34" s="3762"/>
      <c r="AJ34" s="3762"/>
      <c r="AK34" s="3762"/>
      <c r="AL34" s="3289"/>
      <c r="AM34" s="1862"/>
    </row>
    <row r="35" spans="2:40" s="65" customFormat="1" ht="18" customHeight="1">
      <c r="B35" s="3761" t="s">
        <v>3749</v>
      </c>
      <c r="C35" s="3762"/>
      <c r="D35" s="3762"/>
      <c r="E35" s="3762"/>
      <c r="F35" s="3762"/>
      <c r="G35" s="3762"/>
      <c r="H35" s="3762"/>
      <c r="I35" s="3762"/>
      <c r="J35" s="3762"/>
      <c r="K35" s="3762"/>
      <c r="L35" s="3762"/>
      <c r="M35" s="3762"/>
      <c r="N35" s="3762"/>
      <c r="O35" s="3762"/>
      <c r="P35" s="3762"/>
      <c r="Q35" s="3762"/>
      <c r="R35" s="3762"/>
      <c r="S35" s="3762"/>
      <c r="T35" s="3762"/>
      <c r="U35" s="3762"/>
      <c r="V35" s="3762"/>
      <c r="W35" s="3762"/>
      <c r="X35" s="3762"/>
      <c r="Y35" s="3762"/>
      <c r="Z35" s="3762"/>
      <c r="AA35" s="3762"/>
      <c r="AB35" s="3762"/>
      <c r="AC35" s="3762"/>
      <c r="AD35" s="3762"/>
      <c r="AE35" s="3762"/>
      <c r="AF35" s="3762"/>
      <c r="AG35" s="3762"/>
      <c r="AH35" s="3762"/>
      <c r="AI35" s="3762"/>
      <c r="AJ35" s="3762"/>
      <c r="AK35" s="3762"/>
      <c r="AL35" s="3289"/>
      <c r="AM35" s="1862"/>
    </row>
    <row r="36" spans="2:40" s="65" customFormat="1" ht="18" customHeight="1">
      <c r="B36" s="3761" t="s">
        <v>3750</v>
      </c>
      <c r="C36" s="3762"/>
      <c r="D36" s="3762"/>
      <c r="E36" s="3762"/>
      <c r="F36" s="3762"/>
      <c r="G36" s="3762"/>
      <c r="H36" s="3762"/>
      <c r="I36" s="3762"/>
      <c r="J36" s="3762"/>
      <c r="K36" s="3762"/>
      <c r="L36" s="3762"/>
      <c r="M36" s="3762"/>
      <c r="N36" s="3762"/>
      <c r="O36" s="3762"/>
      <c r="P36" s="3762"/>
      <c r="Q36" s="3762"/>
      <c r="R36" s="3762"/>
      <c r="S36" s="3762"/>
      <c r="T36" s="3762"/>
      <c r="U36" s="3762"/>
      <c r="V36" s="3762"/>
      <c r="W36" s="3762"/>
      <c r="X36" s="3762"/>
      <c r="Y36" s="3762"/>
      <c r="Z36" s="3762"/>
      <c r="AA36" s="3762"/>
      <c r="AB36" s="3762"/>
      <c r="AC36" s="3762"/>
      <c r="AD36" s="3762"/>
      <c r="AE36" s="3762"/>
      <c r="AF36" s="3762"/>
      <c r="AG36" s="3762"/>
      <c r="AH36" s="3762"/>
      <c r="AI36" s="3762"/>
      <c r="AJ36" s="3762"/>
      <c r="AK36" s="3762"/>
      <c r="AL36" s="3289"/>
      <c r="AM36" s="1862"/>
    </row>
    <row r="37" spans="2:40" s="65" customFormat="1" ht="18" customHeight="1">
      <c r="B37" s="3761" t="s">
        <v>3751</v>
      </c>
      <c r="C37" s="3762"/>
      <c r="D37" s="3762"/>
      <c r="E37" s="3762"/>
      <c r="F37" s="3762"/>
      <c r="G37" s="3762"/>
      <c r="H37" s="3762"/>
      <c r="I37" s="3762"/>
      <c r="J37" s="3762"/>
      <c r="K37" s="3762"/>
      <c r="L37" s="3762"/>
      <c r="M37" s="3762"/>
      <c r="N37" s="3762"/>
      <c r="O37" s="3762"/>
      <c r="P37" s="3762"/>
      <c r="Q37" s="3762"/>
      <c r="R37" s="3762"/>
      <c r="S37" s="3762"/>
      <c r="T37" s="3762"/>
      <c r="U37" s="3762"/>
      <c r="V37" s="3762"/>
      <c r="W37" s="3762"/>
      <c r="X37" s="3762"/>
      <c r="Y37" s="3762"/>
      <c r="Z37" s="3762"/>
      <c r="AA37" s="3762"/>
      <c r="AB37" s="3762"/>
      <c r="AC37" s="3762"/>
      <c r="AD37" s="3762"/>
      <c r="AE37" s="3762"/>
      <c r="AF37" s="3762"/>
      <c r="AG37" s="3762"/>
      <c r="AH37" s="3762"/>
      <c r="AI37" s="3762"/>
      <c r="AJ37" s="3762"/>
      <c r="AK37" s="3762"/>
      <c r="AL37" s="3289"/>
      <c r="AM37" s="1862"/>
    </row>
    <row r="38" spans="2:40" s="65" customFormat="1" ht="18" hidden="1" customHeight="1">
      <c r="B38" s="3770" t="s">
        <v>3752</v>
      </c>
      <c r="C38" s="3762"/>
      <c r="D38" s="3762"/>
      <c r="E38" s="3762"/>
      <c r="F38" s="3762"/>
      <c r="G38" s="3762"/>
      <c r="H38" s="3762"/>
      <c r="I38" s="3762"/>
      <c r="J38" s="3762"/>
      <c r="K38" s="3762"/>
      <c r="L38" s="3762"/>
      <c r="M38" s="3762"/>
      <c r="N38" s="3762"/>
      <c r="O38" s="3762"/>
      <c r="P38" s="3762"/>
      <c r="Q38" s="3762"/>
      <c r="R38" s="3762"/>
      <c r="S38" s="3762"/>
      <c r="T38" s="3762"/>
      <c r="U38" s="3762"/>
      <c r="V38" s="3762"/>
      <c r="W38" s="3762"/>
      <c r="X38" s="3762"/>
      <c r="Y38" s="3762"/>
      <c r="Z38" s="3762"/>
      <c r="AA38" s="3762"/>
      <c r="AB38" s="3762"/>
      <c r="AC38" s="3762"/>
      <c r="AD38" s="3762"/>
      <c r="AE38" s="3762"/>
      <c r="AF38" s="3762"/>
      <c r="AG38" s="3762"/>
      <c r="AH38" s="3762"/>
      <c r="AI38" s="3762"/>
      <c r="AJ38" s="3762"/>
      <c r="AK38" s="3762"/>
      <c r="AL38" s="3762"/>
      <c r="AM38" s="3762"/>
    </row>
    <row r="39" spans="2:40" ht="54" hidden="1" customHeight="1">
      <c r="B39" s="1867" t="s">
        <v>558</v>
      </c>
      <c r="C39" s="1777"/>
      <c r="D39" s="1778"/>
      <c r="E39" s="1882" t="str">
        <f>'Document Checklist-Full List'!$E$201</f>
        <v>101. Sponsor or Applicant Certification LOE</v>
      </c>
      <c r="F39" s="1777"/>
      <c r="G39" s="1777"/>
      <c r="H39" s="1777"/>
      <c r="I39" s="1777"/>
      <c r="J39" s="1777"/>
      <c r="K39" s="1777"/>
      <c r="L39" s="1777"/>
      <c r="M39" s="1778"/>
      <c r="N39" s="1882" t="str">
        <f>'Document Checklist-Full List'!$N$201</f>
        <v>Letter of Explanation(s) for Certification &amp; Legal "Yes" answers, or as clarification deemed necessary by the Sponsor/Applicant for information included in this application.</v>
      </c>
      <c r="O39" s="1777"/>
      <c r="P39" s="1777"/>
      <c r="Q39" s="1777"/>
      <c r="R39" s="1777"/>
      <c r="S39" s="1777"/>
      <c r="T39" s="1777"/>
      <c r="U39" s="1777"/>
      <c r="V39" s="1777"/>
      <c r="W39" s="1777"/>
      <c r="X39" s="1777"/>
      <c r="Y39" s="1777"/>
      <c r="Z39" s="1777"/>
      <c r="AA39" s="1777"/>
      <c r="AB39" s="1777"/>
      <c r="AC39" s="1777"/>
      <c r="AD39" s="1777"/>
      <c r="AE39" s="1778"/>
      <c r="AF39" s="1973" t="s">
        <v>559</v>
      </c>
      <c r="AG39" s="1777"/>
      <c r="AH39" s="1777"/>
      <c r="AI39" s="1777"/>
      <c r="AJ39" s="1777"/>
      <c r="AK39" s="1778"/>
      <c r="AL39" s="3289"/>
      <c r="AM39" s="1862"/>
      <c r="AN39" s="14"/>
    </row>
    <row r="40" spans="2:40" ht="18" customHeight="1">
      <c r="B40" s="3763"/>
      <c r="C40" s="2015"/>
      <c r="D40" s="2015"/>
      <c r="E40" s="2015"/>
      <c r="F40" s="2015"/>
      <c r="G40" s="2015"/>
      <c r="H40" s="2015"/>
      <c r="I40" s="2015"/>
      <c r="J40" s="2015"/>
      <c r="K40" s="2015"/>
      <c r="L40" s="2015"/>
      <c r="M40" s="2015"/>
      <c r="N40" s="2015"/>
      <c r="O40" s="2015"/>
      <c r="P40" s="2015"/>
      <c r="Q40" s="2015"/>
      <c r="R40" s="2015"/>
      <c r="S40" s="2015"/>
      <c r="T40" s="2015"/>
      <c r="U40" s="2015"/>
      <c r="V40" s="2015"/>
      <c r="W40" s="2015"/>
      <c r="X40" s="2015"/>
      <c r="Y40" s="2015"/>
      <c r="Z40" s="2015"/>
      <c r="AA40" s="2015"/>
      <c r="AB40" s="2015"/>
      <c r="AC40" s="2015"/>
      <c r="AD40" s="2015"/>
      <c r="AE40" s="2015"/>
      <c r="AF40" s="2015"/>
      <c r="AG40" s="2015"/>
      <c r="AH40" s="2015"/>
      <c r="AI40" s="2015"/>
      <c r="AJ40" s="2015"/>
      <c r="AK40" s="2015"/>
      <c r="AL40" s="2015"/>
      <c r="AM40" s="2015"/>
    </row>
    <row r="41" spans="2:40" ht="18" customHeight="1">
      <c r="B41" s="3782"/>
      <c r="C41" s="2015"/>
      <c r="D41" s="2015"/>
      <c r="E41" s="2015"/>
      <c r="F41" s="2015"/>
      <c r="G41" s="2015"/>
      <c r="H41" s="2015"/>
      <c r="I41" s="2015"/>
      <c r="J41" s="2015"/>
      <c r="K41" s="2015"/>
      <c r="L41" s="2015"/>
      <c r="M41" s="2015"/>
      <c r="N41" s="2015"/>
      <c r="O41" s="2015"/>
      <c r="P41" s="2015"/>
      <c r="Q41" s="2015"/>
      <c r="R41" s="2015"/>
      <c r="S41" s="2015"/>
      <c r="T41" s="2015"/>
      <c r="U41" s="2015"/>
      <c r="V41" s="2015"/>
      <c r="W41" s="2015"/>
      <c r="X41" s="2015"/>
      <c r="Y41" s="2015"/>
      <c r="Z41" s="2015"/>
      <c r="AA41" s="2015"/>
      <c r="AB41" s="2015"/>
      <c r="AC41" s="2015"/>
      <c r="AD41" s="2015"/>
      <c r="AE41" s="2015"/>
      <c r="AF41" s="2015"/>
      <c r="AG41" s="2015"/>
      <c r="AH41" s="2015"/>
      <c r="AI41" s="2015"/>
      <c r="AJ41" s="2015"/>
      <c r="AK41" s="2015"/>
      <c r="AL41" s="2015"/>
      <c r="AM41" s="2015"/>
    </row>
    <row r="42" spans="2:40" ht="36" customHeight="1">
      <c r="B42" s="3775"/>
      <c r="C42" s="1861"/>
      <c r="D42" s="1861"/>
      <c r="E42" s="1861"/>
      <c r="F42" s="1861"/>
      <c r="G42" s="1861"/>
      <c r="H42" s="1861"/>
      <c r="I42" s="1861"/>
      <c r="J42" s="1862"/>
      <c r="K42" s="1449"/>
      <c r="L42" s="3775"/>
      <c r="M42" s="1861"/>
      <c r="N42" s="1861"/>
      <c r="O42" s="1861"/>
      <c r="P42" s="1861"/>
      <c r="Q42" s="1861"/>
      <c r="R42" s="1861"/>
      <c r="S42" s="1861"/>
      <c r="T42" s="1861"/>
      <c r="U42" s="1861"/>
      <c r="V42" s="1862"/>
      <c r="W42" s="344"/>
      <c r="X42" s="3772"/>
      <c r="Y42" s="1777"/>
      <c r="Z42" s="1777"/>
      <c r="AA42" s="1777"/>
      <c r="AB42" s="1777"/>
      <c r="AC42" s="1777"/>
      <c r="AD42" s="1777"/>
      <c r="AE42" s="1777"/>
      <c r="AF42" s="1777"/>
      <c r="AG42" s="1777"/>
      <c r="AH42" s="1777"/>
      <c r="AI42" s="1778"/>
      <c r="AJ42" s="1451"/>
      <c r="AK42" s="3771"/>
      <c r="AL42" s="1861"/>
      <c r="AM42" s="1862"/>
    </row>
    <row r="43" spans="2:40" s="63" customFormat="1" ht="18" customHeight="1">
      <c r="B43" s="3766" t="s">
        <v>3727</v>
      </c>
      <c r="C43" s="3767"/>
      <c r="D43" s="3767"/>
      <c r="E43" s="3767"/>
      <c r="F43" s="3767"/>
      <c r="G43" s="3767"/>
      <c r="H43" s="3767"/>
      <c r="I43" s="3767"/>
      <c r="J43" s="3767"/>
      <c r="K43" s="1760"/>
      <c r="L43" s="3766" t="s">
        <v>3728</v>
      </c>
      <c r="M43" s="3767"/>
      <c r="N43" s="3767"/>
      <c r="O43" s="3767"/>
      <c r="P43" s="3767"/>
      <c r="Q43" s="3767"/>
      <c r="R43" s="3767"/>
      <c r="S43" s="3767"/>
      <c r="T43" s="3767"/>
      <c r="U43" s="3767"/>
      <c r="V43" s="3767"/>
      <c r="W43" s="339"/>
      <c r="X43" s="3760" t="s">
        <v>3729</v>
      </c>
      <c r="Y43" s="1953"/>
      <c r="Z43" s="1953"/>
      <c r="AA43" s="1953"/>
      <c r="AB43" s="1953"/>
      <c r="AC43" s="1953"/>
      <c r="AD43" s="1953"/>
      <c r="AE43" s="1953"/>
      <c r="AF43" s="1953"/>
      <c r="AG43" s="1953"/>
      <c r="AH43" s="1953"/>
      <c r="AI43" s="1953"/>
      <c r="AJ43" s="339"/>
      <c r="AK43" s="3768" t="s">
        <v>776</v>
      </c>
      <c r="AL43" s="3767"/>
      <c r="AM43" s="3767"/>
    </row>
    <row r="44" spans="2:40" s="63" customFormat="1" ht="18" customHeight="1"/>
    <row r="45" spans="2:40" s="63" customFormat="1" ht="18" customHeight="1">
      <c r="B45" s="2529" t="s">
        <v>461</v>
      </c>
      <c r="C45" s="3767"/>
      <c r="D45" s="3767"/>
      <c r="E45" s="3767"/>
      <c r="F45" s="3767"/>
      <c r="G45" s="3767"/>
      <c r="H45" s="3767"/>
      <c r="I45" s="3767"/>
      <c r="J45" s="3767"/>
      <c r="K45" s="3767"/>
      <c r="L45" s="3767"/>
      <c r="M45" s="3767"/>
      <c r="N45" s="3767"/>
      <c r="O45" s="3767"/>
      <c r="P45" s="3767"/>
      <c r="Q45" s="3767"/>
      <c r="R45" s="3767"/>
      <c r="S45" s="3767"/>
      <c r="T45" s="3767"/>
      <c r="U45" s="3767"/>
      <c r="V45" s="3767"/>
      <c r="W45" s="3767"/>
      <c r="X45" s="3767"/>
      <c r="Y45" s="3767"/>
      <c r="Z45" s="3767"/>
      <c r="AA45" s="3767"/>
      <c r="AB45" s="3767"/>
      <c r="AC45" s="3767"/>
      <c r="AD45" s="3767"/>
      <c r="AE45" s="3767"/>
      <c r="AF45" s="3767"/>
      <c r="AG45" s="3767"/>
      <c r="AH45" s="3767"/>
      <c r="AI45" s="3767"/>
      <c r="AJ45" s="3767"/>
      <c r="AK45" s="3767"/>
      <c r="AL45" s="3767"/>
      <c r="AM45" s="3767"/>
    </row>
    <row r="46" spans="2:40" ht="18" customHeight="1">
      <c r="B46" s="63"/>
      <c r="C46" s="63"/>
      <c r="D46" s="63"/>
      <c r="E46" s="63"/>
      <c r="F46" s="63"/>
      <c r="G46" s="63"/>
      <c r="H46" s="63"/>
      <c r="I46" s="63"/>
      <c r="J46" s="63"/>
      <c r="K46" s="63"/>
      <c r="L46" s="63"/>
      <c r="M46" s="63"/>
      <c r="N46" s="63"/>
      <c r="O46" s="63"/>
      <c r="P46" s="63"/>
      <c r="Q46" s="63"/>
      <c r="R46" s="63"/>
      <c r="S46" s="63"/>
      <c r="T46" s="63"/>
      <c r="U46" s="63"/>
      <c r="V46" s="63"/>
      <c r="W46" s="63"/>
      <c r="X46" s="63"/>
      <c r="Y46" s="63"/>
      <c r="Z46" s="63"/>
      <c r="AA46" s="63"/>
      <c r="AB46" s="63"/>
      <c r="AC46" s="63"/>
      <c r="AD46" s="63"/>
      <c r="AE46" s="63"/>
      <c r="AF46" s="63"/>
      <c r="AG46" s="63"/>
      <c r="AH46" s="63"/>
      <c r="AI46" s="63"/>
      <c r="AJ46" s="63"/>
      <c r="AK46" s="63"/>
      <c r="AL46" s="63"/>
      <c r="AM46" s="63"/>
    </row>
  </sheetData>
  <sheetProtection algorithmName="SHA-512" hashValue="wDAMXKHrvOB86Cbv1UFX6WkBq91+L05ZwDybrtWCgxCUXSEz0Rx7i5XgN0ZxnvWg6HNoEkrTwa6nn3KUAfYJ3w==" saltValue="YgyIariNCkKcI38HhBNvtA==" spinCount="100000" sheet="1" objects="1" scenarios="1"/>
  <mergeCells count="71">
    <mergeCell ref="B42:J42"/>
    <mergeCell ref="B45:AM45"/>
    <mergeCell ref="B14:J14"/>
    <mergeCell ref="AK14:AM14"/>
    <mergeCell ref="L14:T14"/>
    <mergeCell ref="B41:AM41"/>
    <mergeCell ref="N39:AE39"/>
    <mergeCell ref="X42:AI42"/>
    <mergeCell ref="L43:V43"/>
    <mergeCell ref="B21:AM21"/>
    <mergeCell ref="B28:AK28"/>
    <mergeCell ref="AL28:AM28"/>
    <mergeCell ref="L42:V42"/>
    <mergeCell ref="B37:AK37"/>
    <mergeCell ref="AL37:AM37"/>
    <mergeCell ref="AL33:AM33"/>
    <mergeCell ref="AN5:AO5"/>
    <mergeCell ref="B16:AM16"/>
    <mergeCell ref="L13:V13"/>
    <mergeCell ref="B7:AM7"/>
    <mergeCell ref="AL26:AM26"/>
    <mergeCell ref="X14:AI14"/>
    <mergeCell ref="B22:AM22"/>
    <mergeCell ref="AL25:AM25"/>
    <mergeCell ref="B18:AM18"/>
    <mergeCell ref="B5:AM5"/>
    <mergeCell ref="B20:AM20"/>
    <mergeCell ref="B12:AM12"/>
    <mergeCell ref="B17:AM17"/>
    <mergeCell ref="B4:AM4"/>
    <mergeCell ref="AL36:AM36"/>
    <mergeCell ref="B13:J13"/>
    <mergeCell ref="AL27:AM27"/>
    <mergeCell ref="B29:AK29"/>
    <mergeCell ref="AL32:AM32"/>
    <mergeCell ref="B34:AK34"/>
    <mergeCell ref="AL31:AM31"/>
    <mergeCell ref="AL34:AM34"/>
    <mergeCell ref="B27:AK27"/>
    <mergeCell ref="AN2:AO2"/>
    <mergeCell ref="B33:AK33"/>
    <mergeCell ref="B36:AK36"/>
    <mergeCell ref="B38:AM38"/>
    <mergeCell ref="AK42:AM42"/>
    <mergeCell ref="AF39:AK39"/>
    <mergeCell ref="AL39:AM39"/>
    <mergeCell ref="B10:AM10"/>
    <mergeCell ref="AK13:AM13"/>
    <mergeCell ref="B9:AM9"/>
    <mergeCell ref="X13:AI13"/>
    <mergeCell ref="B6:AM6"/>
    <mergeCell ref="B2:AM2"/>
    <mergeCell ref="B11:AM11"/>
    <mergeCell ref="B23:AM23"/>
    <mergeCell ref="B8:AM8"/>
    <mergeCell ref="X43:AI43"/>
    <mergeCell ref="B32:AK32"/>
    <mergeCell ref="AL35:AM35"/>
    <mergeCell ref="B19:AM19"/>
    <mergeCell ref="B26:AK26"/>
    <mergeCell ref="B35:AK35"/>
    <mergeCell ref="AL29:AM29"/>
    <mergeCell ref="B40:AM40"/>
    <mergeCell ref="E39:M39"/>
    <mergeCell ref="B30:AM30"/>
    <mergeCell ref="B43:J43"/>
    <mergeCell ref="B39:D39"/>
    <mergeCell ref="AK43:AM43"/>
    <mergeCell ref="B24:AM24"/>
    <mergeCell ref="B31:AK31"/>
    <mergeCell ref="B25:AK25"/>
  </mergeCells>
  <conditionalFormatting sqref="AL39">
    <cfRule type="cellIs" dxfId="442" priority="6" operator="equal">
      <formula>"No"</formula>
    </cfRule>
  </conditionalFormatting>
  <conditionalFormatting sqref="AL31:AL37">
    <cfRule type="cellIs" dxfId="441" priority="5" operator="equal">
      <formula>"Yes"</formula>
    </cfRule>
  </conditionalFormatting>
  <conditionalFormatting sqref="AL25:AL29">
    <cfRule type="cellIs" dxfId="440" priority="4" operator="equal">
      <formula>"Yes"</formula>
    </cfRule>
  </conditionalFormatting>
  <conditionalFormatting sqref="K16 AL16">
    <cfRule type="cellIs" dxfId="439" priority="1" operator="equal">
      <formula>"No"</formula>
    </cfRule>
  </conditionalFormatting>
  <conditionalFormatting sqref="K16">
    <cfRule type="cellIs" dxfId="438" priority="3" operator="equal">
      <formula>"No"</formula>
    </cfRule>
  </conditionalFormatting>
  <conditionalFormatting sqref="AL16">
    <cfRule type="cellIs" dxfId="437" priority="2" operator="equal">
      <formula>"No"</formula>
    </cfRule>
  </conditionalFormatting>
  <dataValidations count="2">
    <dataValidation type="list" allowBlank="1" showInputMessage="1" showErrorMessage="1" sqref="AL25:AM29 AL31:AM37" xr:uid="{00000000-0002-0000-2300-000000000000}">
      <formula1>"Yes,No"</formula1>
    </dataValidation>
    <dataValidation type="list" allowBlank="1" showInputMessage="1" showErrorMessage="1" sqref="AL39:AM39" xr:uid="{00000000-0002-0000-2300-000001000000}">
      <formula1>"Yes,No,N/A"</formula1>
    </dataValidation>
  </dataValidations>
  <printOptions horizontalCentered="1"/>
  <pageMargins left="0" right="0.25" top="0" bottom="0" header="0.25" footer="0.25"/>
  <pageSetup scale="65" orientation="portrait" r:id="rId1"/>
  <headerFooter>
    <oddFooter>&amp;L&amp;F&amp;C&amp;P of &amp;N&amp;R &amp;A</oddFooter>
  </headerFooter>
  <legacy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DocumentChecklist"/>
  <dimension ref="A2:BB220"/>
  <sheetViews>
    <sheetView showGridLines="0" topLeftCell="A24" zoomScaleNormal="100" zoomScaleSheetLayoutView="84" workbookViewId="0">
      <selection activeCell="AO38" sqref="AO38"/>
    </sheetView>
  </sheetViews>
  <sheetFormatPr defaultColWidth="4.7109375" defaultRowHeight="18" customHeight="1"/>
  <cols>
    <col min="1" max="1" width="8.7109375" style="824" customWidth="1"/>
    <col min="2" max="2" width="4.28515625" customWidth="1"/>
    <col min="3" max="4" width="4.28515625" style="8" customWidth="1"/>
    <col min="5" max="39" width="4.28515625" customWidth="1"/>
    <col min="40" max="40" width="4.42578125" style="454" customWidth="1"/>
    <col min="41" max="41" width="34" customWidth="1"/>
    <col min="42" max="44" width="4.7109375" customWidth="1"/>
    <col min="45" max="47" width="4.7109375" style="454" customWidth="1"/>
    <col min="254" max="254" width="6.28515625" customWidth="1"/>
    <col min="255" max="255" width="6.5703125" customWidth="1"/>
    <col min="256" max="270" width="5.7109375" customWidth="1"/>
    <col min="510" max="510" width="6.28515625" customWidth="1"/>
    <col min="511" max="511" width="6.5703125" customWidth="1"/>
    <col min="512" max="526" width="5.7109375" customWidth="1"/>
    <col min="766" max="766" width="6.28515625" customWidth="1"/>
    <col min="767" max="767" width="6.5703125" customWidth="1"/>
    <col min="768" max="782" width="5.7109375" customWidth="1"/>
    <col min="1022" max="1022" width="6.28515625" customWidth="1"/>
    <col min="1023" max="1023" width="6.5703125" customWidth="1"/>
    <col min="1024" max="1038" width="5.7109375" customWidth="1"/>
    <col min="1278" max="1278" width="6.28515625" customWidth="1"/>
    <col min="1279" max="1279" width="6.5703125" customWidth="1"/>
    <col min="1280" max="1294" width="5.7109375" customWidth="1"/>
    <col min="1534" max="1534" width="6.28515625" customWidth="1"/>
    <col min="1535" max="1535" width="6.5703125" customWidth="1"/>
    <col min="1536" max="1550" width="5.7109375" customWidth="1"/>
    <col min="1790" max="1790" width="6.28515625" customWidth="1"/>
    <col min="1791" max="1791" width="6.5703125" customWidth="1"/>
    <col min="1792" max="1806" width="5.7109375" customWidth="1"/>
    <col min="2046" max="2046" width="6.28515625" customWidth="1"/>
    <col min="2047" max="2047" width="6.5703125" customWidth="1"/>
    <col min="2048" max="2062" width="5.7109375" customWidth="1"/>
    <col min="2302" max="2302" width="6.28515625" customWidth="1"/>
    <col min="2303" max="2303" width="6.5703125" customWidth="1"/>
    <col min="2304" max="2318" width="5.7109375" customWidth="1"/>
    <col min="2558" max="2558" width="6.28515625" customWidth="1"/>
    <col min="2559" max="2559" width="6.5703125" customWidth="1"/>
    <col min="2560" max="2574" width="5.7109375" customWidth="1"/>
    <col min="2814" max="2814" width="6.28515625" customWidth="1"/>
    <col min="2815" max="2815" width="6.5703125" customWidth="1"/>
    <col min="2816" max="2830" width="5.7109375" customWidth="1"/>
    <col min="3070" max="3070" width="6.28515625" customWidth="1"/>
    <col min="3071" max="3071" width="6.5703125" customWidth="1"/>
    <col min="3072" max="3086" width="5.7109375" customWidth="1"/>
    <col min="3326" max="3326" width="6.28515625" customWidth="1"/>
    <col min="3327" max="3327" width="6.5703125" customWidth="1"/>
    <col min="3328" max="3342" width="5.7109375" customWidth="1"/>
    <col min="3582" max="3582" width="6.28515625" customWidth="1"/>
    <col min="3583" max="3583" width="6.5703125" customWidth="1"/>
    <col min="3584" max="3598" width="5.7109375" customWidth="1"/>
    <col min="3838" max="3838" width="6.28515625" customWidth="1"/>
    <col min="3839" max="3839" width="6.5703125" customWidth="1"/>
    <col min="3840" max="3854" width="5.7109375" customWidth="1"/>
    <col min="4094" max="4094" width="6.28515625" customWidth="1"/>
    <col min="4095" max="4095" width="6.5703125" customWidth="1"/>
    <col min="4096" max="4110" width="5.7109375" customWidth="1"/>
    <col min="4350" max="4350" width="6.28515625" customWidth="1"/>
    <col min="4351" max="4351" width="6.5703125" customWidth="1"/>
    <col min="4352" max="4366" width="5.7109375" customWidth="1"/>
    <col min="4606" max="4606" width="6.28515625" customWidth="1"/>
    <col min="4607" max="4607" width="6.5703125" customWidth="1"/>
    <col min="4608" max="4622" width="5.7109375" customWidth="1"/>
    <col min="4862" max="4862" width="6.28515625" customWidth="1"/>
    <col min="4863" max="4863" width="6.5703125" customWidth="1"/>
    <col min="4864" max="4878" width="5.7109375" customWidth="1"/>
    <col min="5118" max="5118" width="6.28515625" customWidth="1"/>
    <col min="5119" max="5119" width="6.5703125" customWidth="1"/>
    <col min="5120" max="5134" width="5.7109375" customWidth="1"/>
    <col min="5374" max="5374" width="6.28515625" customWidth="1"/>
    <col min="5375" max="5375" width="6.5703125" customWidth="1"/>
    <col min="5376" max="5390" width="5.7109375" customWidth="1"/>
    <col min="5630" max="5630" width="6.28515625" customWidth="1"/>
    <col min="5631" max="5631" width="6.5703125" customWidth="1"/>
    <col min="5632" max="5646" width="5.7109375" customWidth="1"/>
    <col min="5886" max="5886" width="6.28515625" customWidth="1"/>
    <col min="5887" max="5887" width="6.5703125" customWidth="1"/>
    <col min="5888" max="5902" width="5.7109375" customWidth="1"/>
    <col min="6142" max="6142" width="6.28515625" customWidth="1"/>
    <col min="6143" max="6143" width="6.5703125" customWidth="1"/>
    <col min="6144" max="6158" width="5.7109375" customWidth="1"/>
    <col min="6398" max="6398" width="6.28515625" customWidth="1"/>
    <col min="6399" max="6399" width="6.5703125" customWidth="1"/>
    <col min="6400" max="6414" width="5.7109375" customWidth="1"/>
    <col min="6654" max="6654" width="6.28515625" customWidth="1"/>
    <col min="6655" max="6655" width="6.5703125" customWidth="1"/>
    <col min="6656" max="6670" width="5.7109375" customWidth="1"/>
    <col min="6910" max="6910" width="6.28515625" customWidth="1"/>
    <col min="6911" max="6911" width="6.5703125" customWidth="1"/>
    <col min="6912" max="6926" width="5.7109375" customWidth="1"/>
    <col min="7166" max="7166" width="6.28515625" customWidth="1"/>
    <col min="7167" max="7167" width="6.5703125" customWidth="1"/>
    <col min="7168" max="7182" width="5.7109375" customWidth="1"/>
    <col min="7422" max="7422" width="6.28515625" customWidth="1"/>
    <col min="7423" max="7423" width="6.5703125" customWidth="1"/>
    <col min="7424" max="7438" width="5.7109375" customWidth="1"/>
    <col min="7678" max="7678" width="6.28515625" customWidth="1"/>
    <col min="7679" max="7679" width="6.5703125" customWidth="1"/>
    <col min="7680" max="7694" width="5.7109375" customWidth="1"/>
    <col min="7934" max="7934" width="6.28515625" customWidth="1"/>
    <col min="7935" max="7935" width="6.5703125" customWidth="1"/>
    <col min="7936" max="7950" width="5.7109375" customWidth="1"/>
    <col min="8190" max="8190" width="6.28515625" customWidth="1"/>
    <col min="8191" max="8191" width="6.5703125" customWidth="1"/>
    <col min="8192" max="8206" width="5.7109375" customWidth="1"/>
    <col min="8446" max="8446" width="6.28515625" customWidth="1"/>
    <col min="8447" max="8447" width="6.5703125" customWidth="1"/>
    <col min="8448" max="8462" width="5.7109375" customWidth="1"/>
    <col min="8702" max="8702" width="6.28515625" customWidth="1"/>
    <col min="8703" max="8703" width="6.5703125" customWidth="1"/>
    <col min="8704" max="8718" width="5.7109375" customWidth="1"/>
    <col min="8958" max="8958" width="6.28515625" customWidth="1"/>
    <col min="8959" max="8959" width="6.5703125" customWidth="1"/>
    <col min="8960" max="8974" width="5.7109375" customWidth="1"/>
    <col min="9214" max="9214" width="6.28515625" customWidth="1"/>
    <col min="9215" max="9215" width="6.5703125" customWidth="1"/>
    <col min="9216" max="9230" width="5.7109375" customWidth="1"/>
    <col min="9470" max="9470" width="6.28515625" customWidth="1"/>
    <col min="9471" max="9471" width="6.5703125" customWidth="1"/>
    <col min="9472" max="9486" width="5.7109375" customWidth="1"/>
    <col min="9726" max="9726" width="6.28515625" customWidth="1"/>
    <col min="9727" max="9727" width="6.5703125" customWidth="1"/>
    <col min="9728" max="9742" width="5.7109375" customWidth="1"/>
    <col min="9982" max="9982" width="6.28515625" customWidth="1"/>
    <col min="9983" max="9983" width="6.5703125" customWidth="1"/>
    <col min="9984" max="9998" width="5.7109375" customWidth="1"/>
    <col min="10238" max="10238" width="6.28515625" customWidth="1"/>
    <col min="10239" max="10239" width="6.5703125" customWidth="1"/>
    <col min="10240" max="10254" width="5.7109375" customWidth="1"/>
    <col min="10494" max="10494" width="6.28515625" customWidth="1"/>
    <col min="10495" max="10495" width="6.5703125" customWidth="1"/>
    <col min="10496" max="10510" width="5.7109375" customWidth="1"/>
    <col min="10750" max="10750" width="6.28515625" customWidth="1"/>
    <col min="10751" max="10751" width="6.5703125" customWidth="1"/>
    <col min="10752" max="10766" width="5.7109375" customWidth="1"/>
    <col min="11006" max="11006" width="6.28515625" customWidth="1"/>
    <col min="11007" max="11007" width="6.5703125" customWidth="1"/>
    <col min="11008" max="11022" width="5.7109375" customWidth="1"/>
    <col min="11262" max="11262" width="6.28515625" customWidth="1"/>
    <col min="11263" max="11263" width="6.5703125" customWidth="1"/>
    <col min="11264" max="11278" width="5.7109375" customWidth="1"/>
    <col min="11518" max="11518" width="6.28515625" customWidth="1"/>
    <col min="11519" max="11519" width="6.5703125" customWidth="1"/>
    <col min="11520" max="11534" width="5.7109375" customWidth="1"/>
    <col min="11774" max="11774" width="6.28515625" customWidth="1"/>
    <col min="11775" max="11775" width="6.5703125" customWidth="1"/>
    <col min="11776" max="11790" width="5.7109375" customWidth="1"/>
    <col min="12030" max="12030" width="6.28515625" customWidth="1"/>
    <col min="12031" max="12031" width="6.5703125" customWidth="1"/>
    <col min="12032" max="12046" width="5.7109375" customWidth="1"/>
    <col min="12286" max="12286" width="6.28515625" customWidth="1"/>
    <col min="12287" max="12287" width="6.5703125" customWidth="1"/>
    <col min="12288" max="12302" width="5.7109375" customWidth="1"/>
    <col min="12542" max="12542" width="6.28515625" customWidth="1"/>
    <col min="12543" max="12543" width="6.5703125" customWidth="1"/>
    <col min="12544" max="12558" width="5.7109375" customWidth="1"/>
    <col min="12798" max="12798" width="6.28515625" customWidth="1"/>
    <col min="12799" max="12799" width="6.5703125" customWidth="1"/>
    <col min="12800" max="12814" width="5.7109375" customWidth="1"/>
    <col min="13054" max="13054" width="6.28515625" customWidth="1"/>
    <col min="13055" max="13055" width="6.5703125" customWidth="1"/>
    <col min="13056" max="13070" width="5.7109375" customWidth="1"/>
    <col min="13310" max="13310" width="6.28515625" customWidth="1"/>
    <col min="13311" max="13311" width="6.5703125" customWidth="1"/>
    <col min="13312" max="13326" width="5.7109375" customWidth="1"/>
    <col min="13566" max="13566" width="6.28515625" customWidth="1"/>
    <col min="13567" max="13567" width="6.5703125" customWidth="1"/>
    <col min="13568" max="13582" width="5.7109375" customWidth="1"/>
    <col min="13822" max="13822" width="6.28515625" customWidth="1"/>
    <col min="13823" max="13823" width="6.5703125" customWidth="1"/>
    <col min="13824" max="13838" width="5.7109375" customWidth="1"/>
    <col min="14078" max="14078" width="6.28515625" customWidth="1"/>
    <col min="14079" max="14079" width="6.5703125" customWidth="1"/>
    <col min="14080" max="14094" width="5.7109375" customWidth="1"/>
    <col min="14334" max="14334" width="6.28515625" customWidth="1"/>
    <col min="14335" max="14335" width="6.5703125" customWidth="1"/>
    <col min="14336" max="14350" width="5.7109375" customWidth="1"/>
    <col min="14590" max="14590" width="6.28515625" customWidth="1"/>
    <col min="14591" max="14591" width="6.5703125" customWidth="1"/>
    <col min="14592" max="14606" width="5.7109375" customWidth="1"/>
    <col min="14846" max="14846" width="6.28515625" customWidth="1"/>
    <col min="14847" max="14847" width="6.5703125" customWidth="1"/>
    <col min="14848" max="14862" width="5.7109375" customWidth="1"/>
    <col min="15102" max="15102" width="6.28515625" customWidth="1"/>
    <col min="15103" max="15103" width="6.5703125" customWidth="1"/>
    <col min="15104" max="15118" width="5.7109375" customWidth="1"/>
    <col min="15358" max="15358" width="6.28515625" customWidth="1"/>
    <col min="15359" max="15359" width="6.5703125" customWidth="1"/>
    <col min="15360" max="15374" width="5.7109375" customWidth="1"/>
    <col min="15614" max="15614" width="6.28515625" customWidth="1"/>
    <col min="15615" max="15615" width="6.5703125" customWidth="1"/>
    <col min="15616" max="15630" width="5.7109375" customWidth="1"/>
    <col min="15870" max="15870" width="6.28515625" customWidth="1"/>
    <col min="15871" max="15871" width="6.5703125" customWidth="1"/>
    <col min="15872" max="15886" width="5.7109375" customWidth="1"/>
    <col min="16126" max="16126" width="6.28515625" customWidth="1"/>
    <col min="16127" max="16127" width="6.5703125" customWidth="1"/>
    <col min="16128" max="16142" width="5.7109375" customWidth="1"/>
  </cols>
  <sheetData>
    <row r="2" spans="1:49" ht="18" customHeight="1">
      <c r="B2" s="3806" t="s">
        <v>3753</v>
      </c>
      <c r="C2" s="3797"/>
      <c r="D2" s="3797"/>
      <c r="E2" s="2015"/>
      <c r="F2" s="2015"/>
      <c r="G2" s="2015"/>
      <c r="H2" s="2015"/>
      <c r="I2" s="2015"/>
      <c r="J2" s="2015"/>
      <c r="K2" s="2015"/>
      <c r="L2" s="2015"/>
      <c r="M2" s="2015"/>
      <c r="N2" s="2015"/>
      <c r="O2" s="2015"/>
      <c r="P2" s="2015"/>
      <c r="Q2" s="2015"/>
      <c r="R2" s="2015"/>
      <c r="S2" s="2015"/>
      <c r="T2" s="2015"/>
      <c r="U2" s="2015"/>
      <c r="V2" s="2015"/>
      <c r="W2" s="2015"/>
      <c r="X2" s="2015"/>
      <c r="Y2" s="2015"/>
      <c r="Z2" s="2015"/>
      <c r="AA2" s="2015"/>
      <c r="AB2" s="2015"/>
      <c r="AC2" s="2015"/>
      <c r="AD2" s="2015"/>
      <c r="AE2" s="2015"/>
      <c r="AF2" s="2015"/>
      <c r="AG2" s="2015"/>
      <c r="AH2" s="2015"/>
      <c r="AI2" s="2015"/>
      <c r="AJ2" s="2015"/>
      <c r="AK2" s="2015"/>
      <c r="AL2" s="2015"/>
      <c r="AM2" s="2015"/>
    </row>
    <row r="3" spans="1:49" ht="18" customHeight="1">
      <c r="B3" s="2015"/>
      <c r="C3" s="3797"/>
      <c r="D3" s="3797"/>
      <c r="E3" s="2015"/>
      <c r="F3" s="2015"/>
      <c r="G3" s="2015"/>
      <c r="H3" s="2015"/>
      <c r="I3" s="2015"/>
      <c r="J3" s="2015"/>
      <c r="K3" s="2015"/>
      <c r="L3" s="2015"/>
      <c r="M3" s="2015"/>
      <c r="N3" s="2015"/>
      <c r="O3" s="2015"/>
      <c r="P3" s="2015"/>
      <c r="Q3" s="2015"/>
      <c r="R3" s="2015"/>
      <c r="S3" s="2015"/>
      <c r="T3" s="2015"/>
      <c r="U3" s="2015"/>
      <c r="V3" s="2015"/>
      <c r="W3" s="2015"/>
      <c r="X3" s="2015"/>
      <c r="Y3" s="2015"/>
      <c r="Z3" s="2015"/>
      <c r="AA3" s="2015"/>
      <c r="AB3" s="2015"/>
      <c r="AC3" s="2015"/>
      <c r="AD3" s="2015"/>
      <c r="AE3" s="2015"/>
      <c r="AF3" s="2015"/>
      <c r="AG3" s="2015"/>
      <c r="AH3" s="2015"/>
      <c r="AI3" s="2015"/>
      <c r="AJ3" s="2015"/>
      <c r="AK3" s="2015"/>
      <c r="AL3" s="2015"/>
      <c r="AM3" s="2015"/>
      <c r="AN3" s="3842" t="s">
        <v>3754</v>
      </c>
      <c r="AO3" s="2015"/>
      <c r="AP3" s="2015"/>
      <c r="AQ3" s="2015"/>
      <c r="AR3" s="2015"/>
      <c r="AS3" s="3843"/>
      <c r="AT3" s="3843"/>
      <c r="AU3" s="3843"/>
      <c r="AV3" s="2015"/>
      <c r="AW3" s="715"/>
    </row>
    <row r="4" spans="1:49" ht="18" customHeight="1">
      <c r="B4" s="3784" t="s">
        <v>3755</v>
      </c>
      <c r="C4" s="3784"/>
      <c r="D4" s="3784"/>
      <c r="E4" s="3784"/>
      <c r="F4" s="3784"/>
      <c r="G4" s="3784"/>
      <c r="H4" s="3784"/>
      <c r="I4" s="3784"/>
      <c r="J4" s="3784"/>
      <c r="K4" s="3784"/>
      <c r="L4" s="3784"/>
      <c r="M4" s="3784"/>
      <c r="N4" s="1577"/>
      <c r="O4" s="1577"/>
      <c r="P4" s="1577"/>
      <c r="Q4" s="1577"/>
      <c r="R4" s="1577"/>
      <c r="S4" s="1577"/>
      <c r="T4" s="1577"/>
      <c r="U4" s="1577"/>
      <c r="V4" s="1577"/>
      <c r="W4" s="1577"/>
      <c r="X4" s="1577"/>
      <c r="Y4" s="1577"/>
      <c r="Z4" s="1577"/>
      <c r="AA4" s="1577"/>
      <c r="AB4" s="1577"/>
      <c r="AC4" s="1577"/>
      <c r="AD4" s="1577"/>
      <c r="AE4" s="1577"/>
      <c r="AF4" s="3785" t="s">
        <v>3756</v>
      </c>
      <c r="AG4" s="3785"/>
      <c r="AH4" s="3785"/>
      <c r="AI4" s="3785"/>
      <c r="AJ4" s="3785"/>
      <c r="AK4" s="3785"/>
      <c r="AL4" s="3785"/>
      <c r="AM4" s="3785"/>
      <c r="AN4" s="3843"/>
      <c r="AO4" s="2015"/>
      <c r="AP4" s="2015"/>
      <c r="AQ4" s="2015"/>
      <c r="AR4" s="2015"/>
      <c r="AS4" s="3843"/>
      <c r="AT4" s="3843"/>
      <c r="AU4" s="3843"/>
      <c r="AV4" s="2015"/>
      <c r="AW4" s="715"/>
    </row>
    <row r="5" spans="1:49" s="7" customFormat="1" ht="53.25" customHeight="1">
      <c r="A5" s="824"/>
      <c r="B5" s="3810" t="s">
        <v>3757</v>
      </c>
      <c r="C5" s="1777"/>
      <c r="D5" s="1777"/>
      <c r="E5" s="1777"/>
      <c r="F5" s="1777"/>
      <c r="G5" s="1777"/>
      <c r="H5" s="1777"/>
      <c r="I5" s="1777"/>
      <c r="J5" s="1777"/>
      <c r="K5" s="1777"/>
      <c r="L5" s="1777"/>
      <c r="M5" s="1777"/>
      <c r="N5" s="1777"/>
      <c r="O5" s="1777"/>
      <c r="P5" s="1777"/>
      <c r="Q5" s="1777"/>
      <c r="R5" s="1777"/>
      <c r="S5" s="1777"/>
      <c r="T5" s="1777"/>
      <c r="U5" s="1777"/>
      <c r="V5" s="1777"/>
      <c r="W5" s="1777"/>
      <c r="X5" s="1777"/>
      <c r="Y5" s="1777"/>
      <c r="Z5" s="1777"/>
      <c r="AA5" s="1777"/>
      <c r="AB5" s="1777"/>
      <c r="AC5" s="1777"/>
      <c r="AD5" s="1777"/>
      <c r="AE5" s="1777"/>
      <c r="AF5" s="1777"/>
      <c r="AG5" s="1777"/>
      <c r="AH5" s="1777"/>
      <c r="AI5" s="1777"/>
      <c r="AJ5" s="1777"/>
      <c r="AK5" s="1777"/>
      <c r="AL5" s="1777"/>
      <c r="AM5" s="1778"/>
      <c r="AN5" s="3795"/>
      <c r="AO5" s="3795"/>
      <c r="AP5" s="3795"/>
      <c r="AQ5" s="3795"/>
      <c r="AR5" s="3795"/>
      <c r="AS5" s="3795"/>
      <c r="AT5" s="3795"/>
      <c r="AU5" s="3795"/>
      <c r="AV5" s="3795"/>
      <c r="AW5" s="715"/>
    </row>
    <row r="6" spans="1:49" s="7" customFormat="1" ht="17.25" customHeight="1">
      <c r="A6" s="825"/>
      <c r="AN6" s="3795"/>
      <c r="AO6" s="3795"/>
      <c r="AP6" s="3795"/>
      <c r="AQ6" s="3795"/>
      <c r="AR6" s="3795"/>
      <c r="AS6" s="3795"/>
      <c r="AT6" s="3795"/>
      <c r="AU6" s="3795"/>
      <c r="AV6" s="3795"/>
      <c r="AW6" s="715"/>
    </row>
    <row r="7" spans="1:49" s="7" customFormat="1" ht="36" customHeight="1">
      <c r="A7" s="824"/>
      <c r="B7" s="3807"/>
      <c r="C7" s="3795"/>
      <c r="D7" s="3795"/>
      <c r="E7" s="3791" t="s">
        <v>3758</v>
      </c>
      <c r="F7" s="3792"/>
      <c r="G7" s="3792"/>
      <c r="H7" s="3792"/>
      <c r="I7" s="3792"/>
      <c r="J7" s="3792"/>
      <c r="K7" s="3792"/>
      <c r="L7" s="3792"/>
      <c r="M7" s="3793"/>
      <c r="N7" s="3791" t="s">
        <v>3759</v>
      </c>
      <c r="O7" s="3792"/>
      <c r="P7" s="3792"/>
      <c r="Q7" s="3792"/>
      <c r="R7" s="3792"/>
      <c r="S7" s="3792"/>
      <c r="T7" s="3792"/>
      <c r="U7" s="3792"/>
      <c r="V7" s="3792"/>
      <c r="W7" s="3792"/>
      <c r="X7" s="3792"/>
      <c r="Y7" s="3792"/>
      <c r="Z7" s="3792"/>
      <c r="AA7" s="3792"/>
      <c r="AB7" s="3792"/>
      <c r="AC7" s="3792"/>
      <c r="AD7" s="3792"/>
      <c r="AE7" s="3792"/>
      <c r="AF7" s="3792"/>
      <c r="AG7" s="3792"/>
      <c r="AH7" s="3792"/>
      <c r="AI7" s="3793"/>
      <c r="AJ7" s="3791" t="s">
        <v>3760</v>
      </c>
      <c r="AK7" s="3792"/>
      <c r="AL7" s="3792"/>
      <c r="AM7" s="3793"/>
      <c r="AN7" s="3795"/>
      <c r="AO7" s="3795"/>
      <c r="AP7" s="3795"/>
      <c r="AQ7" s="3795"/>
      <c r="AR7" s="3795"/>
      <c r="AS7" s="3795"/>
      <c r="AT7" s="3795"/>
      <c r="AU7" s="3795"/>
      <c r="AV7" s="3795"/>
    </row>
    <row r="8" spans="1:49" s="7" customFormat="1" ht="18" hidden="1" customHeight="1">
      <c r="A8" s="826"/>
      <c r="B8" s="3794"/>
      <c r="C8" s="3795"/>
      <c r="D8" s="3795"/>
      <c r="E8" s="2140" t="s">
        <v>3761</v>
      </c>
      <c r="F8" s="1777"/>
      <c r="G8" s="1777"/>
      <c r="H8" s="1777"/>
      <c r="I8" s="1777"/>
      <c r="J8" s="1777"/>
      <c r="K8" s="1777"/>
      <c r="L8" s="1777"/>
      <c r="M8" s="1778"/>
      <c r="N8" s="2136" t="s">
        <v>3762</v>
      </c>
      <c r="O8" s="1777"/>
      <c r="P8" s="1777"/>
      <c r="Q8" s="1777"/>
      <c r="R8" s="1777"/>
      <c r="S8" s="1777"/>
      <c r="T8" s="1777"/>
      <c r="U8" s="1777"/>
      <c r="V8" s="1777"/>
      <c r="W8" s="1777"/>
      <c r="X8" s="1777"/>
      <c r="Y8" s="1777"/>
      <c r="Z8" s="1777"/>
      <c r="AA8" s="1777"/>
      <c r="AB8" s="1777"/>
      <c r="AC8" s="1777"/>
      <c r="AD8" s="1777"/>
      <c r="AE8" s="1777"/>
      <c r="AF8" s="1777"/>
      <c r="AG8" s="1777"/>
      <c r="AH8" s="1777"/>
      <c r="AI8" s="1778"/>
      <c r="AJ8" s="1911"/>
      <c r="AK8" s="1861"/>
      <c r="AL8" s="1861"/>
      <c r="AM8" s="1862"/>
      <c r="AN8" s="469" t="s">
        <v>3763</v>
      </c>
      <c r="AS8" s="72"/>
      <c r="AT8" s="454"/>
      <c r="AU8" s="454"/>
    </row>
    <row r="9" spans="1:49" s="7" customFormat="1" ht="48" customHeight="1">
      <c r="A9" s="826"/>
      <c r="B9" s="3794"/>
      <c r="C9" s="3795"/>
      <c r="D9" s="3795"/>
      <c r="E9" s="3811" t="s">
        <v>3764</v>
      </c>
      <c r="F9" s="1966"/>
      <c r="G9" s="1966"/>
      <c r="H9" s="1966"/>
      <c r="I9" s="1966"/>
      <c r="J9" s="1966"/>
      <c r="K9" s="1966"/>
      <c r="L9" s="1966"/>
      <c r="M9" s="2060"/>
      <c r="N9" s="3798" t="s">
        <v>3765</v>
      </c>
      <c r="O9" s="1966"/>
      <c r="P9" s="1966"/>
      <c r="Q9" s="1966"/>
      <c r="R9" s="1966"/>
      <c r="S9" s="1966"/>
      <c r="T9" s="1966"/>
      <c r="U9" s="1966"/>
      <c r="V9" s="1966"/>
      <c r="W9" s="1966"/>
      <c r="X9" s="1966"/>
      <c r="Y9" s="1966"/>
      <c r="Z9" s="1966"/>
      <c r="AA9" s="1966"/>
      <c r="AB9" s="1966"/>
      <c r="AC9" s="1966"/>
      <c r="AD9" s="1966"/>
      <c r="AE9" s="1966"/>
      <c r="AF9" s="1966"/>
      <c r="AG9" s="1966"/>
      <c r="AH9" s="1966"/>
      <c r="AI9" s="2060"/>
      <c r="AJ9" s="1911"/>
      <c r="AK9" s="1861"/>
      <c r="AL9" s="1861"/>
      <c r="AM9" s="1862"/>
      <c r="AN9" s="469" t="s">
        <v>3763</v>
      </c>
      <c r="AO9" s="958" t="s">
        <v>3766</v>
      </c>
      <c r="AS9" s="454"/>
      <c r="AT9" s="454"/>
      <c r="AU9" s="454"/>
    </row>
    <row r="10" spans="1:49" ht="18" hidden="1" customHeight="1">
      <c r="B10" s="525"/>
      <c r="C10" s="525"/>
      <c r="D10" s="525"/>
      <c r="E10" s="1452"/>
      <c r="F10" s="1452"/>
      <c r="G10" s="1452"/>
      <c r="H10" s="1452"/>
      <c r="I10" s="1452"/>
      <c r="J10" s="1452"/>
      <c r="K10" s="1452"/>
      <c r="L10" s="1452"/>
      <c r="M10" s="1452"/>
      <c r="N10" s="1605"/>
      <c r="O10" s="1605"/>
      <c r="P10" s="1605"/>
      <c r="Q10" s="1605"/>
      <c r="R10" s="1605"/>
      <c r="S10" s="1605"/>
      <c r="T10" s="1605"/>
      <c r="U10" s="1605"/>
      <c r="V10" s="1605"/>
      <c r="W10" s="1605"/>
      <c r="X10" s="1605"/>
      <c r="Y10" s="1605"/>
      <c r="Z10" s="1605"/>
      <c r="AA10" s="1605"/>
      <c r="AB10" s="1605"/>
      <c r="AC10" s="1605"/>
      <c r="AD10" s="1605"/>
      <c r="AE10" s="1605"/>
      <c r="AF10" s="1605"/>
      <c r="AG10" s="1605"/>
      <c r="AH10" s="1605"/>
      <c r="AI10" s="1605"/>
      <c r="AJ10" s="1452"/>
      <c r="AK10" s="1452"/>
      <c r="AL10" s="1452"/>
      <c r="AM10" s="1452"/>
    </row>
    <row r="11" spans="1:49" ht="18" hidden="1" customHeight="1">
      <c r="B11" s="3801" t="s">
        <v>3767</v>
      </c>
      <c r="C11" s="1777"/>
      <c r="D11" s="1777"/>
      <c r="E11" s="1777"/>
      <c r="F11" s="1777"/>
      <c r="G11" s="1777"/>
      <c r="H11" s="1777"/>
      <c r="I11" s="1777"/>
      <c r="J11" s="1777"/>
      <c r="K11" s="1777"/>
      <c r="L11" s="1777"/>
      <c r="M11" s="1778"/>
      <c r="N11" s="1606"/>
      <c r="O11" s="1606"/>
      <c r="P11" s="1606"/>
      <c r="Q11" s="1606"/>
      <c r="R11" s="1606"/>
      <c r="S11" s="1606"/>
      <c r="T11" s="1606"/>
      <c r="U11" s="1606"/>
      <c r="V11" s="1606"/>
      <c r="W11" s="1606"/>
      <c r="X11" s="1606"/>
      <c r="Y11" s="1606"/>
      <c r="Z11" s="1606"/>
      <c r="AA11" s="1606"/>
      <c r="AB11" s="1606"/>
      <c r="AC11" s="1606"/>
      <c r="AD11" s="1606"/>
      <c r="AE11" s="1606"/>
      <c r="AF11" s="1606"/>
      <c r="AG11" s="1606"/>
      <c r="AH11" s="1606"/>
      <c r="AI11" s="1606"/>
      <c r="AJ11" s="456"/>
      <c r="AK11" s="456"/>
      <c r="AL11" s="456"/>
      <c r="AM11" s="456"/>
    </row>
    <row r="12" spans="1:49" ht="18" hidden="1" customHeight="1">
      <c r="A12" s="826"/>
      <c r="B12" s="3807"/>
      <c r="C12" s="3797"/>
      <c r="D12" s="3797"/>
      <c r="E12" s="2991" t="s">
        <v>3768</v>
      </c>
      <c r="F12" s="1777"/>
      <c r="G12" s="1777"/>
      <c r="H12" s="1777"/>
      <c r="I12" s="1777"/>
      <c r="J12" s="1777"/>
      <c r="K12" s="1777"/>
      <c r="L12" s="1777"/>
      <c r="M12" s="1778"/>
      <c r="N12" s="3798" t="s">
        <v>3769</v>
      </c>
      <c r="O12" s="1966"/>
      <c r="P12" s="1966"/>
      <c r="Q12" s="1966"/>
      <c r="R12" s="1966"/>
      <c r="S12" s="1966"/>
      <c r="T12" s="1966"/>
      <c r="U12" s="1966"/>
      <c r="V12" s="1966"/>
      <c r="W12" s="1966"/>
      <c r="X12" s="1966"/>
      <c r="Y12" s="1966"/>
      <c r="Z12" s="1966"/>
      <c r="AA12" s="1966"/>
      <c r="AB12" s="1966"/>
      <c r="AC12" s="1966"/>
      <c r="AD12" s="1966"/>
      <c r="AE12" s="1966"/>
      <c r="AF12" s="1966"/>
      <c r="AG12" s="1966"/>
      <c r="AH12" s="1966"/>
      <c r="AI12" s="2060"/>
      <c r="AJ12" s="1911"/>
      <c r="AK12" s="1861"/>
      <c r="AL12" s="1861"/>
      <c r="AM12" s="1862"/>
      <c r="AN12" s="469" t="str">
        <f>IF('Project Overview'!$AL$37="Yes","P","O")</f>
        <v>O</v>
      </c>
    </row>
    <row r="13" spans="1:49" ht="54" hidden="1" customHeight="1">
      <c r="A13" s="826"/>
      <c r="B13" s="3794"/>
      <c r="C13" s="3797"/>
      <c r="D13" s="3797"/>
      <c r="E13" s="2991" t="s">
        <v>3770</v>
      </c>
      <c r="F13" s="1777"/>
      <c r="G13" s="1777"/>
      <c r="H13" s="1777"/>
      <c r="I13" s="1777"/>
      <c r="J13" s="1777"/>
      <c r="K13" s="1777"/>
      <c r="L13" s="1777"/>
      <c r="M13" s="1778"/>
      <c r="N13" s="3798" t="s">
        <v>3771</v>
      </c>
      <c r="O13" s="1966"/>
      <c r="P13" s="1966"/>
      <c r="Q13" s="1966"/>
      <c r="R13" s="1966"/>
      <c r="S13" s="1966"/>
      <c r="T13" s="1966"/>
      <c r="U13" s="1966"/>
      <c r="V13" s="1966"/>
      <c r="W13" s="1966"/>
      <c r="X13" s="1966"/>
      <c r="Y13" s="1966"/>
      <c r="Z13" s="1966"/>
      <c r="AA13" s="1966"/>
      <c r="AB13" s="1966"/>
      <c r="AC13" s="1966"/>
      <c r="AD13" s="1966"/>
      <c r="AE13" s="1966"/>
      <c r="AF13" s="1966"/>
      <c r="AG13" s="1966"/>
      <c r="AH13" s="1966"/>
      <c r="AI13" s="2060"/>
      <c r="AJ13" s="3515" t="s">
        <v>3772</v>
      </c>
      <c r="AK13" s="1777"/>
      <c r="AL13" s="1777"/>
      <c r="AM13" s="1778"/>
      <c r="AN13" s="457" t="s">
        <v>3773</v>
      </c>
    </row>
    <row r="14" spans="1:49" ht="36" hidden="1" customHeight="1">
      <c r="B14" s="3794"/>
      <c r="C14" s="3797"/>
      <c r="D14" s="3797"/>
      <c r="E14" s="2140" t="s">
        <v>3774</v>
      </c>
      <c r="F14" s="1777"/>
      <c r="G14" s="1777"/>
      <c r="H14" s="1777"/>
      <c r="I14" s="1777"/>
      <c r="J14" s="1777"/>
      <c r="K14" s="1777"/>
      <c r="L14" s="1777"/>
      <c r="M14" s="1778"/>
      <c r="N14" s="3798" t="s">
        <v>3775</v>
      </c>
      <c r="O14" s="1966"/>
      <c r="P14" s="1966"/>
      <c r="Q14" s="1966"/>
      <c r="R14" s="1966"/>
      <c r="S14" s="1966"/>
      <c r="T14" s="1966"/>
      <c r="U14" s="1966"/>
      <c r="V14" s="1966"/>
      <c r="W14" s="1966"/>
      <c r="X14" s="1966"/>
      <c r="Y14" s="1966"/>
      <c r="Z14" s="1966"/>
      <c r="AA14" s="1966"/>
      <c r="AB14" s="1966"/>
      <c r="AC14" s="1966"/>
      <c r="AD14" s="1966"/>
      <c r="AE14" s="1966"/>
      <c r="AF14" s="1966"/>
      <c r="AG14" s="1966"/>
      <c r="AH14" s="1966"/>
      <c r="AI14" s="2060"/>
      <c r="AJ14" s="3515" t="s">
        <v>3772</v>
      </c>
      <c r="AK14" s="1777"/>
      <c r="AL14" s="1777"/>
      <c r="AM14" s="1778"/>
      <c r="AN14" s="457" t="s">
        <v>3773</v>
      </c>
    </row>
    <row r="15" spans="1:49" ht="18" hidden="1" customHeight="1">
      <c r="A15" s="826"/>
      <c r="B15" s="3794"/>
      <c r="C15" s="3797"/>
      <c r="D15" s="3797"/>
      <c r="E15" s="2991" t="s">
        <v>3776</v>
      </c>
      <c r="F15" s="1777"/>
      <c r="G15" s="1777"/>
      <c r="H15" s="1777"/>
      <c r="I15" s="1777"/>
      <c r="J15" s="1777"/>
      <c r="K15" s="1777"/>
      <c r="L15" s="1777"/>
      <c r="M15" s="1778"/>
      <c r="N15" s="3790" t="str">
        <f>CONCATENATE("Provide documentation satisfying experience."," ",'Project Overview'!$O$74,".")</f>
        <v>Provide documentation satisfying experience. See Appendix A – Defined Terms.</v>
      </c>
      <c r="O15" s="1966"/>
      <c r="P15" s="1966"/>
      <c r="Q15" s="1966"/>
      <c r="R15" s="1966"/>
      <c r="S15" s="1966"/>
      <c r="T15" s="1966"/>
      <c r="U15" s="1966"/>
      <c r="V15" s="1966"/>
      <c r="W15" s="1966"/>
      <c r="X15" s="1966"/>
      <c r="Y15" s="1966"/>
      <c r="Z15" s="1966"/>
      <c r="AA15" s="1966"/>
      <c r="AB15" s="1966"/>
      <c r="AC15" s="1966"/>
      <c r="AD15" s="1966"/>
      <c r="AE15" s="1966"/>
      <c r="AF15" s="1966"/>
      <c r="AG15" s="1966"/>
      <c r="AH15" s="1966"/>
      <c r="AI15" s="2060"/>
      <c r="AJ15" s="1911"/>
      <c r="AK15" s="1861"/>
      <c r="AL15" s="1861"/>
      <c r="AM15" s="1862"/>
      <c r="AN15" s="469" t="str">
        <f>IF('Project Overview'!$AL$77="Yes","P","O")</f>
        <v>O</v>
      </c>
    </row>
    <row r="16" spans="1:49" s="214" customFormat="1" ht="36" hidden="1" customHeight="1">
      <c r="A16" s="826"/>
      <c r="B16" s="3794"/>
      <c r="C16" s="3796"/>
      <c r="D16" s="3796"/>
      <c r="E16" s="2991" t="s">
        <v>3777</v>
      </c>
      <c r="F16" s="1777"/>
      <c r="G16" s="1777"/>
      <c r="H16" s="1777"/>
      <c r="I16" s="1777"/>
      <c r="J16" s="1777"/>
      <c r="K16" s="1777"/>
      <c r="L16" s="1777"/>
      <c r="M16" s="1778"/>
      <c r="N16" s="3790" t="s">
        <v>3778</v>
      </c>
      <c r="O16" s="1966"/>
      <c r="P16" s="1966"/>
      <c r="Q16" s="1966"/>
      <c r="R16" s="1966"/>
      <c r="S16" s="1966"/>
      <c r="T16" s="1966"/>
      <c r="U16" s="1966"/>
      <c r="V16" s="1966"/>
      <c r="W16" s="1966"/>
      <c r="X16" s="1966"/>
      <c r="Y16" s="1966"/>
      <c r="Z16" s="1966"/>
      <c r="AA16" s="1966"/>
      <c r="AB16" s="1966"/>
      <c r="AC16" s="1966"/>
      <c r="AD16" s="1966"/>
      <c r="AE16" s="1966"/>
      <c r="AF16" s="1966"/>
      <c r="AG16" s="1966"/>
      <c r="AH16" s="1966"/>
      <c r="AI16" s="2060"/>
      <c r="AJ16" s="1911"/>
      <c r="AK16" s="1861"/>
      <c r="AL16" s="1861"/>
      <c r="AM16" s="1862"/>
      <c r="AN16" s="469" t="str">
        <f>IF('Project Overview'!$AL$92="Yes","P","O")</f>
        <v>O</v>
      </c>
      <c r="AO16" s="457"/>
      <c r="AS16" s="710"/>
      <c r="AT16" s="710"/>
      <c r="AU16" s="710"/>
    </row>
    <row r="17" spans="1:51" ht="18" hidden="1" customHeight="1">
      <c r="B17" s="3807"/>
      <c r="C17" s="3797"/>
      <c r="D17" s="3797"/>
      <c r="E17" s="3786" t="s">
        <v>3779</v>
      </c>
      <c r="F17" s="1777"/>
      <c r="G17" s="1777"/>
      <c r="H17" s="1777"/>
      <c r="I17" s="1777"/>
      <c r="J17" s="1777"/>
      <c r="K17" s="1777"/>
      <c r="L17" s="1777"/>
      <c r="M17" s="1778"/>
      <c r="N17" s="3798" t="s">
        <v>3780</v>
      </c>
      <c r="O17" s="1966"/>
      <c r="P17" s="1966"/>
      <c r="Q17" s="1966"/>
      <c r="R17" s="1966"/>
      <c r="S17" s="1966"/>
      <c r="T17" s="1966"/>
      <c r="U17" s="1966"/>
      <c r="V17" s="1966"/>
      <c r="W17" s="1966"/>
      <c r="X17" s="1966"/>
      <c r="Y17" s="1966"/>
      <c r="Z17" s="1966"/>
      <c r="AA17" s="1966"/>
      <c r="AB17" s="1966"/>
      <c r="AC17" s="1966"/>
      <c r="AD17" s="1966"/>
      <c r="AE17" s="1966"/>
      <c r="AF17" s="1966"/>
      <c r="AG17" s="1966"/>
      <c r="AH17" s="1966"/>
      <c r="AI17" s="2060"/>
      <c r="AJ17" s="1911"/>
      <c r="AK17" s="1861"/>
      <c r="AL17" s="1861"/>
      <c r="AM17" s="1862"/>
      <c r="AN17" s="469" t="str">
        <f>IF('Project Overview'!$AL$93="Yes","P","O")</f>
        <v>O</v>
      </c>
    </row>
    <row r="18" spans="1:51" ht="18" hidden="1" customHeight="1">
      <c r="B18" s="3794"/>
      <c r="C18" s="3797"/>
      <c r="D18" s="3797"/>
      <c r="E18" s="3786" t="s">
        <v>3781</v>
      </c>
      <c r="F18" s="1777"/>
      <c r="G18" s="1777"/>
      <c r="H18" s="1777"/>
      <c r="I18" s="1777"/>
      <c r="J18" s="1777"/>
      <c r="K18" s="1777"/>
      <c r="L18" s="1777"/>
      <c r="M18" s="1778"/>
      <c r="N18" s="3798" t="s">
        <v>3782</v>
      </c>
      <c r="O18" s="1966"/>
      <c r="P18" s="1966"/>
      <c r="Q18" s="1966"/>
      <c r="R18" s="1966"/>
      <c r="S18" s="1966"/>
      <c r="T18" s="1966"/>
      <c r="U18" s="1966"/>
      <c r="V18" s="1966"/>
      <c r="W18" s="1966"/>
      <c r="X18" s="1966"/>
      <c r="Y18" s="1966"/>
      <c r="Z18" s="1966"/>
      <c r="AA18" s="1966"/>
      <c r="AB18" s="1966"/>
      <c r="AC18" s="1966"/>
      <c r="AD18" s="1966"/>
      <c r="AE18" s="1966"/>
      <c r="AF18" s="1966"/>
      <c r="AG18" s="1966"/>
      <c r="AH18" s="1966"/>
      <c r="AI18" s="2060"/>
      <c r="AJ18" s="1911"/>
      <c r="AK18" s="1861"/>
      <c r="AL18" s="1861"/>
      <c r="AM18" s="1862"/>
      <c r="AN18" s="469" t="str">
        <f>IF('Project Overview'!$AL$94="Yes","P","O")</f>
        <v>O</v>
      </c>
    </row>
    <row r="19" spans="1:51" s="4" customFormat="1" ht="36" hidden="1" customHeight="1">
      <c r="A19" s="578"/>
      <c r="E19" s="3786" t="s">
        <v>3783</v>
      </c>
      <c r="F19" s="1777"/>
      <c r="G19" s="1777"/>
      <c r="H19" s="1777"/>
      <c r="I19" s="1777"/>
      <c r="J19" s="1777"/>
      <c r="K19" s="1777"/>
      <c r="L19" s="1777"/>
      <c r="M19" s="1778"/>
      <c r="N19" s="3798" t="s">
        <v>3784</v>
      </c>
      <c r="O19" s="1966"/>
      <c r="P19" s="1966"/>
      <c r="Q19" s="1966"/>
      <c r="R19" s="1966"/>
      <c r="S19" s="1966"/>
      <c r="T19" s="1966"/>
      <c r="U19" s="1966"/>
      <c r="V19" s="1966"/>
      <c r="W19" s="1966"/>
      <c r="X19" s="1966"/>
      <c r="Y19" s="1966"/>
      <c r="Z19" s="1966"/>
      <c r="AA19" s="1966"/>
      <c r="AB19" s="1966"/>
      <c r="AC19" s="1966"/>
      <c r="AD19" s="1966"/>
      <c r="AE19" s="1966"/>
      <c r="AF19" s="1966"/>
      <c r="AG19" s="1966"/>
      <c r="AH19" s="1966"/>
      <c r="AI19" s="2060"/>
      <c r="AJ19" s="1911"/>
      <c r="AK19" s="1861"/>
      <c r="AL19" s="1861"/>
      <c r="AM19" s="1862"/>
      <c r="AN19" s="469" t="str">
        <f>IF('Project Overview'!$AL$116="Yes","P","O")</f>
        <v>O</v>
      </c>
      <c r="AS19" s="454"/>
      <c r="AT19" s="454"/>
      <c r="AU19" s="454"/>
    </row>
    <row r="20" spans="1:51" s="4" customFormat="1" ht="97.5" hidden="1" customHeight="1">
      <c r="A20" s="578"/>
      <c r="E20" s="3786" t="s">
        <v>3785</v>
      </c>
      <c r="F20" s="1777"/>
      <c r="G20" s="1777"/>
      <c r="H20" s="1777"/>
      <c r="I20" s="1777"/>
      <c r="J20" s="1777"/>
      <c r="K20" s="1777"/>
      <c r="L20" s="1777"/>
      <c r="M20" s="1778"/>
      <c r="N20" s="3798" t="s">
        <v>3786</v>
      </c>
      <c r="O20" s="1966"/>
      <c r="P20" s="1966"/>
      <c r="Q20" s="1966"/>
      <c r="R20" s="1966"/>
      <c r="S20" s="1966"/>
      <c r="T20" s="1966"/>
      <c r="U20" s="1966"/>
      <c r="V20" s="1966"/>
      <c r="W20" s="1966"/>
      <c r="X20" s="1966"/>
      <c r="Y20" s="1966"/>
      <c r="Z20" s="1966"/>
      <c r="AA20" s="1966"/>
      <c r="AB20" s="1966"/>
      <c r="AC20" s="1966"/>
      <c r="AD20" s="1966"/>
      <c r="AE20" s="1966"/>
      <c r="AF20" s="1966"/>
      <c r="AG20" s="1966"/>
      <c r="AH20" s="1966"/>
      <c r="AI20" s="2060"/>
      <c r="AJ20" s="1911"/>
      <c r="AK20" s="1861"/>
      <c r="AL20" s="1861"/>
      <c r="AM20" s="1862"/>
      <c r="AN20" s="469" t="str">
        <f>IF('Project Overview'!$AL$131="Yes","P","O")</f>
        <v>O</v>
      </c>
    </row>
    <row r="21" spans="1:51" s="4" customFormat="1" ht="36" hidden="1" customHeight="1">
      <c r="A21" s="578"/>
      <c r="E21" s="3786" t="s">
        <v>3787</v>
      </c>
      <c r="F21" s="1777"/>
      <c r="G21" s="1777"/>
      <c r="H21" s="1777"/>
      <c r="I21" s="1777"/>
      <c r="J21" s="1777"/>
      <c r="K21" s="1777"/>
      <c r="L21" s="1777"/>
      <c r="M21" s="1778"/>
      <c r="N21" s="3798" t="s">
        <v>3788</v>
      </c>
      <c r="O21" s="1966"/>
      <c r="P21" s="1966"/>
      <c r="Q21" s="1966"/>
      <c r="R21" s="1966"/>
      <c r="S21" s="1966"/>
      <c r="T21" s="1966"/>
      <c r="U21" s="1966"/>
      <c r="V21" s="1966"/>
      <c r="W21" s="1966"/>
      <c r="X21" s="1966"/>
      <c r="Y21" s="1966"/>
      <c r="Z21" s="1966"/>
      <c r="AA21" s="1966"/>
      <c r="AB21" s="1966"/>
      <c r="AC21" s="1966"/>
      <c r="AD21" s="1966"/>
      <c r="AE21" s="1966"/>
      <c r="AF21" s="1966"/>
      <c r="AG21" s="1966"/>
      <c r="AH21" s="1966"/>
      <c r="AI21" s="2060"/>
      <c r="AJ21" s="1911"/>
      <c r="AK21" s="1861"/>
      <c r="AL21" s="1861"/>
      <c r="AM21" s="1862"/>
      <c r="AN21" s="469" t="str">
        <f>IF('Project Overview'!$AL$135="Yes","P","O")</f>
        <v>O</v>
      </c>
    </row>
    <row r="22" spans="1:51" s="4" customFormat="1" ht="67.5" hidden="1" customHeight="1">
      <c r="A22" s="578"/>
      <c r="E22" s="3786" t="s">
        <v>3789</v>
      </c>
      <c r="F22" s="1777"/>
      <c r="G22" s="1777"/>
      <c r="H22" s="1777"/>
      <c r="I22" s="1777"/>
      <c r="J22" s="1777"/>
      <c r="K22" s="1777"/>
      <c r="L22" s="1777"/>
      <c r="M22" s="1778"/>
      <c r="N22" s="3798" t="s">
        <v>3790</v>
      </c>
      <c r="O22" s="1966"/>
      <c r="P22" s="1966"/>
      <c r="Q22" s="1966"/>
      <c r="R22" s="1966"/>
      <c r="S22" s="1966"/>
      <c r="T22" s="1966"/>
      <c r="U22" s="1966"/>
      <c r="V22" s="1966"/>
      <c r="W22" s="1966"/>
      <c r="X22" s="1966"/>
      <c r="Y22" s="1966"/>
      <c r="Z22" s="1966"/>
      <c r="AA22" s="1966"/>
      <c r="AB22" s="1966"/>
      <c r="AC22" s="1966"/>
      <c r="AD22" s="1966"/>
      <c r="AE22" s="1966"/>
      <c r="AF22" s="1966"/>
      <c r="AG22" s="1966"/>
      <c r="AH22" s="1966"/>
      <c r="AI22" s="2060"/>
      <c r="AJ22" s="1911"/>
      <c r="AK22" s="1861"/>
      <c r="AL22" s="1861"/>
      <c r="AM22" s="1862"/>
      <c r="AN22" s="469" t="str">
        <f>IF('Project Overview'!$AL$146="Yes","P","O")</f>
        <v>O</v>
      </c>
      <c r="AO22" s="771"/>
    </row>
    <row r="23" spans="1:51" ht="54" hidden="1" customHeight="1">
      <c r="A23" s="826"/>
      <c r="B23" s="3794"/>
      <c r="C23" s="3797"/>
      <c r="D23" s="3797"/>
      <c r="E23" s="2991" t="s">
        <v>3791</v>
      </c>
      <c r="F23" s="1777"/>
      <c r="G23" s="1777"/>
      <c r="H23" s="1777"/>
      <c r="I23" s="1777"/>
      <c r="J23" s="1777"/>
      <c r="K23" s="1777"/>
      <c r="L23" s="1777"/>
      <c r="M23" s="1778"/>
      <c r="N23" s="3790" t="s">
        <v>3792</v>
      </c>
      <c r="O23" s="1966"/>
      <c r="P23" s="1966"/>
      <c r="Q23" s="1966"/>
      <c r="R23" s="1966"/>
      <c r="S23" s="1966"/>
      <c r="T23" s="1966"/>
      <c r="U23" s="1966"/>
      <c r="V23" s="1966"/>
      <c r="W23" s="1966"/>
      <c r="X23" s="1966"/>
      <c r="Y23" s="1966"/>
      <c r="Z23" s="1966"/>
      <c r="AA23" s="1966"/>
      <c r="AB23" s="1966"/>
      <c r="AC23" s="1966"/>
      <c r="AD23" s="1966"/>
      <c r="AE23" s="1966"/>
      <c r="AF23" s="1966"/>
      <c r="AG23" s="1966"/>
      <c r="AH23" s="1966"/>
      <c r="AI23" s="2060"/>
      <c r="AJ23" s="3835" t="s">
        <v>3772</v>
      </c>
      <c r="AK23" s="1861"/>
      <c r="AL23" s="1861"/>
      <c r="AM23" s="1862"/>
      <c r="AN23" s="457" t="s">
        <v>3773</v>
      </c>
      <c r="AO23" s="817"/>
    </row>
    <row r="24" spans="1:51" ht="55.5" customHeight="1">
      <c r="B24" s="3794"/>
      <c r="C24" s="3797"/>
      <c r="D24" s="3797"/>
      <c r="E24" s="3811" t="s">
        <v>3793</v>
      </c>
      <c r="F24" s="1966"/>
      <c r="G24" s="1966"/>
      <c r="H24" s="1966"/>
      <c r="I24" s="1966"/>
      <c r="J24" s="1966"/>
      <c r="K24" s="1966"/>
      <c r="L24" s="1966"/>
      <c r="M24" s="2060"/>
      <c r="N24" s="3808" t="s">
        <v>3794</v>
      </c>
      <c r="O24" s="3809"/>
      <c r="P24" s="3809"/>
      <c r="Q24" s="3809"/>
      <c r="R24" s="3809"/>
      <c r="S24" s="3809"/>
      <c r="T24" s="3809"/>
      <c r="U24" s="3809"/>
      <c r="V24" s="3809"/>
      <c r="W24" s="3809"/>
      <c r="X24" s="3809"/>
      <c r="Y24" s="3809"/>
      <c r="Z24" s="3809"/>
      <c r="AA24" s="3809"/>
      <c r="AB24" s="3809"/>
      <c r="AC24" s="3809"/>
      <c r="AD24" s="3809"/>
      <c r="AE24" s="3809"/>
      <c r="AF24" s="3809"/>
      <c r="AG24" s="2395" t="s">
        <v>3795</v>
      </c>
      <c r="AH24" s="2396"/>
      <c r="AI24" s="2397"/>
      <c r="AJ24" s="3515" t="str">
        <f>IF('Project Overview'!AL162="","",'Project Overview'!AL162)</f>
        <v/>
      </c>
      <c r="AK24" s="1777"/>
      <c r="AL24" s="1777"/>
      <c r="AM24" s="1778"/>
      <c r="AN24" s="469" t="str">
        <f>IF('Project Overview'!$AL$157="Yes","P","O")</f>
        <v>O</v>
      </c>
      <c r="AO24" s="14"/>
      <c r="AP24" s="14"/>
    </row>
    <row r="25" spans="1:51" s="4" customFormat="1" ht="18" hidden="1" customHeight="1">
      <c r="A25" s="578"/>
      <c r="E25" s="2140" t="s">
        <v>3796</v>
      </c>
      <c r="F25" s="1777"/>
      <c r="G25" s="1777"/>
      <c r="H25" s="1777"/>
      <c r="I25" s="1777"/>
      <c r="J25" s="1777"/>
      <c r="K25" s="1777"/>
      <c r="L25" s="1777"/>
      <c r="M25" s="1778"/>
      <c r="N25" s="3790"/>
      <c r="O25" s="1966"/>
      <c r="P25" s="1966"/>
      <c r="Q25" s="1966"/>
      <c r="R25" s="1966"/>
      <c r="S25" s="1966"/>
      <c r="T25" s="1966"/>
      <c r="U25" s="1966"/>
      <c r="V25" s="1966"/>
      <c r="W25" s="1966"/>
      <c r="X25" s="1966"/>
      <c r="Y25" s="1966"/>
      <c r="Z25" s="1966"/>
      <c r="AA25" s="1966"/>
      <c r="AB25" s="1966"/>
      <c r="AC25" s="1966"/>
      <c r="AD25" s="1966"/>
      <c r="AE25" s="1966"/>
      <c r="AF25" s="1966"/>
      <c r="AG25" s="1966"/>
      <c r="AH25" s="1966"/>
      <c r="AI25" s="2060"/>
      <c r="AJ25" s="3515" t="str">
        <f>IF('Project Overview'!AL204="", "",'Project Overview'!AL204)</f>
        <v/>
      </c>
      <c r="AK25" s="1777"/>
      <c r="AL25" s="1777"/>
      <c r="AM25" s="1778"/>
      <c r="AN25" s="469" t="str">
        <f>IF('Project Overview'!$AL$164="Yes","P","O")</f>
        <v>O</v>
      </c>
    </row>
    <row r="26" spans="1:51" ht="18" hidden="1" customHeight="1">
      <c r="B26" s="3794"/>
      <c r="C26" s="3797"/>
      <c r="D26" s="3797"/>
      <c r="E26" s="2140" t="s">
        <v>3797</v>
      </c>
      <c r="F26" s="1777"/>
      <c r="G26" s="1777"/>
      <c r="H26" s="1777"/>
      <c r="I26" s="1777"/>
      <c r="J26" s="1777"/>
      <c r="K26" s="1777"/>
      <c r="L26" s="1777"/>
      <c r="M26" s="1778"/>
      <c r="N26" s="3790" t="s">
        <v>3798</v>
      </c>
      <c r="O26" s="1966"/>
      <c r="P26" s="1966"/>
      <c r="Q26" s="1966"/>
      <c r="R26" s="1966"/>
      <c r="S26" s="1966"/>
      <c r="T26" s="1966"/>
      <c r="U26" s="1966"/>
      <c r="V26" s="1966"/>
      <c r="W26" s="1966"/>
      <c r="X26" s="1966"/>
      <c r="Y26" s="1966"/>
      <c r="Z26" s="1966"/>
      <c r="AA26" s="1966"/>
      <c r="AB26" s="1966"/>
      <c r="AC26" s="1966"/>
      <c r="AD26" s="1966"/>
      <c r="AE26" s="1966"/>
      <c r="AF26" s="1966"/>
      <c r="AG26" s="1966"/>
      <c r="AH26" s="1966"/>
      <c r="AI26" s="2060"/>
      <c r="AJ26" s="3515"/>
      <c r="AK26" s="1777"/>
      <c r="AL26" s="1777"/>
      <c r="AM26" s="1778"/>
      <c r="AN26" s="469" t="str">
        <f>IF('Project Overview'!$AL$183="Yes","P","O")</f>
        <v>O</v>
      </c>
    </row>
    <row r="27" spans="1:51" ht="18" hidden="1" customHeight="1">
      <c r="B27" s="3794"/>
      <c r="C27" s="3797"/>
      <c r="D27" s="3797"/>
      <c r="E27" s="2140" t="s">
        <v>3799</v>
      </c>
      <c r="F27" s="1777"/>
      <c r="G27" s="1777"/>
      <c r="H27" s="1777"/>
      <c r="I27" s="1777"/>
      <c r="J27" s="1777"/>
      <c r="K27" s="1777"/>
      <c r="L27" s="1777"/>
      <c r="M27" s="1778"/>
      <c r="N27" s="3798" t="s">
        <v>3800</v>
      </c>
      <c r="O27" s="1966"/>
      <c r="P27" s="1966"/>
      <c r="Q27" s="1966"/>
      <c r="R27" s="1966"/>
      <c r="S27" s="1966"/>
      <c r="T27" s="1966"/>
      <c r="U27" s="1966"/>
      <c r="V27" s="1966"/>
      <c r="W27" s="1966"/>
      <c r="X27" s="1966"/>
      <c r="Y27" s="1966"/>
      <c r="Z27" s="1966"/>
      <c r="AA27" s="1966"/>
      <c r="AB27" s="1966"/>
      <c r="AC27" s="1966"/>
      <c r="AD27" s="1966"/>
      <c r="AE27" s="1966"/>
      <c r="AF27" s="1966"/>
      <c r="AG27" s="1966"/>
      <c r="AH27" s="1966"/>
      <c r="AI27" s="2060"/>
      <c r="AJ27" s="3515"/>
      <c r="AK27" s="1777"/>
      <c r="AL27" s="1777"/>
      <c r="AM27" s="1778"/>
      <c r="AN27" s="469" t="str">
        <f>IF('Project Overview'!$AL$184="Yes","P","O")</f>
        <v>O</v>
      </c>
    </row>
    <row r="28" spans="1:51" ht="18" hidden="1" customHeight="1">
      <c r="B28" s="3807"/>
      <c r="C28" s="3797"/>
      <c r="D28" s="3797"/>
      <c r="E28" s="2140" t="s">
        <v>3801</v>
      </c>
      <c r="F28" s="1777"/>
      <c r="G28" s="1777"/>
      <c r="H28" s="1777"/>
      <c r="I28" s="1777"/>
      <c r="J28" s="1777"/>
      <c r="K28" s="1777"/>
      <c r="L28" s="1777"/>
      <c r="M28" s="1778"/>
      <c r="N28" s="3798" t="s">
        <v>3802</v>
      </c>
      <c r="O28" s="1966"/>
      <c r="P28" s="1966"/>
      <c r="Q28" s="1966"/>
      <c r="R28" s="1966"/>
      <c r="S28" s="1966"/>
      <c r="T28" s="1966"/>
      <c r="U28" s="1966"/>
      <c r="V28" s="1966"/>
      <c r="W28" s="1966"/>
      <c r="X28" s="1966"/>
      <c r="Y28" s="1966"/>
      <c r="Z28" s="1966"/>
      <c r="AA28" s="1966"/>
      <c r="AB28" s="1966"/>
      <c r="AC28" s="1966"/>
      <c r="AD28" s="1966"/>
      <c r="AE28" s="1966"/>
      <c r="AF28" s="1966"/>
      <c r="AG28" s="1966"/>
      <c r="AH28" s="1966"/>
      <c r="AI28" s="2060"/>
      <c r="AJ28" s="3515"/>
      <c r="AK28" s="1777"/>
      <c r="AL28" s="1777"/>
      <c r="AM28" s="1778"/>
      <c r="AN28" s="469" t="str">
        <f>IF('Project Overview'!$AL$185="Yes","P","O")</f>
        <v>O</v>
      </c>
    </row>
    <row r="29" spans="1:51" s="120" customFormat="1" ht="80.25" hidden="1" customHeight="1">
      <c r="A29" s="137"/>
      <c r="B29" s="3794"/>
      <c r="C29" s="1970"/>
      <c r="D29" s="1970"/>
      <c r="E29" s="3830" t="s">
        <v>3803</v>
      </c>
      <c r="F29" s="1777"/>
      <c r="G29" s="1777"/>
      <c r="H29" s="1777"/>
      <c r="I29" s="1777"/>
      <c r="J29" s="1777"/>
      <c r="K29" s="1777"/>
      <c r="L29" s="1777"/>
      <c r="M29" s="1778"/>
      <c r="N29" s="3831" t="s">
        <v>3804</v>
      </c>
      <c r="O29" s="1966"/>
      <c r="P29" s="1966"/>
      <c r="Q29" s="1966"/>
      <c r="R29" s="1966"/>
      <c r="S29" s="1966"/>
      <c r="T29" s="1966"/>
      <c r="U29" s="1966"/>
      <c r="V29" s="1966"/>
      <c r="W29" s="1966"/>
      <c r="X29" s="1966"/>
      <c r="Y29" s="1966"/>
      <c r="Z29" s="1966"/>
      <c r="AA29" s="1966"/>
      <c r="AB29" s="1966"/>
      <c r="AC29" s="1966"/>
      <c r="AD29" s="1966"/>
      <c r="AE29" s="1966"/>
      <c r="AF29" s="1966"/>
      <c r="AG29" s="1966"/>
      <c r="AH29" s="1966"/>
      <c r="AI29" s="2060"/>
      <c r="AJ29" s="3515"/>
      <c r="AK29" s="1777"/>
      <c r="AL29" s="1777"/>
      <c r="AM29" s="1778"/>
      <c r="AN29" s="469" t="str">
        <f>IF('Project Overview'!$AL$186="Yes","P","O")</f>
        <v>O</v>
      </c>
      <c r="AO29" s="55"/>
      <c r="AP29" s="55"/>
      <c r="AQ29" s="90"/>
      <c r="AR29" s="90"/>
      <c r="AS29" s="57"/>
      <c r="AT29" s="57"/>
      <c r="AU29" s="57"/>
      <c r="AV29" s="57"/>
      <c r="AW29" s="57"/>
      <c r="AX29" s="57"/>
      <c r="AY29" s="57"/>
    </row>
    <row r="30" spans="1:51" ht="18" hidden="1" customHeight="1">
      <c r="A30" s="826"/>
      <c r="B30" s="3794"/>
      <c r="C30" s="3797"/>
      <c r="D30" s="3797"/>
      <c r="E30" s="2991" t="s">
        <v>3805</v>
      </c>
      <c r="F30" s="1777"/>
      <c r="G30" s="1777"/>
      <c r="H30" s="1777"/>
      <c r="I30" s="1777"/>
      <c r="J30" s="1777"/>
      <c r="K30" s="1777"/>
      <c r="L30" s="1777"/>
      <c r="M30" s="1778"/>
      <c r="N30" s="3790" t="s">
        <v>3806</v>
      </c>
      <c r="O30" s="1966"/>
      <c r="P30" s="1966"/>
      <c r="Q30" s="1966"/>
      <c r="R30" s="1966"/>
      <c r="S30" s="1966"/>
      <c r="T30" s="1966"/>
      <c r="U30" s="1966"/>
      <c r="V30" s="1966"/>
      <c r="W30" s="1966"/>
      <c r="X30" s="1966"/>
      <c r="Y30" s="1966"/>
      <c r="Z30" s="1966"/>
      <c r="AA30" s="1966"/>
      <c r="AB30" s="1966"/>
      <c r="AC30" s="1966"/>
      <c r="AD30" s="1966"/>
      <c r="AE30" s="1966"/>
      <c r="AF30" s="1966"/>
      <c r="AG30" s="1966"/>
      <c r="AH30" s="1966"/>
      <c r="AI30" s="2060"/>
      <c r="AJ30" s="3515" t="str">
        <f>IF('Project Overview'!AL211="","",'Project Overview'!AL211)</f>
        <v/>
      </c>
      <c r="AK30" s="1777"/>
      <c r="AL30" s="1777"/>
      <c r="AM30" s="1778"/>
      <c r="AN30" s="469" t="str">
        <f>IF('Project Overview'!$AL$211="Yes","P","O")</f>
        <v>O</v>
      </c>
    </row>
    <row r="31" spans="1:51" ht="18" hidden="1" customHeight="1">
      <c r="B31" s="3794"/>
      <c r="C31" s="3797"/>
      <c r="D31" s="3797"/>
      <c r="E31" s="2140" t="s">
        <v>3807</v>
      </c>
      <c r="F31" s="1777"/>
      <c r="G31" s="1777"/>
      <c r="H31" s="1777"/>
      <c r="I31" s="1777"/>
      <c r="J31" s="1777"/>
      <c r="K31" s="1777"/>
      <c r="L31" s="1777"/>
      <c r="M31" s="1778"/>
      <c r="N31" s="2428"/>
      <c r="O31" s="2429"/>
      <c r="P31" s="2429"/>
      <c r="Q31" s="2429"/>
      <c r="R31" s="2429"/>
      <c r="S31" s="2429"/>
      <c r="T31" s="2429"/>
      <c r="U31" s="2429"/>
      <c r="V31" s="2429"/>
      <c r="W31" s="2429"/>
      <c r="X31" s="2429"/>
      <c r="Y31" s="2429"/>
      <c r="Z31" s="2429"/>
      <c r="AA31" s="2429"/>
      <c r="AB31" s="2429"/>
      <c r="AC31" s="2429"/>
      <c r="AD31" s="2429"/>
      <c r="AE31" s="2429"/>
      <c r="AF31" s="2429"/>
      <c r="AG31" s="2429"/>
      <c r="AH31" s="2429"/>
      <c r="AI31" s="3828"/>
      <c r="AJ31" s="3515" t="str">
        <f>IF('Project Overview'!AL212="","",'Project Overview'!AL212)</f>
        <v/>
      </c>
      <c r="AK31" s="1777"/>
      <c r="AL31" s="1777"/>
      <c r="AM31" s="1778"/>
      <c r="AN31" s="469" t="str">
        <f>IF('Project Overview'!$AL$227="Yes","P","O")</f>
        <v>O</v>
      </c>
    </row>
    <row r="32" spans="1:51" ht="54" hidden="1" customHeight="1">
      <c r="B32" s="3794"/>
      <c r="C32" s="3797"/>
      <c r="D32" s="3797"/>
      <c r="E32" s="2140" t="s">
        <v>3808</v>
      </c>
      <c r="F32" s="1777"/>
      <c r="G32" s="1777"/>
      <c r="H32" s="1777"/>
      <c r="I32" s="1777"/>
      <c r="J32" s="1777"/>
      <c r="K32" s="1777"/>
      <c r="L32" s="1777"/>
      <c r="M32" s="1778"/>
      <c r="N32" s="3798"/>
      <c r="O32" s="1966"/>
      <c r="P32" s="1966"/>
      <c r="Q32" s="1966"/>
      <c r="R32" s="1966"/>
      <c r="S32" s="1966"/>
      <c r="T32" s="1966"/>
      <c r="U32" s="1966"/>
      <c r="V32" s="1966"/>
      <c r="W32" s="1966"/>
      <c r="X32" s="1966"/>
      <c r="Y32" s="1966"/>
      <c r="Z32" s="1966"/>
      <c r="AA32" s="1966"/>
      <c r="AB32" s="1966"/>
      <c r="AC32" s="1966"/>
      <c r="AD32" s="1966"/>
      <c r="AE32" s="1966"/>
      <c r="AF32" s="1966"/>
      <c r="AG32" s="1966"/>
      <c r="AH32" s="1966"/>
      <c r="AI32" s="2060"/>
      <c r="AJ32" s="3515" t="str">
        <f>IF('Project Overview'!AL213="","",'Project Overview'!AL213)</f>
        <v/>
      </c>
      <c r="AK32" s="1777"/>
      <c r="AL32" s="1777"/>
      <c r="AM32" s="1778"/>
      <c r="AN32" s="469" t="str">
        <f>IF('Project Overview'!$AL$231="Yes","P","O")</f>
        <v>O</v>
      </c>
    </row>
    <row r="33" spans="1:48" s="4" customFormat="1" ht="77.25" customHeight="1">
      <c r="A33" s="578"/>
      <c r="E33" s="3811" t="s">
        <v>3809</v>
      </c>
      <c r="F33" s="1966"/>
      <c r="G33" s="1966"/>
      <c r="H33" s="1966"/>
      <c r="I33" s="1966"/>
      <c r="J33" s="1966"/>
      <c r="K33" s="1966"/>
      <c r="L33" s="1966"/>
      <c r="M33" s="2060"/>
      <c r="N33" s="3790" t="s">
        <v>3810</v>
      </c>
      <c r="O33" s="1966"/>
      <c r="P33" s="1966"/>
      <c r="Q33" s="1966"/>
      <c r="R33" s="1966"/>
      <c r="S33" s="1966"/>
      <c r="T33" s="1966"/>
      <c r="U33" s="1966"/>
      <c r="V33" s="1966"/>
      <c r="W33" s="1966"/>
      <c r="X33" s="2060"/>
      <c r="Y33" s="3827" t="s">
        <v>723</v>
      </c>
      <c r="Z33" s="3827"/>
      <c r="AA33" s="3827"/>
      <c r="AB33" s="3827"/>
      <c r="AC33" s="3827"/>
      <c r="AD33" s="3827"/>
      <c r="AE33" s="3827"/>
      <c r="AF33" s="3827"/>
      <c r="AG33" s="3827"/>
      <c r="AH33" s="3827"/>
      <c r="AI33" s="3827"/>
      <c r="AJ33" s="3515" t="str">
        <f>IF('Project Overview'!AL227="","",'Project Overview'!AL227)</f>
        <v/>
      </c>
      <c r="AK33" s="1777"/>
      <c r="AL33" s="1777"/>
      <c r="AM33" s="1778"/>
      <c r="AN33" s="469" t="str">
        <f>IF('Project Overview'!$AL$253="Yes","P","O")</f>
        <v>O</v>
      </c>
      <c r="AS33" s="454"/>
      <c r="AT33" s="454"/>
      <c r="AU33" s="454"/>
    </row>
    <row r="34" spans="1:48" ht="18" hidden="1" customHeight="1">
      <c r="B34" s="3799" t="s">
        <v>3811</v>
      </c>
      <c r="C34" s="3797"/>
      <c r="D34" s="3797"/>
      <c r="E34" s="2015"/>
      <c r="F34" s="2015"/>
      <c r="G34" s="2015"/>
      <c r="H34" s="2015"/>
      <c r="I34" s="2015"/>
      <c r="J34" s="2015"/>
      <c r="K34" s="2015"/>
      <c r="L34" s="2015"/>
      <c r="M34" s="2015"/>
      <c r="N34" s="1607"/>
      <c r="O34" s="1607"/>
      <c r="P34" s="1607"/>
      <c r="Q34" s="1607"/>
      <c r="R34" s="1607"/>
      <c r="S34" s="1607"/>
      <c r="T34" s="1607"/>
      <c r="U34" s="1607"/>
      <c r="V34" s="1607"/>
      <c r="W34" s="1607"/>
      <c r="X34" s="1607"/>
      <c r="Y34" s="1607"/>
      <c r="Z34" s="1607"/>
      <c r="AA34" s="1607"/>
      <c r="AB34" s="1607"/>
      <c r="AC34" s="1607"/>
      <c r="AD34" s="1607"/>
      <c r="AE34" s="1607"/>
      <c r="AF34" s="1607"/>
      <c r="AG34" s="1607"/>
      <c r="AH34" s="1607"/>
      <c r="AI34" s="1607"/>
      <c r="AJ34" s="1578"/>
      <c r="AK34" s="1578"/>
      <c r="AL34" s="1578"/>
      <c r="AM34" s="1578"/>
    </row>
    <row r="35" spans="1:48" s="4" customFormat="1" ht="18" hidden="1" customHeight="1">
      <c r="A35" s="578"/>
      <c r="E35" s="2140" t="s">
        <v>3812</v>
      </c>
      <c r="F35" s="1777"/>
      <c r="G35" s="1777"/>
      <c r="H35" s="1777"/>
      <c r="I35" s="1777"/>
      <c r="J35" s="1777"/>
      <c r="K35" s="1777"/>
      <c r="L35" s="1777"/>
      <c r="M35" s="1778"/>
      <c r="N35" s="3798" t="s">
        <v>3813</v>
      </c>
      <c r="O35" s="1966"/>
      <c r="P35" s="1966"/>
      <c r="Q35" s="1966"/>
      <c r="R35" s="1966"/>
      <c r="S35" s="1966"/>
      <c r="T35" s="1966"/>
      <c r="U35" s="1966"/>
      <c r="V35" s="1966"/>
      <c r="W35" s="1966"/>
      <c r="X35" s="1966"/>
      <c r="Y35" s="1966"/>
      <c r="Z35" s="1966"/>
      <c r="AA35" s="1966"/>
      <c r="AB35" s="1966"/>
      <c r="AC35" s="1966"/>
      <c r="AD35" s="1966"/>
      <c r="AE35" s="1966"/>
      <c r="AF35" s="1966"/>
      <c r="AG35" s="1966"/>
      <c r="AH35" s="1966"/>
      <c r="AI35" s="2060"/>
      <c r="AJ35" s="3515"/>
      <c r="AK35" s="1777"/>
      <c r="AL35" s="1777"/>
      <c r="AM35" s="1778"/>
      <c r="AN35" s="469" t="str">
        <f>IF('Project Overview'!$AL$263="Yes","P","O")</f>
        <v>O</v>
      </c>
      <c r="AO35" s="3805" t="s">
        <v>3814</v>
      </c>
      <c r="AP35" s="1953"/>
      <c r="AQ35" s="1953"/>
      <c r="AR35" s="1953"/>
      <c r="AS35" s="1770"/>
    </row>
    <row r="36" spans="1:48" s="4" customFormat="1" ht="18" hidden="1" customHeight="1">
      <c r="A36" s="578"/>
      <c r="E36" s="2140" t="s">
        <v>3815</v>
      </c>
      <c r="F36" s="1777"/>
      <c r="G36" s="1777"/>
      <c r="H36" s="1777"/>
      <c r="I36" s="1777"/>
      <c r="J36" s="1777"/>
      <c r="K36" s="1777"/>
      <c r="L36" s="1777"/>
      <c r="M36" s="1778"/>
      <c r="N36" s="3798" t="s">
        <v>3816</v>
      </c>
      <c r="O36" s="1966"/>
      <c r="P36" s="1966"/>
      <c r="Q36" s="1966"/>
      <c r="R36" s="1966"/>
      <c r="S36" s="1966"/>
      <c r="T36" s="1966"/>
      <c r="U36" s="1966"/>
      <c r="V36" s="1966"/>
      <c r="W36" s="1966"/>
      <c r="X36" s="1966"/>
      <c r="Y36" s="1966"/>
      <c r="Z36" s="1966"/>
      <c r="AA36" s="1966"/>
      <c r="AB36" s="1966"/>
      <c r="AC36" s="1966"/>
      <c r="AD36" s="1966"/>
      <c r="AE36" s="1966"/>
      <c r="AF36" s="1966"/>
      <c r="AG36" s="1966"/>
      <c r="AH36" s="1966"/>
      <c r="AI36" s="2060"/>
      <c r="AJ36" s="3515"/>
      <c r="AK36" s="1777"/>
      <c r="AL36" s="1777"/>
      <c r="AM36" s="1778"/>
      <c r="AN36" s="469" t="str">
        <f>IF('Project Overview'!$AL$264="Yes","P","O")</f>
        <v>O</v>
      </c>
      <c r="AO36" s="1920"/>
      <c r="AP36" s="3295"/>
      <c r="AQ36" s="3295"/>
      <c r="AR36" s="3295"/>
      <c r="AS36" s="1889"/>
    </row>
    <row r="37" spans="1:48" s="4" customFormat="1" ht="54" hidden="1" customHeight="1">
      <c r="A37" s="578"/>
      <c r="E37" s="2140" t="s">
        <v>3817</v>
      </c>
      <c r="F37" s="1777"/>
      <c r="G37" s="1777"/>
      <c r="H37" s="1777"/>
      <c r="I37" s="1777"/>
      <c r="J37" s="1777"/>
      <c r="K37" s="1777"/>
      <c r="L37" s="1777"/>
      <c r="M37" s="1778"/>
      <c r="N37" s="3798" t="s">
        <v>3818</v>
      </c>
      <c r="O37" s="1966"/>
      <c r="P37" s="1966"/>
      <c r="Q37" s="1966"/>
      <c r="R37" s="1966"/>
      <c r="S37" s="1966"/>
      <c r="T37" s="1966"/>
      <c r="U37" s="1966"/>
      <c r="V37" s="1966"/>
      <c r="W37" s="1966"/>
      <c r="X37" s="1966"/>
      <c r="Y37" s="1966"/>
      <c r="Z37" s="1966"/>
      <c r="AA37" s="1966"/>
      <c r="AB37" s="1966"/>
      <c r="AC37" s="1966"/>
      <c r="AD37" s="1966"/>
      <c r="AE37" s="1966"/>
      <c r="AF37" s="1966"/>
      <c r="AG37" s="1966"/>
      <c r="AH37" s="1966"/>
      <c r="AI37" s="2060"/>
      <c r="AJ37" s="3515"/>
      <c r="AK37" s="1777"/>
      <c r="AL37" s="1777"/>
      <c r="AM37" s="1778"/>
      <c r="AN37" s="469" t="str">
        <f>IF('Project Overview'!$AL$265="Yes","P","O")</f>
        <v>O</v>
      </c>
      <c r="AO37" s="2479"/>
      <c r="AP37" s="1877"/>
      <c r="AQ37" s="1877"/>
      <c r="AR37" s="1877"/>
      <c r="AS37" s="1772"/>
    </row>
    <row r="38" spans="1:48" ht="48" customHeight="1">
      <c r="B38" s="3794"/>
      <c r="C38" s="3797"/>
      <c r="D38" s="3797"/>
      <c r="E38" s="3816" t="s">
        <v>3819</v>
      </c>
      <c r="F38" s="1966"/>
      <c r="G38" s="1966"/>
      <c r="H38" s="1966"/>
      <c r="I38" s="1966"/>
      <c r="J38" s="1966"/>
      <c r="K38" s="1966"/>
      <c r="L38" s="1966"/>
      <c r="M38" s="2060"/>
      <c r="N38" s="3790" t="s">
        <v>3820</v>
      </c>
      <c r="O38" s="1966"/>
      <c r="P38" s="1966"/>
      <c r="Q38" s="1966"/>
      <c r="R38" s="1966"/>
      <c r="S38" s="1966"/>
      <c r="T38" s="1966"/>
      <c r="U38" s="1966"/>
      <c r="V38" s="1966"/>
      <c r="W38" s="1966"/>
      <c r="X38" s="2060"/>
      <c r="Y38" s="3787" t="s">
        <v>758</v>
      </c>
      <c r="Z38" s="3788"/>
      <c r="AA38" s="3788"/>
      <c r="AB38" s="3788"/>
      <c r="AC38" s="3788"/>
      <c r="AD38" s="3788"/>
      <c r="AE38" s="3788"/>
      <c r="AF38" s="3788"/>
      <c r="AG38" s="3788"/>
      <c r="AH38" s="3788"/>
      <c r="AI38" s="3789"/>
      <c r="AJ38" s="3515" t="str">
        <f>IF('Project Overview'!AL273="","",'Project Overview'!AL273)</f>
        <v/>
      </c>
      <c r="AK38" s="1777"/>
      <c r="AL38" s="1777"/>
      <c r="AM38" s="1778"/>
      <c r="AN38" s="469" t="str">
        <f>IF('Project Overview'!$AL$233="Yes","P","O")</f>
        <v>O</v>
      </c>
      <c r="AV38" s="14"/>
    </row>
    <row r="39" spans="1:48" ht="36" hidden="1" customHeight="1">
      <c r="B39" s="3794"/>
      <c r="C39" s="3797"/>
      <c r="D39" s="3797"/>
      <c r="E39" s="3786" t="s">
        <v>3821</v>
      </c>
      <c r="F39" s="1777"/>
      <c r="G39" s="1777"/>
      <c r="H39" s="1777"/>
      <c r="I39" s="1777"/>
      <c r="J39" s="1777"/>
      <c r="K39" s="1777"/>
      <c r="L39" s="1777"/>
      <c r="M39" s="1778"/>
      <c r="N39" s="3812" t="s">
        <v>3822</v>
      </c>
      <c r="O39" s="1777"/>
      <c r="P39" s="1777"/>
      <c r="Q39" s="1777"/>
      <c r="R39" s="1777"/>
      <c r="S39" s="1777"/>
      <c r="T39" s="1777"/>
      <c r="U39" s="1777"/>
      <c r="V39" s="1777"/>
      <c r="W39" s="1777"/>
      <c r="X39" s="1777"/>
      <c r="Y39" s="1777"/>
      <c r="Z39" s="1777"/>
      <c r="AA39" s="1777"/>
      <c r="AB39" s="1777"/>
      <c r="AC39" s="1777"/>
      <c r="AD39" s="1777"/>
      <c r="AE39" s="1777"/>
      <c r="AF39" s="1777"/>
      <c r="AG39" s="1777"/>
      <c r="AH39" s="1777"/>
      <c r="AI39" s="1778"/>
      <c r="AJ39" s="3515"/>
      <c r="AK39" s="1777"/>
      <c r="AL39" s="1777"/>
      <c r="AM39" s="1778"/>
      <c r="AN39" s="469" t="str">
        <f>IF('Project Overview'!$AL$274="Yes","P","O")</f>
        <v>O</v>
      </c>
    </row>
    <row r="40" spans="1:48" ht="18" hidden="1" customHeight="1">
      <c r="B40" s="3794"/>
      <c r="C40" s="3797"/>
      <c r="D40" s="3797"/>
      <c r="E40" s="3786" t="s">
        <v>3823</v>
      </c>
      <c r="F40" s="1777"/>
      <c r="G40" s="1777"/>
      <c r="H40" s="1777"/>
      <c r="I40" s="1777"/>
      <c r="J40" s="1777"/>
      <c r="K40" s="1777"/>
      <c r="L40" s="1777"/>
      <c r="M40" s="1778"/>
      <c r="N40" s="2136" t="s">
        <v>3824</v>
      </c>
      <c r="O40" s="1777"/>
      <c r="P40" s="1777"/>
      <c r="Q40" s="1777"/>
      <c r="R40" s="1777"/>
      <c r="S40" s="1777"/>
      <c r="T40" s="1777"/>
      <c r="U40" s="1777"/>
      <c r="V40" s="1777"/>
      <c r="W40" s="1777"/>
      <c r="X40" s="1777"/>
      <c r="Y40" s="1777"/>
      <c r="Z40" s="1777"/>
      <c r="AA40" s="1777"/>
      <c r="AB40" s="1777"/>
      <c r="AC40" s="1777"/>
      <c r="AD40" s="1777"/>
      <c r="AE40" s="1777"/>
      <c r="AF40" s="1777"/>
      <c r="AG40" s="1777"/>
      <c r="AH40" s="1777"/>
      <c r="AI40" s="1778"/>
      <c r="AJ40" s="3515"/>
      <c r="AK40" s="1777"/>
      <c r="AL40" s="1777"/>
      <c r="AM40" s="1778"/>
      <c r="AN40" s="469" t="str">
        <f>IF('Project Overview'!$AL$275="Yes","P","O")</f>
        <v>O</v>
      </c>
    </row>
    <row r="41" spans="1:48" ht="18" hidden="1" customHeight="1">
      <c r="B41" s="3794"/>
      <c r="C41" s="3797"/>
      <c r="D41" s="3797"/>
      <c r="E41" s="3786" t="s">
        <v>3825</v>
      </c>
      <c r="F41" s="1777"/>
      <c r="G41" s="1777"/>
      <c r="H41" s="1777"/>
      <c r="I41" s="1777"/>
      <c r="J41" s="1777"/>
      <c r="K41" s="1777"/>
      <c r="L41" s="1777"/>
      <c r="M41" s="1778"/>
      <c r="N41" s="2136" t="s">
        <v>3826</v>
      </c>
      <c r="O41" s="1777"/>
      <c r="P41" s="1777"/>
      <c r="Q41" s="1777"/>
      <c r="R41" s="1777"/>
      <c r="S41" s="1777"/>
      <c r="T41" s="1777"/>
      <c r="U41" s="1777"/>
      <c r="V41" s="1777"/>
      <c r="W41" s="1777"/>
      <c r="X41" s="1777"/>
      <c r="Y41" s="1777"/>
      <c r="Z41" s="1777"/>
      <c r="AA41" s="1777"/>
      <c r="AB41" s="1777"/>
      <c r="AC41" s="1777"/>
      <c r="AD41" s="1777"/>
      <c r="AE41" s="1777"/>
      <c r="AF41" s="1777"/>
      <c r="AG41" s="1777"/>
      <c r="AH41" s="1777"/>
      <c r="AI41" s="1778"/>
      <c r="AJ41" s="3515"/>
      <c r="AK41" s="1777"/>
      <c r="AL41" s="1777"/>
      <c r="AM41" s="1778"/>
      <c r="AN41" s="469" t="str">
        <f>IF('Project Overview'!$AL$276="Yes","P","O")</f>
        <v>O</v>
      </c>
    </row>
    <row r="42" spans="1:48" ht="18" hidden="1" customHeight="1">
      <c r="B42" s="3794"/>
      <c r="C42" s="3797"/>
      <c r="D42" s="3797"/>
      <c r="E42" s="3786" t="s">
        <v>3827</v>
      </c>
      <c r="F42" s="1777"/>
      <c r="G42" s="1777"/>
      <c r="H42" s="1777"/>
      <c r="I42" s="1777"/>
      <c r="J42" s="1777"/>
      <c r="K42" s="1777"/>
      <c r="L42" s="1777"/>
      <c r="M42" s="1778"/>
      <c r="N42" s="2136" t="s">
        <v>3828</v>
      </c>
      <c r="O42" s="1777"/>
      <c r="P42" s="1777"/>
      <c r="Q42" s="1777"/>
      <c r="R42" s="1777"/>
      <c r="S42" s="1777"/>
      <c r="T42" s="1777"/>
      <c r="U42" s="1777"/>
      <c r="V42" s="1777"/>
      <c r="W42" s="1777"/>
      <c r="X42" s="1777"/>
      <c r="Y42" s="1777"/>
      <c r="Z42" s="1777"/>
      <c r="AA42" s="1777"/>
      <c r="AB42" s="1777"/>
      <c r="AC42" s="1777"/>
      <c r="AD42" s="1777"/>
      <c r="AE42" s="1777"/>
      <c r="AF42" s="1777"/>
      <c r="AG42" s="1777"/>
      <c r="AH42" s="1777"/>
      <c r="AI42" s="1778"/>
      <c r="AJ42" s="3515"/>
      <c r="AK42" s="1777"/>
      <c r="AL42" s="1777"/>
      <c r="AM42" s="1778"/>
      <c r="AN42" s="469" t="str">
        <f>IF('Project Overview'!$AL$277="Yes","P","O")</f>
        <v>O</v>
      </c>
    </row>
    <row r="43" spans="1:48" ht="18" hidden="1" customHeight="1">
      <c r="B43" s="3794"/>
      <c r="C43" s="3797"/>
      <c r="D43" s="3797"/>
      <c r="E43" s="3786" t="s">
        <v>3829</v>
      </c>
      <c r="F43" s="1777"/>
      <c r="G43" s="1777"/>
      <c r="H43" s="1777"/>
      <c r="I43" s="1777"/>
      <c r="J43" s="1777"/>
      <c r="K43" s="1777"/>
      <c r="L43" s="1777"/>
      <c r="M43" s="1778"/>
      <c r="N43" s="2136" t="s">
        <v>3830</v>
      </c>
      <c r="O43" s="1777"/>
      <c r="P43" s="1777"/>
      <c r="Q43" s="1777"/>
      <c r="R43" s="1777"/>
      <c r="S43" s="1777"/>
      <c r="T43" s="1777"/>
      <c r="U43" s="1777"/>
      <c r="V43" s="1777"/>
      <c r="W43" s="1777"/>
      <c r="X43" s="1777"/>
      <c r="Y43" s="1777"/>
      <c r="Z43" s="1777"/>
      <c r="AA43" s="1777"/>
      <c r="AB43" s="1777"/>
      <c r="AC43" s="1777"/>
      <c r="AD43" s="1777"/>
      <c r="AE43" s="1777"/>
      <c r="AF43" s="1777"/>
      <c r="AG43" s="1777"/>
      <c r="AH43" s="1777"/>
      <c r="AI43" s="1778"/>
      <c r="AJ43" s="3515"/>
      <c r="AK43" s="1777"/>
      <c r="AL43" s="1777"/>
      <c r="AM43" s="1778"/>
      <c r="AN43" s="469" t="str">
        <f>IF('Project Overview'!$AL$278="Yes","P","O")</f>
        <v>O</v>
      </c>
      <c r="AO43" s="14"/>
    </row>
    <row r="44" spans="1:48" ht="18" hidden="1" customHeight="1">
      <c r="B44" s="3799" t="s">
        <v>3831</v>
      </c>
      <c r="C44" s="3797"/>
      <c r="D44" s="3797"/>
      <c r="E44" s="2015"/>
      <c r="F44" s="2015"/>
      <c r="G44" s="2015"/>
      <c r="H44" s="2015"/>
      <c r="I44" s="2015"/>
      <c r="J44" s="2015"/>
      <c r="K44" s="2015"/>
      <c r="L44" s="2015"/>
      <c r="M44" s="2015"/>
      <c r="N44" s="1453"/>
      <c r="O44" s="1453"/>
      <c r="P44" s="1453"/>
      <c r="Q44" s="1453"/>
      <c r="R44" s="1453"/>
      <c r="S44" s="1453"/>
      <c r="T44" s="1453"/>
      <c r="U44" s="1453"/>
      <c r="V44" s="1453"/>
      <c r="W44" s="1453"/>
      <c r="X44" s="1453"/>
      <c r="Y44" s="1453"/>
      <c r="Z44" s="1453"/>
      <c r="AA44" s="1453"/>
      <c r="AB44" s="1453"/>
      <c r="AC44" s="1453"/>
      <c r="AD44" s="1453"/>
      <c r="AE44" s="1453"/>
      <c r="AF44" s="1453"/>
      <c r="AG44" s="1453"/>
      <c r="AH44" s="1453"/>
      <c r="AI44" s="1453"/>
      <c r="AJ44" s="1579"/>
      <c r="AK44" s="1579"/>
      <c r="AL44" s="1579"/>
      <c r="AM44" s="1579"/>
      <c r="AN44" s="469"/>
    </row>
    <row r="45" spans="1:48" ht="48" hidden="1" customHeight="1">
      <c r="B45" s="3794"/>
      <c r="C45" s="3797"/>
      <c r="D45" s="3797"/>
      <c r="E45" s="3816" t="s">
        <v>3832</v>
      </c>
      <c r="F45" s="1966"/>
      <c r="G45" s="1966"/>
      <c r="H45" s="1966"/>
      <c r="I45" s="1966"/>
      <c r="J45" s="1966"/>
      <c r="K45" s="1966"/>
      <c r="L45" s="1966"/>
      <c r="M45" s="2060"/>
      <c r="N45" s="3790" t="s">
        <v>3820</v>
      </c>
      <c r="O45" s="1966"/>
      <c r="P45" s="1966"/>
      <c r="Q45" s="1966"/>
      <c r="R45" s="1966"/>
      <c r="S45" s="1966"/>
      <c r="T45" s="1966"/>
      <c r="U45" s="1966"/>
      <c r="V45" s="1966"/>
      <c r="W45" s="1966"/>
      <c r="X45" s="2060"/>
      <c r="Y45" s="3787" t="s">
        <v>758</v>
      </c>
      <c r="Z45" s="3788"/>
      <c r="AA45" s="3788"/>
      <c r="AB45" s="3788"/>
      <c r="AC45" s="3788"/>
      <c r="AD45" s="3788"/>
      <c r="AE45" s="3788"/>
      <c r="AF45" s="3788"/>
      <c r="AG45" s="3788"/>
      <c r="AH45" s="3788"/>
      <c r="AI45" s="3789"/>
      <c r="AJ45" s="3515" t="str">
        <f>IF('Project Overview'!AL282="","",'Project Overview'!AL282)</f>
        <v/>
      </c>
      <c r="AK45" s="1777"/>
      <c r="AL45" s="1777"/>
      <c r="AM45" s="1778"/>
      <c r="AN45" s="469" t="str">
        <f>IF('Project Overview'!$AL$282="Yes","P","O")</f>
        <v>O</v>
      </c>
    </row>
    <row r="46" spans="1:48" ht="36" hidden="1" customHeight="1">
      <c r="B46" s="3794"/>
      <c r="C46" s="3797"/>
      <c r="D46" s="3797"/>
      <c r="E46" s="3786" t="s">
        <v>3833</v>
      </c>
      <c r="F46" s="1777"/>
      <c r="G46" s="1777"/>
      <c r="H46" s="1777"/>
      <c r="I46" s="1777"/>
      <c r="J46" s="1777"/>
      <c r="K46" s="1777"/>
      <c r="L46" s="1777"/>
      <c r="M46" s="1778"/>
      <c r="N46" s="3839" t="s">
        <v>3822</v>
      </c>
      <c r="O46" s="1966"/>
      <c r="P46" s="1966"/>
      <c r="Q46" s="1966"/>
      <c r="R46" s="1966"/>
      <c r="S46" s="1966"/>
      <c r="T46" s="1966"/>
      <c r="U46" s="1966"/>
      <c r="V46" s="1966"/>
      <c r="W46" s="1966"/>
      <c r="X46" s="1966"/>
      <c r="Y46" s="1966"/>
      <c r="Z46" s="1966"/>
      <c r="AA46" s="1966"/>
      <c r="AB46" s="1966"/>
      <c r="AC46" s="1966"/>
      <c r="AD46" s="1966"/>
      <c r="AE46" s="1966"/>
      <c r="AF46" s="1966"/>
      <c r="AG46" s="1966"/>
      <c r="AH46" s="1966"/>
      <c r="AI46" s="2060"/>
      <c r="AJ46" s="3515"/>
      <c r="AK46" s="1777"/>
      <c r="AL46" s="1777"/>
      <c r="AM46" s="1778"/>
      <c r="AN46" s="469" t="str">
        <f>IF('Project Overview'!$AL$283="Yes","P","O")</f>
        <v>O</v>
      </c>
    </row>
    <row r="47" spans="1:48" ht="18" hidden="1" customHeight="1">
      <c r="B47" s="3794"/>
      <c r="C47" s="3797"/>
      <c r="D47" s="3797"/>
      <c r="E47" s="3786" t="s">
        <v>3834</v>
      </c>
      <c r="F47" s="1777"/>
      <c r="G47" s="1777"/>
      <c r="H47" s="1777"/>
      <c r="I47" s="1777"/>
      <c r="J47" s="1777"/>
      <c r="K47" s="1777"/>
      <c r="L47" s="1777"/>
      <c r="M47" s="1778"/>
      <c r="N47" s="3798" t="s">
        <v>3824</v>
      </c>
      <c r="O47" s="1966"/>
      <c r="P47" s="1966"/>
      <c r="Q47" s="1966"/>
      <c r="R47" s="1966"/>
      <c r="S47" s="1966"/>
      <c r="T47" s="1966"/>
      <c r="U47" s="1966"/>
      <c r="V47" s="1966"/>
      <c r="W47" s="1966"/>
      <c r="X47" s="1966"/>
      <c r="Y47" s="1966"/>
      <c r="Z47" s="1966"/>
      <c r="AA47" s="1966"/>
      <c r="AB47" s="1966"/>
      <c r="AC47" s="1966"/>
      <c r="AD47" s="1966"/>
      <c r="AE47" s="1966"/>
      <c r="AF47" s="1966"/>
      <c r="AG47" s="1966"/>
      <c r="AH47" s="1966"/>
      <c r="AI47" s="2060"/>
      <c r="AJ47" s="3515"/>
      <c r="AK47" s="1777"/>
      <c r="AL47" s="1777"/>
      <c r="AM47" s="1778"/>
      <c r="AN47" s="469" t="str">
        <f>IF('Project Overview'!$AL$284="Yes","P","O")</f>
        <v>O</v>
      </c>
    </row>
    <row r="48" spans="1:48" ht="18" hidden="1" customHeight="1">
      <c r="B48" s="3794"/>
      <c r="C48" s="3797"/>
      <c r="D48" s="3797"/>
      <c r="E48" s="3786" t="s">
        <v>3835</v>
      </c>
      <c r="F48" s="1777"/>
      <c r="G48" s="1777"/>
      <c r="H48" s="1777"/>
      <c r="I48" s="1777"/>
      <c r="J48" s="1777"/>
      <c r="K48" s="1777"/>
      <c r="L48" s="1777"/>
      <c r="M48" s="1778"/>
      <c r="N48" s="3798" t="s">
        <v>3826</v>
      </c>
      <c r="O48" s="1966"/>
      <c r="P48" s="1966"/>
      <c r="Q48" s="1966"/>
      <c r="R48" s="1966"/>
      <c r="S48" s="1966"/>
      <c r="T48" s="1966"/>
      <c r="U48" s="1966"/>
      <c r="V48" s="1966"/>
      <c r="W48" s="1966"/>
      <c r="X48" s="1966"/>
      <c r="Y48" s="1966"/>
      <c r="Z48" s="1966"/>
      <c r="AA48" s="1966"/>
      <c r="AB48" s="1966"/>
      <c r="AC48" s="1966"/>
      <c r="AD48" s="1966"/>
      <c r="AE48" s="1966"/>
      <c r="AF48" s="1966"/>
      <c r="AG48" s="1966"/>
      <c r="AH48" s="1966"/>
      <c r="AI48" s="2060"/>
      <c r="AJ48" s="3515"/>
      <c r="AK48" s="1777"/>
      <c r="AL48" s="1777"/>
      <c r="AM48" s="1778"/>
      <c r="AN48" s="469" t="str">
        <f>IF('Project Overview'!$AL$285="Yes","P","O")</f>
        <v>O</v>
      </c>
    </row>
    <row r="49" spans="1:47" ht="18" hidden="1" customHeight="1">
      <c r="B49" s="3794"/>
      <c r="C49" s="3797"/>
      <c r="D49" s="3797"/>
      <c r="E49" s="3786" t="s">
        <v>3836</v>
      </c>
      <c r="F49" s="1777"/>
      <c r="G49" s="1777"/>
      <c r="H49" s="1777"/>
      <c r="I49" s="1777"/>
      <c r="J49" s="1777"/>
      <c r="K49" s="1777"/>
      <c r="L49" s="1777"/>
      <c r="M49" s="1778"/>
      <c r="N49" s="3798" t="s">
        <v>3837</v>
      </c>
      <c r="O49" s="1966"/>
      <c r="P49" s="1966"/>
      <c r="Q49" s="1966"/>
      <c r="R49" s="1966"/>
      <c r="S49" s="1966"/>
      <c r="T49" s="1966"/>
      <c r="U49" s="1966"/>
      <c r="V49" s="1966"/>
      <c r="W49" s="1966"/>
      <c r="X49" s="1966"/>
      <c r="Y49" s="1966"/>
      <c r="Z49" s="1966"/>
      <c r="AA49" s="1966"/>
      <c r="AB49" s="1966"/>
      <c r="AC49" s="1966"/>
      <c r="AD49" s="1966"/>
      <c r="AE49" s="1966"/>
      <c r="AF49" s="1966"/>
      <c r="AG49" s="1966"/>
      <c r="AH49" s="1966"/>
      <c r="AI49" s="2060"/>
      <c r="AJ49" s="3515"/>
      <c r="AK49" s="1777"/>
      <c r="AL49" s="1777"/>
      <c r="AM49" s="1778"/>
      <c r="AN49" s="469" t="str">
        <f>IF('Project Overview'!$AL$286="Yes","P","O")</f>
        <v>O</v>
      </c>
    </row>
    <row r="50" spans="1:47" ht="18" hidden="1" customHeight="1">
      <c r="B50" s="3794"/>
      <c r="C50" s="3797"/>
      <c r="D50" s="3797"/>
      <c r="E50" s="3786" t="s">
        <v>3838</v>
      </c>
      <c r="F50" s="1777"/>
      <c r="G50" s="1777"/>
      <c r="H50" s="1777"/>
      <c r="I50" s="1777"/>
      <c r="J50" s="1777"/>
      <c r="K50" s="1777"/>
      <c r="L50" s="1777"/>
      <c r="M50" s="1778"/>
      <c r="N50" s="3798" t="s">
        <v>3830</v>
      </c>
      <c r="O50" s="1966"/>
      <c r="P50" s="1966"/>
      <c r="Q50" s="1966"/>
      <c r="R50" s="1966"/>
      <c r="S50" s="1966"/>
      <c r="T50" s="1966"/>
      <c r="U50" s="1966"/>
      <c r="V50" s="1966"/>
      <c r="W50" s="1966"/>
      <c r="X50" s="1966"/>
      <c r="Y50" s="1966"/>
      <c r="Z50" s="1966"/>
      <c r="AA50" s="1966"/>
      <c r="AB50" s="1966"/>
      <c r="AC50" s="1966"/>
      <c r="AD50" s="1966"/>
      <c r="AE50" s="1966"/>
      <c r="AF50" s="1966"/>
      <c r="AG50" s="1966"/>
      <c r="AH50" s="1966"/>
      <c r="AI50" s="2060"/>
      <c r="AJ50" s="3515"/>
      <c r="AK50" s="1777"/>
      <c r="AL50" s="1777"/>
      <c r="AM50" s="1778"/>
      <c r="AN50" s="469" t="str">
        <f>IF('Project Overview'!$AL$287="Yes","P","O")</f>
        <v>O</v>
      </c>
    </row>
    <row r="51" spans="1:47" s="4" customFormat="1" ht="18" hidden="1" customHeight="1">
      <c r="A51" s="578"/>
      <c r="B51" s="3799" t="s">
        <v>3839</v>
      </c>
      <c r="C51" s="3295"/>
      <c r="D51" s="3295"/>
      <c r="E51" s="3295"/>
      <c r="F51" s="3295"/>
      <c r="G51" s="3295"/>
      <c r="H51" s="3295"/>
      <c r="I51" s="3295"/>
      <c r="J51" s="3295"/>
      <c r="K51" s="3295"/>
      <c r="L51" s="3295"/>
      <c r="M51" s="3295"/>
      <c r="N51" s="1611"/>
      <c r="O51" s="1611"/>
      <c r="P51" s="1611"/>
      <c r="Q51" s="1611"/>
      <c r="R51" s="1611"/>
      <c r="S51" s="1611"/>
      <c r="T51" s="1611"/>
      <c r="U51" s="1611"/>
      <c r="V51" s="1611"/>
      <c r="W51" s="1611"/>
      <c r="X51" s="1611"/>
      <c r="Y51" s="1611"/>
      <c r="Z51" s="1611"/>
      <c r="AA51" s="1611"/>
      <c r="AB51" s="1611"/>
      <c r="AC51" s="1611"/>
      <c r="AD51" s="1611"/>
      <c r="AE51" s="1611"/>
      <c r="AF51" s="1611"/>
      <c r="AG51" s="1611"/>
      <c r="AH51" s="1611"/>
      <c r="AI51" s="1611"/>
      <c r="AJ51" s="1579"/>
      <c r="AK51" s="1579"/>
      <c r="AL51" s="1579"/>
      <c r="AM51" s="1579"/>
      <c r="AS51" s="454"/>
      <c r="AT51" s="454"/>
      <c r="AU51" s="454"/>
    </row>
    <row r="52" spans="1:47" s="4" customFormat="1" ht="48" hidden="1" customHeight="1">
      <c r="A52" s="578"/>
      <c r="B52" s="3794"/>
      <c r="C52" s="3295"/>
      <c r="D52" s="3295"/>
      <c r="E52" s="3816" t="s">
        <v>3840</v>
      </c>
      <c r="F52" s="1966"/>
      <c r="G52" s="1966"/>
      <c r="H52" s="1966"/>
      <c r="I52" s="1966"/>
      <c r="J52" s="1966"/>
      <c r="K52" s="1966"/>
      <c r="L52" s="1966"/>
      <c r="M52" s="2060"/>
      <c r="N52" s="3790" t="s">
        <v>3820</v>
      </c>
      <c r="O52" s="1966"/>
      <c r="P52" s="1966"/>
      <c r="Q52" s="1966"/>
      <c r="R52" s="1966"/>
      <c r="S52" s="1966"/>
      <c r="T52" s="1966"/>
      <c r="U52" s="1966"/>
      <c r="V52" s="1966"/>
      <c r="W52" s="1966"/>
      <c r="X52" s="2060"/>
      <c r="Y52" s="3787" t="s">
        <v>758</v>
      </c>
      <c r="Z52" s="3788"/>
      <c r="AA52" s="3788"/>
      <c r="AB52" s="3788"/>
      <c r="AC52" s="3788"/>
      <c r="AD52" s="3788"/>
      <c r="AE52" s="3788"/>
      <c r="AF52" s="3788"/>
      <c r="AG52" s="3788"/>
      <c r="AH52" s="3788"/>
      <c r="AI52" s="3789"/>
      <c r="AJ52" s="3515" t="str">
        <f>IF('Project Overview'!AL291="","",'Project Overview'!AL291)</f>
        <v/>
      </c>
      <c r="AK52" s="1777"/>
      <c r="AL52" s="1777"/>
      <c r="AM52" s="1778"/>
      <c r="AN52" s="469" t="str">
        <f>IF('Project Overview'!$AL$291="Yes","P","O")</f>
        <v>O</v>
      </c>
      <c r="AS52" s="454"/>
      <c r="AT52" s="454"/>
      <c r="AU52" s="454"/>
    </row>
    <row r="53" spans="1:47" s="4" customFormat="1" ht="5.25" hidden="1" customHeight="1">
      <c r="A53" s="578"/>
      <c r="B53" s="3794"/>
      <c r="C53" s="3295"/>
      <c r="D53" s="3295"/>
      <c r="E53" s="3786" t="s">
        <v>3841</v>
      </c>
      <c r="F53" s="1777"/>
      <c r="G53" s="1777"/>
      <c r="H53" s="1777"/>
      <c r="I53" s="1777"/>
      <c r="J53" s="1777"/>
      <c r="K53" s="1777"/>
      <c r="L53" s="1777"/>
      <c r="M53" s="1778"/>
      <c r="N53" s="3812" t="s">
        <v>3822</v>
      </c>
      <c r="O53" s="1777"/>
      <c r="P53" s="1777"/>
      <c r="Q53" s="1777"/>
      <c r="R53" s="1777"/>
      <c r="S53" s="1777"/>
      <c r="T53" s="1777"/>
      <c r="U53" s="1777"/>
      <c r="V53" s="1777"/>
      <c r="W53" s="1777"/>
      <c r="X53" s="1777"/>
      <c r="Y53" s="1777"/>
      <c r="Z53" s="1777"/>
      <c r="AA53" s="1777"/>
      <c r="AB53" s="1777"/>
      <c r="AC53" s="1777"/>
      <c r="AD53" s="1777"/>
      <c r="AE53" s="1777"/>
      <c r="AF53" s="1777"/>
      <c r="AG53" s="1777"/>
      <c r="AH53" s="1777"/>
      <c r="AI53" s="1778"/>
      <c r="AJ53" s="3515"/>
      <c r="AK53" s="1777"/>
      <c r="AL53" s="1777"/>
      <c r="AM53" s="1778"/>
      <c r="AN53" s="469" t="str">
        <f>IF('Project Overview'!$AL$292="Yes","P","O")</f>
        <v>O</v>
      </c>
      <c r="AS53" s="454"/>
      <c r="AT53" s="454"/>
      <c r="AU53" s="454"/>
    </row>
    <row r="54" spans="1:47" s="4" customFormat="1" ht="5.25" hidden="1" customHeight="1">
      <c r="A54" s="578"/>
      <c r="B54" s="3794"/>
      <c r="C54" s="3295"/>
      <c r="D54" s="3295"/>
      <c r="E54" s="3786" t="s">
        <v>3842</v>
      </c>
      <c r="F54" s="1777"/>
      <c r="G54" s="1777"/>
      <c r="H54" s="1777"/>
      <c r="I54" s="1777"/>
      <c r="J54" s="1777"/>
      <c r="K54" s="1777"/>
      <c r="L54" s="1777"/>
      <c r="M54" s="1778"/>
      <c r="N54" s="2136" t="s">
        <v>3824</v>
      </c>
      <c r="O54" s="1777"/>
      <c r="P54" s="1777"/>
      <c r="Q54" s="1777"/>
      <c r="R54" s="1777"/>
      <c r="S54" s="1777"/>
      <c r="T54" s="1777"/>
      <c r="U54" s="1777"/>
      <c r="V54" s="1777"/>
      <c r="W54" s="1777"/>
      <c r="X54" s="1777"/>
      <c r="Y54" s="1777"/>
      <c r="Z54" s="1777"/>
      <c r="AA54" s="1777"/>
      <c r="AB54" s="1777"/>
      <c r="AC54" s="1777"/>
      <c r="AD54" s="1777"/>
      <c r="AE54" s="1777"/>
      <c r="AF54" s="1777"/>
      <c r="AG54" s="1777"/>
      <c r="AH54" s="1777"/>
      <c r="AI54" s="1778"/>
      <c r="AJ54" s="3515"/>
      <c r="AK54" s="1777"/>
      <c r="AL54" s="1777"/>
      <c r="AM54" s="1778"/>
      <c r="AN54" s="469" t="str">
        <f>IF('Project Overview'!$AL$293="Yes","P","O")</f>
        <v>O</v>
      </c>
      <c r="AS54" s="454"/>
      <c r="AT54" s="454"/>
      <c r="AU54" s="454"/>
    </row>
    <row r="55" spans="1:47" s="4" customFormat="1" ht="5.25" hidden="1" customHeight="1">
      <c r="A55" s="578"/>
      <c r="B55" s="3794"/>
      <c r="C55" s="3295"/>
      <c r="D55" s="3295"/>
      <c r="E55" s="3786" t="s">
        <v>3843</v>
      </c>
      <c r="F55" s="1777"/>
      <c r="G55" s="1777"/>
      <c r="H55" s="1777"/>
      <c r="I55" s="1777"/>
      <c r="J55" s="1777"/>
      <c r="K55" s="1777"/>
      <c r="L55" s="1777"/>
      <c r="M55" s="1778"/>
      <c r="N55" s="2136" t="s">
        <v>3826</v>
      </c>
      <c r="O55" s="1777"/>
      <c r="P55" s="1777"/>
      <c r="Q55" s="1777"/>
      <c r="R55" s="1777"/>
      <c r="S55" s="1777"/>
      <c r="T55" s="1777"/>
      <c r="U55" s="1777"/>
      <c r="V55" s="1777"/>
      <c r="W55" s="1777"/>
      <c r="X55" s="1777"/>
      <c r="Y55" s="1777"/>
      <c r="Z55" s="1777"/>
      <c r="AA55" s="1777"/>
      <c r="AB55" s="1777"/>
      <c r="AC55" s="1777"/>
      <c r="AD55" s="1777"/>
      <c r="AE55" s="1777"/>
      <c r="AF55" s="1777"/>
      <c r="AG55" s="1777"/>
      <c r="AH55" s="1777"/>
      <c r="AI55" s="1778"/>
      <c r="AJ55" s="3515"/>
      <c r="AK55" s="1777"/>
      <c r="AL55" s="1777"/>
      <c r="AM55" s="1778"/>
      <c r="AN55" s="469" t="str">
        <f>IF('Project Overview'!$AL$294="Yes","P","O")</f>
        <v>O</v>
      </c>
      <c r="AS55" s="454"/>
      <c r="AT55" s="454"/>
      <c r="AU55" s="454"/>
    </row>
    <row r="56" spans="1:47" s="4" customFormat="1" ht="5.25" hidden="1" customHeight="1">
      <c r="A56" s="578"/>
      <c r="B56" s="3794"/>
      <c r="C56" s="3295"/>
      <c r="D56" s="3295"/>
      <c r="E56" s="3786" t="s">
        <v>3844</v>
      </c>
      <c r="F56" s="1777"/>
      <c r="G56" s="1777"/>
      <c r="H56" s="1777"/>
      <c r="I56" s="1777"/>
      <c r="J56" s="1777"/>
      <c r="K56" s="1777"/>
      <c r="L56" s="1777"/>
      <c r="M56" s="1778"/>
      <c r="N56" s="2136" t="s">
        <v>3837</v>
      </c>
      <c r="O56" s="1777"/>
      <c r="P56" s="1777"/>
      <c r="Q56" s="1777"/>
      <c r="R56" s="1777"/>
      <c r="S56" s="1777"/>
      <c r="T56" s="1777"/>
      <c r="U56" s="1777"/>
      <c r="V56" s="1777"/>
      <c r="W56" s="1777"/>
      <c r="X56" s="1777"/>
      <c r="Y56" s="1777"/>
      <c r="Z56" s="1777"/>
      <c r="AA56" s="1777"/>
      <c r="AB56" s="1777"/>
      <c r="AC56" s="1777"/>
      <c r="AD56" s="1777"/>
      <c r="AE56" s="1777"/>
      <c r="AF56" s="1777"/>
      <c r="AG56" s="1777"/>
      <c r="AH56" s="1777"/>
      <c r="AI56" s="1778"/>
      <c r="AJ56" s="3515"/>
      <c r="AK56" s="1777"/>
      <c r="AL56" s="1777"/>
      <c r="AM56" s="1778"/>
      <c r="AN56" s="469" t="str">
        <f>IF('Project Overview'!$AL$295="Yes","P","O")</f>
        <v>O</v>
      </c>
      <c r="AS56" s="454"/>
      <c r="AT56" s="454"/>
      <c r="AU56" s="454"/>
    </row>
    <row r="57" spans="1:47" s="4" customFormat="1" ht="5.25" hidden="1" customHeight="1">
      <c r="A57" s="578"/>
      <c r="B57" s="3794"/>
      <c r="C57" s="3295"/>
      <c r="D57" s="3295"/>
      <c r="E57" s="3786" t="s">
        <v>3845</v>
      </c>
      <c r="F57" s="1777"/>
      <c r="G57" s="1777"/>
      <c r="H57" s="1777"/>
      <c r="I57" s="1777"/>
      <c r="J57" s="1777"/>
      <c r="K57" s="1777"/>
      <c r="L57" s="1777"/>
      <c r="M57" s="1778"/>
      <c r="N57" s="2136" t="s">
        <v>3830</v>
      </c>
      <c r="O57" s="1777"/>
      <c r="P57" s="1777"/>
      <c r="Q57" s="1777"/>
      <c r="R57" s="1777"/>
      <c r="S57" s="1777"/>
      <c r="T57" s="1777"/>
      <c r="U57" s="1777"/>
      <c r="V57" s="1777"/>
      <c r="W57" s="1777"/>
      <c r="X57" s="1777"/>
      <c r="Y57" s="1777"/>
      <c r="Z57" s="1777"/>
      <c r="AA57" s="1777"/>
      <c r="AB57" s="1777"/>
      <c r="AC57" s="1777"/>
      <c r="AD57" s="1777"/>
      <c r="AE57" s="1777"/>
      <c r="AF57" s="1777"/>
      <c r="AG57" s="1777"/>
      <c r="AH57" s="1777"/>
      <c r="AI57" s="1778"/>
      <c r="AJ57" s="3515"/>
      <c r="AK57" s="1777"/>
      <c r="AL57" s="1777"/>
      <c r="AM57" s="1778"/>
      <c r="AN57" s="469" t="str">
        <f>IF('Project Overview'!$AL$296="Yes","P","O")</f>
        <v>O</v>
      </c>
      <c r="AS57" s="454"/>
      <c r="AT57" s="454"/>
      <c r="AU57" s="454"/>
    </row>
    <row r="58" spans="1:47" ht="18" hidden="1" customHeight="1">
      <c r="B58" s="3799" t="s">
        <v>3846</v>
      </c>
      <c r="C58" s="3797"/>
      <c r="D58" s="3797"/>
      <c r="E58" s="2015"/>
      <c r="F58" s="2015"/>
      <c r="G58" s="2015"/>
      <c r="H58" s="2015"/>
      <c r="I58" s="2015"/>
      <c r="J58" s="2015"/>
      <c r="K58" s="2015"/>
      <c r="L58" s="2015"/>
      <c r="M58" s="2015"/>
      <c r="N58" s="1454"/>
      <c r="O58" s="1454"/>
      <c r="P58" s="1454"/>
      <c r="Q58" s="1454"/>
      <c r="R58" s="1454"/>
      <c r="S58" s="1454"/>
      <c r="T58" s="1454"/>
      <c r="U58" s="1454"/>
      <c r="V58" s="1454"/>
      <c r="W58" s="1454"/>
      <c r="X58" s="1454"/>
      <c r="Y58" s="1454"/>
      <c r="Z58" s="1454"/>
      <c r="AA58" s="1454"/>
      <c r="AB58" s="1454"/>
      <c r="AC58" s="1454"/>
      <c r="AD58" s="1454"/>
      <c r="AE58" s="1454"/>
      <c r="AF58" s="1454"/>
      <c r="AG58" s="1454"/>
      <c r="AH58" s="1454"/>
      <c r="AI58" s="1454"/>
      <c r="AJ58" s="1580"/>
      <c r="AK58" s="1580"/>
      <c r="AL58" s="1580"/>
      <c r="AM58" s="1580"/>
    </row>
    <row r="59" spans="1:47" ht="18" hidden="1" customHeight="1">
      <c r="B59" s="3794"/>
      <c r="C59" s="3797"/>
      <c r="D59" s="3797"/>
      <c r="E59" s="3786" t="s">
        <v>3847</v>
      </c>
      <c r="F59" s="1777"/>
      <c r="G59" s="1777"/>
      <c r="H59" s="1777"/>
      <c r="I59" s="1777"/>
      <c r="J59" s="1777"/>
      <c r="K59" s="1777"/>
      <c r="L59" s="1777"/>
      <c r="M59" s="1778"/>
      <c r="N59" s="3812" t="s">
        <v>758</v>
      </c>
      <c r="O59" s="1777"/>
      <c r="P59" s="1777"/>
      <c r="Q59" s="1777"/>
      <c r="R59" s="1777"/>
      <c r="S59" s="1777"/>
      <c r="T59" s="1777"/>
      <c r="U59" s="1777"/>
      <c r="V59" s="1777"/>
      <c r="W59" s="1777"/>
      <c r="X59" s="1777"/>
      <c r="Y59" s="1777"/>
      <c r="Z59" s="1777"/>
      <c r="AA59" s="1777"/>
      <c r="AB59" s="1777"/>
      <c r="AC59" s="1777"/>
      <c r="AD59" s="1777"/>
      <c r="AE59" s="1777"/>
      <c r="AF59" s="1777"/>
      <c r="AG59" s="1777"/>
      <c r="AH59" s="1777"/>
      <c r="AI59" s="1778"/>
      <c r="AJ59" s="3515"/>
      <c r="AK59" s="1777"/>
      <c r="AL59" s="1777"/>
      <c r="AM59" s="1778"/>
      <c r="AN59" s="469" t="str">
        <f>IF('Project Overview'!$AL$300="Yes","P","O")</f>
        <v>O</v>
      </c>
    </row>
    <row r="60" spans="1:47" ht="36" hidden="1" customHeight="1">
      <c r="B60" s="3794"/>
      <c r="C60" s="3797"/>
      <c r="D60" s="3797"/>
      <c r="E60" s="3786" t="s">
        <v>3848</v>
      </c>
      <c r="F60" s="1777"/>
      <c r="G60" s="1777"/>
      <c r="H60" s="1777"/>
      <c r="I60" s="1777"/>
      <c r="J60" s="1777"/>
      <c r="K60" s="1777"/>
      <c r="L60" s="1777"/>
      <c r="M60" s="1778"/>
      <c r="N60" s="3812" t="s">
        <v>3822</v>
      </c>
      <c r="O60" s="1777"/>
      <c r="P60" s="1777"/>
      <c r="Q60" s="1777"/>
      <c r="R60" s="1777"/>
      <c r="S60" s="1777"/>
      <c r="T60" s="1777"/>
      <c r="U60" s="1777"/>
      <c r="V60" s="1777"/>
      <c r="W60" s="1777"/>
      <c r="X60" s="1777"/>
      <c r="Y60" s="1777"/>
      <c r="Z60" s="1777"/>
      <c r="AA60" s="1777"/>
      <c r="AB60" s="1777"/>
      <c r="AC60" s="1777"/>
      <c r="AD60" s="1777"/>
      <c r="AE60" s="1777"/>
      <c r="AF60" s="1777"/>
      <c r="AG60" s="1777"/>
      <c r="AH60" s="1777"/>
      <c r="AI60" s="1778"/>
      <c r="AJ60" s="3515"/>
      <c r="AK60" s="1777"/>
      <c r="AL60" s="1777"/>
      <c r="AM60" s="1778"/>
      <c r="AN60" s="469" t="str">
        <f>IF('Project Overview'!$AL$301="Yes","P","O")</f>
        <v>O</v>
      </c>
    </row>
    <row r="61" spans="1:47" ht="18" hidden="1" customHeight="1">
      <c r="B61" s="3794"/>
      <c r="C61" s="3797"/>
      <c r="D61" s="3797"/>
      <c r="E61" s="3786" t="s">
        <v>3849</v>
      </c>
      <c r="F61" s="1777"/>
      <c r="G61" s="1777"/>
      <c r="H61" s="1777"/>
      <c r="I61" s="1777"/>
      <c r="J61" s="1777"/>
      <c r="K61" s="1777"/>
      <c r="L61" s="1777"/>
      <c r="M61" s="1778"/>
      <c r="N61" s="2136" t="s">
        <v>3850</v>
      </c>
      <c r="O61" s="1777"/>
      <c r="P61" s="1777"/>
      <c r="Q61" s="1777"/>
      <c r="R61" s="1777"/>
      <c r="S61" s="1777"/>
      <c r="T61" s="1777"/>
      <c r="U61" s="1777"/>
      <c r="V61" s="1777"/>
      <c r="W61" s="1777"/>
      <c r="X61" s="1777"/>
      <c r="Y61" s="1777"/>
      <c r="Z61" s="1777"/>
      <c r="AA61" s="1777"/>
      <c r="AB61" s="1777"/>
      <c r="AC61" s="1777"/>
      <c r="AD61" s="1777"/>
      <c r="AE61" s="1777"/>
      <c r="AF61" s="1777"/>
      <c r="AG61" s="1777"/>
      <c r="AH61" s="1777"/>
      <c r="AI61" s="1778"/>
      <c r="AJ61" s="3515"/>
      <c r="AK61" s="1777"/>
      <c r="AL61" s="1777"/>
      <c r="AM61" s="1778"/>
      <c r="AN61" s="469" t="str">
        <f>IF('Project Overview'!$AL$302="Yes","P","O")</f>
        <v>O</v>
      </c>
    </row>
    <row r="62" spans="1:47" ht="18" hidden="1" customHeight="1">
      <c r="B62" s="3794"/>
      <c r="C62" s="3797"/>
      <c r="D62" s="3797"/>
      <c r="E62" s="3786" t="s">
        <v>3851</v>
      </c>
      <c r="F62" s="1777"/>
      <c r="G62" s="1777"/>
      <c r="H62" s="1777"/>
      <c r="I62" s="1777"/>
      <c r="J62" s="1777"/>
      <c r="K62" s="1777"/>
      <c r="L62" s="1777"/>
      <c r="M62" s="1778"/>
      <c r="N62" s="2136" t="s">
        <v>3826</v>
      </c>
      <c r="O62" s="1777"/>
      <c r="P62" s="1777"/>
      <c r="Q62" s="1777"/>
      <c r="R62" s="1777"/>
      <c r="S62" s="1777"/>
      <c r="T62" s="1777"/>
      <c r="U62" s="1777"/>
      <c r="V62" s="1777"/>
      <c r="W62" s="1777"/>
      <c r="X62" s="1777"/>
      <c r="Y62" s="1777"/>
      <c r="Z62" s="1777"/>
      <c r="AA62" s="1777"/>
      <c r="AB62" s="1777"/>
      <c r="AC62" s="1777"/>
      <c r="AD62" s="1777"/>
      <c r="AE62" s="1777"/>
      <c r="AF62" s="1777"/>
      <c r="AG62" s="1777"/>
      <c r="AH62" s="1777"/>
      <c r="AI62" s="1778"/>
      <c r="AJ62" s="3515"/>
      <c r="AK62" s="1777"/>
      <c r="AL62" s="1777"/>
      <c r="AM62" s="1778"/>
      <c r="AN62" s="469" t="str">
        <f>IF('Project Overview'!$AL$303="Yes","P","O")</f>
        <v>O</v>
      </c>
    </row>
    <row r="63" spans="1:47" ht="18" hidden="1" customHeight="1">
      <c r="B63" s="3794"/>
      <c r="C63" s="3797"/>
      <c r="D63" s="3797"/>
      <c r="E63" s="3786" t="s">
        <v>3852</v>
      </c>
      <c r="F63" s="1777"/>
      <c r="G63" s="1777"/>
      <c r="H63" s="1777"/>
      <c r="I63" s="1777"/>
      <c r="J63" s="1777"/>
      <c r="K63" s="1777"/>
      <c r="L63" s="1777"/>
      <c r="M63" s="1778"/>
      <c r="N63" s="1975" t="s">
        <v>3853</v>
      </c>
      <c r="O63" s="1777"/>
      <c r="P63" s="1777"/>
      <c r="Q63" s="1777"/>
      <c r="R63" s="1777"/>
      <c r="S63" s="1777"/>
      <c r="T63" s="1777"/>
      <c r="U63" s="1777"/>
      <c r="V63" s="1777"/>
      <c r="W63" s="1777"/>
      <c r="X63" s="1777"/>
      <c r="Y63" s="1777"/>
      <c r="Z63" s="1777"/>
      <c r="AA63" s="1777"/>
      <c r="AB63" s="1777"/>
      <c r="AC63" s="1777"/>
      <c r="AD63" s="1777"/>
      <c r="AE63" s="1777"/>
      <c r="AF63" s="1777"/>
      <c r="AG63" s="1777"/>
      <c r="AH63" s="1777"/>
      <c r="AI63" s="1778"/>
      <c r="AJ63" s="3515"/>
      <c r="AK63" s="1777"/>
      <c r="AL63" s="1777"/>
      <c r="AM63" s="1778"/>
      <c r="AN63" s="469" t="str">
        <f>IF('Project Overview'!$AL$304="Yes","P","O")</f>
        <v>O</v>
      </c>
      <c r="AO63" s="72"/>
    </row>
    <row r="64" spans="1:47" ht="18" hidden="1" customHeight="1">
      <c r="B64" s="3794"/>
      <c r="C64" s="3797"/>
      <c r="D64" s="3797"/>
      <c r="E64" s="3786" t="s">
        <v>3854</v>
      </c>
      <c r="F64" s="1777"/>
      <c r="G64" s="1777"/>
      <c r="H64" s="1777"/>
      <c r="I64" s="1777"/>
      <c r="J64" s="1777"/>
      <c r="K64" s="1777"/>
      <c r="L64" s="1777"/>
      <c r="M64" s="1778"/>
      <c r="N64" s="3812" t="s">
        <v>3855</v>
      </c>
      <c r="O64" s="1777"/>
      <c r="P64" s="1777"/>
      <c r="Q64" s="1777"/>
      <c r="R64" s="1777"/>
      <c r="S64" s="1777"/>
      <c r="T64" s="1777"/>
      <c r="U64" s="1777"/>
      <c r="V64" s="1777"/>
      <c r="W64" s="1777"/>
      <c r="X64" s="1777"/>
      <c r="Y64" s="1777"/>
      <c r="Z64" s="1777"/>
      <c r="AA64" s="1777"/>
      <c r="AB64" s="1777"/>
      <c r="AC64" s="1777"/>
      <c r="AD64" s="1777"/>
      <c r="AE64" s="1777"/>
      <c r="AF64" s="1777"/>
      <c r="AG64" s="1777"/>
      <c r="AH64" s="1777"/>
      <c r="AI64" s="1778"/>
      <c r="AJ64" s="3515"/>
      <c r="AK64" s="1777"/>
      <c r="AL64" s="1777"/>
      <c r="AM64" s="1778"/>
      <c r="AN64" s="469" t="str">
        <f>IF('Project Overview'!$AL$305="Yes","P","O")</f>
        <v>O</v>
      </c>
      <c r="AO64" s="14"/>
    </row>
    <row r="65" spans="2:40" ht="18" hidden="1" customHeight="1">
      <c r="B65" s="3794"/>
      <c r="C65" s="3797"/>
      <c r="D65" s="3797"/>
      <c r="E65" s="3786" t="s">
        <v>3856</v>
      </c>
      <c r="F65" s="1777"/>
      <c r="G65" s="1777"/>
      <c r="H65" s="1777"/>
      <c r="I65" s="1777"/>
      <c r="J65" s="1777"/>
      <c r="K65" s="1777"/>
      <c r="L65" s="1777"/>
      <c r="M65" s="1778"/>
      <c r="N65" s="3838" t="s">
        <v>3857</v>
      </c>
      <c r="O65" s="1777"/>
      <c r="P65" s="1777"/>
      <c r="Q65" s="1777"/>
      <c r="R65" s="1777"/>
      <c r="S65" s="1777"/>
      <c r="T65" s="1777"/>
      <c r="U65" s="1777"/>
      <c r="V65" s="1777"/>
      <c r="W65" s="1777"/>
      <c r="X65" s="1777"/>
      <c r="Y65" s="1777"/>
      <c r="Z65" s="1777"/>
      <c r="AA65" s="1777"/>
      <c r="AB65" s="1777"/>
      <c r="AC65" s="1777"/>
      <c r="AD65" s="1777"/>
      <c r="AE65" s="1777"/>
      <c r="AF65" s="1777"/>
      <c r="AG65" s="1777"/>
      <c r="AH65" s="1777"/>
      <c r="AI65" s="1778"/>
      <c r="AJ65" s="3515"/>
      <c r="AK65" s="1777"/>
      <c r="AL65" s="1777"/>
      <c r="AM65" s="1778"/>
      <c r="AN65" s="469" t="str">
        <f>IF('Project Overview'!$AL$306="Yes","P","O")</f>
        <v>O</v>
      </c>
    </row>
    <row r="66" spans="2:40" ht="18" hidden="1" customHeight="1">
      <c r="B66" s="3794"/>
      <c r="C66" s="3797"/>
      <c r="D66" s="3797"/>
      <c r="E66" s="3786" t="s">
        <v>3858</v>
      </c>
      <c r="F66" s="1777"/>
      <c r="G66" s="1777"/>
      <c r="H66" s="1777"/>
      <c r="I66" s="1777"/>
      <c r="J66" s="1777"/>
      <c r="K66" s="1777"/>
      <c r="L66" s="1777"/>
      <c r="M66" s="1778"/>
      <c r="N66" s="2136" t="s">
        <v>3837</v>
      </c>
      <c r="O66" s="1777"/>
      <c r="P66" s="1777"/>
      <c r="Q66" s="1777"/>
      <c r="R66" s="1777"/>
      <c r="S66" s="1777"/>
      <c r="T66" s="1777"/>
      <c r="U66" s="1777"/>
      <c r="V66" s="1777"/>
      <c r="W66" s="1777"/>
      <c r="X66" s="1777"/>
      <c r="Y66" s="1777"/>
      <c r="Z66" s="1777"/>
      <c r="AA66" s="1777"/>
      <c r="AB66" s="1777"/>
      <c r="AC66" s="1777"/>
      <c r="AD66" s="1777"/>
      <c r="AE66" s="1777"/>
      <c r="AF66" s="1777"/>
      <c r="AG66" s="1777"/>
      <c r="AH66" s="1777"/>
      <c r="AI66" s="1778"/>
      <c r="AJ66" s="3515"/>
      <c r="AK66" s="1777"/>
      <c r="AL66" s="1777"/>
      <c r="AM66" s="1778"/>
      <c r="AN66" s="469" t="str">
        <f>IF('Project Overview'!$AL$307="Yes","P","O")</f>
        <v>O</v>
      </c>
    </row>
    <row r="67" spans="2:40" ht="19.5" hidden="1" customHeight="1">
      <c r="B67" s="3794"/>
      <c r="C67" s="3797"/>
      <c r="D67" s="3797"/>
      <c r="E67" s="3786" t="s">
        <v>3859</v>
      </c>
      <c r="F67" s="1777"/>
      <c r="G67" s="1777"/>
      <c r="H67" s="1777"/>
      <c r="I67" s="1777"/>
      <c r="J67" s="1777"/>
      <c r="K67" s="1777"/>
      <c r="L67" s="1777"/>
      <c r="M67" s="1778"/>
      <c r="N67" s="2136" t="s">
        <v>3830</v>
      </c>
      <c r="O67" s="1777"/>
      <c r="P67" s="1777"/>
      <c r="Q67" s="1777"/>
      <c r="R67" s="1777"/>
      <c r="S67" s="1777"/>
      <c r="T67" s="1777"/>
      <c r="U67" s="1777"/>
      <c r="V67" s="1777"/>
      <c r="W67" s="1777"/>
      <c r="X67" s="1777"/>
      <c r="Y67" s="1777"/>
      <c r="Z67" s="1777"/>
      <c r="AA67" s="1777"/>
      <c r="AB67" s="1777"/>
      <c r="AC67" s="1777"/>
      <c r="AD67" s="1777"/>
      <c r="AE67" s="1777"/>
      <c r="AF67" s="1777"/>
      <c r="AG67" s="1777"/>
      <c r="AH67" s="1777"/>
      <c r="AI67" s="1778"/>
      <c r="AJ67" s="3515"/>
      <c r="AK67" s="1777"/>
      <c r="AL67" s="1777"/>
      <c r="AM67" s="1778"/>
      <c r="AN67" s="469" t="str">
        <f>IF('Project Overview'!$AL$308="Yes","P","O")</f>
        <v>O</v>
      </c>
    </row>
    <row r="68" spans="2:40" ht="18" hidden="1" customHeight="1">
      <c r="B68" s="3799" t="s">
        <v>766</v>
      </c>
      <c r="C68" s="3797"/>
      <c r="D68" s="3797"/>
      <c r="E68" s="2015"/>
      <c r="F68" s="2015"/>
      <c r="G68" s="2015"/>
      <c r="H68" s="2015"/>
      <c r="I68" s="2015"/>
      <c r="J68" s="2015"/>
      <c r="K68" s="2015"/>
      <c r="L68" s="2015"/>
      <c r="M68" s="2015"/>
      <c r="N68" s="1453"/>
      <c r="O68" s="1453"/>
      <c r="P68" s="1453"/>
      <c r="Q68" s="1453"/>
      <c r="R68" s="1453"/>
      <c r="S68" s="1453"/>
      <c r="T68" s="1453"/>
      <c r="U68" s="1453"/>
      <c r="V68" s="1453"/>
      <c r="W68" s="1453"/>
      <c r="X68" s="1453"/>
      <c r="Y68" s="1453"/>
      <c r="Z68" s="1453"/>
      <c r="AA68" s="1453"/>
      <c r="AB68" s="1453"/>
      <c r="AC68" s="1453"/>
      <c r="AD68" s="1453"/>
      <c r="AE68" s="1453"/>
      <c r="AF68" s="1453"/>
      <c r="AG68" s="1453"/>
      <c r="AH68" s="1453"/>
      <c r="AI68" s="1453"/>
      <c r="AJ68" s="1579"/>
      <c r="AK68" s="1579"/>
      <c r="AL68" s="1579"/>
      <c r="AM68" s="1579"/>
    </row>
    <row r="69" spans="2:40" ht="18" hidden="1" customHeight="1">
      <c r="B69" s="3794"/>
      <c r="C69" s="3797"/>
      <c r="D69" s="3797"/>
      <c r="E69" s="3786" t="s">
        <v>3860</v>
      </c>
      <c r="F69" s="1777"/>
      <c r="G69" s="1777"/>
      <c r="H69" s="1777"/>
      <c r="I69" s="1777"/>
      <c r="J69" s="1777"/>
      <c r="K69" s="1777"/>
      <c r="L69" s="1777"/>
      <c r="M69" s="1778"/>
      <c r="N69" s="3812" t="s">
        <v>758</v>
      </c>
      <c r="O69" s="1777"/>
      <c r="P69" s="1777"/>
      <c r="Q69" s="1777"/>
      <c r="R69" s="1777"/>
      <c r="S69" s="1777"/>
      <c r="T69" s="1777"/>
      <c r="U69" s="1777"/>
      <c r="V69" s="1777"/>
      <c r="W69" s="1777"/>
      <c r="X69" s="1777"/>
      <c r="Y69" s="1777"/>
      <c r="Z69" s="1777"/>
      <c r="AA69" s="1777"/>
      <c r="AB69" s="1777"/>
      <c r="AC69" s="1777"/>
      <c r="AD69" s="1777"/>
      <c r="AE69" s="1777"/>
      <c r="AF69" s="1777"/>
      <c r="AG69" s="1777"/>
      <c r="AH69" s="1777"/>
      <c r="AI69" s="1778"/>
      <c r="AJ69" s="3515"/>
      <c r="AK69" s="1777"/>
      <c r="AL69" s="1777"/>
      <c r="AM69" s="1778"/>
      <c r="AN69" s="469" t="str">
        <f>IF('Project Overview'!$AL$311="Yes","P","O")</f>
        <v>O</v>
      </c>
    </row>
    <row r="70" spans="2:40" ht="18" hidden="1" customHeight="1">
      <c r="B70" s="3794"/>
      <c r="C70" s="3797"/>
      <c r="D70" s="3797"/>
      <c r="E70" s="3786" t="s">
        <v>3861</v>
      </c>
      <c r="F70" s="1777"/>
      <c r="G70" s="1777"/>
      <c r="H70" s="1777"/>
      <c r="I70" s="1777"/>
      <c r="J70" s="1777"/>
      <c r="K70" s="1777"/>
      <c r="L70" s="1777"/>
      <c r="M70" s="1778"/>
      <c r="N70" s="3812" t="s">
        <v>3822</v>
      </c>
      <c r="O70" s="1777"/>
      <c r="P70" s="1777"/>
      <c r="Q70" s="1777"/>
      <c r="R70" s="1777"/>
      <c r="S70" s="1777"/>
      <c r="T70" s="1777"/>
      <c r="U70" s="1777"/>
      <c r="V70" s="1777"/>
      <c r="W70" s="1777"/>
      <c r="X70" s="1777"/>
      <c r="Y70" s="1777"/>
      <c r="Z70" s="1777"/>
      <c r="AA70" s="1777"/>
      <c r="AB70" s="1777"/>
      <c r="AC70" s="1777"/>
      <c r="AD70" s="1777"/>
      <c r="AE70" s="1777"/>
      <c r="AF70" s="1777"/>
      <c r="AG70" s="1777"/>
      <c r="AH70" s="1777"/>
      <c r="AI70" s="1778"/>
      <c r="AJ70" s="3515"/>
      <c r="AK70" s="1777"/>
      <c r="AL70" s="1777"/>
      <c r="AM70" s="1778"/>
      <c r="AN70" s="469" t="str">
        <f>IF('Project Overview'!$AL$312="Yes","P","O")</f>
        <v>O</v>
      </c>
    </row>
    <row r="71" spans="2:40" ht="18" hidden="1" customHeight="1">
      <c r="B71" s="3794"/>
      <c r="C71" s="3797"/>
      <c r="D71" s="3797"/>
      <c r="E71" s="3786" t="s">
        <v>3862</v>
      </c>
      <c r="F71" s="1777"/>
      <c r="G71" s="1777"/>
      <c r="H71" s="1777"/>
      <c r="I71" s="1777"/>
      <c r="J71" s="1777"/>
      <c r="K71" s="1777"/>
      <c r="L71" s="1777"/>
      <c r="M71" s="1778"/>
      <c r="N71" s="2136" t="s">
        <v>3863</v>
      </c>
      <c r="O71" s="1777"/>
      <c r="P71" s="1777"/>
      <c r="Q71" s="1777"/>
      <c r="R71" s="1777"/>
      <c r="S71" s="1777"/>
      <c r="T71" s="1777"/>
      <c r="U71" s="1777"/>
      <c r="V71" s="1777"/>
      <c r="W71" s="1777"/>
      <c r="X71" s="1777"/>
      <c r="Y71" s="1777"/>
      <c r="Z71" s="1777"/>
      <c r="AA71" s="1777"/>
      <c r="AB71" s="1777"/>
      <c r="AC71" s="1777"/>
      <c r="AD71" s="1777"/>
      <c r="AE71" s="1777"/>
      <c r="AF71" s="1777"/>
      <c r="AG71" s="1777"/>
      <c r="AH71" s="1777"/>
      <c r="AI71" s="1778"/>
      <c r="AJ71" s="3515"/>
      <c r="AK71" s="1777"/>
      <c r="AL71" s="1777"/>
      <c r="AM71" s="1778"/>
      <c r="AN71" s="469" t="str">
        <f>IF('Project Overview'!$AL$313="Yes","P","O")</f>
        <v>O</v>
      </c>
    </row>
    <row r="72" spans="2:40" ht="18" hidden="1" customHeight="1">
      <c r="B72" s="3794"/>
      <c r="C72" s="3797"/>
      <c r="D72" s="3797"/>
      <c r="E72" s="3786" t="s">
        <v>3864</v>
      </c>
      <c r="F72" s="1777"/>
      <c r="G72" s="1777"/>
      <c r="H72" s="1777"/>
      <c r="I72" s="1777"/>
      <c r="J72" s="1777"/>
      <c r="K72" s="1777"/>
      <c r="L72" s="1777"/>
      <c r="M72" s="1778"/>
      <c r="N72" s="2136" t="s">
        <v>3826</v>
      </c>
      <c r="O72" s="1777"/>
      <c r="P72" s="1777"/>
      <c r="Q72" s="1777"/>
      <c r="R72" s="1777"/>
      <c r="S72" s="1777"/>
      <c r="T72" s="1777"/>
      <c r="U72" s="1777"/>
      <c r="V72" s="1777"/>
      <c r="W72" s="1777"/>
      <c r="X72" s="1777"/>
      <c r="Y72" s="1777"/>
      <c r="Z72" s="1777"/>
      <c r="AA72" s="1777"/>
      <c r="AB72" s="1777"/>
      <c r="AC72" s="1777"/>
      <c r="AD72" s="1777"/>
      <c r="AE72" s="1777"/>
      <c r="AF72" s="1777"/>
      <c r="AG72" s="1777"/>
      <c r="AH72" s="1777"/>
      <c r="AI72" s="1778"/>
      <c r="AJ72" s="3515"/>
      <c r="AK72" s="1777"/>
      <c r="AL72" s="1777"/>
      <c r="AM72" s="1778"/>
      <c r="AN72" s="469" t="str">
        <f>IF('Project Overview'!$AL$314="Yes","P","O")</f>
        <v>O</v>
      </c>
    </row>
    <row r="73" spans="2:40" ht="18" hidden="1" customHeight="1">
      <c r="B73" s="3794"/>
      <c r="C73" s="3797"/>
      <c r="D73" s="3797"/>
      <c r="E73" s="3786" t="s">
        <v>3865</v>
      </c>
      <c r="F73" s="1777"/>
      <c r="G73" s="1777"/>
      <c r="H73" s="1777"/>
      <c r="I73" s="1777"/>
      <c r="J73" s="1777"/>
      <c r="K73" s="1777"/>
      <c r="L73" s="1777"/>
      <c r="M73" s="1778"/>
      <c r="N73" s="2136" t="s">
        <v>3837</v>
      </c>
      <c r="O73" s="1777"/>
      <c r="P73" s="1777"/>
      <c r="Q73" s="1777"/>
      <c r="R73" s="1777"/>
      <c r="S73" s="1777"/>
      <c r="T73" s="1777"/>
      <c r="U73" s="1777"/>
      <c r="V73" s="1777"/>
      <c r="W73" s="1777"/>
      <c r="X73" s="1777"/>
      <c r="Y73" s="1777"/>
      <c r="Z73" s="1777"/>
      <c r="AA73" s="1777"/>
      <c r="AB73" s="1777"/>
      <c r="AC73" s="1777"/>
      <c r="AD73" s="1777"/>
      <c r="AE73" s="1777"/>
      <c r="AF73" s="1777"/>
      <c r="AG73" s="1777"/>
      <c r="AH73" s="1777"/>
      <c r="AI73" s="1778"/>
      <c r="AJ73" s="3515"/>
      <c r="AK73" s="1777"/>
      <c r="AL73" s="1777"/>
      <c r="AM73" s="1778"/>
      <c r="AN73" s="469" t="str">
        <f>IF('Project Overview'!$AL$315="Yes","P","O")</f>
        <v>O</v>
      </c>
    </row>
    <row r="74" spans="2:40" ht="18" hidden="1" customHeight="1">
      <c r="B74" s="3794"/>
      <c r="C74" s="3797"/>
      <c r="D74" s="3797"/>
      <c r="E74" s="3786" t="s">
        <v>3866</v>
      </c>
      <c r="F74" s="1777"/>
      <c r="G74" s="1777"/>
      <c r="H74" s="1777"/>
      <c r="I74" s="1777"/>
      <c r="J74" s="1777"/>
      <c r="K74" s="1777"/>
      <c r="L74" s="1777"/>
      <c r="M74" s="1778"/>
      <c r="N74" s="2136" t="s">
        <v>3830</v>
      </c>
      <c r="O74" s="1777"/>
      <c r="P74" s="1777"/>
      <c r="Q74" s="1777"/>
      <c r="R74" s="1777"/>
      <c r="S74" s="1777"/>
      <c r="T74" s="1777"/>
      <c r="U74" s="1777"/>
      <c r="V74" s="1777"/>
      <c r="W74" s="1777"/>
      <c r="X74" s="1777"/>
      <c r="Y74" s="1777"/>
      <c r="Z74" s="1777"/>
      <c r="AA74" s="1777"/>
      <c r="AB74" s="1777"/>
      <c r="AC74" s="1777"/>
      <c r="AD74" s="1777"/>
      <c r="AE74" s="1777"/>
      <c r="AF74" s="1777"/>
      <c r="AG74" s="1777"/>
      <c r="AH74" s="1777"/>
      <c r="AI74" s="1778"/>
      <c r="AJ74" s="3515"/>
      <c r="AK74" s="1777"/>
      <c r="AL74" s="1777"/>
      <c r="AM74" s="1778"/>
      <c r="AN74" s="469" t="str">
        <f>IF('Project Overview'!$AL$316="Yes","P","O")</f>
        <v>O</v>
      </c>
    </row>
    <row r="75" spans="2:40" ht="18" hidden="1" customHeight="1">
      <c r="B75" s="3799" t="s">
        <v>767</v>
      </c>
      <c r="C75" s="3797"/>
      <c r="D75" s="3797"/>
      <c r="E75" s="2015"/>
      <c r="F75" s="2015"/>
      <c r="G75" s="2015"/>
      <c r="H75" s="2015"/>
      <c r="I75" s="2015"/>
      <c r="J75" s="2015"/>
      <c r="K75" s="2015"/>
      <c r="L75" s="2015"/>
      <c r="M75" s="2015"/>
      <c r="N75" s="1454"/>
      <c r="O75" s="1454"/>
      <c r="P75" s="1454"/>
      <c r="Q75" s="1454"/>
      <c r="R75" s="1454"/>
      <c r="S75" s="1454"/>
      <c r="T75" s="1454"/>
      <c r="U75" s="1454"/>
      <c r="V75" s="1454"/>
      <c r="W75" s="1454"/>
      <c r="X75" s="1454"/>
      <c r="Y75" s="1454"/>
      <c r="Z75" s="1454"/>
      <c r="AA75" s="1454"/>
      <c r="AB75" s="1454"/>
      <c r="AC75" s="1454"/>
      <c r="AD75" s="1454"/>
      <c r="AE75" s="1454"/>
      <c r="AF75" s="1454"/>
      <c r="AG75" s="1454"/>
      <c r="AH75" s="1454"/>
      <c r="AI75" s="1454"/>
      <c r="AJ75" s="1580"/>
      <c r="AK75" s="1580"/>
      <c r="AL75" s="1580"/>
      <c r="AM75" s="1580"/>
    </row>
    <row r="76" spans="2:40" ht="18" hidden="1" customHeight="1">
      <c r="B76" s="3794"/>
      <c r="C76" s="3797"/>
      <c r="D76" s="3797"/>
      <c r="E76" s="3786" t="s">
        <v>3867</v>
      </c>
      <c r="F76" s="1777"/>
      <c r="G76" s="1777"/>
      <c r="H76" s="1777"/>
      <c r="I76" s="1777"/>
      <c r="J76" s="1777"/>
      <c r="K76" s="1777"/>
      <c r="L76" s="1777"/>
      <c r="M76" s="1778"/>
      <c r="N76" s="3812" t="s">
        <v>758</v>
      </c>
      <c r="O76" s="1777"/>
      <c r="P76" s="1777"/>
      <c r="Q76" s="1777"/>
      <c r="R76" s="1777"/>
      <c r="S76" s="1777"/>
      <c r="T76" s="1777"/>
      <c r="U76" s="1777"/>
      <c r="V76" s="1777"/>
      <c r="W76" s="1777"/>
      <c r="X76" s="1777"/>
      <c r="Y76" s="1777"/>
      <c r="Z76" s="1777"/>
      <c r="AA76" s="1777"/>
      <c r="AB76" s="1777"/>
      <c r="AC76" s="1777"/>
      <c r="AD76" s="1777"/>
      <c r="AE76" s="1777"/>
      <c r="AF76" s="1777"/>
      <c r="AG76" s="1777"/>
      <c r="AH76" s="1777"/>
      <c r="AI76" s="1778"/>
      <c r="AJ76" s="3515"/>
      <c r="AK76" s="1777"/>
      <c r="AL76" s="1777"/>
      <c r="AM76" s="1778"/>
      <c r="AN76" s="469" t="str">
        <f>IF('Project Overview'!$AL$319="Yes","P","O")</f>
        <v>O</v>
      </c>
    </row>
    <row r="77" spans="2:40" ht="36" hidden="1" customHeight="1">
      <c r="B77" s="3794"/>
      <c r="C77" s="3797"/>
      <c r="D77" s="3797"/>
      <c r="E77" s="3786" t="s">
        <v>3868</v>
      </c>
      <c r="F77" s="1777"/>
      <c r="G77" s="1777"/>
      <c r="H77" s="1777"/>
      <c r="I77" s="1777"/>
      <c r="J77" s="1777"/>
      <c r="K77" s="1777"/>
      <c r="L77" s="1777"/>
      <c r="M77" s="1778"/>
      <c r="N77" s="3812" t="s">
        <v>3822</v>
      </c>
      <c r="O77" s="1777"/>
      <c r="P77" s="1777"/>
      <c r="Q77" s="1777"/>
      <c r="R77" s="1777"/>
      <c r="S77" s="1777"/>
      <c r="T77" s="1777"/>
      <c r="U77" s="1777"/>
      <c r="V77" s="1777"/>
      <c r="W77" s="1777"/>
      <c r="X77" s="1777"/>
      <c r="Y77" s="1777"/>
      <c r="Z77" s="1777"/>
      <c r="AA77" s="1777"/>
      <c r="AB77" s="1777"/>
      <c r="AC77" s="1777"/>
      <c r="AD77" s="1777"/>
      <c r="AE77" s="1777"/>
      <c r="AF77" s="1777"/>
      <c r="AG77" s="1777"/>
      <c r="AH77" s="1777"/>
      <c r="AI77" s="1778"/>
      <c r="AJ77" s="3515"/>
      <c r="AK77" s="1777"/>
      <c r="AL77" s="1777"/>
      <c r="AM77" s="1778"/>
      <c r="AN77" s="469" t="str">
        <f>IF('Project Overview'!$AL$320="Yes","P","O")</f>
        <v>O</v>
      </c>
    </row>
    <row r="78" spans="2:40" ht="18" hidden="1" customHeight="1">
      <c r="B78" s="3794"/>
      <c r="C78" s="3797"/>
      <c r="D78" s="3797"/>
      <c r="E78" s="3786" t="s">
        <v>3869</v>
      </c>
      <c r="F78" s="1777"/>
      <c r="G78" s="1777"/>
      <c r="H78" s="1777"/>
      <c r="I78" s="1777"/>
      <c r="J78" s="1777"/>
      <c r="K78" s="1777"/>
      <c r="L78" s="1777"/>
      <c r="M78" s="1778"/>
      <c r="N78" s="2136" t="s">
        <v>3870</v>
      </c>
      <c r="O78" s="1777"/>
      <c r="P78" s="1777"/>
      <c r="Q78" s="1777"/>
      <c r="R78" s="1777"/>
      <c r="S78" s="1777"/>
      <c r="T78" s="1777"/>
      <c r="U78" s="1777"/>
      <c r="V78" s="1777"/>
      <c r="W78" s="1777"/>
      <c r="X78" s="1777"/>
      <c r="Y78" s="1777"/>
      <c r="Z78" s="1777"/>
      <c r="AA78" s="1777"/>
      <c r="AB78" s="1777"/>
      <c r="AC78" s="1777"/>
      <c r="AD78" s="1777"/>
      <c r="AE78" s="1777"/>
      <c r="AF78" s="1777"/>
      <c r="AG78" s="1777"/>
      <c r="AH78" s="1777"/>
      <c r="AI78" s="1778"/>
      <c r="AJ78" s="3515"/>
      <c r="AK78" s="1777"/>
      <c r="AL78" s="1777"/>
      <c r="AM78" s="1778"/>
      <c r="AN78" s="469" t="str">
        <f>IF('Project Overview'!$AL$321="Yes","P","O")</f>
        <v>O</v>
      </c>
    </row>
    <row r="79" spans="2:40" ht="18" hidden="1" customHeight="1">
      <c r="B79" s="3794"/>
      <c r="C79" s="3797"/>
      <c r="D79" s="3797"/>
      <c r="E79" s="3786" t="s">
        <v>3871</v>
      </c>
      <c r="F79" s="1777"/>
      <c r="G79" s="1777"/>
      <c r="H79" s="1777"/>
      <c r="I79" s="1777"/>
      <c r="J79" s="1777"/>
      <c r="K79" s="1777"/>
      <c r="L79" s="1777"/>
      <c r="M79" s="1778"/>
      <c r="N79" s="2136" t="s">
        <v>3826</v>
      </c>
      <c r="O79" s="1777"/>
      <c r="P79" s="1777"/>
      <c r="Q79" s="1777"/>
      <c r="R79" s="1777"/>
      <c r="S79" s="1777"/>
      <c r="T79" s="1777"/>
      <c r="U79" s="1777"/>
      <c r="V79" s="1777"/>
      <c r="W79" s="1777"/>
      <c r="X79" s="1777"/>
      <c r="Y79" s="1777"/>
      <c r="Z79" s="1777"/>
      <c r="AA79" s="1777"/>
      <c r="AB79" s="1777"/>
      <c r="AC79" s="1777"/>
      <c r="AD79" s="1777"/>
      <c r="AE79" s="1777"/>
      <c r="AF79" s="1777"/>
      <c r="AG79" s="1777"/>
      <c r="AH79" s="1777"/>
      <c r="AI79" s="1778"/>
      <c r="AJ79" s="3515"/>
      <c r="AK79" s="1777"/>
      <c r="AL79" s="1777"/>
      <c r="AM79" s="1778"/>
      <c r="AN79" s="469" t="str">
        <f>IF('Project Overview'!$AL$322="Yes","P","O")</f>
        <v>O</v>
      </c>
    </row>
    <row r="80" spans="2:40" ht="18" hidden="1" customHeight="1">
      <c r="B80" s="3794"/>
      <c r="C80" s="3797"/>
      <c r="D80" s="3797"/>
      <c r="E80" s="3786" t="s">
        <v>3872</v>
      </c>
      <c r="F80" s="1777"/>
      <c r="G80" s="1777"/>
      <c r="H80" s="1777"/>
      <c r="I80" s="1777"/>
      <c r="J80" s="1777"/>
      <c r="K80" s="1777"/>
      <c r="L80" s="1777"/>
      <c r="M80" s="1778"/>
      <c r="N80" s="2136" t="s">
        <v>3837</v>
      </c>
      <c r="O80" s="1777"/>
      <c r="P80" s="1777"/>
      <c r="Q80" s="1777"/>
      <c r="R80" s="1777"/>
      <c r="S80" s="1777"/>
      <c r="T80" s="1777"/>
      <c r="U80" s="1777"/>
      <c r="V80" s="1777"/>
      <c r="W80" s="1777"/>
      <c r="X80" s="1777"/>
      <c r="Y80" s="1777"/>
      <c r="Z80" s="1777"/>
      <c r="AA80" s="1777"/>
      <c r="AB80" s="1777"/>
      <c r="AC80" s="1777"/>
      <c r="AD80" s="1777"/>
      <c r="AE80" s="1777"/>
      <c r="AF80" s="1777"/>
      <c r="AG80" s="1777"/>
      <c r="AH80" s="1777"/>
      <c r="AI80" s="1778"/>
      <c r="AJ80" s="3515"/>
      <c r="AK80" s="1777"/>
      <c r="AL80" s="1777"/>
      <c r="AM80" s="1778"/>
      <c r="AN80" s="469" t="str">
        <f>IF('Project Overview'!$AL$323="Yes","P","O")</f>
        <v>O</v>
      </c>
    </row>
    <row r="81" spans="1:47" ht="18" hidden="1" customHeight="1">
      <c r="B81" s="3794"/>
      <c r="C81" s="3797"/>
      <c r="D81" s="3797"/>
      <c r="E81" s="3786" t="s">
        <v>3873</v>
      </c>
      <c r="F81" s="1777"/>
      <c r="G81" s="1777"/>
      <c r="H81" s="1777"/>
      <c r="I81" s="1777"/>
      <c r="J81" s="1777"/>
      <c r="K81" s="1777"/>
      <c r="L81" s="1777"/>
      <c r="M81" s="1778"/>
      <c r="N81" s="2136" t="s">
        <v>3830</v>
      </c>
      <c r="O81" s="1777"/>
      <c r="P81" s="1777"/>
      <c r="Q81" s="1777"/>
      <c r="R81" s="1777"/>
      <c r="S81" s="1777"/>
      <c r="T81" s="1777"/>
      <c r="U81" s="1777"/>
      <c r="V81" s="1777"/>
      <c r="W81" s="1777"/>
      <c r="X81" s="1777"/>
      <c r="Y81" s="1777"/>
      <c r="Z81" s="1777"/>
      <c r="AA81" s="1777"/>
      <c r="AB81" s="1777"/>
      <c r="AC81" s="1777"/>
      <c r="AD81" s="1777"/>
      <c r="AE81" s="1777"/>
      <c r="AF81" s="1777"/>
      <c r="AG81" s="1777"/>
      <c r="AH81" s="1777"/>
      <c r="AI81" s="1778"/>
      <c r="AJ81" s="3515"/>
      <c r="AK81" s="1777"/>
      <c r="AL81" s="1777"/>
      <c r="AM81" s="1778"/>
      <c r="AN81" s="469" t="str">
        <f>IF('Project Overview'!$AL$324="Yes","P","O")</f>
        <v>O</v>
      </c>
    </row>
    <row r="82" spans="1:47" ht="18" hidden="1" customHeight="1">
      <c r="B82" s="3799" t="s">
        <v>768</v>
      </c>
      <c r="C82" s="3797"/>
      <c r="D82" s="3797"/>
      <c r="E82" s="2015"/>
      <c r="F82" s="2015"/>
      <c r="G82" s="2015"/>
      <c r="H82" s="2015"/>
      <c r="I82" s="2015"/>
      <c r="J82" s="2015"/>
      <c r="K82" s="2015"/>
      <c r="L82" s="2015"/>
      <c r="M82" s="2015"/>
      <c r="N82" s="1453"/>
      <c r="O82" s="1453"/>
      <c r="P82" s="1453"/>
      <c r="Q82" s="1453"/>
      <c r="R82" s="1453"/>
      <c r="S82" s="1453"/>
      <c r="T82" s="1453"/>
      <c r="U82" s="1453"/>
      <c r="V82" s="1453"/>
      <c r="W82" s="1453"/>
      <c r="X82" s="1453"/>
      <c r="Y82" s="1453"/>
      <c r="Z82" s="1453"/>
      <c r="AA82" s="1453"/>
      <c r="AB82" s="1453"/>
      <c r="AC82" s="1453"/>
      <c r="AD82" s="1453"/>
      <c r="AE82" s="1453"/>
      <c r="AF82" s="1453"/>
      <c r="AG82" s="1453"/>
      <c r="AH82" s="1453"/>
      <c r="AI82" s="1453"/>
      <c r="AJ82" s="1579"/>
      <c r="AK82" s="1579"/>
      <c r="AL82" s="1579"/>
      <c r="AM82" s="1579"/>
    </row>
    <row r="83" spans="1:47" ht="18" hidden="1" customHeight="1">
      <c r="B83" s="3794"/>
      <c r="C83" s="3797"/>
      <c r="D83" s="3797"/>
      <c r="E83" s="3786" t="s">
        <v>3874</v>
      </c>
      <c r="F83" s="1777"/>
      <c r="G83" s="1777"/>
      <c r="H83" s="1777"/>
      <c r="I83" s="1777"/>
      <c r="J83" s="1777"/>
      <c r="K83" s="1777"/>
      <c r="L83" s="1777"/>
      <c r="M83" s="1778"/>
      <c r="N83" s="3812" t="s">
        <v>758</v>
      </c>
      <c r="O83" s="1777"/>
      <c r="P83" s="1777"/>
      <c r="Q83" s="1777"/>
      <c r="R83" s="1777"/>
      <c r="S83" s="1777"/>
      <c r="T83" s="1777"/>
      <c r="U83" s="1777"/>
      <c r="V83" s="1777"/>
      <c r="W83" s="1777"/>
      <c r="X83" s="1777"/>
      <c r="Y83" s="1777"/>
      <c r="Z83" s="1777"/>
      <c r="AA83" s="1777"/>
      <c r="AB83" s="1777"/>
      <c r="AC83" s="1777"/>
      <c r="AD83" s="1777"/>
      <c r="AE83" s="1777"/>
      <c r="AF83" s="1777"/>
      <c r="AG83" s="1777"/>
      <c r="AH83" s="1777"/>
      <c r="AI83" s="1778"/>
      <c r="AJ83" s="3515"/>
      <c r="AK83" s="1777"/>
      <c r="AL83" s="1777"/>
      <c r="AM83" s="1778"/>
      <c r="AN83" s="469" t="str">
        <f>IF('Project Overview'!$AL$327="Yes","P","O")</f>
        <v>O</v>
      </c>
    </row>
    <row r="84" spans="1:47" ht="36" hidden="1" customHeight="1">
      <c r="B84" s="3794"/>
      <c r="C84" s="3797"/>
      <c r="D84" s="3797"/>
      <c r="E84" s="3786" t="s">
        <v>3875</v>
      </c>
      <c r="F84" s="1777"/>
      <c r="G84" s="1777"/>
      <c r="H84" s="1777"/>
      <c r="I84" s="1777"/>
      <c r="J84" s="1777"/>
      <c r="K84" s="1777"/>
      <c r="L84" s="1777"/>
      <c r="M84" s="1778"/>
      <c r="N84" s="3812" t="s">
        <v>3822</v>
      </c>
      <c r="O84" s="1777"/>
      <c r="P84" s="1777"/>
      <c r="Q84" s="1777"/>
      <c r="R84" s="1777"/>
      <c r="S84" s="1777"/>
      <c r="T84" s="1777"/>
      <c r="U84" s="1777"/>
      <c r="V84" s="1777"/>
      <c r="W84" s="1777"/>
      <c r="X84" s="1777"/>
      <c r="Y84" s="1777"/>
      <c r="Z84" s="1777"/>
      <c r="AA84" s="1777"/>
      <c r="AB84" s="1777"/>
      <c r="AC84" s="1777"/>
      <c r="AD84" s="1777"/>
      <c r="AE84" s="1777"/>
      <c r="AF84" s="1777"/>
      <c r="AG84" s="1777"/>
      <c r="AH84" s="1777"/>
      <c r="AI84" s="1778"/>
      <c r="AJ84" s="3515"/>
      <c r="AK84" s="1777"/>
      <c r="AL84" s="1777"/>
      <c r="AM84" s="1778"/>
      <c r="AN84" s="469" t="str">
        <f>IF('Project Overview'!$AL$328="Yes","P","O")</f>
        <v>O</v>
      </c>
    </row>
    <row r="85" spans="1:47" ht="18" hidden="1" customHeight="1">
      <c r="B85" s="3794"/>
      <c r="C85" s="3797"/>
      <c r="D85" s="3797"/>
      <c r="E85" s="3786" t="s">
        <v>3876</v>
      </c>
      <c r="F85" s="1777"/>
      <c r="G85" s="1777"/>
      <c r="H85" s="1777"/>
      <c r="I85" s="1777"/>
      <c r="J85" s="1777"/>
      <c r="K85" s="1777"/>
      <c r="L85" s="1777"/>
      <c r="M85" s="1778"/>
      <c r="N85" s="2136" t="s">
        <v>3877</v>
      </c>
      <c r="O85" s="1777"/>
      <c r="P85" s="1777"/>
      <c r="Q85" s="1777"/>
      <c r="R85" s="1777"/>
      <c r="S85" s="1777"/>
      <c r="T85" s="1777"/>
      <c r="U85" s="1777"/>
      <c r="V85" s="1777"/>
      <c r="W85" s="1777"/>
      <c r="X85" s="1777"/>
      <c r="Y85" s="1777"/>
      <c r="Z85" s="1777"/>
      <c r="AA85" s="1777"/>
      <c r="AB85" s="1777"/>
      <c r="AC85" s="1777"/>
      <c r="AD85" s="1777"/>
      <c r="AE85" s="1777"/>
      <c r="AF85" s="1777"/>
      <c r="AG85" s="1777"/>
      <c r="AH85" s="1777"/>
      <c r="AI85" s="1778"/>
      <c r="AJ85" s="3515"/>
      <c r="AK85" s="1777"/>
      <c r="AL85" s="1777"/>
      <c r="AM85" s="1778"/>
      <c r="AN85" s="469" t="str">
        <f>IF('Project Overview'!$AL$329="Yes","P","O")</f>
        <v>O</v>
      </c>
    </row>
    <row r="86" spans="1:47" ht="18" hidden="1" customHeight="1">
      <c r="B86" s="3794"/>
      <c r="C86" s="3797"/>
      <c r="D86" s="3797"/>
      <c r="E86" s="3786" t="s">
        <v>3878</v>
      </c>
      <c r="F86" s="1777"/>
      <c r="G86" s="1777"/>
      <c r="H86" s="1777"/>
      <c r="I86" s="1777"/>
      <c r="J86" s="1777"/>
      <c r="K86" s="1777"/>
      <c r="L86" s="1777"/>
      <c r="M86" s="1778"/>
      <c r="N86" s="2136" t="s">
        <v>3826</v>
      </c>
      <c r="O86" s="1777"/>
      <c r="P86" s="1777"/>
      <c r="Q86" s="1777"/>
      <c r="R86" s="1777"/>
      <c r="S86" s="1777"/>
      <c r="T86" s="1777"/>
      <c r="U86" s="1777"/>
      <c r="V86" s="1777"/>
      <c r="W86" s="1777"/>
      <c r="X86" s="1777"/>
      <c r="Y86" s="1777"/>
      <c r="Z86" s="1777"/>
      <c r="AA86" s="1777"/>
      <c r="AB86" s="1777"/>
      <c r="AC86" s="1777"/>
      <c r="AD86" s="1777"/>
      <c r="AE86" s="1777"/>
      <c r="AF86" s="1777"/>
      <c r="AG86" s="1777"/>
      <c r="AH86" s="1777"/>
      <c r="AI86" s="1778"/>
      <c r="AJ86" s="3515"/>
      <c r="AK86" s="1777"/>
      <c r="AL86" s="1777"/>
      <c r="AM86" s="1778"/>
      <c r="AN86" s="469" t="str">
        <f>IF('Project Overview'!$AL$330="Yes","P","O")</f>
        <v>O</v>
      </c>
    </row>
    <row r="87" spans="1:47" ht="18" hidden="1" customHeight="1">
      <c r="B87" s="3794"/>
      <c r="C87" s="3797"/>
      <c r="D87" s="3797"/>
      <c r="E87" s="3786" t="s">
        <v>3879</v>
      </c>
      <c r="F87" s="1777"/>
      <c r="G87" s="1777"/>
      <c r="H87" s="1777"/>
      <c r="I87" s="1777"/>
      <c r="J87" s="1777"/>
      <c r="K87" s="1777"/>
      <c r="L87" s="1777"/>
      <c r="M87" s="1778"/>
      <c r="N87" s="2136" t="s">
        <v>3837</v>
      </c>
      <c r="O87" s="1777"/>
      <c r="P87" s="1777"/>
      <c r="Q87" s="1777"/>
      <c r="R87" s="1777"/>
      <c r="S87" s="1777"/>
      <c r="T87" s="1777"/>
      <c r="U87" s="1777"/>
      <c r="V87" s="1777"/>
      <c r="W87" s="1777"/>
      <c r="X87" s="1777"/>
      <c r="Y87" s="1777"/>
      <c r="Z87" s="1777"/>
      <c r="AA87" s="1777"/>
      <c r="AB87" s="1777"/>
      <c r="AC87" s="1777"/>
      <c r="AD87" s="1777"/>
      <c r="AE87" s="1777"/>
      <c r="AF87" s="1777"/>
      <c r="AG87" s="1777"/>
      <c r="AH87" s="1777"/>
      <c r="AI87" s="1778"/>
      <c r="AJ87" s="3515"/>
      <c r="AK87" s="1777"/>
      <c r="AL87" s="1777"/>
      <c r="AM87" s="1778"/>
      <c r="AN87" s="469" t="str">
        <f>IF('Project Overview'!$AL$331="Yes","P","O")</f>
        <v>O</v>
      </c>
    </row>
    <row r="88" spans="1:47" ht="18" hidden="1" customHeight="1">
      <c r="B88" s="3794"/>
      <c r="C88" s="3797"/>
      <c r="D88" s="3797"/>
      <c r="E88" s="3786" t="s">
        <v>3880</v>
      </c>
      <c r="F88" s="1777"/>
      <c r="G88" s="1777"/>
      <c r="H88" s="1777"/>
      <c r="I88" s="1777"/>
      <c r="J88" s="1777"/>
      <c r="K88" s="1777"/>
      <c r="L88" s="1777"/>
      <c r="M88" s="1778"/>
      <c r="N88" s="2136" t="s">
        <v>3830</v>
      </c>
      <c r="O88" s="1777"/>
      <c r="P88" s="1777"/>
      <c r="Q88" s="1777"/>
      <c r="R88" s="1777"/>
      <c r="S88" s="1777"/>
      <c r="T88" s="1777"/>
      <c r="U88" s="1777"/>
      <c r="V88" s="1777"/>
      <c r="W88" s="1777"/>
      <c r="X88" s="1777"/>
      <c r="Y88" s="1777"/>
      <c r="Z88" s="1777"/>
      <c r="AA88" s="1777"/>
      <c r="AB88" s="1777"/>
      <c r="AC88" s="1777"/>
      <c r="AD88" s="1777"/>
      <c r="AE88" s="1777"/>
      <c r="AF88" s="1777"/>
      <c r="AG88" s="1777"/>
      <c r="AH88" s="1777"/>
      <c r="AI88" s="1778"/>
      <c r="AJ88" s="3515"/>
      <c r="AK88" s="1777"/>
      <c r="AL88" s="1777"/>
      <c r="AM88" s="1778"/>
      <c r="AN88" s="469" t="str">
        <f>IF('Project Overview'!$AL$332="Yes","P","O")</f>
        <v>O</v>
      </c>
    </row>
    <row r="89" spans="1:47" ht="18" hidden="1" customHeight="1">
      <c r="B89" s="3799" t="s">
        <v>769</v>
      </c>
      <c r="C89" s="3797"/>
      <c r="D89" s="3797"/>
      <c r="E89" s="2015"/>
      <c r="F89" s="2015"/>
      <c r="G89" s="2015"/>
      <c r="H89" s="2015"/>
      <c r="I89" s="2015"/>
      <c r="J89" s="2015"/>
      <c r="K89" s="2015"/>
      <c r="L89" s="2015"/>
      <c r="M89" s="2015"/>
      <c r="N89" s="1455"/>
      <c r="O89" s="1455"/>
      <c r="P89" s="1455"/>
      <c r="Q89" s="1455"/>
      <c r="R89" s="1455"/>
      <c r="S89" s="1455"/>
      <c r="T89" s="1455"/>
      <c r="U89" s="1455"/>
      <c r="V89" s="1455"/>
      <c r="W89" s="1455"/>
      <c r="X89" s="1455"/>
      <c r="Y89" s="1455"/>
      <c r="Z89" s="1455"/>
      <c r="AA89" s="1455"/>
      <c r="AB89" s="1455"/>
      <c r="AC89" s="1455"/>
      <c r="AD89" s="1455"/>
      <c r="AE89" s="1455"/>
      <c r="AF89" s="1455"/>
      <c r="AG89" s="1455"/>
      <c r="AH89" s="1455"/>
      <c r="AI89" s="1455"/>
      <c r="AJ89" s="1581"/>
      <c r="AK89" s="1581"/>
      <c r="AL89" s="1581"/>
      <c r="AM89" s="1581"/>
    </row>
    <row r="90" spans="1:47" ht="18" hidden="1" customHeight="1">
      <c r="B90" s="3794"/>
      <c r="C90" s="3797"/>
      <c r="D90" s="3797"/>
      <c r="E90" s="3786" t="s">
        <v>3881</v>
      </c>
      <c r="F90" s="1777"/>
      <c r="G90" s="1777"/>
      <c r="H90" s="1777"/>
      <c r="I90" s="1777"/>
      <c r="J90" s="1777"/>
      <c r="K90" s="1777"/>
      <c r="L90" s="1777"/>
      <c r="M90" s="1778"/>
      <c r="N90" s="3846" t="s">
        <v>758</v>
      </c>
      <c r="O90" s="1777"/>
      <c r="P90" s="1777"/>
      <c r="Q90" s="1777"/>
      <c r="R90" s="1777"/>
      <c r="S90" s="1777"/>
      <c r="T90" s="1777"/>
      <c r="U90" s="1777"/>
      <c r="V90" s="1777"/>
      <c r="W90" s="1777"/>
      <c r="X90" s="1777"/>
      <c r="Y90" s="1777"/>
      <c r="Z90" s="1777"/>
      <c r="AA90" s="1777"/>
      <c r="AB90" s="1777"/>
      <c r="AC90" s="1777"/>
      <c r="AD90" s="1777"/>
      <c r="AE90" s="1777"/>
      <c r="AF90" s="1777"/>
      <c r="AG90" s="1777"/>
      <c r="AH90" s="1777"/>
      <c r="AI90" s="1778"/>
      <c r="AJ90" s="3515"/>
      <c r="AK90" s="1777"/>
      <c r="AL90" s="1777"/>
      <c r="AM90" s="1778"/>
      <c r="AN90" s="469" t="str">
        <f>IF('Project Overview'!$AL$335="Yes","P","O")</f>
        <v>O</v>
      </c>
    </row>
    <row r="91" spans="1:47" ht="18" hidden="1" customHeight="1">
      <c r="B91" s="3794"/>
      <c r="C91" s="3797"/>
      <c r="D91" s="3797"/>
      <c r="E91" s="3786" t="s">
        <v>3882</v>
      </c>
      <c r="F91" s="1777"/>
      <c r="G91" s="1777"/>
      <c r="H91" s="1777"/>
      <c r="I91" s="1777"/>
      <c r="J91" s="1777"/>
      <c r="K91" s="1777"/>
      <c r="L91" s="1777"/>
      <c r="M91" s="1778"/>
      <c r="N91" s="3829" t="s">
        <v>3837</v>
      </c>
      <c r="O91" s="1777"/>
      <c r="P91" s="1777"/>
      <c r="Q91" s="1777"/>
      <c r="R91" s="1777"/>
      <c r="S91" s="1777"/>
      <c r="T91" s="1777"/>
      <c r="U91" s="1777"/>
      <c r="V91" s="1777"/>
      <c r="W91" s="1777"/>
      <c r="X91" s="1777"/>
      <c r="Y91" s="1777"/>
      <c r="Z91" s="1777"/>
      <c r="AA91" s="1777"/>
      <c r="AB91" s="1777"/>
      <c r="AC91" s="1777"/>
      <c r="AD91" s="1777"/>
      <c r="AE91" s="1777"/>
      <c r="AF91" s="1777"/>
      <c r="AG91" s="1777"/>
      <c r="AH91" s="1777"/>
      <c r="AI91" s="1778"/>
      <c r="AJ91" s="3515"/>
      <c r="AK91" s="1777"/>
      <c r="AL91" s="1777"/>
      <c r="AM91" s="1778"/>
      <c r="AN91" s="469" t="str">
        <f>IF('Project Overview'!$AL$336="Yes","P","O")</f>
        <v>O</v>
      </c>
    </row>
    <row r="92" spans="1:47" ht="18" hidden="1" customHeight="1">
      <c r="B92" s="3794"/>
      <c r="C92" s="3797"/>
      <c r="D92" s="3797"/>
      <c r="E92" s="3786" t="s">
        <v>3883</v>
      </c>
      <c r="F92" s="1777"/>
      <c r="G92" s="1777"/>
      <c r="H92" s="1777"/>
      <c r="I92" s="1777"/>
      <c r="J92" s="1777"/>
      <c r="K92" s="1777"/>
      <c r="L92" s="1777"/>
      <c r="M92" s="1778"/>
      <c r="N92" s="3829" t="s">
        <v>3884</v>
      </c>
      <c r="O92" s="1777"/>
      <c r="P92" s="1777"/>
      <c r="Q92" s="1777"/>
      <c r="R92" s="1777"/>
      <c r="S92" s="1777"/>
      <c r="T92" s="1777"/>
      <c r="U92" s="1777"/>
      <c r="V92" s="1777"/>
      <c r="W92" s="1777"/>
      <c r="X92" s="1777"/>
      <c r="Y92" s="1777"/>
      <c r="Z92" s="1777"/>
      <c r="AA92" s="1777"/>
      <c r="AB92" s="1777"/>
      <c r="AC92" s="1777"/>
      <c r="AD92" s="1777"/>
      <c r="AE92" s="1777"/>
      <c r="AF92" s="1777"/>
      <c r="AG92" s="1777"/>
      <c r="AH92" s="1777"/>
      <c r="AI92" s="1778"/>
      <c r="AJ92" s="3515"/>
      <c r="AK92" s="1777"/>
      <c r="AL92" s="1777"/>
      <c r="AM92" s="1778"/>
      <c r="AN92" s="469" t="str">
        <f>IF('Project Overview'!$AL$337="Yes","P","O")</f>
        <v>O</v>
      </c>
    </row>
    <row r="93" spans="1:47" ht="36" hidden="1" customHeight="1">
      <c r="B93" s="3794"/>
      <c r="C93" s="3797"/>
      <c r="D93" s="3797"/>
      <c r="E93" s="3786" t="s">
        <v>3885</v>
      </c>
      <c r="F93" s="1777"/>
      <c r="G93" s="1777"/>
      <c r="H93" s="1777"/>
      <c r="I93" s="1777"/>
      <c r="J93" s="1777"/>
      <c r="K93" s="1777"/>
      <c r="L93" s="1777"/>
      <c r="M93" s="1778"/>
      <c r="N93" s="3825" t="s">
        <v>3822</v>
      </c>
      <c r="O93" s="1777"/>
      <c r="P93" s="1777"/>
      <c r="Q93" s="1777"/>
      <c r="R93" s="1777"/>
      <c r="S93" s="1777"/>
      <c r="T93" s="1777"/>
      <c r="U93" s="1777"/>
      <c r="V93" s="1777"/>
      <c r="W93" s="1777"/>
      <c r="X93" s="1777"/>
      <c r="Y93" s="1777"/>
      <c r="Z93" s="1777"/>
      <c r="AA93" s="1777"/>
      <c r="AB93" s="1777"/>
      <c r="AC93" s="1777"/>
      <c r="AD93" s="1777"/>
      <c r="AE93" s="1777"/>
      <c r="AF93" s="1777"/>
      <c r="AG93" s="1777"/>
      <c r="AH93" s="1777"/>
      <c r="AI93" s="1778"/>
      <c r="AJ93" s="3515"/>
      <c r="AK93" s="1777"/>
      <c r="AL93" s="1777"/>
      <c r="AM93" s="1778"/>
      <c r="AN93" s="469" t="str">
        <f>IF('Project Overview'!$AL$338="Yes","P","O")</f>
        <v>O</v>
      </c>
    </row>
    <row r="94" spans="1:47" ht="18" hidden="1" customHeight="1">
      <c r="B94" s="3794"/>
      <c r="C94" s="3797"/>
      <c r="D94" s="3797"/>
      <c r="E94" s="3786" t="s">
        <v>3886</v>
      </c>
      <c r="F94" s="1777"/>
      <c r="G94" s="1777"/>
      <c r="H94" s="1777"/>
      <c r="I94" s="1777"/>
      <c r="J94" s="1777"/>
      <c r="K94" s="1777"/>
      <c r="L94" s="1777"/>
      <c r="M94" s="1778"/>
      <c r="N94" s="3646" t="s">
        <v>3826</v>
      </c>
      <c r="O94" s="1777"/>
      <c r="P94" s="1777"/>
      <c r="Q94" s="1777"/>
      <c r="R94" s="1777"/>
      <c r="S94" s="1777"/>
      <c r="T94" s="1777"/>
      <c r="U94" s="1777"/>
      <c r="V94" s="1777"/>
      <c r="W94" s="1777"/>
      <c r="X94" s="1777"/>
      <c r="Y94" s="1777"/>
      <c r="Z94" s="1777"/>
      <c r="AA94" s="1777"/>
      <c r="AB94" s="1777"/>
      <c r="AC94" s="1777"/>
      <c r="AD94" s="1777"/>
      <c r="AE94" s="1777"/>
      <c r="AF94" s="1777"/>
      <c r="AG94" s="1777"/>
      <c r="AH94" s="1777"/>
      <c r="AI94" s="1778"/>
      <c r="AJ94" s="3515"/>
      <c r="AK94" s="1777"/>
      <c r="AL94" s="1777"/>
      <c r="AM94" s="1778"/>
      <c r="AN94" s="469" t="str">
        <f>IF('Project Overview'!$AL$339="Yes","P","O")</f>
        <v>O</v>
      </c>
    </row>
    <row r="95" spans="1:47" ht="18" hidden="1" customHeight="1">
      <c r="B95" s="3794"/>
      <c r="C95" s="3797"/>
      <c r="D95" s="3797"/>
      <c r="E95" s="3786" t="s">
        <v>3887</v>
      </c>
      <c r="F95" s="1777"/>
      <c r="G95" s="1777"/>
      <c r="H95" s="1777"/>
      <c r="I95" s="1777"/>
      <c r="J95" s="1777"/>
      <c r="K95" s="1777"/>
      <c r="L95" s="1777"/>
      <c r="M95" s="1778"/>
      <c r="N95" s="3646" t="s">
        <v>3830</v>
      </c>
      <c r="O95" s="1777"/>
      <c r="P95" s="1777"/>
      <c r="Q95" s="1777"/>
      <c r="R95" s="1777"/>
      <c r="S95" s="1777"/>
      <c r="T95" s="1777"/>
      <c r="U95" s="1777"/>
      <c r="V95" s="1777"/>
      <c r="W95" s="1777"/>
      <c r="X95" s="1777"/>
      <c r="Y95" s="1777"/>
      <c r="Z95" s="1777"/>
      <c r="AA95" s="1777"/>
      <c r="AB95" s="1777"/>
      <c r="AC95" s="1777"/>
      <c r="AD95" s="1777"/>
      <c r="AE95" s="1777"/>
      <c r="AF95" s="1777"/>
      <c r="AG95" s="1777"/>
      <c r="AH95" s="1777"/>
      <c r="AI95" s="1778"/>
      <c r="AJ95" s="3515"/>
      <c r="AK95" s="1777"/>
      <c r="AL95" s="1777"/>
      <c r="AM95" s="1778"/>
      <c r="AN95" s="469" t="str">
        <f>IF('Project Overview'!$AL$340="Yes","P","O")</f>
        <v>O</v>
      </c>
    </row>
    <row r="96" spans="1:47" s="4" customFormat="1" ht="18" hidden="1" customHeight="1">
      <c r="A96" s="578"/>
      <c r="B96" s="3799" t="s">
        <v>770</v>
      </c>
      <c r="C96" s="3295"/>
      <c r="D96" s="3295"/>
      <c r="E96" s="3295"/>
      <c r="F96" s="3295"/>
      <c r="G96" s="3295"/>
      <c r="H96" s="3295"/>
      <c r="I96" s="3295"/>
      <c r="J96" s="3295"/>
      <c r="K96" s="3295"/>
      <c r="L96" s="3295"/>
      <c r="M96" s="3295"/>
      <c r="N96" s="1454"/>
      <c r="O96" s="1454"/>
      <c r="P96" s="1454"/>
      <c r="Q96" s="1454"/>
      <c r="R96" s="1454"/>
      <c r="S96" s="1454"/>
      <c r="T96" s="1454"/>
      <c r="U96" s="1454"/>
      <c r="V96" s="1454"/>
      <c r="W96" s="1454"/>
      <c r="X96" s="1454"/>
      <c r="Y96" s="1454"/>
      <c r="Z96" s="1454"/>
      <c r="AA96" s="1454"/>
      <c r="AB96" s="1454"/>
      <c r="AC96" s="1454"/>
      <c r="AD96" s="1454"/>
      <c r="AE96" s="1454"/>
      <c r="AF96" s="1454"/>
      <c r="AG96" s="1454"/>
      <c r="AH96" s="1454"/>
      <c r="AI96" s="1454"/>
      <c r="AJ96" s="1580"/>
      <c r="AK96" s="1580"/>
      <c r="AL96" s="1580"/>
      <c r="AM96" s="1580"/>
      <c r="AS96" s="454"/>
      <c r="AT96" s="454"/>
      <c r="AU96" s="454"/>
    </row>
    <row r="97" spans="1:54" ht="60" customHeight="1">
      <c r="B97" s="3794" t="s">
        <v>3888</v>
      </c>
      <c r="C97" s="3797"/>
      <c r="D97" s="3797"/>
      <c r="E97" s="2391" t="s">
        <v>3889</v>
      </c>
      <c r="F97" s="3822"/>
      <c r="G97" s="3822"/>
      <c r="H97" s="3822"/>
      <c r="I97" s="3822"/>
      <c r="J97" s="3822"/>
      <c r="K97" s="3822"/>
      <c r="L97" s="3822"/>
      <c r="M97" s="3823"/>
      <c r="N97" s="3798" t="s">
        <v>3890</v>
      </c>
      <c r="O97" s="1966"/>
      <c r="P97" s="1966"/>
      <c r="Q97" s="1966"/>
      <c r="R97" s="1966"/>
      <c r="S97" s="1966"/>
      <c r="T97" s="1966"/>
      <c r="U97" s="1966"/>
      <c r="V97" s="1966"/>
      <c r="W97" s="1966"/>
      <c r="X97" s="1966"/>
      <c r="Y97" s="1966"/>
      <c r="Z97" s="1966"/>
      <c r="AA97" s="1966"/>
      <c r="AB97" s="1966"/>
      <c r="AC97" s="1966"/>
      <c r="AD97" s="1966"/>
      <c r="AE97" s="1966"/>
      <c r="AF97" s="1966"/>
      <c r="AG97" s="1966"/>
      <c r="AH97" s="1966"/>
      <c r="AI97" s="2060"/>
      <c r="AJ97" s="3515" t="str">
        <f>IF('Project Overview'!AL360="","",'Project Overview'!AL360)</f>
        <v/>
      </c>
      <c r="AK97" s="1777"/>
      <c r="AL97" s="1777"/>
      <c r="AM97" s="1778"/>
      <c r="AN97" s="469" t="str">
        <f>IF('Project Overview'!$AL$360="Yes","P","O")</f>
        <v>O</v>
      </c>
      <c r="AO97" s="14"/>
      <c r="AP97" s="3800"/>
      <c r="AQ97" s="3800"/>
      <c r="AR97" s="3800"/>
      <c r="AS97" s="3800"/>
      <c r="AT97" s="3800"/>
      <c r="AU97" s="3800"/>
      <c r="AV97" s="3800"/>
      <c r="AW97" s="3800"/>
      <c r="AX97" s="3800"/>
      <c r="AY97" s="3800"/>
      <c r="AZ97" s="3800"/>
      <c r="BA97" s="3800"/>
      <c r="BB97" s="3800"/>
    </row>
    <row r="98" spans="1:54" ht="48" customHeight="1">
      <c r="B98" s="3794"/>
      <c r="C98" s="3797"/>
      <c r="D98" s="3797"/>
      <c r="E98" s="3816" t="s">
        <v>3891</v>
      </c>
      <c r="F98" s="1966"/>
      <c r="G98" s="1966"/>
      <c r="H98" s="1966"/>
      <c r="I98" s="1966"/>
      <c r="J98" s="1966"/>
      <c r="K98" s="1966"/>
      <c r="L98" s="1966"/>
      <c r="M98" s="2060"/>
      <c r="N98" s="3798" t="s">
        <v>3892</v>
      </c>
      <c r="O98" s="1966"/>
      <c r="P98" s="1966"/>
      <c r="Q98" s="1966"/>
      <c r="R98" s="1966"/>
      <c r="S98" s="1966"/>
      <c r="T98" s="1966"/>
      <c r="U98" s="1966"/>
      <c r="V98" s="1966"/>
      <c r="W98" s="1966"/>
      <c r="X98" s="1966"/>
      <c r="Y98" s="1966"/>
      <c r="Z98" s="1966"/>
      <c r="AA98" s="1966"/>
      <c r="AB98" s="1966"/>
      <c r="AC98" s="1966"/>
      <c r="AD98" s="1966"/>
      <c r="AE98" s="1966"/>
      <c r="AF98" s="1966"/>
      <c r="AG98" s="1966"/>
      <c r="AH98" s="1966"/>
      <c r="AI98" s="2060"/>
      <c r="AJ98" s="3515" t="str">
        <f>IF('Project Overview'!AL361="","",'Project Overview'!AL361)</f>
        <v/>
      </c>
      <c r="AK98" s="1777"/>
      <c r="AL98" s="1777"/>
      <c r="AM98" s="1778"/>
      <c r="AN98" s="469" t="str">
        <f>IF('Project Overview'!$AL$361="Yes","P","O")</f>
        <v>O</v>
      </c>
    </row>
    <row r="99" spans="1:54" ht="36" hidden="1" customHeight="1">
      <c r="B99" s="3794"/>
      <c r="C99" s="3797"/>
      <c r="D99" s="3797"/>
      <c r="E99" s="3817" t="s">
        <v>3893</v>
      </c>
      <c r="F99" s="1777"/>
      <c r="G99" s="1777"/>
      <c r="H99" s="1777"/>
      <c r="I99" s="1777"/>
      <c r="J99" s="1777"/>
      <c r="K99" s="1777"/>
      <c r="L99" s="1777"/>
      <c r="M99" s="1778"/>
      <c r="N99" s="2179" t="s">
        <v>3894</v>
      </c>
      <c r="O99" s="1777"/>
      <c r="P99" s="1777"/>
      <c r="Q99" s="1777"/>
      <c r="R99" s="1777"/>
      <c r="S99" s="1777"/>
      <c r="T99" s="1777"/>
      <c r="U99" s="1777"/>
      <c r="V99" s="1777"/>
      <c r="W99" s="1777"/>
      <c r="X99" s="1777"/>
      <c r="Y99" s="1777"/>
      <c r="Z99" s="1777"/>
      <c r="AA99" s="1777"/>
      <c r="AB99" s="1777"/>
      <c r="AC99" s="1777"/>
      <c r="AD99" s="1777"/>
      <c r="AE99" s="1777"/>
      <c r="AF99" s="1777"/>
      <c r="AG99" s="1777"/>
      <c r="AH99" s="1777"/>
      <c r="AI99" s="1778"/>
      <c r="AJ99" s="3515"/>
      <c r="AK99" s="1777"/>
      <c r="AL99" s="1777"/>
      <c r="AM99" s="1778"/>
      <c r="AN99" s="469" t="str">
        <f>IF('Project Overview'!$AL$362="Yes","P","O")</f>
        <v>O</v>
      </c>
      <c r="AO99" s="1534"/>
    </row>
    <row r="100" spans="1:54" s="4" customFormat="1" ht="18" hidden="1" customHeight="1">
      <c r="A100" s="578"/>
      <c r="B100" s="3799" t="s">
        <v>987</v>
      </c>
      <c r="C100" s="3295"/>
      <c r="D100" s="3295"/>
      <c r="E100" s="3295"/>
      <c r="F100" s="3295"/>
      <c r="G100" s="3295"/>
      <c r="H100" s="3295"/>
      <c r="I100" s="3295"/>
      <c r="J100" s="3295"/>
      <c r="K100" s="3295"/>
      <c r="L100" s="3295"/>
      <c r="M100" s="3295"/>
      <c r="N100" s="1455"/>
      <c r="O100" s="1455"/>
      <c r="P100" s="1455"/>
      <c r="Q100" s="1455"/>
      <c r="R100" s="1455"/>
      <c r="S100" s="1455"/>
      <c r="T100" s="1455"/>
      <c r="U100" s="1455"/>
      <c r="V100" s="1455"/>
      <c r="W100" s="1455"/>
      <c r="X100" s="1455"/>
      <c r="Y100" s="1455"/>
      <c r="Z100" s="1455"/>
      <c r="AA100" s="1455"/>
      <c r="AB100" s="1455"/>
      <c r="AC100" s="1455"/>
      <c r="AD100" s="1455"/>
      <c r="AE100" s="1455"/>
      <c r="AF100" s="1455"/>
      <c r="AG100" s="1455"/>
      <c r="AH100" s="1455"/>
      <c r="AI100" s="1455"/>
      <c r="AJ100" s="1581"/>
      <c r="AK100" s="1581"/>
      <c r="AL100" s="1581"/>
      <c r="AM100" s="1581"/>
      <c r="AS100" s="454"/>
      <c r="AT100" s="454"/>
      <c r="AU100" s="454"/>
    </row>
    <row r="101" spans="1:54" ht="18" hidden="1" customHeight="1">
      <c r="B101" s="3794"/>
      <c r="C101" s="3797"/>
      <c r="D101" s="3797"/>
      <c r="E101" s="3786" t="s">
        <v>3895</v>
      </c>
      <c r="F101" s="1777"/>
      <c r="G101" s="1777"/>
      <c r="H101" s="1777"/>
      <c r="I101" s="1777"/>
      <c r="J101" s="1777"/>
      <c r="K101" s="1777"/>
      <c r="L101" s="1777"/>
      <c r="M101" s="1778"/>
      <c r="N101" s="2136" t="s">
        <v>3896</v>
      </c>
      <c r="O101" s="1777"/>
      <c r="P101" s="1777"/>
      <c r="Q101" s="1777"/>
      <c r="R101" s="1777"/>
      <c r="S101" s="1777"/>
      <c r="T101" s="1777"/>
      <c r="U101" s="1777"/>
      <c r="V101" s="1777"/>
      <c r="W101" s="1777"/>
      <c r="X101" s="1777"/>
      <c r="Y101" s="1777"/>
      <c r="Z101" s="1777"/>
      <c r="AA101" s="1777"/>
      <c r="AB101" s="1777"/>
      <c r="AC101" s="1777"/>
      <c r="AD101" s="1777"/>
      <c r="AE101" s="1777"/>
      <c r="AF101" s="1777"/>
      <c r="AG101" s="1777"/>
      <c r="AH101" s="1777"/>
      <c r="AI101" s="1778"/>
      <c r="AJ101" s="3515"/>
      <c r="AK101" s="1777"/>
      <c r="AL101" s="1777"/>
      <c r="AM101" s="1778"/>
      <c r="AN101" s="469" t="str">
        <f>IF('Project Overview'!$AL$495="Yes","P","O")</f>
        <v>O</v>
      </c>
    </row>
    <row r="102" spans="1:54" ht="18" hidden="1" customHeight="1">
      <c r="B102" s="3799" t="s">
        <v>3897</v>
      </c>
      <c r="C102" s="3797"/>
      <c r="D102" s="3797"/>
      <c r="E102" s="2015"/>
      <c r="F102" s="2015"/>
      <c r="G102" s="2015"/>
      <c r="H102" s="2015"/>
      <c r="I102" s="2015"/>
      <c r="J102" s="2015"/>
      <c r="K102" s="2015"/>
      <c r="L102" s="2015"/>
      <c r="M102" s="2015"/>
      <c r="N102" s="1003"/>
      <c r="O102" s="1003"/>
      <c r="P102" s="1003"/>
      <c r="Q102" s="1003"/>
      <c r="R102" s="1003"/>
      <c r="S102" s="1003"/>
      <c r="T102" s="1003"/>
      <c r="U102" s="1003"/>
      <c r="V102" s="1003"/>
      <c r="W102" s="1003"/>
      <c r="X102" s="1003"/>
      <c r="Y102" s="1003"/>
      <c r="Z102" s="1003"/>
      <c r="AA102" s="1003"/>
      <c r="AB102" s="1003"/>
      <c r="AC102" s="1003"/>
      <c r="AD102" s="1003"/>
      <c r="AE102" s="1003"/>
      <c r="AF102" s="1003"/>
      <c r="AG102" s="1003"/>
      <c r="AH102" s="1003"/>
      <c r="AI102" s="1003"/>
      <c r="AJ102" s="1582"/>
      <c r="AK102" s="1582"/>
      <c r="AL102" s="1582"/>
      <c r="AM102" s="1582"/>
      <c r="AN102" s="72"/>
    </row>
    <row r="103" spans="1:54" ht="65.099999999999994" hidden="1" customHeight="1">
      <c r="B103" s="3794"/>
      <c r="C103" s="3797"/>
      <c r="D103" s="3797"/>
      <c r="E103" s="3803" t="s">
        <v>3898</v>
      </c>
      <c r="F103" s="1777"/>
      <c r="G103" s="1777"/>
      <c r="H103" s="1777"/>
      <c r="I103" s="1777"/>
      <c r="J103" s="1777"/>
      <c r="K103" s="1777"/>
      <c r="L103" s="1777"/>
      <c r="M103" s="1778"/>
      <c r="N103" s="2136" t="s">
        <v>3899</v>
      </c>
      <c r="O103" s="1777"/>
      <c r="P103" s="1777"/>
      <c r="Q103" s="1777"/>
      <c r="R103" s="1777"/>
      <c r="S103" s="1777"/>
      <c r="T103" s="1777"/>
      <c r="U103" s="1777"/>
      <c r="V103" s="1777"/>
      <c r="W103" s="1777"/>
      <c r="X103" s="1777"/>
      <c r="Y103" s="1777"/>
      <c r="Z103" s="1777"/>
      <c r="AA103" s="1777"/>
      <c r="AB103" s="1777"/>
      <c r="AC103" s="1777"/>
      <c r="AD103" s="1777"/>
      <c r="AE103" s="1777"/>
      <c r="AF103" s="1777"/>
      <c r="AG103" s="1777"/>
      <c r="AH103" s="1777"/>
      <c r="AI103" s="1778"/>
      <c r="AJ103" s="3515"/>
      <c r="AK103" s="1777"/>
      <c r="AL103" s="1777"/>
      <c r="AM103" s="1778"/>
      <c r="AN103" s="469" t="str">
        <f>IF('Project Overview'!$AL$508="Yes","P","O")</f>
        <v>O</v>
      </c>
    </row>
    <row r="104" spans="1:54" ht="18" hidden="1" customHeight="1">
      <c r="B104" s="3794"/>
      <c r="C104" s="3797"/>
      <c r="D104" s="3797"/>
      <c r="E104" s="3803" t="s">
        <v>3900</v>
      </c>
      <c r="F104" s="1777"/>
      <c r="G104" s="1777"/>
      <c r="H104" s="1777"/>
      <c r="I104" s="1777"/>
      <c r="J104" s="1777"/>
      <c r="K104" s="1777"/>
      <c r="L104" s="1777"/>
      <c r="M104" s="1778"/>
      <c r="N104" s="2136" t="s">
        <v>3901</v>
      </c>
      <c r="O104" s="1777"/>
      <c r="P104" s="1777"/>
      <c r="Q104" s="1777"/>
      <c r="R104" s="1777"/>
      <c r="S104" s="1777"/>
      <c r="T104" s="1777"/>
      <c r="U104" s="1777"/>
      <c r="V104" s="1777"/>
      <c r="W104" s="1777"/>
      <c r="X104" s="1777"/>
      <c r="Y104" s="1777"/>
      <c r="Z104" s="1777"/>
      <c r="AA104" s="1777"/>
      <c r="AB104" s="1777"/>
      <c r="AC104" s="1777"/>
      <c r="AD104" s="1777"/>
      <c r="AE104" s="1777"/>
      <c r="AF104" s="1777"/>
      <c r="AG104" s="1777"/>
      <c r="AH104" s="1777"/>
      <c r="AI104" s="1778"/>
      <c r="AJ104" s="3515"/>
      <c r="AK104" s="1777"/>
      <c r="AL104" s="1777"/>
      <c r="AM104" s="1778"/>
      <c r="AN104" s="469" t="str">
        <f>IF('Project Overview'!$AL$509="Yes","P","O")</f>
        <v>O</v>
      </c>
    </row>
    <row r="105" spans="1:54" ht="18" hidden="1" customHeight="1">
      <c r="B105" s="3794"/>
      <c r="C105" s="3797"/>
      <c r="D105" s="3797"/>
      <c r="E105" s="3803" t="s">
        <v>3902</v>
      </c>
      <c r="F105" s="1777"/>
      <c r="G105" s="1777"/>
      <c r="H105" s="1777"/>
      <c r="I105" s="1777"/>
      <c r="J105" s="1777"/>
      <c r="K105" s="1777"/>
      <c r="L105" s="1777"/>
      <c r="M105" s="1778"/>
      <c r="N105" s="3814" t="s">
        <v>3903</v>
      </c>
      <c r="O105" s="1777"/>
      <c r="P105" s="1777"/>
      <c r="Q105" s="1777"/>
      <c r="R105" s="1777"/>
      <c r="S105" s="1777"/>
      <c r="T105" s="1777"/>
      <c r="U105" s="1777"/>
      <c r="V105" s="1777"/>
      <c r="W105" s="1777"/>
      <c r="X105" s="1777"/>
      <c r="Y105" s="1777"/>
      <c r="Z105" s="1777"/>
      <c r="AA105" s="1777"/>
      <c r="AB105" s="1777"/>
      <c r="AC105" s="1777"/>
      <c r="AD105" s="1777"/>
      <c r="AE105" s="1777"/>
      <c r="AF105" s="1777"/>
      <c r="AG105" s="1777"/>
      <c r="AH105" s="1777"/>
      <c r="AI105" s="1778"/>
      <c r="AJ105" s="3515"/>
      <c r="AK105" s="1777"/>
      <c r="AL105" s="1777"/>
      <c r="AM105" s="1778"/>
      <c r="AN105" s="469" t="str">
        <f>IF('Project Overview'!$AL$510="Yes","P","O")</f>
        <v>O</v>
      </c>
    </row>
    <row r="106" spans="1:54" ht="18" hidden="1" customHeight="1">
      <c r="B106" s="3794"/>
      <c r="C106" s="3797"/>
      <c r="D106" s="3797"/>
      <c r="E106" s="3803" t="s">
        <v>3904</v>
      </c>
      <c r="F106" s="1777"/>
      <c r="G106" s="1777"/>
      <c r="H106" s="1777"/>
      <c r="I106" s="1777"/>
      <c r="J106" s="1777"/>
      <c r="K106" s="1777"/>
      <c r="L106" s="1777"/>
      <c r="M106" s="1778"/>
      <c r="N106" s="3814" t="s">
        <v>3905</v>
      </c>
      <c r="O106" s="1777"/>
      <c r="P106" s="1777"/>
      <c r="Q106" s="1777"/>
      <c r="R106" s="1777"/>
      <c r="S106" s="1777"/>
      <c r="T106" s="1777"/>
      <c r="U106" s="1777"/>
      <c r="V106" s="1777"/>
      <c r="W106" s="1777"/>
      <c r="X106" s="1777"/>
      <c r="Y106" s="1777"/>
      <c r="Z106" s="1777"/>
      <c r="AA106" s="1777"/>
      <c r="AB106" s="1777"/>
      <c r="AC106" s="1777"/>
      <c r="AD106" s="1777"/>
      <c r="AE106" s="1777"/>
      <c r="AF106" s="1777"/>
      <c r="AG106" s="1777"/>
      <c r="AH106" s="1777"/>
      <c r="AI106" s="1778"/>
      <c r="AJ106" s="3515"/>
      <c r="AK106" s="1777"/>
      <c r="AL106" s="1777"/>
      <c r="AM106" s="1778"/>
      <c r="AN106" s="469" t="str">
        <f>IF('Project Overview'!$AL$511="Yes","P","O")</f>
        <v>O</v>
      </c>
    </row>
    <row r="107" spans="1:54" ht="18" hidden="1" customHeight="1">
      <c r="B107" s="3794"/>
      <c r="C107" s="3797"/>
      <c r="D107" s="3797"/>
      <c r="E107" s="3803" t="s">
        <v>3906</v>
      </c>
      <c r="F107" s="1777"/>
      <c r="G107" s="1777"/>
      <c r="H107" s="1777"/>
      <c r="I107" s="1777"/>
      <c r="J107" s="1777"/>
      <c r="K107" s="1777"/>
      <c r="L107" s="1777"/>
      <c r="M107" s="1778"/>
      <c r="N107" s="3814" t="s">
        <v>3907</v>
      </c>
      <c r="O107" s="1777"/>
      <c r="P107" s="1777"/>
      <c r="Q107" s="1777"/>
      <c r="R107" s="1777"/>
      <c r="S107" s="1777"/>
      <c r="T107" s="1777"/>
      <c r="U107" s="1777"/>
      <c r="V107" s="1777"/>
      <c r="W107" s="1777"/>
      <c r="X107" s="1777"/>
      <c r="Y107" s="1777"/>
      <c r="Z107" s="1777"/>
      <c r="AA107" s="1777"/>
      <c r="AB107" s="1777"/>
      <c r="AC107" s="1777"/>
      <c r="AD107" s="1777"/>
      <c r="AE107" s="1777"/>
      <c r="AF107" s="1777"/>
      <c r="AG107" s="1777"/>
      <c r="AH107" s="1777"/>
      <c r="AI107" s="1778"/>
      <c r="AJ107" s="3515"/>
      <c r="AK107" s="1777"/>
      <c r="AL107" s="1777"/>
      <c r="AM107" s="1778"/>
      <c r="AN107" s="469" t="str">
        <f>IF('Project Overview'!$AL$512="Yes","P","O")</f>
        <v>O</v>
      </c>
    </row>
    <row r="108" spans="1:54" ht="18" hidden="1" customHeight="1">
      <c r="B108" s="3794"/>
      <c r="C108" s="3797"/>
      <c r="D108" s="3797"/>
      <c r="E108" s="3803" t="s">
        <v>3908</v>
      </c>
      <c r="F108" s="1777"/>
      <c r="G108" s="1777"/>
      <c r="H108" s="1777"/>
      <c r="I108" s="1777"/>
      <c r="J108" s="1777"/>
      <c r="K108" s="1777"/>
      <c r="L108" s="1777"/>
      <c r="M108" s="1778"/>
      <c r="N108" s="2136" t="s">
        <v>3909</v>
      </c>
      <c r="O108" s="1777"/>
      <c r="P108" s="1777"/>
      <c r="Q108" s="1777"/>
      <c r="R108" s="1777"/>
      <c r="S108" s="1777"/>
      <c r="T108" s="1777"/>
      <c r="U108" s="1777"/>
      <c r="V108" s="1777"/>
      <c r="W108" s="1777"/>
      <c r="X108" s="1777"/>
      <c r="Y108" s="1777"/>
      <c r="Z108" s="1777"/>
      <c r="AA108" s="1777"/>
      <c r="AB108" s="1777"/>
      <c r="AC108" s="1777"/>
      <c r="AD108" s="1777"/>
      <c r="AE108" s="1777"/>
      <c r="AF108" s="1777"/>
      <c r="AG108" s="1777"/>
      <c r="AH108" s="1777"/>
      <c r="AI108" s="1778"/>
      <c r="AJ108" s="3515"/>
      <c r="AK108" s="1777"/>
      <c r="AL108" s="1777"/>
      <c r="AM108" s="1778"/>
      <c r="AN108" s="469" t="str">
        <f>IF('Project Overview'!$AL$513="Yes","P","O")</f>
        <v>O</v>
      </c>
    </row>
    <row r="109" spans="1:54" ht="18" hidden="1" customHeight="1">
      <c r="B109" s="3802" t="s">
        <v>1004</v>
      </c>
      <c r="C109" s="3797"/>
      <c r="D109" s="3797"/>
      <c r="E109" s="2015"/>
      <c r="F109" s="2015"/>
      <c r="G109" s="2015"/>
      <c r="H109" s="2015"/>
      <c r="I109" s="2015"/>
      <c r="J109" s="2015"/>
      <c r="K109" s="2015"/>
      <c r="L109" s="2015"/>
      <c r="M109" s="2015"/>
      <c r="N109" s="1764"/>
      <c r="O109" s="1764"/>
      <c r="P109" s="1764"/>
      <c r="Q109" s="1764"/>
      <c r="R109" s="1764"/>
      <c r="S109" s="1764"/>
      <c r="T109" s="1764"/>
      <c r="U109" s="1764"/>
      <c r="V109" s="1764"/>
      <c r="W109" s="1764"/>
      <c r="X109" s="1764"/>
      <c r="Y109" s="1764"/>
      <c r="Z109" s="1764"/>
      <c r="AA109" s="1764"/>
      <c r="AB109" s="1764"/>
      <c r="AC109" s="1764"/>
      <c r="AD109" s="1764"/>
      <c r="AE109" s="1764"/>
      <c r="AF109" s="1764"/>
      <c r="AG109" s="1764"/>
      <c r="AH109" s="1764"/>
      <c r="AI109" s="1764"/>
      <c r="AJ109" s="1583"/>
      <c r="AK109" s="1583"/>
      <c r="AL109" s="1583"/>
      <c r="AM109" s="1583"/>
      <c r="AN109" s="72"/>
    </row>
    <row r="110" spans="1:54" ht="54" hidden="1" customHeight="1">
      <c r="B110" s="3794"/>
      <c r="C110" s="3797"/>
      <c r="D110" s="3797"/>
      <c r="E110" s="3786" t="s">
        <v>3910</v>
      </c>
      <c r="F110" s="1777"/>
      <c r="G110" s="1777"/>
      <c r="H110" s="1777"/>
      <c r="I110" s="1777"/>
      <c r="J110" s="1777"/>
      <c r="K110" s="1777"/>
      <c r="L110" s="1777"/>
      <c r="M110" s="1778"/>
      <c r="N110" s="2136" t="s">
        <v>3911</v>
      </c>
      <c r="O110" s="1777"/>
      <c r="P110" s="1777"/>
      <c r="Q110" s="1777"/>
      <c r="R110" s="1777"/>
      <c r="S110" s="1777"/>
      <c r="T110" s="1777"/>
      <c r="U110" s="1777"/>
      <c r="V110" s="1777"/>
      <c r="W110" s="1777"/>
      <c r="X110" s="1777"/>
      <c r="Y110" s="1777"/>
      <c r="Z110" s="1777"/>
      <c r="AA110" s="1777"/>
      <c r="AB110" s="1777"/>
      <c r="AC110" s="1777"/>
      <c r="AD110" s="1777"/>
      <c r="AE110" s="1777"/>
      <c r="AF110" s="1777"/>
      <c r="AG110" s="1777"/>
      <c r="AH110" s="1777"/>
      <c r="AI110" s="1778"/>
      <c r="AJ110" s="3515"/>
      <c r="AK110" s="1777"/>
      <c r="AL110" s="1777"/>
      <c r="AM110" s="1778"/>
      <c r="AN110" s="469" t="str">
        <f>IF('Project Overview'!$AL$520="Yes","P","O")</f>
        <v>O</v>
      </c>
    </row>
    <row r="111" spans="1:54" s="4" customFormat="1" ht="18" hidden="1" customHeight="1">
      <c r="A111" s="578"/>
      <c r="B111" s="3802" t="s">
        <v>1014</v>
      </c>
      <c r="C111" s="3295"/>
      <c r="D111" s="3295"/>
      <c r="E111" s="3295"/>
      <c r="F111" s="3295"/>
      <c r="G111" s="3295"/>
      <c r="H111" s="3295"/>
      <c r="I111" s="3295"/>
      <c r="J111" s="3295"/>
      <c r="K111" s="3295"/>
      <c r="L111" s="3295"/>
      <c r="M111" s="3295"/>
    </row>
    <row r="112" spans="1:54" s="4" customFormat="1" ht="94.5" hidden="1" customHeight="1">
      <c r="A112" s="578"/>
      <c r="E112" s="3786" t="s">
        <v>3912</v>
      </c>
      <c r="F112" s="1777"/>
      <c r="G112" s="1777"/>
      <c r="H112" s="1777"/>
      <c r="I112" s="1777"/>
      <c r="J112" s="1777"/>
      <c r="K112" s="1777"/>
      <c r="L112" s="1777"/>
      <c r="M112" s="1778"/>
      <c r="N112" s="2136" t="s">
        <v>3913</v>
      </c>
      <c r="O112" s="1777"/>
      <c r="P112" s="1777"/>
      <c r="Q112" s="1777"/>
      <c r="R112" s="1777"/>
      <c r="S112" s="1777"/>
      <c r="T112" s="1777"/>
      <c r="U112" s="1777"/>
      <c r="V112" s="1777"/>
      <c r="W112" s="1777"/>
      <c r="X112" s="1777"/>
      <c r="Y112" s="1777"/>
      <c r="Z112" s="1777"/>
      <c r="AA112" s="1777"/>
      <c r="AB112" s="1777"/>
      <c r="AC112" s="1777"/>
      <c r="AD112" s="1777"/>
      <c r="AE112" s="1777"/>
      <c r="AF112" s="1777"/>
      <c r="AG112" s="1777"/>
      <c r="AH112" s="1777"/>
      <c r="AI112" s="1778"/>
      <c r="AJ112" s="3515"/>
      <c r="AK112" s="1777"/>
      <c r="AL112" s="1777"/>
      <c r="AM112" s="1778"/>
      <c r="AN112" s="469" t="str">
        <f>IF('Project Overview'!$AL$537="Yes","P","O")</f>
        <v>O</v>
      </c>
    </row>
    <row r="113" spans="1:47" s="4" customFormat="1" ht="18" hidden="1" customHeight="1">
      <c r="A113" s="578"/>
      <c r="B113" s="3799" t="s">
        <v>1018</v>
      </c>
      <c r="C113" s="3295"/>
      <c r="D113" s="3295"/>
      <c r="E113" s="3295"/>
      <c r="F113" s="3295"/>
      <c r="G113" s="3295"/>
      <c r="H113" s="3295"/>
      <c r="I113" s="3295"/>
      <c r="J113" s="3295"/>
      <c r="K113" s="3295"/>
      <c r="L113" s="3295"/>
      <c r="M113" s="3295"/>
      <c r="N113" s="1003"/>
      <c r="O113" s="1003"/>
      <c r="P113" s="1003"/>
      <c r="Q113" s="1003"/>
      <c r="R113" s="1003"/>
      <c r="S113" s="1003"/>
      <c r="T113" s="1003"/>
      <c r="U113" s="1003"/>
      <c r="V113" s="1003"/>
      <c r="W113" s="1003"/>
      <c r="X113" s="1003"/>
      <c r="Y113" s="1003"/>
      <c r="Z113" s="1003"/>
      <c r="AA113" s="1003"/>
      <c r="AB113" s="1003"/>
      <c r="AC113" s="1003"/>
      <c r="AD113" s="1003"/>
      <c r="AE113" s="1003"/>
      <c r="AF113" s="1003"/>
      <c r="AG113" s="1003"/>
      <c r="AH113" s="1003"/>
      <c r="AI113" s="1003"/>
      <c r="AJ113" s="1582"/>
      <c r="AK113" s="1582"/>
      <c r="AL113" s="1582"/>
      <c r="AM113" s="1582"/>
      <c r="AS113" s="454"/>
      <c r="AT113" s="454"/>
      <c r="AU113" s="454"/>
    </row>
    <row r="114" spans="1:47" ht="18" hidden="1" customHeight="1">
      <c r="B114" s="3794"/>
      <c r="C114" s="3797"/>
      <c r="D114" s="3797"/>
      <c r="E114" s="3786" t="s">
        <v>3914</v>
      </c>
      <c r="F114" s="1777"/>
      <c r="G114" s="1777"/>
      <c r="H114" s="1777"/>
      <c r="I114" s="1777"/>
      <c r="J114" s="1777"/>
      <c r="K114" s="1777"/>
      <c r="L114" s="1777"/>
      <c r="M114" s="1778"/>
      <c r="N114" s="2136" t="s">
        <v>3915</v>
      </c>
      <c r="O114" s="1777"/>
      <c r="P114" s="1777"/>
      <c r="Q114" s="1777"/>
      <c r="R114" s="1777"/>
      <c r="S114" s="1777"/>
      <c r="T114" s="1777"/>
      <c r="U114" s="1777"/>
      <c r="V114" s="1777"/>
      <c r="W114" s="1777"/>
      <c r="X114" s="1777"/>
      <c r="Y114" s="1777"/>
      <c r="Z114" s="1777"/>
      <c r="AA114" s="1777"/>
      <c r="AB114" s="1777"/>
      <c r="AC114" s="1777"/>
      <c r="AD114" s="1777"/>
      <c r="AE114" s="1777"/>
      <c r="AF114" s="1777"/>
      <c r="AG114" s="1777"/>
      <c r="AH114" s="1777"/>
      <c r="AI114" s="1778"/>
      <c r="AJ114" s="3515"/>
      <c r="AK114" s="1777"/>
      <c r="AL114" s="1777"/>
      <c r="AM114" s="1778"/>
      <c r="AN114" s="469" t="str">
        <f>IF('Project Overview'!$AL$544="Yes","P","O")</f>
        <v>O</v>
      </c>
    </row>
    <row r="115" spans="1:47" s="4" customFormat="1" ht="18" hidden="1" customHeight="1">
      <c r="A115" s="578"/>
      <c r="AS115" s="454"/>
      <c r="AT115" s="454"/>
      <c r="AU115" s="454"/>
    </row>
    <row r="116" spans="1:47" s="4" customFormat="1" ht="18" hidden="1" customHeight="1">
      <c r="A116" s="578"/>
      <c r="B116" s="3801" t="s">
        <v>3916</v>
      </c>
      <c r="C116" s="1777"/>
      <c r="D116" s="1777"/>
      <c r="E116" s="1777"/>
      <c r="F116" s="1777"/>
      <c r="G116" s="1777"/>
      <c r="H116" s="1777"/>
      <c r="I116" s="1777"/>
      <c r="J116" s="1777"/>
      <c r="K116" s="1777"/>
      <c r="L116" s="1777"/>
      <c r="M116" s="1778"/>
      <c r="AS116" s="454"/>
      <c r="AT116" s="454"/>
      <c r="AU116" s="454"/>
    </row>
    <row r="117" spans="1:47" ht="108" hidden="1" customHeight="1">
      <c r="B117" s="3794"/>
      <c r="C117" s="3797"/>
      <c r="D117" s="3797"/>
      <c r="E117" s="3813" t="s">
        <v>3917</v>
      </c>
      <c r="F117" s="1877"/>
      <c r="G117" s="1877"/>
      <c r="H117" s="1877"/>
      <c r="I117" s="1877"/>
      <c r="J117" s="1877"/>
      <c r="K117" s="1877"/>
      <c r="L117" s="1877"/>
      <c r="M117" s="1772"/>
      <c r="N117" s="3832" t="s">
        <v>3918</v>
      </c>
      <c r="O117" s="1777"/>
      <c r="P117" s="1777"/>
      <c r="Q117" s="1777"/>
      <c r="R117" s="1777"/>
      <c r="S117" s="1777"/>
      <c r="T117" s="1777"/>
      <c r="U117" s="1777"/>
      <c r="V117" s="1777"/>
      <c r="W117" s="1777"/>
      <c r="X117" s="1777"/>
      <c r="Y117" s="1777"/>
      <c r="Z117" s="1777"/>
      <c r="AA117" s="1777"/>
      <c r="AB117" s="1777"/>
      <c r="AC117" s="1777"/>
      <c r="AD117" s="1777"/>
      <c r="AE117" s="1777"/>
      <c r="AF117" s="1777"/>
      <c r="AG117" s="1777"/>
      <c r="AH117" s="1777"/>
      <c r="AI117" s="1778"/>
      <c r="AJ117" s="3515"/>
      <c r="AK117" s="1777"/>
      <c r="AL117" s="1777"/>
      <c r="AM117" s="1778"/>
      <c r="AN117" s="469" t="str">
        <f>IF('Operating Budget'!$G$159="Yes","P","O")</f>
        <v>O</v>
      </c>
    </row>
    <row r="118" spans="1:47" s="4" customFormat="1" ht="18" hidden="1" customHeight="1">
      <c r="A118" s="578"/>
    </row>
    <row r="119" spans="1:47" s="4" customFormat="1" ht="18" hidden="1" customHeight="1">
      <c r="A119" s="578"/>
      <c r="B119" s="3801" t="s">
        <v>3919</v>
      </c>
      <c r="C119" s="1777"/>
      <c r="D119" s="1777"/>
      <c r="E119" s="1777"/>
      <c r="F119" s="1777"/>
      <c r="G119" s="1777"/>
      <c r="H119" s="1777"/>
      <c r="I119" s="1777"/>
      <c r="J119" s="1777"/>
      <c r="K119" s="1777"/>
      <c r="L119" s="1777"/>
      <c r="M119" s="1777"/>
      <c r="N119" s="1777"/>
      <c r="O119" s="1777"/>
      <c r="P119" s="1777"/>
      <c r="Q119" s="1777"/>
      <c r="R119" s="1778"/>
      <c r="AS119" s="454"/>
      <c r="AT119" s="454"/>
      <c r="AU119" s="454"/>
    </row>
    <row r="120" spans="1:47" s="4" customFormat="1" ht="18" hidden="1" customHeight="1">
      <c r="A120" s="578"/>
      <c r="B120" s="3794"/>
      <c r="C120" s="3295"/>
      <c r="D120" s="3295"/>
      <c r="E120" s="3813" t="s">
        <v>3920</v>
      </c>
      <c r="F120" s="1877"/>
      <c r="G120" s="1877"/>
      <c r="H120" s="1877"/>
      <c r="I120" s="1877"/>
      <c r="J120" s="1877"/>
      <c r="K120" s="1877"/>
      <c r="L120" s="1877"/>
      <c r="M120" s="1772"/>
      <c r="N120" s="3824" t="s">
        <v>3921</v>
      </c>
      <c r="O120" s="1877"/>
      <c r="P120" s="1877"/>
      <c r="Q120" s="1877"/>
      <c r="R120" s="1877"/>
      <c r="S120" s="1877"/>
      <c r="T120" s="1877"/>
      <c r="U120" s="1877"/>
      <c r="V120" s="1877"/>
      <c r="W120" s="1877"/>
      <c r="X120" s="1877"/>
      <c r="Y120" s="1877"/>
      <c r="Z120" s="1877"/>
      <c r="AA120" s="1877"/>
      <c r="AB120" s="1877"/>
      <c r="AC120" s="1877"/>
      <c r="AD120" s="1877"/>
      <c r="AE120" s="1877"/>
      <c r="AF120" s="1877"/>
      <c r="AG120" s="1877"/>
      <c r="AH120" s="1877"/>
      <c r="AI120" s="1772"/>
      <c r="AJ120" s="3515"/>
      <c r="AK120" s="1777"/>
      <c r="AL120" s="1777"/>
      <c r="AM120" s="1778"/>
      <c r="AN120" s="469" t="str">
        <f>IF('VHHP Program Requirements'!AL15="Yes","P","O")</f>
        <v>O</v>
      </c>
      <c r="AS120" s="454"/>
      <c r="AT120" s="454"/>
      <c r="AU120" s="454"/>
    </row>
    <row r="121" spans="1:47" s="4" customFormat="1" ht="17.25" hidden="1" customHeight="1">
      <c r="A121" s="578"/>
      <c r="B121" s="3794"/>
      <c r="C121" s="3295"/>
      <c r="D121" s="3295"/>
      <c r="E121" s="3786" t="s">
        <v>3922</v>
      </c>
      <c r="F121" s="1777"/>
      <c r="G121" s="1777"/>
      <c r="H121" s="1777"/>
      <c r="I121" s="1777"/>
      <c r="J121" s="1777"/>
      <c r="K121" s="1777"/>
      <c r="L121" s="1777"/>
      <c r="M121" s="1778"/>
      <c r="N121" s="1885" t="s">
        <v>3923</v>
      </c>
      <c r="O121" s="1777"/>
      <c r="P121" s="1777"/>
      <c r="Q121" s="1777"/>
      <c r="R121" s="1777"/>
      <c r="S121" s="1777"/>
      <c r="T121" s="1777"/>
      <c r="U121" s="1777"/>
      <c r="V121" s="1777"/>
      <c r="W121" s="1777"/>
      <c r="X121" s="1777"/>
      <c r="Y121" s="1777"/>
      <c r="Z121" s="1777"/>
      <c r="AA121" s="1777"/>
      <c r="AB121" s="1777"/>
      <c r="AC121" s="1777"/>
      <c r="AD121" s="1777"/>
      <c r="AE121" s="1777"/>
      <c r="AF121" s="1777"/>
      <c r="AG121" s="1777"/>
      <c r="AH121" s="1777"/>
      <c r="AI121" s="1778"/>
      <c r="AJ121" s="3515"/>
      <c r="AK121" s="1777"/>
      <c r="AL121" s="1777"/>
      <c r="AM121" s="1778"/>
      <c r="AN121" s="469" t="str">
        <f>IF('VHHP Program Requirements'!AL22="Yes","P","O")</f>
        <v>O</v>
      </c>
      <c r="AS121" s="454"/>
      <c r="AT121" s="454"/>
      <c r="AU121" s="454"/>
    </row>
    <row r="122" spans="1:47" s="4" customFormat="1" ht="18" hidden="1" customHeight="1">
      <c r="A122" s="578"/>
      <c r="B122" s="3794"/>
      <c r="C122" s="3295"/>
      <c r="D122" s="3295"/>
      <c r="E122" s="3786" t="s">
        <v>3924</v>
      </c>
      <c r="F122" s="1777"/>
      <c r="G122" s="1777"/>
      <c r="H122" s="1777"/>
      <c r="I122" s="1777"/>
      <c r="J122" s="1777"/>
      <c r="K122" s="1777"/>
      <c r="L122" s="1777"/>
      <c r="M122" s="1778"/>
      <c r="N122" s="1885" t="s">
        <v>3925</v>
      </c>
      <c r="O122" s="1777"/>
      <c r="P122" s="1777"/>
      <c r="Q122" s="1777"/>
      <c r="R122" s="1777"/>
      <c r="S122" s="1777"/>
      <c r="T122" s="1777"/>
      <c r="U122" s="1777"/>
      <c r="V122" s="1777"/>
      <c r="W122" s="1777"/>
      <c r="X122" s="1777"/>
      <c r="Y122" s="1777"/>
      <c r="Z122" s="1777"/>
      <c r="AA122" s="1777"/>
      <c r="AB122" s="1777"/>
      <c r="AC122" s="1777"/>
      <c r="AD122" s="1777"/>
      <c r="AE122" s="1777"/>
      <c r="AF122" s="1777"/>
      <c r="AG122" s="1777"/>
      <c r="AH122" s="1777"/>
      <c r="AI122" s="1778"/>
      <c r="AJ122" s="3515"/>
      <c r="AK122" s="1777"/>
      <c r="AL122" s="1777"/>
      <c r="AM122" s="1778"/>
      <c r="AN122" s="469" t="str">
        <f>IF('VHHP Program Requirements'!AL23="Yes","P","O")</f>
        <v>O</v>
      </c>
      <c r="AS122" s="454"/>
      <c r="AT122" s="454"/>
      <c r="AU122" s="454"/>
    </row>
    <row r="123" spans="1:47" ht="36" hidden="1" customHeight="1">
      <c r="A123" s="826"/>
      <c r="B123" s="3794"/>
      <c r="C123" s="3797"/>
      <c r="D123" s="3797"/>
      <c r="E123" s="2991" t="s">
        <v>3926</v>
      </c>
      <c r="F123" s="1777"/>
      <c r="G123" s="1777"/>
      <c r="H123" s="1777"/>
      <c r="I123" s="1777"/>
      <c r="J123" s="1777"/>
      <c r="K123" s="1777"/>
      <c r="L123" s="1777"/>
      <c r="M123" s="1778"/>
      <c r="N123" s="1885" t="s">
        <v>3927</v>
      </c>
      <c r="O123" s="1777"/>
      <c r="P123" s="1777"/>
      <c r="Q123" s="1777"/>
      <c r="R123" s="1777"/>
      <c r="S123" s="1777"/>
      <c r="T123" s="1777"/>
      <c r="U123" s="1777"/>
      <c r="V123" s="1777"/>
      <c r="W123" s="1777"/>
      <c r="X123" s="1777"/>
      <c r="Y123" s="1777"/>
      <c r="Z123" s="1777"/>
      <c r="AA123" s="1777"/>
      <c r="AB123" s="1777"/>
      <c r="AC123" s="1777"/>
      <c r="AD123" s="1777"/>
      <c r="AE123" s="1777"/>
      <c r="AF123" s="1777"/>
      <c r="AG123" s="1777"/>
      <c r="AH123" s="1777"/>
      <c r="AI123" s="1778"/>
      <c r="AJ123" s="3515"/>
      <c r="AK123" s="1777"/>
      <c r="AL123" s="1777"/>
      <c r="AM123" s="1778"/>
      <c r="AN123" s="469" t="str">
        <f>IF('VHHP Program Requirements'!AL27="Yes","P","O")</f>
        <v>O</v>
      </c>
    </row>
    <row r="124" spans="1:47" ht="54" hidden="1" customHeight="1">
      <c r="B124" s="3794"/>
      <c r="C124" s="3797"/>
      <c r="D124" s="3797"/>
      <c r="E124" s="3815" t="s">
        <v>3928</v>
      </c>
      <c r="F124" s="1777"/>
      <c r="G124" s="1777"/>
      <c r="H124" s="1777"/>
      <c r="I124" s="1777"/>
      <c r="J124" s="1777"/>
      <c r="K124" s="1777"/>
      <c r="L124" s="1777"/>
      <c r="M124" s="1778"/>
      <c r="N124" s="3141" t="s">
        <v>3929</v>
      </c>
      <c r="O124" s="1777"/>
      <c r="P124" s="1777"/>
      <c r="Q124" s="1777"/>
      <c r="R124" s="1777"/>
      <c r="S124" s="1777"/>
      <c r="T124" s="1777"/>
      <c r="U124" s="1777"/>
      <c r="V124" s="1777"/>
      <c r="W124" s="1777"/>
      <c r="X124" s="1777"/>
      <c r="Y124" s="1777"/>
      <c r="Z124" s="1777"/>
      <c r="AA124" s="1777"/>
      <c r="AB124" s="1777"/>
      <c r="AC124" s="1777"/>
      <c r="AD124" s="1777"/>
      <c r="AE124" s="1777"/>
      <c r="AF124" s="1777"/>
      <c r="AG124" s="1777"/>
      <c r="AH124" s="1777"/>
      <c r="AI124" s="1778"/>
      <c r="AJ124" s="3515"/>
      <c r="AK124" s="1777"/>
      <c r="AL124" s="1777"/>
      <c r="AM124" s="1778"/>
      <c r="AN124" s="469" t="str">
        <f>IF('VHHP Program Requirements'!AL30="Yes","P","O")</f>
        <v>O</v>
      </c>
      <c r="AO124" s="1535"/>
    </row>
    <row r="125" spans="1:47" ht="36" hidden="1" customHeight="1">
      <c r="B125" s="3794"/>
      <c r="C125" s="3797"/>
      <c r="D125" s="3797"/>
      <c r="E125" s="3815" t="s">
        <v>3930</v>
      </c>
      <c r="F125" s="1777"/>
      <c r="G125" s="1777"/>
      <c r="H125" s="1777"/>
      <c r="I125" s="1777"/>
      <c r="J125" s="1777"/>
      <c r="K125" s="1777"/>
      <c r="L125" s="1777"/>
      <c r="M125" s="1778"/>
      <c r="N125" s="3141" t="s">
        <v>3931</v>
      </c>
      <c r="O125" s="1777"/>
      <c r="P125" s="1777"/>
      <c r="Q125" s="1777"/>
      <c r="R125" s="1777"/>
      <c r="S125" s="1777"/>
      <c r="T125" s="1777"/>
      <c r="U125" s="1777"/>
      <c r="V125" s="1777"/>
      <c r="W125" s="1777"/>
      <c r="X125" s="1777"/>
      <c r="Y125" s="1777"/>
      <c r="Z125" s="1777"/>
      <c r="AA125" s="1777"/>
      <c r="AB125" s="1777"/>
      <c r="AC125" s="1777"/>
      <c r="AD125" s="1777"/>
      <c r="AE125" s="1777"/>
      <c r="AF125" s="1777"/>
      <c r="AG125" s="1777"/>
      <c r="AH125" s="1777"/>
      <c r="AI125" s="1778"/>
      <c r="AJ125" s="3515"/>
      <c r="AK125" s="1777"/>
      <c r="AL125" s="1777"/>
      <c r="AM125" s="1778"/>
      <c r="AN125" s="469" t="str">
        <f>IF('VHHP Program Requirements'!AL31="Yes","P","O")</f>
        <v>O</v>
      </c>
      <c r="AO125" s="1535"/>
    </row>
    <row r="126" spans="1:47" s="4" customFormat="1" ht="18" hidden="1" customHeight="1">
      <c r="A126" s="578"/>
      <c r="AS126" s="454"/>
      <c r="AT126" s="454"/>
      <c r="AU126" s="454"/>
    </row>
    <row r="127" spans="1:47" s="4" customFormat="1" ht="18" hidden="1" customHeight="1">
      <c r="A127" s="578"/>
      <c r="B127" s="3801" t="s">
        <v>3932</v>
      </c>
      <c r="C127" s="1777"/>
      <c r="D127" s="1777"/>
      <c r="E127" s="1777"/>
      <c r="F127" s="1777"/>
      <c r="G127" s="1777"/>
      <c r="H127" s="1777"/>
      <c r="I127" s="1777"/>
      <c r="J127" s="1777"/>
      <c r="K127" s="1777"/>
      <c r="L127" s="1777"/>
      <c r="M127" s="1777"/>
      <c r="N127" s="1777"/>
      <c r="O127" s="1777"/>
      <c r="P127" s="1777"/>
      <c r="Q127" s="1777"/>
      <c r="R127" s="1778"/>
      <c r="AS127" s="454"/>
      <c r="AT127" s="454"/>
      <c r="AU127" s="454"/>
    </row>
    <row r="128" spans="1:47" s="4" customFormat="1" ht="34.5" hidden="1" customHeight="1">
      <c r="A128" s="578"/>
      <c r="B128" s="3794"/>
      <c r="C128" s="3295"/>
      <c r="D128" s="3295"/>
      <c r="E128" s="3836" t="s">
        <v>3933</v>
      </c>
      <c r="F128" s="1877"/>
      <c r="G128" s="1877"/>
      <c r="H128" s="1877"/>
      <c r="I128" s="1877"/>
      <c r="J128" s="1877"/>
      <c r="K128" s="1877"/>
      <c r="L128" s="1877"/>
      <c r="M128" s="1772"/>
      <c r="N128" s="3820" t="s">
        <v>3934</v>
      </c>
      <c r="O128" s="1877"/>
      <c r="P128" s="1877"/>
      <c r="Q128" s="1877"/>
      <c r="R128" s="1877"/>
      <c r="S128" s="1877"/>
      <c r="T128" s="1877"/>
      <c r="U128" s="1877"/>
      <c r="V128" s="1877"/>
      <c r="W128" s="1877"/>
      <c r="X128" s="1877"/>
      <c r="Y128" s="1877"/>
      <c r="Z128" s="1877"/>
      <c r="AA128" s="1877"/>
      <c r="AB128" s="1877"/>
      <c r="AC128" s="1877"/>
      <c r="AD128" s="1877"/>
      <c r="AE128" s="1877"/>
      <c r="AF128" s="1877"/>
      <c r="AG128" s="1877"/>
      <c r="AH128" s="1877"/>
      <c r="AI128" s="1772"/>
      <c r="AJ128" s="3515"/>
      <c r="AK128" s="1777"/>
      <c r="AL128" s="1777"/>
      <c r="AM128" s="1778"/>
      <c r="AN128" s="469" t="str">
        <f>IF('VHHP - Supportive Services Plan'!$AL$118="Yes","P","O")</f>
        <v>O</v>
      </c>
      <c r="AS128" s="454"/>
      <c r="AT128" s="454"/>
      <c r="AU128" s="454"/>
    </row>
    <row r="129" spans="1:54" s="4" customFormat="1" ht="18" hidden="1" customHeight="1">
      <c r="A129" s="578"/>
      <c r="AS129" s="454"/>
      <c r="AT129" s="454"/>
      <c r="AU129" s="454"/>
    </row>
    <row r="130" spans="1:54" s="4" customFormat="1" ht="18" hidden="1" customHeight="1">
      <c r="A130" s="830"/>
      <c r="B130" s="3801" t="s">
        <v>3935</v>
      </c>
      <c r="C130" s="1777"/>
      <c r="D130" s="1777"/>
      <c r="E130" s="1777"/>
      <c r="F130" s="1777"/>
      <c r="G130" s="1777"/>
      <c r="H130" s="1777"/>
      <c r="I130" s="1777"/>
      <c r="J130" s="1777"/>
      <c r="K130" s="1777"/>
      <c r="L130" s="1777"/>
      <c r="M130" s="1777"/>
      <c r="N130" s="1777"/>
      <c r="O130" s="1777"/>
      <c r="P130" s="1777"/>
      <c r="Q130" s="1777"/>
      <c r="R130" s="1778"/>
    </row>
    <row r="131" spans="1:54" s="4" customFormat="1" ht="18" hidden="1" customHeight="1">
      <c r="A131" s="578"/>
      <c r="E131" s="3836" t="s">
        <v>3936</v>
      </c>
      <c r="F131" s="1877"/>
      <c r="G131" s="1877"/>
      <c r="H131" s="1877"/>
      <c r="I131" s="1877"/>
      <c r="J131" s="1877"/>
      <c r="K131" s="1877"/>
      <c r="L131" s="1877"/>
      <c r="M131" s="1772"/>
      <c r="N131" s="3820" t="s">
        <v>3937</v>
      </c>
      <c r="O131" s="1877"/>
      <c r="P131" s="1877"/>
      <c r="Q131" s="1877"/>
      <c r="R131" s="1877"/>
      <c r="S131" s="1877"/>
      <c r="T131" s="1877"/>
      <c r="U131" s="1877"/>
      <c r="V131" s="1877"/>
      <c r="W131" s="1877"/>
      <c r="X131" s="1877"/>
      <c r="Y131" s="1877"/>
      <c r="Z131" s="1877"/>
      <c r="AA131" s="1877"/>
      <c r="AB131" s="1877"/>
      <c r="AC131" s="1877"/>
      <c r="AD131" s="1877"/>
      <c r="AE131" s="1877"/>
      <c r="AF131" s="1877"/>
      <c r="AG131" s="1877"/>
      <c r="AH131" s="1877"/>
      <c r="AI131" s="1772"/>
      <c r="AJ131" s="3515"/>
      <c r="AK131" s="1777"/>
      <c r="AL131" s="1777"/>
      <c r="AM131" s="1778"/>
      <c r="AN131" s="469" t="str">
        <f>IF('SHMHP or TOD Requirements'!$AL$17="Yes","P","O")</f>
        <v>O</v>
      </c>
    </row>
    <row r="132" spans="1:54" s="4" customFormat="1" ht="36" hidden="1" customHeight="1">
      <c r="A132" s="578"/>
      <c r="E132" s="3836" t="s">
        <v>3938</v>
      </c>
      <c r="F132" s="1877"/>
      <c r="G132" s="1877"/>
      <c r="H132" s="1877"/>
      <c r="I132" s="1877"/>
      <c r="J132" s="1877"/>
      <c r="K132" s="1877"/>
      <c r="L132" s="1877"/>
      <c r="M132" s="1772"/>
      <c r="N132" s="3820" t="s">
        <v>3939</v>
      </c>
      <c r="O132" s="1877"/>
      <c r="P132" s="1877"/>
      <c r="Q132" s="1877"/>
      <c r="R132" s="1877"/>
      <c r="S132" s="1877"/>
      <c r="T132" s="1877"/>
      <c r="U132" s="1877"/>
      <c r="V132" s="1877"/>
      <c r="W132" s="1877"/>
      <c r="X132" s="1877"/>
      <c r="Y132" s="1877"/>
      <c r="Z132" s="1877"/>
      <c r="AA132" s="1877"/>
      <c r="AB132" s="1877"/>
      <c r="AC132" s="1877"/>
      <c r="AD132" s="1877"/>
      <c r="AE132" s="1877"/>
      <c r="AF132" s="1877"/>
      <c r="AG132" s="1877"/>
      <c r="AH132" s="1877"/>
      <c r="AI132" s="1772"/>
      <c r="AJ132" s="3515"/>
      <c r="AK132" s="1777"/>
      <c r="AL132" s="1777"/>
      <c r="AM132" s="1778"/>
      <c r="AN132" s="469" t="str">
        <f>IF('SHMHP or TOD Requirements'!$AL$22="Yes","P","O")</f>
        <v>O</v>
      </c>
    </row>
    <row r="133" spans="1:54" s="4" customFormat="1" ht="36" hidden="1" customHeight="1">
      <c r="A133" s="578"/>
      <c r="E133" s="2991" t="s">
        <v>3940</v>
      </c>
      <c r="F133" s="1777"/>
      <c r="G133" s="1777"/>
      <c r="H133" s="1777"/>
      <c r="I133" s="1777"/>
      <c r="J133" s="1777"/>
      <c r="K133" s="1777"/>
      <c r="L133" s="1777"/>
      <c r="M133" s="1778"/>
      <c r="N133" s="1885" t="s">
        <v>3941</v>
      </c>
      <c r="O133" s="1777"/>
      <c r="P133" s="1777"/>
      <c r="Q133" s="1777"/>
      <c r="R133" s="1777"/>
      <c r="S133" s="1777"/>
      <c r="T133" s="1777"/>
      <c r="U133" s="1777"/>
      <c r="V133" s="1777"/>
      <c r="W133" s="1777"/>
      <c r="X133" s="1777"/>
      <c r="Y133" s="1777"/>
      <c r="Z133" s="1777"/>
      <c r="AA133" s="1777"/>
      <c r="AB133" s="1777"/>
      <c r="AC133" s="1777"/>
      <c r="AD133" s="1777"/>
      <c r="AE133" s="1777"/>
      <c r="AF133" s="1777"/>
      <c r="AG133" s="1777"/>
      <c r="AH133" s="1777"/>
      <c r="AI133" s="1778"/>
      <c r="AJ133" s="3515"/>
      <c r="AK133" s="1777"/>
      <c r="AL133" s="1777"/>
      <c r="AM133" s="1778"/>
      <c r="AN133" s="469"/>
    </row>
    <row r="134" spans="1:54" s="578" customFormat="1" ht="51.6" hidden="1" customHeight="1">
      <c r="E134" s="2991" t="s">
        <v>3942</v>
      </c>
      <c r="F134" s="1777"/>
      <c r="G134" s="1777"/>
      <c r="H134" s="1777"/>
      <c r="I134" s="1777"/>
      <c r="J134" s="1777"/>
      <c r="K134" s="1777"/>
      <c r="L134" s="1777"/>
      <c r="M134" s="1778"/>
      <c r="N134" s="1885" t="s">
        <v>3943</v>
      </c>
      <c r="O134" s="1777"/>
      <c r="P134" s="1777"/>
      <c r="Q134" s="1777"/>
      <c r="R134" s="1777"/>
      <c r="S134" s="1777"/>
      <c r="T134" s="1777"/>
      <c r="U134" s="1777"/>
      <c r="V134" s="1777"/>
      <c r="W134" s="1777"/>
      <c r="X134" s="1777"/>
      <c r="Y134" s="1777"/>
      <c r="Z134" s="1777"/>
      <c r="AA134" s="1777"/>
      <c r="AB134" s="1777"/>
      <c r="AC134" s="1777"/>
      <c r="AD134" s="1777"/>
      <c r="AE134" s="1777"/>
      <c r="AF134" s="1777"/>
      <c r="AG134" s="1777"/>
      <c r="AH134" s="1777"/>
      <c r="AI134" s="1778"/>
      <c r="AJ134" s="3515"/>
      <c r="AK134" s="1777"/>
      <c r="AL134" s="1777"/>
      <c r="AM134" s="1778"/>
      <c r="AN134" s="469"/>
      <c r="AO134" s="4"/>
      <c r="AP134" s="4"/>
      <c r="AQ134" s="4"/>
      <c r="AR134" s="4"/>
      <c r="AS134" s="4"/>
      <c r="AT134" s="4"/>
      <c r="AU134" s="4"/>
      <c r="AV134" s="4"/>
      <c r="AW134" s="4"/>
      <c r="AX134" s="4"/>
      <c r="AY134" s="4"/>
      <c r="AZ134" s="4"/>
      <c r="BA134" s="4"/>
      <c r="BB134" s="4"/>
    </row>
    <row r="135" spans="1:54" s="578" customFormat="1" ht="40.35" hidden="1" customHeight="1">
      <c r="E135" s="2991" t="s">
        <v>3944</v>
      </c>
      <c r="F135" s="1777"/>
      <c r="G135" s="1777"/>
      <c r="H135" s="1777"/>
      <c r="I135" s="1777"/>
      <c r="J135" s="1777"/>
      <c r="K135" s="1777"/>
      <c r="L135" s="1777"/>
      <c r="M135" s="1778"/>
      <c r="N135" s="3814" t="s">
        <v>3945</v>
      </c>
      <c r="O135" s="1777"/>
      <c r="P135" s="1777"/>
      <c r="Q135" s="1777"/>
      <c r="R135" s="1777"/>
      <c r="S135" s="1777"/>
      <c r="T135" s="1777"/>
      <c r="U135" s="1777"/>
      <c r="V135" s="1777"/>
      <c r="W135" s="1777"/>
      <c r="X135" s="1777"/>
      <c r="Y135" s="1777"/>
      <c r="Z135" s="1777"/>
      <c r="AA135" s="1777"/>
      <c r="AB135" s="1777"/>
      <c r="AC135" s="1777"/>
      <c r="AD135" s="1777"/>
      <c r="AE135" s="1777"/>
      <c r="AF135" s="1777"/>
      <c r="AG135" s="1777"/>
      <c r="AH135" s="1777"/>
      <c r="AI135" s="1778"/>
      <c r="AJ135" s="3515"/>
      <c r="AK135" s="1777"/>
      <c r="AL135" s="1777"/>
      <c r="AM135" s="1778"/>
      <c r="AO135" s="4"/>
      <c r="AP135" s="4"/>
      <c r="AQ135" s="4"/>
      <c r="AR135" s="4"/>
      <c r="AS135" s="4"/>
      <c r="AT135" s="4"/>
      <c r="AU135" s="4"/>
      <c r="AV135" s="4"/>
      <c r="AW135" s="4"/>
      <c r="AX135" s="4"/>
      <c r="AY135" s="4"/>
      <c r="AZ135" s="4"/>
      <c r="BA135" s="4"/>
      <c r="BB135" s="4"/>
    </row>
    <row r="136" spans="1:54" s="578" customFormat="1" ht="18" hidden="1" customHeight="1">
      <c r="AJ136" s="4"/>
      <c r="AK136" s="4"/>
      <c r="AL136" s="4"/>
      <c r="AM136" s="4"/>
      <c r="AO136" s="4"/>
      <c r="AP136" s="4"/>
      <c r="AQ136" s="4"/>
      <c r="AR136" s="4"/>
      <c r="AS136" s="4"/>
      <c r="AT136" s="4"/>
      <c r="AU136" s="4"/>
      <c r="AV136" s="4"/>
      <c r="AW136" s="4"/>
      <c r="AX136" s="4"/>
      <c r="AY136" s="4"/>
      <c r="AZ136" s="4"/>
      <c r="BA136" s="4"/>
      <c r="BB136" s="4"/>
    </row>
    <row r="137" spans="1:54" s="578" customFormat="1" ht="18" hidden="1" customHeight="1">
      <c r="AJ137" s="4"/>
      <c r="AK137" s="4"/>
      <c r="AL137" s="4"/>
      <c r="AM137" s="4"/>
      <c r="AO137" s="4"/>
      <c r="AP137" s="4"/>
      <c r="AQ137" s="4"/>
      <c r="AR137" s="4"/>
      <c r="AS137" s="4"/>
      <c r="AT137" s="4"/>
      <c r="AU137" s="4"/>
      <c r="AV137" s="4"/>
      <c r="AW137" s="4"/>
      <c r="AX137" s="4"/>
      <c r="AY137" s="4"/>
      <c r="AZ137" s="4"/>
      <c r="BA137" s="4"/>
      <c r="BB137" s="4"/>
    </row>
    <row r="138" spans="1:54" s="4" customFormat="1" ht="18" hidden="1" customHeight="1">
      <c r="A138" s="578"/>
      <c r="B138" s="3801" t="s">
        <v>3946</v>
      </c>
      <c r="C138" s="1777"/>
      <c r="D138" s="1777"/>
      <c r="E138" s="1777"/>
      <c r="F138" s="1777"/>
      <c r="G138" s="1777"/>
      <c r="H138" s="1777"/>
      <c r="I138" s="1777"/>
      <c r="J138" s="1777"/>
      <c r="K138" s="1777"/>
      <c r="L138" s="1777"/>
      <c r="M138" s="1777"/>
      <c r="N138" s="1777"/>
      <c r="O138" s="1777"/>
      <c r="P138" s="1777"/>
      <c r="Q138" s="1777"/>
      <c r="R138" s="1778"/>
      <c r="AS138" s="454"/>
      <c r="AT138" s="454"/>
      <c r="AU138" s="454"/>
    </row>
    <row r="139" spans="1:54" ht="18" hidden="1" customHeight="1">
      <c r="A139" s="826"/>
      <c r="B139" s="3794"/>
      <c r="C139" s="3797"/>
      <c r="D139" s="3797"/>
      <c r="E139" s="2991" t="s">
        <v>3947</v>
      </c>
      <c r="F139" s="1777"/>
      <c r="G139" s="1777"/>
      <c r="H139" s="1777"/>
      <c r="I139" s="1777"/>
      <c r="J139" s="1777"/>
      <c r="K139" s="1777"/>
      <c r="L139" s="1777"/>
      <c r="M139" s="1778"/>
      <c r="N139" s="3824" t="s">
        <v>3948</v>
      </c>
      <c r="O139" s="1877"/>
      <c r="P139" s="1877"/>
      <c r="Q139" s="1877"/>
      <c r="R139" s="1877"/>
      <c r="S139" s="1877"/>
      <c r="T139" s="1877"/>
      <c r="U139" s="1877"/>
      <c r="V139" s="1877"/>
      <c r="W139" s="1877"/>
      <c r="X139" s="1877"/>
      <c r="Y139" s="1877"/>
      <c r="Z139" s="1877"/>
      <c r="AA139" s="1877"/>
      <c r="AB139" s="1877"/>
      <c r="AC139" s="1877"/>
      <c r="AD139" s="1877"/>
      <c r="AE139" s="1877"/>
      <c r="AF139" s="1877"/>
      <c r="AG139" s="1877"/>
      <c r="AH139" s="1877"/>
      <c r="AI139" s="1772"/>
      <c r="AJ139" s="3515"/>
      <c r="AK139" s="1777"/>
      <c r="AL139" s="1777"/>
      <c r="AM139" s="1778"/>
      <c r="AN139" s="469" t="str">
        <f>IF('MHP - Supportive Services Plan'!$AL$80="Yes","P","O")</f>
        <v>O</v>
      </c>
    </row>
    <row r="140" spans="1:54" ht="18" hidden="1" customHeight="1">
      <c r="B140" s="3794"/>
      <c r="C140" s="3797"/>
      <c r="D140" s="3797"/>
      <c r="E140" s="3815" t="s">
        <v>3949</v>
      </c>
      <c r="F140" s="1777"/>
      <c r="G140" s="1777"/>
      <c r="H140" s="1777"/>
      <c r="I140" s="1777"/>
      <c r="J140" s="1777"/>
      <c r="K140" s="1777"/>
      <c r="L140" s="1777"/>
      <c r="M140" s="1778"/>
      <c r="N140" s="3141" t="s">
        <v>3950</v>
      </c>
      <c r="O140" s="1777"/>
      <c r="P140" s="1777"/>
      <c r="Q140" s="1777"/>
      <c r="R140" s="1777"/>
      <c r="S140" s="1777"/>
      <c r="T140" s="1777"/>
      <c r="U140" s="1777"/>
      <c r="V140" s="1777"/>
      <c r="W140" s="1777"/>
      <c r="X140" s="1777"/>
      <c r="Y140" s="1777"/>
      <c r="Z140" s="1777"/>
      <c r="AA140" s="1777"/>
      <c r="AB140" s="1777"/>
      <c r="AC140" s="1777"/>
      <c r="AD140" s="1777"/>
      <c r="AE140" s="1777"/>
      <c r="AF140" s="1777"/>
      <c r="AG140" s="1777"/>
      <c r="AH140" s="1777"/>
      <c r="AI140" s="1778"/>
      <c r="AJ140" s="3515"/>
      <c r="AK140" s="1777"/>
      <c r="AL140" s="1777"/>
      <c r="AM140" s="1778"/>
      <c r="AN140" s="469" t="str">
        <f>IF('MHP - Supportive Services Plan'!$AL$182="Yes","P","O")</f>
        <v>O</v>
      </c>
    </row>
    <row r="141" spans="1:54" ht="36" hidden="1" customHeight="1">
      <c r="E141" s="3815" t="s">
        <v>3951</v>
      </c>
      <c r="F141" s="1777"/>
      <c r="G141" s="1777"/>
      <c r="H141" s="1777"/>
      <c r="I141" s="1777"/>
      <c r="J141" s="1777"/>
      <c r="K141" s="1777"/>
      <c r="L141" s="1777"/>
      <c r="M141" s="1778"/>
      <c r="N141" s="3141" t="s">
        <v>3952</v>
      </c>
      <c r="O141" s="1777"/>
      <c r="P141" s="1777"/>
      <c r="Q141" s="1777"/>
      <c r="R141" s="1777"/>
      <c r="S141" s="1777"/>
      <c r="T141" s="1777"/>
      <c r="U141" s="1777"/>
      <c r="V141" s="1777"/>
      <c r="W141" s="1777"/>
      <c r="X141" s="1777"/>
      <c r="Y141" s="1777"/>
      <c r="Z141" s="1777"/>
      <c r="AA141" s="1777"/>
      <c r="AB141" s="1777"/>
      <c r="AC141" s="1777"/>
      <c r="AD141" s="1777"/>
      <c r="AE141" s="1777"/>
      <c r="AF141" s="1777"/>
      <c r="AG141" s="1777"/>
      <c r="AH141" s="1777"/>
      <c r="AI141" s="1778"/>
      <c r="AJ141" s="3515"/>
      <c r="AK141" s="1777"/>
      <c r="AL141" s="1777"/>
      <c r="AM141" s="1778"/>
      <c r="AN141" s="469" t="str">
        <f>IF('MHP - Supportive Services Plan'!$AL$199="Yes","P","O")</f>
        <v>O</v>
      </c>
    </row>
    <row r="142" spans="1:54" ht="36" hidden="1" customHeight="1">
      <c r="B142" s="3794"/>
      <c r="C142" s="3797"/>
      <c r="D142" s="3797"/>
      <c r="E142" s="3815" t="s">
        <v>3953</v>
      </c>
      <c r="F142" s="1777"/>
      <c r="G142" s="1777"/>
      <c r="H142" s="1777"/>
      <c r="I142" s="1777"/>
      <c r="J142" s="1777"/>
      <c r="K142" s="1777"/>
      <c r="L142" s="1777"/>
      <c r="M142" s="1778"/>
      <c r="N142" s="3141" t="s">
        <v>3954</v>
      </c>
      <c r="O142" s="1777"/>
      <c r="P142" s="1777"/>
      <c r="Q142" s="1777"/>
      <c r="R142" s="1777"/>
      <c r="S142" s="1777"/>
      <c r="T142" s="1777"/>
      <c r="U142" s="1777"/>
      <c r="V142" s="1777"/>
      <c r="W142" s="1777"/>
      <c r="X142" s="1777"/>
      <c r="Y142" s="1777"/>
      <c r="Z142" s="1777"/>
      <c r="AA142" s="1777"/>
      <c r="AB142" s="1777"/>
      <c r="AC142" s="1777"/>
      <c r="AD142" s="1777"/>
      <c r="AE142" s="1777"/>
      <c r="AF142" s="1777"/>
      <c r="AG142" s="1777"/>
      <c r="AH142" s="1777"/>
      <c r="AI142" s="1778"/>
      <c r="AJ142" s="3515"/>
      <c r="AK142" s="1777"/>
      <c r="AL142" s="1777"/>
      <c r="AM142" s="1778"/>
      <c r="AN142" s="469" t="str">
        <f>IF('MHP - Supportive Services Plan'!$AL$260="Yes","P","O")</f>
        <v>O</v>
      </c>
    </row>
    <row r="143" spans="1:54" ht="54" hidden="1" customHeight="1">
      <c r="B143" s="3794"/>
      <c r="C143" s="3797"/>
      <c r="D143" s="3797"/>
      <c r="E143" s="3815" t="s">
        <v>3955</v>
      </c>
      <c r="F143" s="1777"/>
      <c r="G143" s="1777"/>
      <c r="H143" s="1777"/>
      <c r="I143" s="1777"/>
      <c r="J143" s="1777"/>
      <c r="K143" s="1777"/>
      <c r="L143" s="1777"/>
      <c r="M143" s="1778"/>
      <c r="N143" s="3141" t="s">
        <v>3956</v>
      </c>
      <c r="O143" s="1777"/>
      <c r="P143" s="1777"/>
      <c r="Q143" s="1777"/>
      <c r="R143" s="1777"/>
      <c r="S143" s="1777"/>
      <c r="T143" s="1777"/>
      <c r="U143" s="1777"/>
      <c r="V143" s="1777"/>
      <c r="W143" s="1777"/>
      <c r="X143" s="1777"/>
      <c r="Y143" s="1777"/>
      <c r="Z143" s="1777"/>
      <c r="AA143" s="1777"/>
      <c r="AB143" s="1777"/>
      <c r="AC143" s="1777"/>
      <c r="AD143" s="1777"/>
      <c r="AE143" s="1777"/>
      <c r="AF143" s="1777"/>
      <c r="AG143" s="1777"/>
      <c r="AH143" s="1777"/>
      <c r="AI143" s="1778"/>
      <c r="AJ143" s="3515"/>
      <c r="AK143" s="1777"/>
      <c r="AL143" s="1777"/>
      <c r="AM143" s="1778"/>
      <c r="AN143" s="469" t="str">
        <f>IF('MHP - Supportive Services Plan'!$AL$336="Yes","P","O")</f>
        <v>O</v>
      </c>
      <c r="AO143" s="1535"/>
    </row>
    <row r="144" spans="1:54" s="4" customFormat="1" ht="18" hidden="1" customHeight="1">
      <c r="A144" s="578"/>
      <c r="AS144" s="454"/>
      <c r="AT144" s="454"/>
      <c r="AU144" s="454"/>
    </row>
    <row r="145" spans="1:54" s="578" customFormat="1" ht="18" hidden="1" customHeight="1">
      <c r="B145" s="3801" t="s">
        <v>3957</v>
      </c>
      <c r="C145" s="1777"/>
      <c r="D145" s="1777"/>
      <c r="E145" s="1777"/>
      <c r="F145" s="1777"/>
      <c r="G145" s="1777"/>
      <c r="H145" s="1777"/>
      <c r="I145" s="1777"/>
      <c r="J145" s="1777"/>
      <c r="K145" s="1777"/>
      <c r="L145" s="1777"/>
      <c r="M145" s="1777"/>
      <c r="N145" s="1777"/>
      <c r="O145" s="1777"/>
      <c r="P145" s="1777"/>
      <c r="Q145" s="1777"/>
      <c r="R145" s="1777"/>
      <c r="S145" s="1777"/>
      <c r="T145" s="1777"/>
      <c r="U145" s="1777"/>
      <c r="V145" s="1777"/>
      <c r="W145" s="1777"/>
      <c r="X145" s="1778"/>
      <c r="AJ145" s="4"/>
      <c r="AK145" s="4"/>
      <c r="AL145" s="4"/>
      <c r="AM145" s="4"/>
      <c r="AO145" s="4"/>
      <c r="AP145" s="4"/>
      <c r="AQ145" s="4"/>
      <c r="AR145" s="4"/>
      <c r="AS145" s="4"/>
      <c r="AT145" s="4"/>
      <c r="AU145" s="4"/>
      <c r="AV145" s="4"/>
      <c r="AW145" s="4"/>
      <c r="AX145" s="4"/>
      <c r="AY145" s="4"/>
      <c r="AZ145" s="4"/>
      <c r="BA145" s="4"/>
      <c r="BB145" s="4"/>
    </row>
    <row r="146" spans="1:54" s="578" customFormat="1" ht="18" hidden="1" customHeight="1">
      <c r="E146" s="2991" t="s">
        <v>3947</v>
      </c>
      <c r="F146" s="1777"/>
      <c r="G146" s="1777"/>
      <c r="H146" s="1777"/>
      <c r="I146" s="1777"/>
      <c r="J146" s="1777"/>
      <c r="K146" s="1777"/>
      <c r="L146" s="1777"/>
      <c r="M146" s="1778"/>
      <c r="N146" s="3824" t="s">
        <v>3948</v>
      </c>
      <c r="O146" s="1877"/>
      <c r="P146" s="1877"/>
      <c r="Q146" s="1877"/>
      <c r="R146" s="1877"/>
      <c r="S146" s="1877"/>
      <c r="T146" s="1877"/>
      <c r="U146" s="1877"/>
      <c r="V146" s="1877"/>
      <c r="W146" s="1877"/>
      <c r="X146" s="1877"/>
      <c r="Y146" s="1877"/>
      <c r="Z146" s="1877"/>
      <c r="AA146" s="1877"/>
      <c r="AB146" s="1877"/>
      <c r="AC146" s="1877"/>
      <c r="AD146" s="1877"/>
      <c r="AE146" s="1877"/>
      <c r="AF146" s="1877"/>
      <c r="AG146" s="1877"/>
      <c r="AH146" s="1877"/>
      <c r="AI146" s="1772"/>
      <c r="AJ146" s="3515"/>
      <c r="AK146" s="1777"/>
      <c r="AL146" s="1777"/>
      <c r="AM146" s="1778"/>
      <c r="AO146" s="4"/>
      <c r="AP146" s="4"/>
      <c r="AQ146" s="4"/>
      <c r="AR146" s="4"/>
      <c r="AS146" s="4"/>
      <c r="AT146" s="4"/>
      <c r="AU146" s="4"/>
      <c r="AV146" s="4"/>
      <c r="AW146" s="4"/>
      <c r="AX146" s="4"/>
      <c r="AY146" s="4"/>
      <c r="AZ146" s="4"/>
      <c r="BA146" s="4"/>
      <c r="BB146" s="4"/>
    </row>
    <row r="147" spans="1:54" s="578" customFormat="1" ht="18" hidden="1" customHeight="1">
      <c r="E147" s="3815" t="s">
        <v>3949</v>
      </c>
      <c r="F147" s="1777"/>
      <c r="G147" s="1777"/>
      <c r="H147" s="1777"/>
      <c r="I147" s="1777"/>
      <c r="J147" s="1777"/>
      <c r="K147" s="1777"/>
      <c r="L147" s="1777"/>
      <c r="M147" s="1778"/>
      <c r="N147" s="3141" t="s">
        <v>3950</v>
      </c>
      <c r="O147" s="1777"/>
      <c r="P147" s="1777"/>
      <c r="Q147" s="1777"/>
      <c r="R147" s="1777"/>
      <c r="S147" s="1777"/>
      <c r="T147" s="1777"/>
      <c r="U147" s="1777"/>
      <c r="V147" s="1777"/>
      <c r="W147" s="1777"/>
      <c r="X147" s="1777"/>
      <c r="Y147" s="1777"/>
      <c r="Z147" s="1777"/>
      <c r="AA147" s="1777"/>
      <c r="AB147" s="1777"/>
      <c r="AC147" s="1777"/>
      <c r="AD147" s="1777"/>
      <c r="AE147" s="1777"/>
      <c r="AF147" s="1777"/>
      <c r="AG147" s="1777"/>
      <c r="AH147" s="1777"/>
      <c r="AI147" s="1778"/>
      <c r="AJ147" s="3515"/>
      <c r="AK147" s="1777"/>
      <c r="AL147" s="1777"/>
      <c r="AM147" s="1778"/>
      <c r="AO147" s="4"/>
      <c r="AP147" s="4"/>
      <c r="AQ147" s="4"/>
      <c r="AR147" s="4"/>
      <c r="AS147" s="4"/>
      <c r="AT147" s="4"/>
      <c r="AU147" s="4"/>
      <c r="AV147" s="4"/>
      <c r="AW147" s="4"/>
      <c r="AX147" s="4"/>
      <c r="AY147" s="4"/>
      <c r="AZ147" s="4"/>
      <c r="BA147" s="4"/>
      <c r="BB147" s="4"/>
    </row>
    <row r="148" spans="1:54" s="578" customFormat="1" ht="36" hidden="1" customHeight="1">
      <c r="E148" s="3815" t="s">
        <v>3951</v>
      </c>
      <c r="F148" s="1777"/>
      <c r="G148" s="1777"/>
      <c r="H148" s="1777"/>
      <c r="I148" s="1777"/>
      <c r="J148" s="1777"/>
      <c r="K148" s="1777"/>
      <c r="L148" s="1777"/>
      <c r="M148" s="1778"/>
      <c r="N148" s="3141" t="s">
        <v>3952</v>
      </c>
      <c r="O148" s="1777"/>
      <c r="P148" s="1777"/>
      <c r="Q148" s="1777"/>
      <c r="R148" s="1777"/>
      <c r="S148" s="1777"/>
      <c r="T148" s="1777"/>
      <c r="U148" s="1777"/>
      <c r="V148" s="1777"/>
      <c r="W148" s="1777"/>
      <c r="X148" s="1777"/>
      <c r="Y148" s="1777"/>
      <c r="Z148" s="1777"/>
      <c r="AA148" s="1777"/>
      <c r="AB148" s="1777"/>
      <c r="AC148" s="1777"/>
      <c r="AD148" s="1777"/>
      <c r="AE148" s="1777"/>
      <c r="AF148" s="1777"/>
      <c r="AG148" s="1777"/>
      <c r="AH148" s="1777"/>
      <c r="AI148" s="1778"/>
      <c r="AJ148" s="3515"/>
      <c r="AK148" s="1777"/>
      <c r="AL148" s="1777"/>
      <c r="AM148" s="1778"/>
      <c r="AO148" s="4"/>
      <c r="AP148" s="4"/>
      <c r="AQ148" s="4"/>
      <c r="AR148" s="4"/>
      <c r="AS148" s="4"/>
      <c r="AT148" s="4"/>
      <c r="AU148" s="4"/>
      <c r="AV148" s="4"/>
      <c r="AW148" s="4"/>
      <c r="AX148" s="4"/>
      <c r="AY148" s="4"/>
      <c r="AZ148" s="4"/>
      <c r="BA148" s="4"/>
      <c r="BB148" s="4"/>
    </row>
    <row r="149" spans="1:54" s="578" customFormat="1" ht="36" hidden="1" customHeight="1">
      <c r="E149" s="3815" t="s">
        <v>3953</v>
      </c>
      <c r="F149" s="1777"/>
      <c r="G149" s="1777"/>
      <c r="H149" s="1777"/>
      <c r="I149" s="1777"/>
      <c r="J149" s="1777"/>
      <c r="K149" s="1777"/>
      <c r="L149" s="1777"/>
      <c r="M149" s="1778"/>
      <c r="N149" s="3141" t="s">
        <v>3954</v>
      </c>
      <c r="O149" s="1777"/>
      <c r="P149" s="1777"/>
      <c r="Q149" s="1777"/>
      <c r="R149" s="1777"/>
      <c r="S149" s="1777"/>
      <c r="T149" s="1777"/>
      <c r="U149" s="1777"/>
      <c r="V149" s="1777"/>
      <c r="W149" s="1777"/>
      <c r="X149" s="1777"/>
      <c r="Y149" s="1777"/>
      <c r="Z149" s="1777"/>
      <c r="AA149" s="1777"/>
      <c r="AB149" s="1777"/>
      <c r="AC149" s="1777"/>
      <c r="AD149" s="1777"/>
      <c r="AE149" s="1777"/>
      <c r="AF149" s="1777"/>
      <c r="AG149" s="1777"/>
      <c r="AH149" s="1777"/>
      <c r="AI149" s="1778"/>
      <c r="AJ149" s="3515"/>
      <c r="AK149" s="1777"/>
      <c r="AL149" s="1777"/>
      <c r="AM149" s="1778"/>
      <c r="AO149" s="4"/>
      <c r="AP149" s="4"/>
      <c r="AQ149" s="4"/>
      <c r="AR149" s="4"/>
      <c r="AS149" s="4"/>
      <c r="AT149" s="4"/>
      <c r="AU149" s="4"/>
      <c r="AV149" s="4"/>
      <c r="AW149" s="4"/>
      <c r="AX149" s="4"/>
      <c r="AY149" s="4"/>
      <c r="AZ149" s="4"/>
      <c r="BA149" s="4"/>
      <c r="BB149" s="4"/>
    </row>
    <row r="150" spans="1:54" s="578" customFormat="1" ht="54" hidden="1" customHeight="1">
      <c r="E150" s="3815" t="s">
        <v>3955</v>
      </c>
      <c r="F150" s="1777"/>
      <c r="G150" s="1777"/>
      <c r="H150" s="1777"/>
      <c r="I150" s="1777"/>
      <c r="J150" s="1777"/>
      <c r="K150" s="1777"/>
      <c r="L150" s="1777"/>
      <c r="M150" s="1778"/>
      <c r="N150" s="3141" t="s">
        <v>3956</v>
      </c>
      <c r="O150" s="1777"/>
      <c r="P150" s="1777"/>
      <c r="Q150" s="1777"/>
      <c r="R150" s="1777"/>
      <c r="S150" s="1777"/>
      <c r="T150" s="1777"/>
      <c r="U150" s="1777"/>
      <c r="V150" s="1777"/>
      <c r="W150" s="1777"/>
      <c r="X150" s="1777"/>
      <c r="Y150" s="1777"/>
      <c r="Z150" s="1777"/>
      <c r="AA150" s="1777"/>
      <c r="AB150" s="1777"/>
      <c r="AC150" s="1777"/>
      <c r="AD150" s="1777"/>
      <c r="AE150" s="1777"/>
      <c r="AF150" s="1777"/>
      <c r="AG150" s="1777"/>
      <c r="AH150" s="1777"/>
      <c r="AI150" s="1778"/>
      <c r="AJ150" s="3515"/>
      <c r="AK150" s="1777"/>
      <c r="AL150" s="1777"/>
      <c r="AM150" s="1778"/>
      <c r="AO150" s="4"/>
      <c r="AP150" s="4"/>
      <c r="AQ150" s="4"/>
      <c r="AR150" s="4"/>
      <c r="AS150" s="4"/>
      <c r="AT150" s="4"/>
      <c r="AU150" s="4"/>
      <c r="AV150" s="4"/>
      <c r="AW150" s="4"/>
      <c r="AX150" s="4"/>
      <c r="AY150" s="4"/>
      <c r="AZ150" s="4"/>
      <c r="BA150" s="4"/>
      <c r="BB150" s="4"/>
    </row>
    <row r="151" spans="1:54" s="578" customFormat="1" ht="18" hidden="1" customHeight="1">
      <c r="AJ151" s="4"/>
      <c r="AK151" s="4"/>
      <c r="AL151" s="4"/>
      <c r="AM151" s="4"/>
      <c r="AO151" s="4"/>
      <c r="AP151" s="4"/>
      <c r="AQ151" s="4"/>
      <c r="AR151" s="4"/>
      <c r="AS151" s="4"/>
      <c r="AT151" s="4"/>
      <c r="AU151" s="4"/>
      <c r="AV151" s="4"/>
      <c r="AW151" s="4"/>
      <c r="AX151" s="4"/>
      <c r="AY151" s="4"/>
      <c r="AZ151" s="4"/>
      <c r="BA151" s="4"/>
      <c r="BB151" s="4"/>
    </row>
    <row r="152" spans="1:54" s="4" customFormat="1" ht="18" hidden="1" customHeight="1">
      <c r="A152" s="578"/>
      <c r="B152" s="3801" t="s">
        <v>3958</v>
      </c>
      <c r="C152" s="1777"/>
      <c r="D152" s="1777"/>
      <c r="E152" s="1777"/>
      <c r="F152" s="1777"/>
      <c r="G152" s="1777"/>
      <c r="H152" s="1777"/>
      <c r="I152" s="1777"/>
      <c r="J152" s="1777"/>
      <c r="K152" s="1777"/>
      <c r="L152" s="1777"/>
      <c r="M152" s="1777"/>
      <c r="N152" s="1777"/>
      <c r="O152" s="1777"/>
      <c r="P152" s="1777"/>
      <c r="Q152" s="1777"/>
      <c r="R152" s="1778"/>
      <c r="AS152" s="454"/>
      <c r="AT152" s="454"/>
      <c r="AU152" s="454"/>
    </row>
    <row r="153" spans="1:54" ht="36" hidden="1" customHeight="1">
      <c r="B153" s="3794"/>
      <c r="C153" s="3797"/>
      <c r="D153" s="3797"/>
      <c r="E153" s="3786" t="s">
        <v>3959</v>
      </c>
      <c r="F153" s="1777"/>
      <c r="G153" s="1777"/>
      <c r="H153" s="1777"/>
      <c r="I153" s="1777"/>
      <c r="J153" s="1777"/>
      <c r="K153" s="1777"/>
      <c r="L153" s="1777"/>
      <c r="M153" s="1778"/>
      <c r="N153" s="3834" t="s">
        <v>3960</v>
      </c>
      <c r="O153" s="1877"/>
      <c r="P153" s="1877"/>
      <c r="Q153" s="1877"/>
      <c r="R153" s="1877"/>
      <c r="S153" s="1877"/>
      <c r="T153" s="1877"/>
      <c r="U153" s="1877"/>
      <c r="V153" s="1877"/>
      <c r="W153" s="1877"/>
      <c r="X153" s="1877"/>
      <c r="Y153" s="1877"/>
      <c r="Z153" s="1877"/>
      <c r="AA153" s="1877"/>
      <c r="AB153" s="1877"/>
      <c r="AC153" s="1877"/>
      <c r="AD153" s="1877"/>
      <c r="AE153" s="1877"/>
      <c r="AF153" s="1877"/>
      <c r="AG153" s="1877"/>
      <c r="AH153" s="1877"/>
      <c r="AI153" s="1772"/>
      <c r="AJ153" s="3515"/>
      <c r="AK153" s="1777"/>
      <c r="AL153" s="1777"/>
      <c r="AM153" s="1778"/>
      <c r="AN153" s="469" t="str">
        <f>IF('SH &amp; SNP Exp'!$AL$20="Yes","P","O")</f>
        <v>O</v>
      </c>
    </row>
    <row r="154" spans="1:54" ht="36" hidden="1" customHeight="1">
      <c r="B154" s="3794"/>
      <c r="C154" s="3797"/>
      <c r="D154" s="3797"/>
      <c r="E154" s="3786" t="s">
        <v>3961</v>
      </c>
      <c r="F154" s="1777"/>
      <c r="G154" s="1777"/>
      <c r="H154" s="1777"/>
      <c r="I154" s="1777"/>
      <c r="J154" s="1777"/>
      <c r="K154" s="1777"/>
      <c r="L154" s="1777"/>
      <c r="M154" s="1778"/>
      <c r="N154" s="3278" t="s">
        <v>3962</v>
      </c>
      <c r="O154" s="1777"/>
      <c r="P154" s="1777"/>
      <c r="Q154" s="1777"/>
      <c r="R154" s="1777"/>
      <c r="S154" s="1777"/>
      <c r="T154" s="1777"/>
      <c r="U154" s="1777"/>
      <c r="V154" s="1777"/>
      <c r="W154" s="1777"/>
      <c r="X154" s="1777"/>
      <c r="Y154" s="1777"/>
      <c r="Z154" s="1777"/>
      <c r="AA154" s="1777"/>
      <c r="AB154" s="1777"/>
      <c r="AC154" s="1777"/>
      <c r="AD154" s="1777"/>
      <c r="AE154" s="1777"/>
      <c r="AF154" s="1777"/>
      <c r="AG154" s="1777"/>
      <c r="AH154" s="1777"/>
      <c r="AI154" s="1778"/>
      <c r="AJ154" s="3515"/>
      <c r="AK154" s="1777"/>
      <c r="AL154" s="1777"/>
      <c r="AM154" s="1778"/>
      <c r="AN154" s="469" t="str">
        <f>IF('SH &amp; SNP Exp'!$AL$26="Yes","P","O")</f>
        <v>O</v>
      </c>
    </row>
    <row r="155" spans="1:54" ht="36" hidden="1" customHeight="1">
      <c r="B155" s="3794"/>
      <c r="C155" s="3797"/>
      <c r="D155" s="3797"/>
      <c r="E155" s="3786" t="s">
        <v>3963</v>
      </c>
      <c r="F155" s="1777"/>
      <c r="G155" s="1777"/>
      <c r="H155" s="1777"/>
      <c r="I155" s="1777"/>
      <c r="J155" s="1777"/>
      <c r="K155" s="1777"/>
      <c r="L155" s="1777"/>
      <c r="M155" s="1778"/>
      <c r="N155" s="3278" t="s">
        <v>3964</v>
      </c>
      <c r="O155" s="1777"/>
      <c r="P155" s="1777"/>
      <c r="Q155" s="1777"/>
      <c r="R155" s="1777"/>
      <c r="S155" s="1777"/>
      <c r="T155" s="1777"/>
      <c r="U155" s="1777"/>
      <c r="V155" s="1777"/>
      <c r="W155" s="1777"/>
      <c r="X155" s="1777"/>
      <c r="Y155" s="1777"/>
      <c r="Z155" s="1777"/>
      <c r="AA155" s="1777"/>
      <c r="AB155" s="1777"/>
      <c r="AC155" s="1777"/>
      <c r="AD155" s="1777"/>
      <c r="AE155" s="1777"/>
      <c r="AF155" s="1777"/>
      <c r="AG155" s="1777"/>
      <c r="AH155" s="1777"/>
      <c r="AI155" s="1778"/>
      <c r="AJ155" s="3515"/>
      <c r="AK155" s="1777"/>
      <c r="AL155" s="1777"/>
      <c r="AM155" s="1778"/>
      <c r="AN155" s="469" t="str">
        <f>IF('SH &amp; SNP Exp'!$AL$33="Yes","P","O")</f>
        <v>O</v>
      </c>
    </row>
    <row r="156" spans="1:54" ht="54" hidden="1" customHeight="1">
      <c r="B156" s="3794"/>
      <c r="C156" s="3797"/>
      <c r="D156" s="3797"/>
      <c r="E156" s="3786" t="s">
        <v>3965</v>
      </c>
      <c r="F156" s="1777"/>
      <c r="G156" s="1777"/>
      <c r="H156" s="1777"/>
      <c r="I156" s="1777"/>
      <c r="J156" s="1777"/>
      <c r="K156" s="1777"/>
      <c r="L156" s="1777"/>
      <c r="M156" s="1778"/>
      <c r="N156" s="3278" t="s">
        <v>3966</v>
      </c>
      <c r="O156" s="1777"/>
      <c r="P156" s="1777"/>
      <c r="Q156" s="1777"/>
      <c r="R156" s="1777"/>
      <c r="S156" s="1777"/>
      <c r="T156" s="1777"/>
      <c r="U156" s="1777"/>
      <c r="V156" s="1777"/>
      <c r="W156" s="1777"/>
      <c r="X156" s="1777"/>
      <c r="Y156" s="1777"/>
      <c r="Z156" s="1777"/>
      <c r="AA156" s="1777"/>
      <c r="AB156" s="1777"/>
      <c r="AC156" s="1777"/>
      <c r="AD156" s="1777"/>
      <c r="AE156" s="1777"/>
      <c r="AF156" s="1777"/>
      <c r="AG156" s="1777"/>
      <c r="AH156" s="1777"/>
      <c r="AI156" s="1778"/>
      <c r="AJ156" s="3515"/>
      <c r="AK156" s="1777"/>
      <c r="AL156" s="1777"/>
      <c r="AM156" s="1778"/>
      <c r="AN156" s="469" t="str">
        <f>IF('SH &amp; SNP Exp'!$AL$34="Yes","P","O")</f>
        <v>O</v>
      </c>
    </row>
    <row r="157" spans="1:54" s="4" customFormat="1" ht="18" hidden="1" customHeight="1">
      <c r="A157" s="578"/>
      <c r="AS157" s="454"/>
      <c r="AT157" s="454"/>
      <c r="AU157" s="454"/>
    </row>
    <row r="158" spans="1:54" s="4" customFormat="1" ht="18" hidden="1" customHeight="1">
      <c r="A158" s="578"/>
      <c r="B158" s="3801" t="s">
        <v>3967</v>
      </c>
      <c r="C158" s="1777"/>
      <c r="D158" s="1777"/>
      <c r="E158" s="1777"/>
      <c r="F158" s="1777"/>
      <c r="G158" s="1777"/>
      <c r="H158" s="1777"/>
      <c r="I158" s="1777"/>
      <c r="J158" s="1777"/>
      <c r="K158" s="1777"/>
      <c r="L158" s="1777"/>
      <c r="M158" s="1777"/>
      <c r="N158" s="1777"/>
      <c r="O158" s="1777"/>
      <c r="P158" s="1777"/>
      <c r="Q158" s="1777"/>
      <c r="R158" s="1778"/>
      <c r="AS158" s="454"/>
      <c r="AT158" s="454"/>
      <c r="AU158" s="454"/>
    </row>
    <row r="159" spans="1:54" s="4" customFormat="1" ht="50.25" hidden="1" customHeight="1">
      <c r="A159" s="578"/>
      <c r="E159" s="2991" t="s">
        <v>3968</v>
      </c>
      <c r="F159" s="1777"/>
      <c r="G159" s="1777"/>
      <c r="H159" s="1777"/>
      <c r="I159" s="1777"/>
      <c r="J159" s="1777"/>
      <c r="K159" s="1777"/>
      <c r="L159" s="1777"/>
      <c r="M159" s="1778"/>
      <c r="N159" s="1885" t="s">
        <v>3969</v>
      </c>
      <c r="O159" s="1777"/>
      <c r="P159" s="1777"/>
      <c r="Q159" s="1777"/>
      <c r="R159" s="1777"/>
      <c r="S159" s="1777"/>
      <c r="T159" s="1777"/>
      <c r="U159" s="1777"/>
      <c r="V159" s="1777"/>
      <c r="W159" s="1777"/>
      <c r="X159" s="1777"/>
      <c r="Y159" s="1777"/>
      <c r="Z159" s="1777"/>
      <c r="AA159" s="1777"/>
      <c r="AB159" s="1777"/>
      <c r="AC159" s="1777"/>
      <c r="AD159" s="1777"/>
      <c r="AE159" s="1777"/>
      <c r="AF159" s="1777"/>
      <c r="AG159" s="1777"/>
      <c r="AH159" s="1777"/>
      <c r="AI159" s="1778"/>
      <c r="AJ159" s="3515" t="s">
        <v>3772</v>
      </c>
      <c r="AK159" s="1777"/>
      <c r="AL159" s="1777"/>
      <c r="AM159" s="1778"/>
      <c r="AN159" s="457" t="s">
        <v>3773</v>
      </c>
    </row>
    <row r="160" spans="1:54" s="4" customFormat="1" ht="54" hidden="1" customHeight="1">
      <c r="A160" s="578"/>
      <c r="E160" s="2991" t="s">
        <v>3940</v>
      </c>
      <c r="F160" s="1777"/>
      <c r="G160" s="1777"/>
      <c r="H160" s="1777"/>
      <c r="I160" s="1777"/>
      <c r="J160" s="1777"/>
      <c r="K160" s="1777"/>
      <c r="L160" s="1777"/>
      <c r="M160" s="1778"/>
      <c r="N160" s="1885" t="s">
        <v>3941</v>
      </c>
      <c r="O160" s="1777"/>
      <c r="P160" s="1777"/>
      <c r="Q160" s="1777"/>
      <c r="R160" s="1777"/>
      <c r="S160" s="1777"/>
      <c r="T160" s="1777"/>
      <c r="U160" s="1777"/>
      <c r="V160" s="1777"/>
      <c r="W160" s="1777"/>
      <c r="X160" s="1777"/>
      <c r="Y160" s="1777"/>
      <c r="Z160" s="1777"/>
      <c r="AA160" s="1777"/>
      <c r="AB160" s="1777"/>
      <c r="AC160" s="1777"/>
      <c r="AD160" s="1777"/>
      <c r="AE160" s="1777"/>
      <c r="AF160" s="1777"/>
      <c r="AG160" s="1777"/>
      <c r="AH160" s="1777"/>
      <c r="AI160" s="1778"/>
      <c r="AJ160" s="3515"/>
      <c r="AK160" s="1777"/>
      <c r="AL160" s="1777"/>
      <c r="AM160" s="1778"/>
      <c r="AN160" s="469" t="str">
        <f>IF('IIG Threshold Requirements'!$AL$20="Yes","P","O")</f>
        <v>O</v>
      </c>
      <c r="AS160" s="454"/>
      <c r="AT160" s="454"/>
      <c r="AU160" s="454"/>
    </row>
    <row r="161" spans="1:54" ht="18" hidden="1" customHeight="1">
      <c r="A161" s="826"/>
      <c r="B161" s="3794"/>
      <c r="C161" s="3797"/>
      <c r="D161" s="3797"/>
      <c r="E161" s="2991" t="s">
        <v>3970</v>
      </c>
      <c r="F161" s="1777"/>
      <c r="G161" s="1777"/>
      <c r="H161" s="1777"/>
      <c r="I161" s="1777"/>
      <c r="J161" s="1777"/>
      <c r="K161" s="1777"/>
      <c r="L161" s="1777"/>
      <c r="M161" s="1778"/>
      <c r="N161" s="1885" t="s">
        <v>3939</v>
      </c>
      <c r="O161" s="1777"/>
      <c r="P161" s="1777"/>
      <c r="Q161" s="1777"/>
      <c r="R161" s="1777"/>
      <c r="S161" s="1777"/>
      <c r="T161" s="1777"/>
      <c r="U161" s="1777"/>
      <c r="V161" s="1777"/>
      <c r="W161" s="1777"/>
      <c r="X161" s="1777"/>
      <c r="Y161" s="1777"/>
      <c r="Z161" s="1777"/>
      <c r="AA161" s="1777"/>
      <c r="AB161" s="1777"/>
      <c r="AC161" s="1777"/>
      <c r="AD161" s="1777"/>
      <c r="AE161" s="1777"/>
      <c r="AF161" s="1777"/>
      <c r="AG161" s="1777"/>
      <c r="AH161" s="1777"/>
      <c r="AI161" s="1778"/>
      <c r="AJ161" s="3515"/>
      <c r="AK161" s="1777"/>
      <c r="AL161" s="1777"/>
      <c r="AM161" s="1778"/>
      <c r="AN161" s="469" t="str">
        <f>IF('IIG Threshold Requirements'!$AL$23="Yes","P","O")</f>
        <v>O</v>
      </c>
    </row>
    <row r="162" spans="1:54" ht="54" hidden="1" customHeight="1">
      <c r="A162" s="826"/>
      <c r="B162" s="3794"/>
      <c r="C162" s="3797"/>
      <c r="D162" s="3797"/>
      <c r="E162" s="2991" t="s">
        <v>3942</v>
      </c>
      <c r="F162" s="1777"/>
      <c r="G162" s="1777"/>
      <c r="H162" s="1777"/>
      <c r="I162" s="1777"/>
      <c r="J162" s="1777"/>
      <c r="K162" s="1777"/>
      <c r="L162" s="1777"/>
      <c r="M162" s="1778"/>
      <c r="N162" s="1885" t="s">
        <v>3943</v>
      </c>
      <c r="O162" s="1777"/>
      <c r="P162" s="1777"/>
      <c r="Q162" s="1777"/>
      <c r="R162" s="1777"/>
      <c r="S162" s="1777"/>
      <c r="T162" s="1777"/>
      <c r="U162" s="1777"/>
      <c r="V162" s="1777"/>
      <c r="W162" s="1777"/>
      <c r="X162" s="1777"/>
      <c r="Y162" s="1777"/>
      <c r="Z162" s="1777"/>
      <c r="AA162" s="1777"/>
      <c r="AB162" s="1777"/>
      <c r="AC162" s="1777"/>
      <c r="AD162" s="1777"/>
      <c r="AE162" s="1777"/>
      <c r="AF162" s="1777"/>
      <c r="AG162" s="1777"/>
      <c r="AH162" s="1777"/>
      <c r="AI162" s="1778"/>
      <c r="AJ162" s="3515"/>
      <c r="AK162" s="1777"/>
      <c r="AL162" s="1777"/>
      <c r="AM162" s="1778"/>
      <c r="AN162" s="469" t="str">
        <f>IF('IIG Threshold Requirements'!$AL$25="Yes","P","O")</f>
        <v>O</v>
      </c>
      <c r="AO162" s="4"/>
      <c r="AP162" s="1763"/>
    </row>
    <row r="163" spans="1:54" s="4" customFormat="1" ht="18" hidden="1" customHeight="1">
      <c r="A163" s="578"/>
      <c r="AS163" s="454"/>
      <c r="AT163" s="454"/>
      <c r="AU163" s="454"/>
    </row>
    <row r="164" spans="1:54" s="4" customFormat="1" ht="18" hidden="1" customHeight="1">
      <c r="A164" s="578"/>
      <c r="B164" s="3801" t="s">
        <v>3971</v>
      </c>
      <c r="C164" s="1777"/>
      <c r="D164" s="1777"/>
      <c r="E164" s="1777"/>
      <c r="F164" s="1777"/>
      <c r="G164" s="1777"/>
      <c r="H164" s="1777"/>
      <c r="I164" s="1777"/>
      <c r="J164" s="1777"/>
      <c r="K164" s="1777"/>
      <c r="L164" s="1777"/>
      <c r="M164" s="1778"/>
      <c r="AS164" s="454"/>
      <c r="AT164" s="454"/>
      <c r="AU164" s="454"/>
    </row>
    <row r="165" spans="1:54" ht="36" hidden="1" customHeight="1">
      <c r="A165" s="826"/>
      <c r="B165" s="3794"/>
      <c r="C165" s="3797"/>
      <c r="D165" s="3797"/>
      <c r="E165" s="3804" t="s">
        <v>3972</v>
      </c>
      <c r="F165" s="1877"/>
      <c r="G165" s="1877"/>
      <c r="H165" s="1877"/>
      <c r="I165" s="1877"/>
      <c r="J165" s="1877"/>
      <c r="K165" s="1877"/>
      <c r="L165" s="1877"/>
      <c r="M165" s="1772"/>
      <c r="N165" s="1885" t="s">
        <v>3973</v>
      </c>
      <c r="O165" s="1777"/>
      <c r="P165" s="1777"/>
      <c r="Q165" s="1777"/>
      <c r="R165" s="1777"/>
      <c r="S165" s="1777"/>
      <c r="T165" s="1777"/>
      <c r="U165" s="1777"/>
      <c r="V165" s="1777"/>
      <c r="W165" s="1777"/>
      <c r="X165" s="1777"/>
      <c r="Y165" s="1777"/>
      <c r="Z165" s="1777"/>
      <c r="AA165" s="1777"/>
      <c r="AB165" s="1777"/>
      <c r="AC165" s="1777"/>
      <c r="AD165" s="1777"/>
      <c r="AE165" s="1777"/>
      <c r="AF165" s="1777"/>
      <c r="AG165" s="1777"/>
      <c r="AH165" s="1777"/>
      <c r="AI165" s="1778"/>
      <c r="AJ165" s="3515"/>
      <c r="AK165" s="1777"/>
      <c r="AL165" s="1777"/>
      <c r="AM165" s="1778"/>
      <c r="AN165" s="469" t="e">
        <f>IF(Scoring!#REF!="Yes","P","O")</f>
        <v>#REF!</v>
      </c>
      <c r="AO165" s="1536"/>
      <c r="AP165" s="14"/>
    </row>
    <row r="166" spans="1:54" ht="36" hidden="1" customHeight="1">
      <c r="A166" s="826"/>
      <c r="B166" s="3794"/>
      <c r="C166" s="3797"/>
      <c r="D166" s="3797"/>
      <c r="E166" s="2991" t="s">
        <v>3974</v>
      </c>
      <c r="F166" s="1777"/>
      <c r="G166" s="1777"/>
      <c r="H166" s="1777"/>
      <c r="I166" s="1777"/>
      <c r="J166" s="1777"/>
      <c r="K166" s="1777"/>
      <c r="L166" s="1777"/>
      <c r="M166" s="1778"/>
      <c r="N166" s="3832" t="s">
        <v>3975</v>
      </c>
      <c r="O166" s="1777"/>
      <c r="P166" s="1777"/>
      <c r="Q166" s="1777"/>
      <c r="R166" s="1777"/>
      <c r="S166" s="1777"/>
      <c r="T166" s="1777"/>
      <c r="U166" s="1777"/>
      <c r="V166" s="1777"/>
      <c r="W166" s="1777"/>
      <c r="X166" s="1777"/>
      <c r="Y166" s="1777"/>
      <c r="Z166" s="1777"/>
      <c r="AA166" s="1777"/>
      <c r="AB166" s="1777"/>
      <c r="AC166" s="1777"/>
      <c r="AD166" s="1777"/>
      <c r="AE166" s="1777"/>
      <c r="AF166" s="1777"/>
      <c r="AG166" s="1777"/>
      <c r="AH166" s="1777"/>
      <c r="AI166" s="1778"/>
      <c r="AJ166" s="3515" t="s">
        <v>3772</v>
      </c>
      <c r="AK166" s="1777"/>
      <c r="AL166" s="1777"/>
      <c r="AM166" s="1778"/>
      <c r="AN166" s="457" t="s">
        <v>3773</v>
      </c>
      <c r="AO166" s="1537"/>
    </row>
    <row r="167" spans="1:54" s="457" customFormat="1" ht="54" hidden="1" customHeight="1">
      <c r="A167" s="214"/>
      <c r="E167" s="3010" t="s">
        <v>3976</v>
      </c>
      <c r="F167" s="1777"/>
      <c r="G167" s="1777"/>
      <c r="H167" s="1777"/>
      <c r="I167" s="1777"/>
      <c r="J167" s="1777"/>
      <c r="K167" s="1777"/>
      <c r="L167" s="1777"/>
      <c r="M167" s="1778"/>
      <c r="N167" s="3832" t="s">
        <v>3977</v>
      </c>
      <c r="O167" s="1777"/>
      <c r="P167" s="1777"/>
      <c r="Q167" s="1777"/>
      <c r="R167" s="1777"/>
      <c r="S167" s="1777"/>
      <c r="T167" s="1777"/>
      <c r="U167" s="1777"/>
      <c r="V167" s="1777"/>
      <c r="W167" s="1777"/>
      <c r="X167" s="1777"/>
      <c r="Y167" s="1777"/>
      <c r="Z167" s="1777"/>
      <c r="AA167" s="1777"/>
      <c r="AB167" s="1777"/>
      <c r="AC167" s="1777"/>
      <c r="AD167" s="1777"/>
      <c r="AE167" s="1777"/>
      <c r="AF167" s="1777"/>
      <c r="AG167" s="1777"/>
      <c r="AH167" s="1777"/>
      <c r="AI167" s="1778"/>
      <c r="AJ167" s="3515" t="s">
        <v>3772</v>
      </c>
      <c r="AK167" s="1777"/>
      <c r="AL167" s="1777"/>
      <c r="AM167" s="1778"/>
      <c r="AN167" s="457" t="s">
        <v>3773</v>
      </c>
      <c r="AO167" s="1537"/>
      <c r="AS167" s="72"/>
      <c r="AT167" s="72"/>
      <c r="AU167" s="72"/>
    </row>
    <row r="168" spans="1:54" s="457" customFormat="1" ht="113.25" hidden="1" customHeight="1">
      <c r="A168" s="214"/>
      <c r="E168" s="3010" t="s">
        <v>3978</v>
      </c>
      <c r="F168" s="1777"/>
      <c r="G168" s="1777"/>
      <c r="H168" s="1777"/>
      <c r="I168" s="1777"/>
      <c r="J168" s="1777"/>
      <c r="K168" s="1777"/>
      <c r="L168" s="1777"/>
      <c r="M168" s="1778"/>
      <c r="N168" s="3832" t="s">
        <v>3979</v>
      </c>
      <c r="O168" s="1777"/>
      <c r="P168" s="1777"/>
      <c r="Q168" s="1777"/>
      <c r="R168" s="1777"/>
      <c r="S168" s="1777"/>
      <c r="T168" s="1777"/>
      <c r="U168" s="1777"/>
      <c r="V168" s="1777"/>
      <c r="W168" s="1777"/>
      <c r="X168" s="1777"/>
      <c r="Y168" s="1777"/>
      <c r="Z168" s="1777"/>
      <c r="AA168" s="1777"/>
      <c r="AB168" s="1777"/>
      <c r="AC168" s="1777"/>
      <c r="AD168" s="1777"/>
      <c r="AE168" s="1777"/>
      <c r="AF168" s="1777"/>
      <c r="AG168" s="1777"/>
      <c r="AH168" s="1777"/>
      <c r="AI168" s="1778"/>
      <c r="AJ168" s="3515" t="s">
        <v>3772</v>
      </c>
      <c r="AK168" s="1777"/>
      <c r="AL168" s="1777"/>
      <c r="AM168" s="1778"/>
      <c r="AN168" s="457" t="s">
        <v>3773</v>
      </c>
      <c r="AO168" s="1537"/>
      <c r="AS168" s="72"/>
      <c r="AT168" s="72"/>
      <c r="AU168" s="72"/>
    </row>
    <row r="169" spans="1:54" s="457" customFormat="1" ht="63" hidden="1" customHeight="1">
      <c r="A169" s="214"/>
      <c r="E169" s="3010" t="s">
        <v>3980</v>
      </c>
      <c r="F169" s="1777"/>
      <c r="G169" s="1777"/>
      <c r="H169" s="1777"/>
      <c r="I169" s="1777"/>
      <c r="J169" s="1777"/>
      <c r="K169" s="1777"/>
      <c r="L169" s="1777"/>
      <c r="M169" s="1778"/>
      <c r="N169" s="3832" t="s">
        <v>3981</v>
      </c>
      <c r="O169" s="1777"/>
      <c r="P169" s="1777"/>
      <c r="Q169" s="1777"/>
      <c r="R169" s="1777"/>
      <c r="S169" s="1777"/>
      <c r="T169" s="1777"/>
      <c r="U169" s="1777"/>
      <c r="V169" s="1777"/>
      <c r="W169" s="1777"/>
      <c r="X169" s="1777"/>
      <c r="Y169" s="1777"/>
      <c r="Z169" s="1777"/>
      <c r="AA169" s="1777"/>
      <c r="AB169" s="1777"/>
      <c r="AC169" s="1777"/>
      <c r="AD169" s="1777"/>
      <c r="AE169" s="1777"/>
      <c r="AF169" s="1777"/>
      <c r="AG169" s="1777"/>
      <c r="AH169" s="1777"/>
      <c r="AI169" s="1778"/>
      <c r="AJ169" s="3515" t="s">
        <v>3772</v>
      </c>
      <c r="AK169" s="1777"/>
      <c r="AL169" s="1777"/>
      <c r="AM169" s="1778"/>
      <c r="AN169" s="457" t="s">
        <v>3773</v>
      </c>
      <c r="AO169" s="1537"/>
      <c r="AS169" s="72"/>
      <c r="AT169" s="72"/>
      <c r="AU169" s="72"/>
    </row>
    <row r="170" spans="1:54" ht="18" hidden="1" customHeight="1">
      <c r="A170" s="826"/>
      <c r="B170" s="3794"/>
      <c r="C170" s="3797"/>
      <c r="D170" s="3797"/>
      <c r="E170" s="2140" t="s">
        <v>3982</v>
      </c>
      <c r="F170" s="1777"/>
      <c r="G170" s="1777"/>
      <c r="H170" s="1777"/>
      <c r="I170" s="1777"/>
      <c r="J170" s="1777"/>
      <c r="K170" s="1777"/>
      <c r="L170" s="1777"/>
      <c r="M170" s="1778"/>
      <c r="N170" s="2136" t="s">
        <v>3813</v>
      </c>
      <c r="O170" s="1777"/>
      <c r="P170" s="1777"/>
      <c r="Q170" s="1777"/>
      <c r="R170" s="1777"/>
      <c r="S170" s="1777"/>
      <c r="T170" s="1777"/>
      <c r="U170" s="1777"/>
      <c r="V170" s="1777"/>
      <c r="W170" s="1777"/>
      <c r="X170" s="1777"/>
      <c r="Y170" s="1777"/>
      <c r="Z170" s="1777"/>
      <c r="AA170" s="1777"/>
      <c r="AB170" s="1777"/>
      <c r="AC170" s="1777"/>
      <c r="AD170" s="1777"/>
      <c r="AE170" s="1777"/>
      <c r="AF170" s="1777"/>
      <c r="AG170" s="1777"/>
      <c r="AH170" s="1777"/>
      <c r="AI170" s="1778"/>
      <c r="AJ170" s="3515"/>
      <c r="AK170" s="1777"/>
      <c r="AL170" s="1777"/>
      <c r="AM170" s="1778"/>
      <c r="AN170" s="469" t="str">
        <f>IF(Scoring!$AL$123="Yes","P","O")</f>
        <v>O</v>
      </c>
    </row>
    <row r="171" spans="1:54" ht="18" hidden="1" customHeight="1">
      <c r="A171" s="826"/>
      <c r="B171" s="3794"/>
      <c r="C171" s="3797"/>
      <c r="D171" s="3797"/>
      <c r="E171" s="2140" t="s">
        <v>3983</v>
      </c>
      <c r="F171" s="1777"/>
      <c r="G171" s="1777"/>
      <c r="H171" s="1777"/>
      <c r="I171" s="1777"/>
      <c r="J171" s="1777"/>
      <c r="K171" s="1777"/>
      <c r="L171" s="1777"/>
      <c r="M171" s="1778"/>
      <c r="N171" s="2136" t="s">
        <v>3816</v>
      </c>
      <c r="O171" s="1777"/>
      <c r="P171" s="1777"/>
      <c r="Q171" s="1777"/>
      <c r="R171" s="1777"/>
      <c r="S171" s="1777"/>
      <c r="T171" s="1777"/>
      <c r="U171" s="1777"/>
      <c r="V171" s="1777"/>
      <c r="W171" s="1777"/>
      <c r="X171" s="1777"/>
      <c r="Y171" s="1777"/>
      <c r="Z171" s="1777"/>
      <c r="AA171" s="1777"/>
      <c r="AB171" s="1777"/>
      <c r="AC171" s="1777"/>
      <c r="AD171" s="1777"/>
      <c r="AE171" s="1777"/>
      <c r="AF171" s="1777"/>
      <c r="AG171" s="1777"/>
      <c r="AH171" s="1777"/>
      <c r="AI171" s="1778"/>
      <c r="AJ171" s="3515"/>
      <c r="AK171" s="1777"/>
      <c r="AL171" s="1777"/>
      <c r="AM171" s="1778"/>
      <c r="AN171" s="469" t="str">
        <f>IF(Scoring!$AL$124="Yes","P","O")</f>
        <v>O</v>
      </c>
      <c r="AT171" s="72"/>
    </row>
    <row r="172" spans="1:54" ht="54" hidden="1" customHeight="1">
      <c r="A172" s="826"/>
      <c r="B172" s="3794"/>
      <c r="C172" s="3797"/>
      <c r="D172" s="3797"/>
      <c r="E172" s="2140" t="s">
        <v>3984</v>
      </c>
      <c r="F172" s="1777"/>
      <c r="G172" s="1777"/>
      <c r="H172" s="1777"/>
      <c r="I172" s="1777"/>
      <c r="J172" s="1777"/>
      <c r="K172" s="1777"/>
      <c r="L172" s="1777"/>
      <c r="M172" s="1778"/>
      <c r="N172" s="2136" t="s">
        <v>3818</v>
      </c>
      <c r="O172" s="1777"/>
      <c r="P172" s="1777"/>
      <c r="Q172" s="1777"/>
      <c r="R172" s="1777"/>
      <c r="S172" s="1777"/>
      <c r="T172" s="1777"/>
      <c r="U172" s="1777"/>
      <c r="V172" s="1777"/>
      <c r="W172" s="1777"/>
      <c r="X172" s="1777"/>
      <c r="Y172" s="1777"/>
      <c r="Z172" s="1777"/>
      <c r="AA172" s="1777"/>
      <c r="AB172" s="1777"/>
      <c r="AC172" s="1777"/>
      <c r="AD172" s="1777"/>
      <c r="AE172" s="1777"/>
      <c r="AF172" s="1777"/>
      <c r="AG172" s="1777"/>
      <c r="AH172" s="1777"/>
      <c r="AI172" s="1778"/>
      <c r="AJ172" s="3515"/>
      <c r="AK172" s="1777"/>
      <c r="AL172" s="1777"/>
      <c r="AM172" s="1778"/>
      <c r="AN172" s="469" t="str">
        <f>IF(Scoring!$AL$125="Yes","P","O")</f>
        <v>O</v>
      </c>
      <c r="AT172" s="72"/>
    </row>
    <row r="173" spans="1:54" s="214" customFormat="1" ht="75.75" hidden="1" customHeight="1">
      <c r="A173" s="826"/>
      <c r="B173" s="3794"/>
      <c r="C173" s="3796"/>
      <c r="D173" s="3796"/>
      <c r="E173" s="2991" t="s">
        <v>3985</v>
      </c>
      <c r="F173" s="1777"/>
      <c r="G173" s="1777"/>
      <c r="H173" s="1777"/>
      <c r="I173" s="1777"/>
      <c r="J173" s="1777"/>
      <c r="K173" s="1777"/>
      <c r="L173" s="1777"/>
      <c r="M173" s="1778"/>
      <c r="N173" s="1885" t="s">
        <v>3986</v>
      </c>
      <c r="O173" s="1777"/>
      <c r="P173" s="1777"/>
      <c r="Q173" s="1777"/>
      <c r="R173" s="1777"/>
      <c r="S173" s="1777"/>
      <c r="T173" s="1777"/>
      <c r="U173" s="1777"/>
      <c r="V173" s="1777"/>
      <c r="W173" s="1777"/>
      <c r="X173" s="1777"/>
      <c r="Y173" s="1777"/>
      <c r="Z173" s="1777"/>
      <c r="AA173" s="1777"/>
      <c r="AB173" s="1777"/>
      <c r="AC173" s="1777"/>
      <c r="AD173" s="1777"/>
      <c r="AE173" s="1777"/>
      <c r="AF173" s="1777"/>
      <c r="AG173" s="1777"/>
      <c r="AH173" s="1777"/>
      <c r="AI173" s="1778"/>
      <c r="AJ173" s="3515"/>
      <c r="AK173" s="1777"/>
      <c r="AL173" s="1777"/>
      <c r="AM173" s="1778"/>
      <c r="AN173" s="469" t="str">
        <f>IF(Scoring!$AL$126="Yes","P","O")</f>
        <v>O</v>
      </c>
      <c r="AO173" s="457"/>
      <c r="AP173" s="457"/>
      <c r="AQ173" s="457"/>
      <c r="AR173" s="457"/>
      <c r="AS173" s="72"/>
      <c r="AT173" s="72"/>
      <c r="AU173" s="72"/>
      <c r="AV173" s="457"/>
      <c r="AW173" s="457"/>
      <c r="AX173" s="457"/>
      <c r="AY173" s="457"/>
      <c r="AZ173" s="457"/>
      <c r="BA173" s="457"/>
      <c r="BB173" s="457"/>
    </row>
    <row r="174" spans="1:54" ht="36" hidden="1" customHeight="1">
      <c r="A174" s="826"/>
      <c r="B174" s="3794"/>
      <c r="C174" s="3797"/>
      <c r="D174" s="3797"/>
      <c r="E174" s="2991" t="s">
        <v>3987</v>
      </c>
      <c r="F174" s="1777"/>
      <c r="G174" s="1777"/>
      <c r="H174" s="1777"/>
      <c r="I174" s="1777"/>
      <c r="J174" s="1777"/>
      <c r="K174" s="1777"/>
      <c r="L174" s="1777"/>
      <c r="M174" s="1778"/>
      <c r="N174" s="1885" t="s">
        <v>3988</v>
      </c>
      <c r="O174" s="1777"/>
      <c r="P174" s="1777"/>
      <c r="Q174" s="1777"/>
      <c r="R174" s="1777"/>
      <c r="S174" s="1777"/>
      <c r="T174" s="1777"/>
      <c r="U174" s="1777"/>
      <c r="V174" s="1777"/>
      <c r="W174" s="1777"/>
      <c r="X174" s="1777"/>
      <c r="Y174" s="1777"/>
      <c r="Z174" s="1777"/>
      <c r="AA174" s="1777"/>
      <c r="AB174" s="1777"/>
      <c r="AC174" s="1777"/>
      <c r="AD174" s="1777"/>
      <c r="AE174" s="1777"/>
      <c r="AF174" s="1777"/>
      <c r="AG174" s="1777"/>
      <c r="AH174" s="1777"/>
      <c r="AI174" s="1778"/>
      <c r="AJ174" s="3515"/>
      <c r="AK174" s="1777"/>
      <c r="AL174" s="1777"/>
      <c r="AM174" s="1778"/>
      <c r="AN174" s="469" t="str">
        <f>IF(Scoring!$AL$129="Yes","P","O")</f>
        <v>O</v>
      </c>
    </row>
    <row r="175" spans="1:54" s="457" customFormat="1" ht="18" hidden="1" customHeight="1">
      <c r="A175" s="214"/>
      <c r="E175" s="2991" t="s">
        <v>3989</v>
      </c>
      <c r="F175" s="1777"/>
      <c r="G175" s="1777"/>
      <c r="H175" s="1777"/>
      <c r="I175" s="1777"/>
      <c r="J175" s="1777"/>
      <c r="K175" s="1777"/>
      <c r="L175" s="1777"/>
      <c r="M175" s="1778"/>
      <c r="N175" s="3832" t="s">
        <v>3990</v>
      </c>
      <c r="O175" s="1777"/>
      <c r="P175" s="1777"/>
      <c r="Q175" s="1777"/>
      <c r="R175" s="1777"/>
      <c r="S175" s="1777"/>
      <c r="T175" s="1777"/>
      <c r="U175" s="1777"/>
      <c r="V175" s="1777"/>
      <c r="W175" s="1777"/>
      <c r="X175" s="1777"/>
      <c r="Y175" s="1777"/>
      <c r="Z175" s="1777"/>
      <c r="AA175" s="1777"/>
      <c r="AB175" s="1777"/>
      <c r="AC175" s="1777"/>
      <c r="AD175" s="1777"/>
      <c r="AE175" s="1777"/>
      <c r="AF175" s="1777"/>
      <c r="AG175" s="1777"/>
      <c r="AH175" s="1777"/>
      <c r="AI175" s="1778"/>
      <c r="AJ175" s="3515"/>
      <c r="AK175" s="1777"/>
      <c r="AL175" s="1777"/>
      <c r="AM175" s="1778"/>
      <c r="AN175" s="469" t="str">
        <f>IF(Scoring!$AL$143="Yes","P","O")</f>
        <v>O</v>
      </c>
      <c r="AS175" s="72"/>
      <c r="AT175" s="72"/>
      <c r="AU175" s="72"/>
    </row>
    <row r="176" spans="1:54" s="457" customFormat="1" ht="18" hidden="1" customHeight="1">
      <c r="A176" s="214"/>
      <c r="E176" s="2991" t="s">
        <v>3991</v>
      </c>
      <c r="F176" s="1777"/>
      <c r="G176" s="1777"/>
      <c r="H176" s="1777"/>
      <c r="I176" s="1777"/>
      <c r="J176" s="1777"/>
      <c r="K176" s="1777"/>
      <c r="L176" s="1777"/>
      <c r="M176" s="1778"/>
      <c r="N176" s="1885" t="s">
        <v>3992</v>
      </c>
      <c r="O176" s="1777"/>
      <c r="P176" s="1777"/>
      <c r="Q176" s="1777"/>
      <c r="R176" s="1777"/>
      <c r="S176" s="1777"/>
      <c r="T176" s="1777"/>
      <c r="U176" s="1777"/>
      <c r="V176" s="1777"/>
      <c r="W176" s="1777"/>
      <c r="X176" s="1777"/>
      <c r="Y176" s="1777"/>
      <c r="Z176" s="1777"/>
      <c r="AA176" s="1777"/>
      <c r="AB176" s="1777"/>
      <c r="AC176" s="1777"/>
      <c r="AD176" s="1777"/>
      <c r="AE176" s="1777"/>
      <c r="AF176" s="1777"/>
      <c r="AG176" s="1777"/>
      <c r="AH176" s="1777"/>
      <c r="AI176" s="1778"/>
      <c r="AJ176" s="3515"/>
      <c r="AK176" s="1777"/>
      <c r="AL176" s="1777"/>
      <c r="AM176" s="1778"/>
      <c r="AN176" s="469" t="str">
        <f>IF(Scoring!$AL$144="Yes","P","O")</f>
        <v>O</v>
      </c>
      <c r="AS176" s="72"/>
      <c r="AT176" s="72"/>
      <c r="AU176" s="72"/>
    </row>
    <row r="177" spans="1:47" s="457" customFormat="1" ht="54" hidden="1" customHeight="1">
      <c r="A177" s="214"/>
      <c r="E177" s="2991" t="s">
        <v>3993</v>
      </c>
      <c r="F177" s="1777"/>
      <c r="G177" s="1777"/>
      <c r="H177" s="1777"/>
      <c r="I177" s="1777"/>
      <c r="J177" s="1777"/>
      <c r="K177" s="1777"/>
      <c r="L177" s="1777"/>
      <c r="M177" s="1778"/>
      <c r="N177" s="1885" t="s">
        <v>3994</v>
      </c>
      <c r="O177" s="1777"/>
      <c r="P177" s="1777"/>
      <c r="Q177" s="1777"/>
      <c r="R177" s="1777"/>
      <c r="S177" s="1777"/>
      <c r="T177" s="1777"/>
      <c r="U177" s="1777"/>
      <c r="V177" s="1777"/>
      <c r="W177" s="1777"/>
      <c r="X177" s="1777"/>
      <c r="Y177" s="1777"/>
      <c r="Z177" s="1777"/>
      <c r="AA177" s="1777"/>
      <c r="AB177" s="1777"/>
      <c r="AC177" s="1777"/>
      <c r="AD177" s="1777"/>
      <c r="AE177" s="1777"/>
      <c r="AF177" s="1777"/>
      <c r="AG177" s="1777"/>
      <c r="AH177" s="1777"/>
      <c r="AI177" s="1778"/>
      <c r="AJ177" s="3515"/>
      <c r="AK177" s="1777"/>
      <c r="AL177" s="1777"/>
      <c r="AM177" s="1778"/>
      <c r="AN177" s="469" t="str">
        <f>IF(Scoring!$AL$145="Yes","P","O")</f>
        <v>O</v>
      </c>
      <c r="AS177" s="72"/>
      <c r="AT177" s="72"/>
      <c r="AU177" s="72"/>
    </row>
    <row r="178" spans="1:47" s="457" customFormat="1" ht="36" hidden="1" customHeight="1">
      <c r="A178" s="214"/>
      <c r="E178" s="3819" t="s">
        <v>3995</v>
      </c>
      <c r="F178" s="1777"/>
      <c r="G178" s="1777"/>
      <c r="H178" s="1777"/>
      <c r="I178" s="1777"/>
      <c r="J178" s="1777"/>
      <c r="K178" s="1777"/>
      <c r="L178" s="1777"/>
      <c r="M178" s="1778"/>
      <c r="N178" s="2013" t="s">
        <v>3996</v>
      </c>
      <c r="O178" s="1777"/>
      <c r="P178" s="1777"/>
      <c r="Q178" s="1777"/>
      <c r="R178" s="1777"/>
      <c r="S178" s="1777"/>
      <c r="T178" s="1777"/>
      <c r="U178" s="1777"/>
      <c r="V178" s="1777"/>
      <c r="W178" s="1777"/>
      <c r="X178" s="1777"/>
      <c r="Y178" s="1777"/>
      <c r="Z178" s="1777"/>
      <c r="AA178" s="1777"/>
      <c r="AB178" s="1777"/>
      <c r="AC178" s="1777"/>
      <c r="AD178" s="1777"/>
      <c r="AE178" s="1777"/>
      <c r="AF178" s="1777"/>
      <c r="AG178" s="1777"/>
      <c r="AH178" s="1777"/>
      <c r="AI178" s="1778"/>
      <c r="AJ178" s="3515"/>
      <c r="AK178" s="1777"/>
      <c r="AL178" s="1777"/>
      <c r="AM178" s="1778"/>
      <c r="AN178" s="469" t="str">
        <f>IF(Scoring!$AL$173="Yes","P","O")</f>
        <v>O</v>
      </c>
      <c r="AO178" s="815"/>
    </row>
    <row r="179" spans="1:47" s="4" customFormat="1" ht="36" hidden="1" customHeight="1">
      <c r="A179" s="824"/>
      <c r="B179" s="3794"/>
      <c r="C179" s="3295"/>
      <c r="D179" s="3295"/>
      <c r="E179" s="3819" t="s">
        <v>3997</v>
      </c>
      <c r="F179" s="1777"/>
      <c r="G179" s="1777"/>
      <c r="H179" s="1777"/>
      <c r="I179" s="1777"/>
      <c r="J179" s="1777"/>
      <c r="K179" s="1777"/>
      <c r="L179" s="1777"/>
      <c r="M179" s="1778"/>
      <c r="N179" s="2013" t="s">
        <v>3998</v>
      </c>
      <c r="O179" s="1777"/>
      <c r="P179" s="1777"/>
      <c r="Q179" s="1777"/>
      <c r="R179" s="1777"/>
      <c r="S179" s="1777"/>
      <c r="T179" s="1777"/>
      <c r="U179" s="1777"/>
      <c r="V179" s="1777"/>
      <c r="W179" s="1777"/>
      <c r="X179" s="1777"/>
      <c r="Y179" s="1777"/>
      <c r="Z179" s="1777"/>
      <c r="AA179" s="1777"/>
      <c r="AB179" s="1777"/>
      <c r="AC179" s="1777"/>
      <c r="AD179" s="1777"/>
      <c r="AE179" s="1777"/>
      <c r="AF179" s="1777"/>
      <c r="AG179" s="1777"/>
      <c r="AH179" s="1777"/>
      <c r="AI179" s="1778"/>
      <c r="AJ179" s="3515"/>
      <c r="AK179" s="1777"/>
      <c r="AL179" s="1777"/>
      <c r="AM179" s="1778"/>
      <c r="AN179" s="469" t="str">
        <f>IF(Scoring!$AL$178="Yes","P","O")</f>
        <v>O</v>
      </c>
      <c r="AS179" s="454"/>
      <c r="AT179" s="454"/>
      <c r="AU179" s="454"/>
    </row>
    <row r="180" spans="1:47" ht="48" customHeight="1">
      <c r="B180" s="3794"/>
      <c r="C180" s="3797"/>
      <c r="D180" s="3797"/>
      <c r="E180" s="3840" t="s">
        <v>3999</v>
      </c>
      <c r="F180" s="1966"/>
      <c r="G180" s="1966"/>
      <c r="H180" s="1966"/>
      <c r="I180" s="1966"/>
      <c r="J180" s="1966"/>
      <c r="K180" s="1966"/>
      <c r="L180" s="1966"/>
      <c r="M180" s="2060"/>
      <c r="N180" s="3833" t="s">
        <v>4000</v>
      </c>
      <c r="O180" s="1966"/>
      <c r="P180" s="1966"/>
      <c r="Q180" s="1966"/>
      <c r="R180" s="1966"/>
      <c r="S180" s="1966"/>
      <c r="T180" s="1966"/>
      <c r="U180" s="1966"/>
      <c r="V180" s="1966"/>
      <c r="W180" s="1966"/>
      <c r="X180" s="1966"/>
      <c r="Y180" s="1966"/>
      <c r="Z180" s="1966"/>
      <c r="AA180" s="1966"/>
      <c r="AB180" s="1966"/>
      <c r="AC180" s="1966"/>
      <c r="AD180" s="1966"/>
      <c r="AE180" s="1966"/>
      <c r="AF180" s="1966"/>
      <c r="AG180" s="1966"/>
      <c r="AH180" s="1966"/>
      <c r="AI180" s="2060"/>
      <c r="AJ180" s="3515" t="str">
        <f>IF(Scoring!AL209="","",Scoring!AL209)</f>
        <v/>
      </c>
      <c r="AK180" s="1777"/>
      <c r="AL180" s="1777"/>
      <c r="AM180" s="1778"/>
      <c r="AN180" s="469" t="str">
        <f>IF(Scoring!$AL$183="Yes","P","O")</f>
        <v>O</v>
      </c>
      <c r="AO180" s="14"/>
    </row>
    <row r="181" spans="1:47" s="4" customFormat="1" ht="58.5" customHeight="1">
      <c r="A181" s="578"/>
      <c r="C181" s="457"/>
      <c r="E181" s="3840" t="s">
        <v>4001</v>
      </c>
      <c r="F181" s="1966"/>
      <c r="G181" s="1966"/>
      <c r="H181" s="1966"/>
      <c r="I181" s="1966"/>
      <c r="J181" s="1966"/>
      <c r="K181" s="1966"/>
      <c r="L181" s="1966"/>
      <c r="M181" s="2060"/>
      <c r="N181" s="3833" t="s">
        <v>4002</v>
      </c>
      <c r="O181" s="1966"/>
      <c r="P181" s="1966"/>
      <c r="Q181" s="1966"/>
      <c r="R181" s="1966"/>
      <c r="S181" s="1966"/>
      <c r="T181" s="1966"/>
      <c r="U181" s="1966"/>
      <c r="V181" s="1966"/>
      <c r="W181" s="1966"/>
      <c r="X181" s="1966"/>
      <c r="Y181" s="1966"/>
      <c r="Z181" s="1966"/>
      <c r="AA181" s="1966"/>
      <c r="AB181" s="1966"/>
      <c r="AC181" s="1966"/>
      <c r="AD181" s="1966"/>
      <c r="AE181" s="1966"/>
      <c r="AF181" s="1966"/>
      <c r="AG181" s="1966"/>
      <c r="AH181" s="1966"/>
      <c r="AI181" s="2060"/>
      <c r="AJ181" s="3515" t="str">
        <f>IF(Scoring!AL211="","",Scoring!AL211)</f>
        <v/>
      </c>
      <c r="AK181" s="1777"/>
      <c r="AL181" s="1777"/>
      <c r="AM181" s="1778"/>
      <c r="AN181" s="469" t="str">
        <f>IF(Scoring!$AL$184="Yes","P","O")</f>
        <v>O</v>
      </c>
      <c r="AO181" s="14"/>
      <c r="AS181" s="454"/>
      <c r="AT181" s="454"/>
      <c r="AU181" s="454"/>
    </row>
    <row r="182" spans="1:47" s="4" customFormat="1" ht="80.099999999999994" hidden="1" customHeight="1">
      <c r="A182" s="578"/>
      <c r="C182" s="760"/>
      <c r="E182" s="3819" t="s">
        <v>4003</v>
      </c>
      <c r="F182" s="1777"/>
      <c r="G182" s="1777"/>
      <c r="H182" s="1777"/>
      <c r="I182" s="1777"/>
      <c r="J182" s="1777"/>
      <c r="K182" s="1777"/>
      <c r="L182" s="1777"/>
      <c r="M182" s="1778"/>
      <c r="N182" s="2013" t="s">
        <v>4004</v>
      </c>
      <c r="O182" s="1777"/>
      <c r="P182" s="1777"/>
      <c r="Q182" s="1777"/>
      <c r="R182" s="1777"/>
      <c r="S182" s="1777"/>
      <c r="T182" s="1777"/>
      <c r="U182" s="1777"/>
      <c r="V182" s="1777"/>
      <c r="W182" s="1777"/>
      <c r="X182" s="1777"/>
      <c r="Y182" s="1777"/>
      <c r="Z182" s="1777"/>
      <c r="AA182" s="1777"/>
      <c r="AB182" s="1777"/>
      <c r="AC182" s="1777"/>
      <c r="AD182" s="1777"/>
      <c r="AE182" s="1777"/>
      <c r="AF182" s="1777"/>
      <c r="AG182" s="1777"/>
      <c r="AH182" s="1777"/>
      <c r="AI182" s="1778"/>
      <c r="AJ182" s="1911"/>
      <c r="AK182" s="1861"/>
      <c r="AL182" s="1861"/>
      <c r="AM182" s="1862"/>
      <c r="AN182" s="469" t="str">
        <f>IF(Scoring!$AL$189="Yes","P","O")</f>
        <v>O</v>
      </c>
      <c r="AO182" s="469" t="str">
        <f>IF('Project Overview'!$AL$501="Yes","P","O")</f>
        <v>O</v>
      </c>
      <c r="AS182" s="454"/>
      <c r="AT182" s="454"/>
      <c r="AU182" s="454"/>
    </row>
    <row r="183" spans="1:47" s="4" customFormat="1" ht="36" hidden="1" customHeight="1">
      <c r="A183" s="578"/>
      <c r="E183" s="3819" t="s">
        <v>4005</v>
      </c>
      <c r="F183" s="1777"/>
      <c r="G183" s="1777"/>
      <c r="H183" s="1777"/>
      <c r="I183" s="1777"/>
      <c r="J183" s="1777"/>
      <c r="K183" s="1777"/>
      <c r="L183" s="1777"/>
      <c r="M183" s="1778"/>
      <c r="N183" s="2013" t="s">
        <v>4006</v>
      </c>
      <c r="O183" s="1777"/>
      <c r="P183" s="1777"/>
      <c r="Q183" s="1777"/>
      <c r="R183" s="1777"/>
      <c r="S183" s="1777"/>
      <c r="T183" s="1777"/>
      <c r="U183" s="1777"/>
      <c r="V183" s="1777"/>
      <c r="W183" s="1777"/>
      <c r="X183" s="1777"/>
      <c r="Y183" s="1777"/>
      <c r="Z183" s="1777"/>
      <c r="AA183" s="1777"/>
      <c r="AB183" s="1777"/>
      <c r="AC183" s="1777"/>
      <c r="AD183" s="1777"/>
      <c r="AE183" s="1777"/>
      <c r="AF183" s="1777"/>
      <c r="AG183" s="1777"/>
      <c r="AH183" s="1777"/>
      <c r="AI183" s="1778"/>
      <c r="AJ183" s="1911"/>
      <c r="AK183" s="1861"/>
      <c r="AL183" s="1861"/>
      <c r="AM183" s="1862"/>
      <c r="AN183" s="469" t="str">
        <f>IF(Scoring!$AL$202="Yes","P","O")</f>
        <v>O</v>
      </c>
      <c r="AS183" s="454"/>
      <c r="AT183" s="454"/>
      <c r="AU183" s="454"/>
    </row>
    <row r="184" spans="1:47" ht="27.75" hidden="1" customHeight="1">
      <c r="A184" s="827"/>
      <c r="B184" s="3794"/>
      <c r="C184" s="3797"/>
      <c r="D184" s="3797"/>
      <c r="E184" s="2991" t="s">
        <v>4007</v>
      </c>
      <c r="F184" s="1777"/>
      <c r="G184" s="1777"/>
      <c r="H184" s="1777"/>
      <c r="I184" s="1777"/>
      <c r="J184" s="1777"/>
      <c r="K184" s="1777"/>
      <c r="L184" s="1777"/>
      <c r="M184" s="1778"/>
      <c r="N184" s="1885" t="s">
        <v>4008</v>
      </c>
      <c r="O184" s="1777"/>
      <c r="P184" s="1777"/>
      <c r="Q184" s="1777"/>
      <c r="R184" s="1777"/>
      <c r="S184" s="1777"/>
      <c r="T184" s="1777"/>
      <c r="U184" s="1777"/>
      <c r="V184" s="1777"/>
      <c r="W184" s="1777"/>
      <c r="X184" s="1777"/>
      <c r="Y184" s="1777"/>
      <c r="Z184" s="1777"/>
      <c r="AA184" s="1777"/>
      <c r="AB184" s="1777"/>
      <c r="AC184" s="1777"/>
      <c r="AD184" s="1777"/>
      <c r="AE184" s="1777"/>
      <c r="AF184" s="1777"/>
      <c r="AG184" s="1777"/>
      <c r="AH184" s="1777"/>
      <c r="AI184" s="1778"/>
      <c r="AJ184" s="1911"/>
      <c r="AK184" s="1861"/>
      <c r="AL184" s="1861"/>
      <c r="AM184" s="1862"/>
      <c r="AN184" s="469" t="str">
        <f>IF(Scoring!$AL$203="Yes","P","O")</f>
        <v>O</v>
      </c>
    </row>
    <row r="185" spans="1:47" s="4" customFormat="1" ht="18" hidden="1" customHeight="1">
      <c r="A185" s="578"/>
      <c r="B185" s="3794"/>
      <c r="C185" s="3295"/>
      <c r="D185" s="3295"/>
      <c r="E185" s="2991" t="s">
        <v>4007</v>
      </c>
      <c r="F185" s="1777"/>
      <c r="G185" s="1777"/>
      <c r="H185" s="1777"/>
      <c r="I185" s="1777"/>
      <c r="J185" s="1777"/>
      <c r="K185" s="1777"/>
      <c r="L185" s="1777"/>
      <c r="M185" s="1778"/>
      <c r="N185" s="1885" t="s">
        <v>4008</v>
      </c>
      <c r="O185" s="1777"/>
      <c r="P185" s="1777"/>
      <c r="Q185" s="1777"/>
      <c r="R185" s="1777"/>
      <c r="S185" s="1777"/>
      <c r="T185" s="1777"/>
      <c r="U185" s="1777"/>
      <c r="V185" s="1777"/>
      <c r="W185" s="1777"/>
      <c r="X185" s="1777"/>
      <c r="Y185" s="1777"/>
      <c r="Z185" s="1777"/>
      <c r="AA185" s="1777"/>
      <c r="AB185" s="1777"/>
      <c r="AC185" s="1777"/>
      <c r="AD185" s="1777"/>
      <c r="AE185" s="1777"/>
      <c r="AF185" s="1777"/>
      <c r="AG185" s="1777"/>
      <c r="AH185" s="1777"/>
      <c r="AI185" s="1778"/>
      <c r="AJ185" s="1911"/>
      <c r="AK185" s="1861"/>
      <c r="AL185" s="1861"/>
      <c r="AM185" s="1862"/>
      <c r="AN185" s="469" t="str">
        <f>IF(Scoring!$AL$230="Yes","P","O")</f>
        <v>O</v>
      </c>
      <c r="AO185" s="457" t="s">
        <v>4009</v>
      </c>
      <c r="AS185" s="454"/>
      <c r="AT185" s="454"/>
      <c r="AU185" s="454"/>
    </row>
    <row r="186" spans="1:47" ht="36" hidden="1" customHeight="1">
      <c r="A186" s="827"/>
      <c r="B186" s="3794"/>
      <c r="C186" s="3797"/>
      <c r="D186" s="3797"/>
      <c r="E186" s="2991" t="s">
        <v>4010</v>
      </c>
      <c r="F186" s="1777"/>
      <c r="G186" s="1777"/>
      <c r="H186" s="1777"/>
      <c r="I186" s="1777"/>
      <c r="J186" s="1777"/>
      <c r="K186" s="1777"/>
      <c r="L186" s="1777"/>
      <c r="M186" s="1778"/>
      <c r="N186" s="1885" t="s">
        <v>4011</v>
      </c>
      <c r="O186" s="1777"/>
      <c r="P186" s="1777"/>
      <c r="Q186" s="1777"/>
      <c r="R186" s="1777"/>
      <c r="S186" s="1777"/>
      <c r="T186" s="1777"/>
      <c r="U186" s="1777"/>
      <c r="V186" s="1777"/>
      <c r="W186" s="1777"/>
      <c r="X186" s="1777"/>
      <c r="Y186" s="1777"/>
      <c r="Z186" s="1777"/>
      <c r="AA186" s="1777"/>
      <c r="AB186" s="1777"/>
      <c r="AC186" s="1777"/>
      <c r="AD186" s="1777"/>
      <c r="AE186" s="1777"/>
      <c r="AF186" s="1777"/>
      <c r="AG186" s="1777"/>
      <c r="AH186" s="1777"/>
      <c r="AI186" s="1778"/>
      <c r="AJ186" s="1911"/>
      <c r="AK186" s="1861"/>
      <c r="AL186" s="1861"/>
      <c r="AM186" s="1862"/>
      <c r="AN186" s="469" t="str">
        <f>IF(Scoring!$AL$204="Yes","P","O")</f>
        <v>O</v>
      </c>
      <c r="AO186" s="14"/>
    </row>
    <row r="187" spans="1:47" ht="54" hidden="1" customHeight="1">
      <c r="B187" s="711"/>
      <c r="C187" s="711"/>
      <c r="D187" s="711"/>
      <c r="E187" s="3819" t="s">
        <v>4012</v>
      </c>
      <c r="F187" s="1777"/>
      <c r="G187" s="1777"/>
      <c r="H187" s="1777"/>
      <c r="I187" s="1777"/>
      <c r="J187" s="1777"/>
      <c r="K187" s="1777"/>
      <c r="L187" s="1777"/>
      <c r="M187" s="1778"/>
      <c r="N187" s="3818" t="s">
        <v>4013</v>
      </c>
      <c r="O187" s="1777"/>
      <c r="P187" s="1777"/>
      <c r="Q187" s="1777"/>
      <c r="R187" s="1777"/>
      <c r="S187" s="1777"/>
      <c r="T187" s="1777"/>
      <c r="U187" s="1777"/>
      <c r="V187" s="1777"/>
      <c r="W187" s="1777"/>
      <c r="X187" s="1777"/>
      <c r="Y187" s="1777"/>
      <c r="Z187" s="1777"/>
      <c r="AA187" s="1777"/>
      <c r="AB187" s="1777"/>
      <c r="AC187" s="1777"/>
      <c r="AD187" s="1777"/>
      <c r="AE187" s="1777"/>
      <c r="AF187" s="1777"/>
      <c r="AG187" s="1777"/>
      <c r="AH187" s="1777"/>
      <c r="AI187" s="1778"/>
      <c r="AJ187" s="1911"/>
      <c r="AK187" s="1861"/>
      <c r="AL187" s="1861"/>
      <c r="AM187" s="1862"/>
      <c r="AN187" s="469" t="str">
        <f>IF(Scoring!$AL$209="Yes","P","O")</f>
        <v>O</v>
      </c>
      <c r="AO187" s="469" t="str">
        <f>IF('Project Overview'!$AL$502="Yes","P","O")</f>
        <v>O</v>
      </c>
    </row>
    <row r="188" spans="1:47" ht="94.5" hidden="1" customHeight="1">
      <c r="A188" s="826"/>
      <c r="B188" s="3794"/>
      <c r="C188" s="3797"/>
      <c r="D188" s="3797"/>
      <c r="E188" s="2991" t="s">
        <v>4014</v>
      </c>
      <c r="F188" s="1777"/>
      <c r="G188" s="1777"/>
      <c r="H188" s="1777"/>
      <c r="I188" s="1777"/>
      <c r="J188" s="1777"/>
      <c r="K188" s="1777"/>
      <c r="L188" s="1777"/>
      <c r="M188" s="1778"/>
      <c r="N188" s="1885" t="s">
        <v>4015</v>
      </c>
      <c r="O188" s="1777"/>
      <c r="P188" s="1777"/>
      <c r="Q188" s="1777"/>
      <c r="R188" s="1777"/>
      <c r="S188" s="1777"/>
      <c r="T188" s="1777"/>
      <c r="U188" s="1777"/>
      <c r="V188" s="1777"/>
      <c r="W188" s="1777"/>
      <c r="X188" s="1777"/>
      <c r="Y188" s="1777"/>
      <c r="Z188" s="1777"/>
      <c r="AA188" s="1777"/>
      <c r="AB188" s="1777"/>
      <c r="AC188" s="1777"/>
      <c r="AD188" s="1777"/>
      <c r="AE188" s="1777"/>
      <c r="AF188" s="1777"/>
      <c r="AG188" s="1777"/>
      <c r="AH188" s="1777"/>
      <c r="AI188" s="1778"/>
      <c r="AJ188" s="1911"/>
      <c r="AK188" s="1861"/>
      <c r="AL188" s="1861"/>
      <c r="AM188" s="1862"/>
      <c r="AN188" s="469" t="str">
        <f>IF(Scoring!$AL$210="Yes","P","O")</f>
        <v>O</v>
      </c>
    </row>
    <row r="189" spans="1:47" ht="107.25" hidden="1" customHeight="1">
      <c r="A189" s="826"/>
      <c r="B189" s="3794"/>
      <c r="C189" s="3797"/>
      <c r="D189" s="3797"/>
      <c r="E189" s="2991" t="s">
        <v>4016</v>
      </c>
      <c r="F189" s="1777"/>
      <c r="G189" s="1777"/>
      <c r="H189" s="1777"/>
      <c r="I189" s="1777"/>
      <c r="J189" s="1777"/>
      <c r="K189" s="1777"/>
      <c r="L189" s="1777"/>
      <c r="M189" s="1778"/>
      <c r="N189" s="1885" t="s">
        <v>4017</v>
      </c>
      <c r="O189" s="1777"/>
      <c r="P189" s="1777"/>
      <c r="Q189" s="1777"/>
      <c r="R189" s="1777"/>
      <c r="S189" s="1777"/>
      <c r="T189" s="1777"/>
      <c r="U189" s="1777"/>
      <c r="V189" s="1777"/>
      <c r="W189" s="1777"/>
      <c r="X189" s="1777"/>
      <c r="Y189" s="1777"/>
      <c r="Z189" s="1777"/>
      <c r="AA189" s="1777"/>
      <c r="AB189" s="1777"/>
      <c r="AC189" s="1777"/>
      <c r="AD189" s="1777"/>
      <c r="AE189" s="1777"/>
      <c r="AF189" s="1777"/>
      <c r="AG189" s="1777"/>
      <c r="AH189" s="1777"/>
      <c r="AI189" s="1778"/>
      <c r="AJ189" s="1911"/>
      <c r="AK189" s="1861"/>
      <c r="AL189" s="1861"/>
      <c r="AM189" s="1862"/>
      <c r="AN189" s="469" t="str">
        <f>IF(Scoring!$AL$215="Yes","P","O")</f>
        <v>O</v>
      </c>
    </row>
    <row r="190" spans="1:47" ht="18" hidden="1" customHeight="1">
      <c r="B190" s="3794"/>
      <c r="C190" s="3797"/>
      <c r="D190" s="3797"/>
      <c r="E190" s="3826" t="s">
        <v>4018</v>
      </c>
      <c r="F190" s="1777"/>
      <c r="G190" s="1777"/>
      <c r="H190" s="1777"/>
      <c r="I190" s="1777"/>
      <c r="J190" s="1777"/>
      <c r="K190" s="1777"/>
      <c r="L190" s="1777"/>
      <c r="M190" s="1778"/>
      <c r="N190" s="3814" t="s">
        <v>4019</v>
      </c>
      <c r="O190" s="1777"/>
      <c r="P190" s="1777"/>
      <c r="Q190" s="1777"/>
      <c r="R190" s="1777"/>
      <c r="S190" s="1777"/>
      <c r="T190" s="1777"/>
      <c r="U190" s="1777"/>
      <c r="V190" s="1777"/>
      <c r="W190" s="1777"/>
      <c r="X190" s="1777"/>
      <c r="Y190" s="1777"/>
      <c r="Z190" s="1777"/>
      <c r="AA190" s="1777"/>
      <c r="AB190" s="1777"/>
      <c r="AC190" s="1777"/>
      <c r="AD190" s="1777"/>
      <c r="AE190" s="1777"/>
      <c r="AF190" s="1777"/>
      <c r="AG190" s="1777"/>
      <c r="AH190" s="1777"/>
      <c r="AI190" s="1778"/>
      <c r="AJ190" s="1911"/>
      <c r="AK190" s="1861"/>
      <c r="AL190" s="1861"/>
      <c r="AM190" s="1862"/>
      <c r="AN190" s="469" t="str">
        <f>IF(Scoring!$AL$219="Yes","P","O")</f>
        <v>O</v>
      </c>
    </row>
    <row r="191" spans="1:47" s="4" customFormat="1" ht="36" hidden="1" customHeight="1">
      <c r="A191" s="578"/>
      <c r="B191" s="814"/>
      <c r="C191" s="814"/>
      <c r="D191" s="814"/>
      <c r="E191" s="3804" t="s">
        <v>4020</v>
      </c>
      <c r="F191" s="1877"/>
      <c r="G191" s="1877"/>
      <c r="H191" s="1877"/>
      <c r="I191" s="1877"/>
      <c r="J191" s="1877"/>
      <c r="K191" s="1877"/>
      <c r="L191" s="1877"/>
      <c r="M191" s="1772"/>
      <c r="N191" s="1885" t="s">
        <v>4021</v>
      </c>
      <c r="O191" s="1777"/>
      <c r="P191" s="1777"/>
      <c r="Q191" s="1777"/>
      <c r="R191" s="1777"/>
      <c r="S191" s="1777"/>
      <c r="T191" s="1777"/>
      <c r="U191" s="1777"/>
      <c r="V191" s="1777"/>
      <c r="W191" s="1777"/>
      <c r="X191" s="1777"/>
      <c r="Y191" s="1777"/>
      <c r="Z191" s="1777"/>
      <c r="AA191" s="1777"/>
      <c r="AB191" s="1777"/>
      <c r="AC191" s="1777"/>
      <c r="AD191" s="1777"/>
      <c r="AE191" s="1777"/>
      <c r="AF191" s="1777"/>
      <c r="AG191" s="1777"/>
      <c r="AH191" s="1777"/>
      <c r="AI191" s="1778"/>
      <c r="AJ191" s="1911"/>
      <c r="AK191" s="1861"/>
      <c r="AL191" s="1861"/>
      <c r="AM191" s="1862"/>
      <c r="AN191" s="469" t="str">
        <f>IF(Scoring!$AL$63="Yes","P","O")</f>
        <v>O</v>
      </c>
      <c r="AO191" s="815"/>
      <c r="AS191" s="454"/>
      <c r="AT191" s="454"/>
      <c r="AU191" s="454"/>
    </row>
    <row r="192" spans="1:47" s="4" customFormat="1" ht="36" hidden="1" customHeight="1">
      <c r="A192" s="578"/>
      <c r="E192" s="3804" t="s">
        <v>4022</v>
      </c>
      <c r="F192" s="1877"/>
      <c r="G192" s="1877"/>
      <c r="H192" s="1877"/>
      <c r="I192" s="1877"/>
      <c r="J192" s="1877"/>
      <c r="K192" s="1877"/>
      <c r="L192" s="1877"/>
      <c r="M192" s="1772"/>
      <c r="N192" s="1885" t="s">
        <v>4023</v>
      </c>
      <c r="O192" s="1777"/>
      <c r="P192" s="1777"/>
      <c r="Q192" s="1777"/>
      <c r="R192" s="1777"/>
      <c r="S192" s="1777"/>
      <c r="T192" s="1777"/>
      <c r="U192" s="1777"/>
      <c r="V192" s="1777"/>
      <c r="W192" s="1777"/>
      <c r="X192" s="1777"/>
      <c r="Y192" s="1777"/>
      <c r="Z192" s="1777"/>
      <c r="AA192" s="1777"/>
      <c r="AB192" s="1777"/>
      <c r="AC192" s="1777"/>
      <c r="AD192" s="1777"/>
      <c r="AE192" s="1777"/>
      <c r="AF192" s="1777"/>
      <c r="AG192" s="1777"/>
      <c r="AH192" s="1777"/>
      <c r="AI192" s="1778"/>
      <c r="AJ192" s="1911"/>
      <c r="AK192" s="1861"/>
      <c r="AL192" s="1861"/>
      <c r="AM192" s="1862"/>
      <c r="AN192" s="469" t="e">
        <f>IF(Scoring!#REF!="Yes","P","O")</f>
        <v>#REF!</v>
      </c>
      <c r="AO192" s="815"/>
    </row>
    <row r="193" spans="1:48" s="4" customFormat="1" ht="54" hidden="1" customHeight="1">
      <c r="A193" s="578"/>
      <c r="E193" s="3804" t="s">
        <v>4024</v>
      </c>
      <c r="F193" s="1877"/>
      <c r="G193" s="1877"/>
      <c r="H193" s="1877"/>
      <c r="I193" s="1877"/>
      <c r="J193" s="1877"/>
      <c r="K193" s="1877"/>
      <c r="L193" s="1877"/>
      <c r="M193" s="1772"/>
      <c r="N193" s="1885" t="s">
        <v>4025</v>
      </c>
      <c r="O193" s="1777"/>
      <c r="P193" s="1777"/>
      <c r="Q193" s="1777"/>
      <c r="R193" s="1777"/>
      <c r="S193" s="1777"/>
      <c r="T193" s="1777"/>
      <c r="U193" s="1777"/>
      <c r="V193" s="1777"/>
      <c r="W193" s="1777"/>
      <c r="X193" s="1777"/>
      <c r="Y193" s="1777"/>
      <c r="Z193" s="1777"/>
      <c r="AA193" s="1777"/>
      <c r="AB193" s="1777"/>
      <c r="AC193" s="1777"/>
      <c r="AD193" s="1777"/>
      <c r="AE193" s="1777"/>
      <c r="AF193" s="1777"/>
      <c r="AG193" s="1777"/>
      <c r="AH193" s="1777"/>
      <c r="AI193" s="1778"/>
      <c r="AJ193" s="1911"/>
      <c r="AK193" s="1861"/>
      <c r="AL193" s="1861"/>
      <c r="AM193" s="1862"/>
      <c r="AN193" s="469" t="str">
        <f>IF(Scoring!$AL$76="Yes","P","O")</f>
        <v>O</v>
      </c>
      <c r="AO193" s="815"/>
    </row>
    <row r="194" spans="1:48" s="4" customFormat="1" ht="36" hidden="1" customHeight="1">
      <c r="A194" s="578"/>
      <c r="E194" s="3804" t="s">
        <v>4026</v>
      </c>
      <c r="F194" s="1877"/>
      <c r="G194" s="1877"/>
      <c r="H194" s="1877"/>
      <c r="I194" s="1877"/>
      <c r="J194" s="1877"/>
      <c r="K194" s="1877"/>
      <c r="L194" s="1877"/>
      <c r="M194" s="1772"/>
      <c r="N194" s="1885" t="s">
        <v>4027</v>
      </c>
      <c r="O194" s="1777"/>
      <c r="P194" s="1777"/>
      <c r="Q194" s="1777"/>
      <c r="R194" s="1777"/>
      <c r="S194" s="1777"/>
      <c r="T194" s="1777"/>
      <c r="U194" s="1777"/>
      <c r="V194" s="1777"/>
      <c r="W194" s="1777"/>
      <c r="X194" s="1777"/>
      <c r="Y194" s="1777"/>
      <c r="Z194" s="1777"/>
      <c r="AA194" s="1777"/>
      <c r="AB194" s="1777"/>
      <c r="AC194" s="1777"/>
      <c r="AD194" s="1777"/>
      <c r="AE194" s="1777"/>
      <c r="AF194" s="1777"/>
      <c r="AG194" s="1777"/>
      <c r="AH194" s="1777"/>
      <c r="AI194" s="1778"/>
      <c r="AJ194" s="1911"/>
      <c r="AK194" s="1861"/>
      <c r="AL194" s="1861"/>
      <c r="AM194" s="1862"/>
      <c r="AN194" s="469" t="str">
        <f>IF(Scoring!$AL$80="Yes","P","O")</f>
        <v>O</v>
      </c>
      <c r="AO194" s="457" t="s">
        <v>4028</v>
      </c>
    </row>
    <row r="195" spans="1:48" s="4" customFormat="1" ht="36" hidden="1" customHeight="1">
      <c r="A195" s="578"/>
      <c r="B195" s="3794"/>
      <c r="C195" s="3295"/>
      <c r="D195" s="3295"/>
      <c r="E195" s="2991" t="s">
        <v>4029</v>
      </c>
      <c r="F195" s="1777"/>
      <c r="G195" s="1777"/>
      <c r="H195" s="1777"/>
      <c r="I195" s="1777"/>
      <c r="J195" s="1777"/>
      <c r="K195" s="1777"/>
      <c r="L195" s="1777"/>
      <c r="M195" s="1778"/>
      <c r="N195" s="1885" t="s">
        <v>4011</v>
      </c>
      <c r="O195" s="1777"/>
      <c r="P195" s="1777"/>
      <c r="Q195" s="1777"/>
      <c r="R195" s="1777"/>
      <c r="S195" s="1777"/>
      <c r="T195" s="1777"/>
      <c r="U195" s="1777"/>
      <c r="V195" s="1777"/>
      <c r="W195" s="1777"/>
      <c r="X195" s="1777"/>
      <c r="Y195" s="1777"/>
      <c r="Z195" s="1777"/>
      <c r="AA195" s="1777"/>
      <c r="AB195" s="1777"/>
      <c r="AC195" s="1777"/>
      <c r="AD195" s="1777"/>
      <c r="AE195" s="1777"/>
      <c r="AF195" s="1777"/>
      <c r="AG195" s="1777"/>
      <c r="AH195" s="1777"/>
      <c r="AI195" s="1778"/>
      <c r="AJ195" s="1911"/>
      <c r="AK195" s="1861"/>
      <c r="AL195" s="1861"/>
      <c r="AM195" s="1862"/>
      <c r="AN195" s="469" t="str">
        <f>IF(Scoring!$AL$231="Yes","P","O")</f>
        <v>O</v>
      </c>
      <c r="AS195" s="454"/>
      <c r="AT195" s="454"/>
      <c r="AU195" s="454"/>
    </row>
    <row r="196" spans="1:48" ht="36" hidden="1" customHeight="1">
      <c r="A196" s="826"/>
      <c r="B196" s="3841"/>
      <c r="C196" s="3797"/>
      <c r="D196" s="1889"/>
      <c r="E196" s="2991" t="s">
        <v>4030</v>
      </c>
      <c r="F196" s="1777"/>
      <c r="G196" s="1777"/>
      <c r="H196" s="1777"/>
      <c r="I196" s="1777"/>
      <c r="J196" s="1777"/>
      <c r="K196" s="1777"/>
      <c r="L196" s="1777"/>
      <c r="M196" s="1778"/>
      <c r="N196" s="1885" t="s">
        <v>4031</v>
      </c>
      <c r="O196" s="1777"/>
      <c r="P196" s="1777"/>
      <c r="Q196" s="1777"/>
      <c r="R196" s="1777"/>
      <c r="S196" s="1777"/>
      <c r="T196" s="1777"/>
      <c r="U196" s="1777"/>
      <c r="V196" s="1777"/>
      <c r="W196" s="1777"/>
      <c r="X196" s="1777"/>
      <c r="Y196" s="1777"/>
      <c r="Z196" s="1777"/>
      <c r="AA196" s="1777"/>
      <c r="AB196" s="1777"/>
      <c r="AC196" s="1777"/>
      <c r="AD196" s="1777"/>
      <c r="AE196" s="1777"/>
      <c r="AF196" s="1777"/>
      <c r="AG196" s="1777"/>
      <c r="AH196" s="1777"/>
      <c r="AI196" s="1778"/>
      <c r="AJ196" s="1911"/>
      <c r="AK196" s="1861"/>
      <c r="AL196" s="1861"/>
      <c r="AM196" s="1862"/>
      <c r="AN196" s="469" t="str">
        <f>IF(Scoring!$AL$262="Yes","P","O")</f>
        <v>O</v>
      </c>
    </row>
    <row r="197" spans="1:48" ht="36" hidden="1" customHeight="1">
      <c r="B197" s="3794"/>
      <c r="C197" s="3797"/>
      <c r="D197" s="3797"/>
      <c r="E197" s="3817" t="s">
        <v>4032</v>
      </c>
      <c r="F197" s="1777"/>
      <c r="G197" s="1777"/>
      <c r="H197" s="1777"/>
      <c r="I197" s="1777"/>
      <c r="J197" s="1777"/>
      <c r="K197" s="1777"/>
      <c r="L197" s="1777"/>
      <c r="M197" s="1778"/>
      <c r="N197" s="2013" t="s">
        <v>4033</v>
      </c>
      <c r="O197" s="1777"/>
      <c r="P197" s="1777"/>
      <c r="Q197" s="1777"/>
      <c r="R197" s="1777"/>
      <c r="S197" s="1777"/>
      <c r="T197" s="1777"/>
      <c r="U197" s="1777"/>
      <c r="V197" s="1777"/>
      <c r="W197" s="1777"/>
      <c r="X197" s="1777"/>
      <c r="Y197" s="1777"/>
      <c r="Z197" s="1777"/>
      <c r="AA197" s="1777"/>
      <c r="AB197" s="1777"/>
      <c r="AC197" s="1777"/>
      <c r="AD197" s="1777"/>
      <c r="AE197" s="1777"/>
      <c r="AF197" s="1777"/>
      <c r="AG197" s="1777"/>
      <c r="AH197" s="1777"/>
      <c r="AI197" s="1778"/>
      <c r="AJ197" s="1911"/>
      <c r="AK197" s="1861"/>
      <c r="AL197" s="1861"/>
      <c r="AM197" s="1862"/>
      <c r="AN197" s="469" t="str">
        <f>IF(Scoring!$AL$263="Yes","P","O")</f>
        <v>O</v>
      </c>
    </row>
    <row r="198" spans="1:48" s="214" customFormat="1" ht="36" hidden="1" customHeight="1">
      <c r="A198" s="826"/>
      <c r="B198" s="3794"/>
      <c r="C198" s="3796"/>
      <c r="D198" s="3796"/>
      <c r="E198" s="2991" t="s">
        <v>4034</v>
      </c>
      <c r="F198" s="1777"/>
      <c r="G198" s="1777"/>
      <c r="H198" s="1777"/>
      <c r="I198" s="1777"/>
      <c r="J198" s="1777"/>
      <c r="K198" s="1777"/>
      <c r="L198" s="1777"/>
      <c r="M198" s="1778"/>
      <c r="N198" s="1885" t="s">
        <v>4035</v>
      </c>
      <c r="O198" s="1777"/>
      <c r="P198" s="1777"/>
      <c r="Q198" s="1777"/>
      <c r="R198" s="1777"/>
      <c r="S198" s="1777"/>
      <c r="T198" s="1777"/>
      <c r="U198" s="1777"/>
      <c r="V198" s="1777"/>
      <c r="W198" s="1777"/>
      <c r="X198" s="1777"/>
      <c r="Y198" s="1777"/>
      <c r="Z198" s="1777"/>
      <c r="AA198" s="1777"/>
      <c r="AB198" s="1777"/>
      <c r="AC198" s="1777"/>
      <c r="AD198" s="1777"/>
      <c r="AE198" s="1777"/>
      <c r="AF198" s="1777"/>
      <c r="AG198" s="1777"/>
      <c r="AH198" s="1777"/>
      <c r="AI198" s="1778"/>
      <c r="AJ198" s="1911"/>
      <c r="AK198" s="1861"/>
      <c r="AL198" s="1861"/>
      <c r="AM198" s="1862"/>
      <c r="AN198" s="469" t="str">
        <f>IF(Scoring!$AL$264="Yes","P","O")</f>
        <v>O</v>
      </c>
      <c r="AO198" s="457"/>
      <c r="AS198" s="710"/>
      <c r="AT198" s="710"/>
      <c r="AU198" s="710"/>
    </row>
    <row r="199" spans="1:48" s="4" customFormat="1" ht="18" hidden="1" customHeight="1">
      <c r="A199" s="578"/>
      <c r="AS199" s="454"/>
      <c r="AT199" s="454"/>
      <c r="AU199" s="454"/>
    </row>
    <row r="200" spans="1:48" s="4" customFormat="1" ht="18" hidden="1" customHeight="1">
      <c r="A200" s="578"/>
      <c r="B200" s="3801" t="s">
        <v>4036</v>
      </c>
      <c r="C200" s="1777"/>
      <c r="D200" s="1777"/>
      <c r="E200" s="1777"/>
      <c r="F200" s="1777"/>
      <c r="G200" s="1777"/>
      <c r="H200" s="1777"/>
      <c r="I200" s="1777"/>
      <c r="J200" s="1777"/>
      <c r="K200" s="1777"/>
      <c r="L200" s="1777"/>
      <c r="M200" s="1777"/>
      <c r="N200" s="1777"/>
      <c r="O200" s="1777"/>
      <c r="P200" s="1777"/>
      <c r="Q200" s="1777"/>
      <c r="R200" s="1778"/>
      <c r="AS200" s="454"/>
      <c r="AT200" s="454"/>
      <c r="AU200" s="454"/>
    </row>
    <row r="201" spans="1:48" ht="36" hidden="1" customHeight="1">
      <c r="B201" s="3794"/>
      <c r="C201" s="3797"/>
      <c r="D201" s="3797"/>
      <c r="E201" s="3845" t="s">
        <v>4037</v>
      </c>
      <c r="F201" s="1877"/>
      <c r="G201" s="1877"/>
      <c r="H201" s="1877"/>
      <c r="I201" s="1877"/>
      <c r="J201" s="1877"/>
      <c r="K201" s="1877"/>
      <c r="L201" s="1877"/>
      <c r="M201" s="1772"/>
      <c r="N201" s="2096" t="s">
        <v>4038</v>
      </c>
      <c r="O201" s="1877"/>
      <c r="P201" s="1877"/>
      <c r="Q201" s="1877"/>
      <c r="R201" s="1877"/>
      <c r="S201" s="1877"/>
      <c r="T201" s="1877"/>
      <c r="U201" s="1877"/>
      <c r="V201" s="1877"/>
      <c r="W201" s="1877"/>
      <c r="X201" s="1877"/>
      <c r="Y201" s="1877"/>
      <c r="Z201" s="1877"/>
      <c r="AA201" s="1877"/>
      <c r="AB201" s="1877"/>
      <c r="AC201" s="1877"/>
      <c r="AD201" s="1877"/>
      <c r="AE201" s="1877"/>
      <c r="AF201" s="1877"/>
      <c r="AG201" s="1877"/>
      <c r="AH201" s="1877"/>
      <c r="AI201" s="1772"/>
      <c r="AJ201" s="1911"/>
      <c r="AK201" s="1861"/>
      <c r="AL201" s="1861"/>
      <c r="AM201" s="1862"/>
      <c r="AN201" s="469" t="str">
        <f>IF('Sponsor Certification'!$AL$39="Yes","P","O")</f>
        <v>O</v>
      </c>
    </row>
    <row r="202" spans="1:48" ht="18" hidden="1" customHeight="1">
      <c r="B202" s="351"/>
      <c r="C202" s="351"/>
      <c r="D202" s="351"/>
      <c r="E202" s="351"/>
      <c r="F202" s="351"/>
      <c r="G202" s="351"/>
      <c r="H202" s="351"/>
      <c r="I202" s="351"/>
      <c r="J202" s="351"/>
      <c r="K202" s="351"/>
      <c r="L202" s="351"/>
      <c r="M202" s="351"/>
      <c r="N202" s="351"/>
      <c r="O202" s="351"/>
      <c r="P202" s="351"/>
      <c r="Q202" s="351"/>
      <c r="R202" s="351"/>
      <c r="S202" s="351"/>
      <c r="T202" s="351"/>
      <c r="U202" s="351"/>
      <c r="V202" s="351"/>
      <c r="W202" s="351"/>
      <c r="X202" s="351"/>
      <c r="Y202" s="351"/>
      <c r="Z202" s="351"/>
      <c r="AA202" s="351"/>
      <c r="AB202" s="351"/>
      <c r="AC202" s="351"/>
      <c r="AD202" s="351"/>
      <c r="AE202" s="351"/>
      <c r="AF202" s="351"/>
      <c r="AG202" s="351"/>
      <c r="AH202" s="351"/>
      <c r="AI202" s="351"/>
      <c r="AJ202" s="351"/>
      <c r="AK202" s="351"/>
      <c r="AL202" s="351"/>
      <c r="AM202" s="351"/>
    </row>
    <row r="203" spans="1:48" ht="18" hidden="1" customHeight="1">
      <c r="B203" s="2223" t="s">
        <v>4039</v>
      </c>
      <c r="C203" s="1777"/>
      <c r="D203" s="1777"/>
      <c r="E203" s="1777"/>
      <c r="F203" s="1777"/>
      <c r="G203" s="1777"/>
      <c r="H203" s="1777"/>
      <c r="I203" s="1777"/>
      <c r="J203" s="1777"/>
      <c r="K203" s="1777"/>
      <c r="L203" s="1777"/>
      <c r="M203" s="1778"/>
      <c r="N203" s="809"/>
      <c r="O203" s="1003"/>
      <c r="P203" s="1003"/>
      <c r="Q203" s="1003"/>
      <c r="R203" s="1003"/>
      <c r="S203" s="1003"/>
      <c r="T203" s="1003"/>
      <c r="U203" s="1003"/>
      <c r="V203" s="1003"/>
      <c r="W203" s="1003"/>
      <c r="X203" s="1003"/>
      <c r="Y203" s="1003"/>
      <c r="Z203" s="1003"/>
      <c r="AA203" s="1003"/>
      <c r="AB203" s="1003"/>
      <c r="AC203" s="1003"/>
      <c r="AD203" s="1003"/>
      <c r="AE203" s="1003"/>
      <c r="AF203" s="1003"/>
      <c r="AG203" s="1003"/>
      <c r="AH203" s="1003"/>
      <c r="AI203" s="1003"/>
      <c r="AJ203" s="1003"/>
      <c r="AK203" s="1003"/>
      <c r="AL203" s="1003"/>
      <c r="AM203" s="1003"/>
    </row>
    <row r="204" spans="1:48" ht="36" hidden="1" customHeight="1">
      <c r="B204" s="711"/>
      <c r="C204" s="711"/>
      <c r="D204" s="525"/>
      <c r="E204" s="3844" t="s">
        <v>4040</v>
      </c>
      <c r="F204" s="1877"/>
      <c r="G204" s="1877"/>
      <c r="H204" s="1877"/>
      <c r="I204" s="1877"/>
      <c r="J204" s="1877"/>
      <c r="K204" s="1877"/>
      <c r="L204" s="1877"/>
      <c r="M204" s="1772"/>
      <c r="N204" s="3814" t="s">
        <v>4041</v>
      </c>
      <c r="O204" s="1777"/>
      <c r="P204" s="1777"/>
      <c r="Q204" s="1777"/>
      <c r="R204" s="1777"/>
      <c r="S204" s="1777"/>
      <c r="T204" s="1777"/>
      <c r="U204" s="1777"/>
      <c r="V204" s="1777"/>
      <c r="W204" s="1777"/>
      <c r="X204" s="1777"/>
      <c r="Y204" s="1777"/>
      <c r="Z204" s="1777"/>
      <c r="AA204" s="1777"/>
      <c r="AB204" s="1777"/>
      <c r="AC204" s="1777"/>
      <c r="AD204" s="1777"/>
      <c r="AE204" s="1777"/>
      <c r="AF204" s="1777"/>
      <c r="AG204" s="1777"/>
      <c r="AH204" s="1777"/>
      <c r="AI204" s="1778"/>
      <c r="AJ204" s="1911"/>
      <c r="AK204" s="1861"/>
      <c r="AL204" s="1861"/>
      <c r="AM204" s="1862"/>
      <c r="AN204" s="469" t="s">
        <v>3763</v>
      </c>
      <c r="AO204" s="14"/>
    </row>
    <row r="205" spans="1:48" ht="86.1" hidden="1" customHeight="1">
      <c r="B205" s="711"/>
      <c r="C205" s="711"/>
      <c r="D205" s="525"/>
      <c r="E205" s="3826" t="s">
        <v>4042</v>
      </c>
      <c r="F205" s="1777"/>
      <c r="G205" s="1777"/>
      <c r="H205" s="1777"/>
      <c r="I205" s="1777"/>
      <c r="J205" s="1777"/>
      <c r="K205" s="1777"/>
      <c r="L205" s="1777"/>
      <c r="M205" s="1778"/>
      <c r="N205" s="3814" t="s">
        <v>4043</v>
      </c>
      <c r="O205" s="1777"/>
      <c r="P205" s="1777"/>
      <c r="Q205" s="1777"/>
      <c r="R205" s="1777"/>
      <c r="S205" s="1777"/>
      <c r="T205" s="1777"/>
      <c r="U205" s="1777"/>
      <c r="V205" s="1777"/>
      <c r="W205" s="1777"/>
      <c r="X205" s="1777"/>
      <c r="Y205" s="1777"/>
      <c r="Z205" s="1777"/>
      <c r="AA205" s="1777"/>
      <c r="AB205" s="1777"/>
      <c r="AC205" s="1777"/>
      <c r="AD205" s="1777"/>
      <c r="AE205" s="1777"/>
      <c r="AF205" s="1777"/>
      <c r="AG205" s="1777"/>
      <c r="AH205" s="1777"/>
      <c r="AI205" s="1778"/>
      <c r="AJ205" s="1911"/>
      <c r="AK205" s="1861"/>
      <c r="AL205" s="1861"/>
      <c r="AM205" s="1862"/>
      <c r="AN205" s="469" t="s">
        <v>3763</v>
      </c>
      <c r="AO205" s="455"/>
    </row>
    <row r="206" spans="1:48" ht="54" hidden="1" customHeight="1">
      <c r="A206" s="745"/>
      <c r="B206" s="1655"/>
      <c r="C206" s="1655"/>
      <c r="D206" s="712"/>
      <c r="E206" s="3837" t="s">
        <v>4044</v>
      </c>
      <c r="F206" s="1777"/>
      <c r="G206" s="1777"/>
      <c r="H206" s="1777"/>
      <c r="I206" s="1777"/>
      <c r="J206" s="1777"/>
      <c r="K206" s="1777"/>
      <c r="L206" s="1777"/>
      <c r="M206" s="1778"/>
      <c r="N206" s="3814" t="s">
        <v>4045</v>
      </c>
      <c r="O206" s="1777"/>
      <c r="P206" s="1777"/>
      <c r="Q206" s="1777"/>
      <c r="R206" s="1777"/>
      <c r="S206" s="1777"/>
      <c r="T206" s="1777"/>
      <c r="U206" s="1777"/>
      <c r="V206" s="1777"/>
      <c r="W206" s="1777"/>
      <c r="X206" s="1777"/>
      <c r="Y206" s="1777"/>
      <c r="Z206" s="1777"/>
      <c r="AA206" s="1777"/>
      <c r="AB206" s="1777"/>
      <c r="AC206" s="1777"/>
      <c r="AD206" s="1777"/>
      <c r="AE206" s="1777"/>
      <c r="AF206" s="1777"/>
      <c r="AG206" s="1777"/>
      <c r="AH206" s="1777"/>
      <c r="AI206" s="1778"/>
      <c r="AJ206" s="1911"/>
      <c r="AK206" s="1861"/>
      <c r="AL206" s="1861"/>
      <c r="AM206" s="1862"/>
      <c r="AN206" s="469" t="s">
        <v>4046</v>
      </c>
      <c r="AO206" s="455"/>
    </row>
    <row r="207" spans="1:48" ht="54" hidden="1" customHeight="1">
      <c r="A207" s="826"/>
      <c r="B207" s="711"/>
      <c r="C207" s="711"/>
      <c r="D207" s="525"/>
      <c r="E207" s="2991" t="s">
        <v>3944</v>
      </c>
      <c r="F207" s="1777"/>
      <c r="G207" s="1777"/>
      <c r="H207" s="1777"/>
      <c r="I207" s="1777"/>
      <c r="J207" s="1777"/>
      <c r="K207" s="1777"/>
      <c r="L207" s="1777"/>
      <c r="M207" s="1778"/>
      <c r="N207" s="3814" t="s">
        <v>3945</v>
      </c>
      <c r="O207" s="1777"/>
      <c r="P207" s="1777"/>
      <c r="Q207" s="1777"/>
      <c r="R207" s="1777"/>
      <c r="S207" s="1777"/>
      <c r="T207" s="1777"/>
      <c r="U207" s="1777"/>
      <c r="V207" s="1777"/>
      <c r="W207" s="1777"/>
      <c r="X207" s="1777"/>
      <c r="Y207" s="1777"/>
      <c r="Z207" s="1777"/>
      <c r="AA207" s="1777"/>
      <c r="AB207" s="1777"/>
      <c r="AC207" s="1777"/>
      <c r="AD207" s="1777"/>
      <c r="AE207" s="1777"/>
      <c r="AF207" s="1777"/>
      <c r="AG207" s="1777"/>
      <c r="AH207" s="1777"/>
      <c r="AI207" s="1778"/>
      <c r="AJ207" s="1911"/>
      <c r="AK207" s="1861"/>
      <c r="AL207" s="1861"/>
      <c r="AM207" s="1862"/>
      <c r="AN207" s="469" t="s">
        <v>4047</v>
      </c>
      <c r="AO207" s="580"/>
      <c r="AU207" s="770"/>
      <c r="AV207" s="72"/>
    </row>
    <row r="208" spans="1:48" ht="18" hidden="1" customHeight="1">
      <c r="B208" s="711"/>
      <c r="C208" s="711"/>
      <c r="D208" s="1456"/>
      <c r="E208" s="3815" t="s">
        <v>4048</v>
      </c>
      <c r="F208" s="1777"/>
      <c r="G208" s="1777"/>
      <c r="H208" s="1777"/>
      <c r="I208" s="1777"/>
      <c r="J208" s="1777"/>
      <c r="K208" s="1777"/>
      <c r="L208" s="1777"/>
      <c r="M208" s="1778"/>
      <c r="N208" s="3141" t="s">
        <v>4049</v>
      </c>
      <c r="O208" s="1777"/>
      <c r="P208" s="1777"/>
      <c r="Q208" s="1777"/>
      <c r="R208" s="1777"/>
      <c r="S208" s="1777"/>
      <c r="T208" s="1777"/>
      <c r="U208" s="1777"/>
      <c r="V208" s="1777"/>
      <c r="W208" s="1777"/>
      <c r="X208" s="1777"/>
      <c r="Y208" s="1777"/>
      <c r="Z208" s="1777"/>
      <c r="AA208" s="1777"/>
      <c r="AB208" s="1777"/>
      <c r="AC208" s="1777"/>
      <c r="AD208" s="1777"/>
      <c r="AE208" s="1777"/>
      <c r="AF208" s="1777"/>
      <c r="AG208" s="1777"/>
      <c r="AH208" s="1777"/>
      <c r="AI208" s="1778"/>
      <c r="AJ208" s="1911"/>
      <c r="AK208" s="1861"/>
      <c r="AL208" s="1861"/>
      <c r="AM208" s="1862"/>
      <c r="AN208" s="469" t="s">
        <v>4050</v>
      </c>
    </row>
    <row r="209" spans="1:47" ht="18" hidden="1" customHeight="1">
      <c r="B209" s="711"/>
      <c r="C209" s="711"/>
      <c r="D209" s="1456"/>
      <c r="E209" s="3815" t="s">
        <v>4051</v>
      </c>
      <c r="F209" s="1777"/>
      <c r="G209" s="1777"/>
      <c r="H209" s="1777"/>
      <c r="I209" s="1777"/>
      <c r="J209" s="1777"/>
      <c r="K209" s="1777"/>
      <c r="L209" s="1777"/>
      <c r="M209" s="1778"/>
      <c r="N209" s="3141" t="s">
        <v>4049</v>
      </c>
      <c r="O209" s="1777"/>
      <c r="P209" s="1777"/>
      <c r="Q209" s="1777"/>
      <c r="R209" s="1777"/>
      <c r="S209" s="1777"/>
      <c r="T209" s="1777"/>
      <c r="U209" s="1777"/>
      <c r="V209" s="1777"/>
      <c r="W209" s="1777"/>
      <c r="X209" s="1777"/>
      <c r="Y209" s="1777"/>
      <c r="Z209" s="1777"/>
      <c r="AA209" s="1777"/>
      <c r="AB209" s="1777"/>
      <c r="AC209" s="1777"/>
      <c r="AD209" s="1777"/>
      <c r="AE209" s="1777"/>
      <c r="AF209" s="1777"/>
      <c r="AG209" s="1777"/>
      <c r="AH209" s="1777"/>
      <c r="AI209" s="1778"/>
      <c r="AJ209" s="1911"/>
      <c r="AK209" s="1861"/>
      <c r="AL209" s="1861"/>
      <c r="AM209" s="1862"/>
      <c r="AN209" s="469" t="s">
        <v>4050</v>
      </c>
    </row>
    <row r="210" spans="1:47" ht="18" hidden="1" customHeight="1">
      <c r="B210" s="711"/>
      <c r="C210" s="711"/>
      <c r="D210" s="1456"/>
      <c r="E210" s="3815" t="s">
        <v>4052</v>
      </c>
      <c r="F210" s="1777"/>
      <c r="G210" s="1777"/>
      <c r="H210" s="1777"/>
      <c r="I210" s="1777"/>
      <c r="J210" s="1777"/>
      <c r="K210" s="1777"/>
      <c r="L210" s="1777"/>
      <c r="M210" s="1778"/>
      <c r="N210" s="3141" t="s">
        <v>4053</v>
      </c>
      <c r="O210" s="1777"/>
      <c r="P210" s="1777"/>
      <c r="Q210" s="1777"/>
      <c r="R210" s="1777"/>
      <c r="S210" s="1777"/>
      <c r="T210" s="1777"/>
      <c r="U210" s="1777"/>
      <c r="V210" s="1777"/>
      <c r="W210" s="1777"/>
      <c r="X210" s="1777"/>
      <c r="Y210" s="1777"/>
      <c r="Z210" s="1777"/>
      <c r="AA210" s="1777"/>
      <c r="AB210" s="1777"/>
      <c r="AC210" s="1777"/>
      <c r="AD210" s="1777"/>
      <c r="AE210" s="1777"/>
      <c r="AF210" s="1777"/>
      <c r="AG210" s="1777"/>
      <c r="AH210" s="1777"/>
      <c r="AI210" s="1778"/>
      <c r="AJ210" s="1911"/>
      <c r="AK210" s="1861"/>
      <c r="AL210" s="1861"/>
      <c r="AM210" s="1862"/>
      <c r="AN210" s="469" t="s">
        <v>4050</v>
      </c>
    </row>
    <row r="211" spans="1:47" s="4" customFormat="1" ht="36" hidden="1" customHeight="1">
      <c r="A211" s="578"/>
      <c r="C211" s="457"/>
      <c r="D211" s="214"/>
      <c r="E211" s="3804" t="s">
        <v>4054</v>
      </c>
      <c r="F211" s="1877"/>
      <c r="G211" s="1877"/>
      <c r="H211" s="1877"/>
      <c r="I211" s="1877"/>
      <c r="J211" s="1877"/>
      <c r="K211" s="1877"/>
      <c r="L211" s="1877"/>
      <c r="M211" s="1772"/>
      <c r="N211" s="1885" t="s">
        <v>4055</v>
      </c>
      <c r="O211" s="1777"/>
      <c r="P211" s="1777"/>
      <c r="Q211" s="1777"/>
      <c r="R211" s="1777"/>
      <c r="S211" s="1777"/>
      <c r="T211" s="1777"/>
      <c r="U211" s="1777"/>
      <c r="V211" s="1777"/>
      <c r="W211" s="1777"/>
      <c r="X211" s="1777"/>
      <c r="Y211" s="1777"/>
      <c r="Z211" s="1777"/>
      <c r="AA211" s="1777"/>
      <c r="AB211" s="1777"/>
      <c r="AC211" s="1777"/>
      <c r="AD211" s="1777"/>
      <c r="AE211" s="1777"/>
      <c r="AF211" s="1777"/>
      <c r="AG211" s="1777"/>
      <c r="AH211" s="1777"/>
      <c r="AI211" s="1778"/>
      <c r="AJ211" s="1911"/>
      <c r="AK211" s="1861"/>
      <c r="AL211" s="1861"/>
      <c r="AM211" s="1862"/>
      <c r="AN211" s="469" t="str">
        <f>IF(OR('MHP Threshold Requirements'!$AL$83="Yes",'FWHG Threshold Requirements'!$AL$61="Yes"),"P","O")</f>
        <v>O</v>
      </c>
      <c r="AS211" s="454"/>
      <c r="AT211" s="454"/>
      <c r="AU211" s="454"/>
    </row>
    <row r="212" spans="1:47" s="4" customFormat="1" ht="36" hidden="1" customHeight="1">
      <c r="A212" s="578"/>
      <c r="B212" s="578"/>
      <c r="D212" s="214"/>
      <c r="E212" s="3804" t="s">
        <v>4056</v>
      </c>
      <c r="F212" s="1877"/>
      <c r="G212" s="1877"/>
      <c r="H212" s="1877"/>
      <c r="I212" s="1877"/>
      <c r="J212" s="1877"/>
      <c r="K212" s="1877"/>
      <c r="L212" s="1877"/>
      <c r="M212" s="1772"/>
      <c r="N212" s="1885" t="s">
        <v>4057</v>
      </c>
      <c r="O212" s="1777"/>
      <c r="P212" s="1777"/>
      <c r="Q212" s="1777"/>
      <c r="R212" s="1777"/>
      <c r="S212" s="1777"/>
      <c r="T212" s="1777"/>
      <c r="U212" s="1777"/>
      <c r="V212" s="1777"/>
      <c r="W212" s="1777"/>
      <c r="X212" s="1777"/>
      <c r="Y212" s="1777"/>
      <c r="Z212" s="1777"/>
      <c r="AA212" s="1777"/>
      <c r="AB212" s="1777"/>
      <c r="AC212" s="1777"/>
      <c r="AD212" s="1777"/>
      <c r="AE212" s="1777"/>
      <c r="AF212" s="1777"/>
      <c r="AG212" s="1777"/>
      <c r="AH212" s="1777"/>
      <c r="AI212" s="1778"/>
      <c r="AJ212" s="1911"/>
      <c r="AK212" s="1861"/>
      <c r="AL212" s="1861"/>
      <c r="AM212" s="1862"/>
      <c r="AN212" s="469" t="str">
        <f>IF(OR('MHP Threshold Requirements'!$AL$117="Yes",'VHHP Threshold Requirements'!$AL$144="Yes",'FWHG Threshold Requirements'!$AL$93="Yes",'IIG Threshold Requirements'!$AL$82="Yes"),"P","O")</f>
        <v>O</v>
      </c>
      <c r="AS212" s="454"/>
      <c r="AT212" s="454"/>
      <c r="AU212" s="454"/>
    </row>
    <row r="213" spans="1:47" s="4" customFormat="1" ht="36" hidden="1" customHeight="1">
      <c r="A213" s="578"/>
      <c r="D213" s="214"/>
      <c r="E213" s="3804" t="s">
        <v>4058</v>
      </c>
      <c r="F213" s="1877"/>
      <c r="G213" s="1877"/>
      <c r="H213" s="1877"/>
      <c r="I213" s="1877"/>
      <c r="J213" s="1877"/>
      <c r="K213" s="1877"/>
      <c r="L213" s="1877"/>
      <c r="M213" s="1772"/>
      <c r="N213" s="1885" t="s">
        <v>3150</v>
      </c>
      <c r="O213" s="1777"/>
      <c r="P213" s="1777"/>
      <c r="Q213" s="1777"/>
      <c r="R213" s="1777"/>
      <c r="S213" s="1777"/>
      <c r="T213" s="1777"/>
      <c r="U213" s="1777"/>
      <c r="V213" s="1777"/>
      <c r="W213" s="1777"/>
      <c r="X213" s="1777"/>
      <c r="Y213" s="1777"/>
      <c r="Z213" s="1777"/>
      <c r="AA213" s="1777"/>
      <c r="AB213" s="1777"/>
      <c r="AC213" s="1777"/>
      <c r="AD213" s="1777"/>
      <c r="AE213" s="1777"/>
      <c r="AF213" s="1777"/>
      <c r="AG213" s="1777"/>
      <c r="AH213" s="1777"/>
      <c r="AI213" s="1778"/>
      <c r="AJ213" s="1911"/>
      <c r="AK213" s="1861"/>
      <c r="AL213" s="1861"/>
      <c r="AM213" s="1862"/>
      <c r="AN213" s="469" t="s">
        <v>3763</v>
      </c>
    </row>
    <row r="214" spans="1:47" s="4" customFormat="1" ht="36" hidden="1" customHeight="1">
      <c r="A214" s="578"/>
      <c r="D214" s="214"/>
      <c r="E214" s="3804" t="s">
        <v>4059</v>
      </c>
      <c r="F214" s="1877"/>
      <c r="G214" s="1877"/>
      <c r="H214" s="1877"/>
      <c r="I214" s="1877"/>
      <c r="J214" s="1877"/>
      <c r="K214" s="1877"/>
      <c r="L214" s="1877"/>
      <c r="M214" s="1772"/>
      <c r="N214" s="1885" t="s">
        <v>4060</v>
      </c>
      <c r="O214" s="1777"/>
      <c r="P214" s="1777"/>
      <c r="Q214" s="1777"/>
      <c r="R214" s="1777"/>
      <c r="S214" s="1777"/>
      <c r="T214" s="1777"/>
      <c r="U214" s="1777"/>
      <c r="V214" s="1777"/>
      <c r="W214" s="1777"/>
      <c r="X214" s="1777"/>
      <c r="Y214" s="1777"/>
      <c r="Z214" s="1777"/>
      <c r="AA214" s="1777"/>
      <c r="AB214" s="1777"/>
      <c r="AC214" s="1777"/>
      <c r="AD214" s="1777"/>
      <c r="AE214" s="1777"/>
      <c r="AF214" s="1777"/>
      <c r="AG214" s="1777"/>
      <c r="AH214" s="1777"/>
      <c r="AI214" s="1778"/>
      <c r="AJ214" s="1911"/>
      <c r="AK214" s="1861"/>
      <c r="AL214" s="1861"/>
      <c r="AM214" s="1862"/>
      <c r="AN214" s="469" t="str">
        <f>IF(OR('MHP Threshold Requirements'!$AL$137="Yes",'FWHG Threshold Requirements'!$AL$114="Yes",'IIG Threshold Requirements'!$AL$123="Yes"),"P","O")</f>
        <v>O</v>
      </c>
    </row>
    <row r="215" spans="1:47" ht="65.25" hidden="1" customHeight="1">
      <c r="B215" s="579"/>
      <c r="C215" s="579"/>
      <c r="D215" s="525"/>
      <c r="E215" s="3815" t="s">
        <v>4061</v>
      </c>
      <c r="F215" s="1777"/>
      <c r="G215" s="1777"/>
      <c r="H215" s="1777"/>
      <c r="I215" s="1777"/>
      <c r="J215" s="1777"/>
      <c r="K215" s="1777"/>
      <c r="L215" s="1777"/>
      <c r="M215" s="1778"/>
      <c r="N215" s="3141" t="s">
        <v>4062</v>
      </c>
      <c r="O215" s="1777"/>
      <c r="P215" s="1777"/>
      <c r="Q215" s="1777"/>
      <c r="R215" s="1777"/>
      <c r="S215" s="1777"/>
      <c r="T215" s="1777"/>
      <c r="U215" s="1777"/>
      <c r="V215" s="1777"/>
      <c r="W215" s="1777"/>
      <c r="X215" s="1777"/>
      <c r="Y215" s="1777"/>
      <c r="Z215" s="1777"/>
      <c r="AA215" s="1777"/>
      <c r="AB215" s="1777"/>
      <c r="AC215" s="1777"/>
      <c r="AD215" s="1777"/>
      <c r="AE215" s="1777"/>
      <c r="AF215" s="1777"/>
      <c r="AG215" s="1777"/>
      <c r="AH215" s="1777"/>
      <c r="AI215" s="1778"/>
      <c r="AJ215" s="1911"/>
      <c r="AK215" s="1861"/>
      <c r="AL215" s="1861"/>
      <c r="AM215" s="1862"/>
      <c r="AN215" s="469" t="str">
        <f>IF(AND(IsMhp,'Unit Mix'!$L$8=0,IsVhhp,'Unit Mix'!$T$8=0),"P","O")</f>
        <v>O</v>
      </c>
      <c r="AO215" s="5"/>
      <c r="AQ215" s="14"/>
    </row>
    <row r="216" spans="1:47" ht="36" hidden="1" customHeight="1">
      <c r="B216" s="791"/>
      <c r="C216" s="457"/>
      <c r="D216" s="214"/>
      <c r="E216" s="3815" t="s">
        <v>4026</v>
      </c>
      <c r="F216" s="1777"/>
      <c r="G216" s="1777"/>
      <c r="H216" s="1777"/>
      <c r="I216" s="1777"/>
      <c r="J216" s="1777"/>
      <c r="K216" s="1777"/>
      <c r="L216" s="1777"/>
      <c r="M216" s="1778"/>
      <c r="N216" s="3141" t="s">
        <v>4027</v>
      </c>
      <c r="O216" s="1777"/>
      <c r="P216" s="1777"/>
      <c r="Q216" s="1777"/>
      <c r="R216" s="1777"/>
      <c r="S216" s="1777"/>
      <c r="T216" s="1777"/>
      <c r="U216" s="1777"/>
      <c r="V216" s="1777"/>
      <c r="W216" s="1777"/>
      <c r="X216" s="1777"/>
      <c r="Y216" s="1777"/>
      <c r="Z216" s="1777"/>
      <c r="AA216" s="1777"/>
      <c r="AB216" s="1777"/>
      <c r="AC216" s="1777"/>
      <c r="AD216" s="1777"/>
      <c r="AE216" s="1777"/>
      <c r="AF216" s="1777"/>
      <c r="AG216" s="1777"/>
      <c r="AH216" s="1777"/>
      <c r="AI216" s="1778"/>
      <c r="AJ216" s="1911"/>
      <c r="AK216" s="1861"/>
      <c r="AL216" s="1861"/>
      <c r="AM216" s="1862"/>
      <c r="AN216" s="469" t="str">
        <f>IF(OR('MHP Threshold Requirements'!$AL$156="Yes",'VHHP Threshold Requirements'!$AL$174="Yes",'FWHG Threshold Requirements'!$AL$135="Yes"),"P","O")</f>
        <v>O</v>
      </c>
      <c r="AQ216" s="14"/>
    </row>
    <row r="217" spans="1:47" s="457" customFormat="1" ht="36" hidden="1" customHeight="1">
      <c r="A217" s="214"/>
      <c r="B217" s="711"/>
      <c r="C217" s="711"/>
      <c r="D217" s="525"/>
      <c r="E217" s="3815" t="s">
        <v>4063</v>
      </c>
      <c r="F217" s="1777"/>
      <c r="G217" s="1777"/>
      <c r="H217" s="1777"/>
      <c r="I217" s="1777"/>
      <c r="J217" s="1777"/>
      <c r="K217" s="1777"/>
      <c r="L217" s="1777"/>
      <c r="M217" s="1778"/>
      <c r="N217" s="3141" t="s">
        <v>4064</v>
      </c>
      <c r="O217" s="1777"/>
      <c r="P217" s="1777"/>
      <c r="Q217" s="1777"/>
      <c r="R217" s="1777"/>
      <c r="S217" s="1777"/>
      <c r="T217" s="1777"/>
      <c r="U217" s="1777"/>
      <c r="V217" s="1777"/>
      <c r="W217" s="1777"/>
      <c r="X217" s="1777"/>
      <c r="Y217" s="1777"/>
      <c r="Z217" s="1777"/>
      <c r="AA217" s="1777"/>
      <c r="AB217" s="1777"/>
      <c r="AC217" s="1777"/>
      <c r="AD217" s="1777"/>
      <c r="AE217" s="1777"/>
      <c r="AF217" s="1777"/>
      <c r="AG217" s="1777"/>
      <c r="AH217" s="1777"/>
      <c r="AI217" s="1778"/>
      <c r="AJ217" s="1911"/>
      <c r="AK217" s="1861"/>
      <c r="AL217" s="1861"/>
      <c r="AM217" s="1862"/>
      <c r="AN217" s="469" t="s">
        <v>4065</v>
      </c>
      <c r="AO217" s="515"/>
      <c r="AQ217" s="14"/>
      <c r="AS217" s="72"/>
      <c r="AT217" s="72"/>
      <c r="AU217" s="72"/>
    </row>
    <row r="218" spans="1:47" ht="36" hidden="1" customHeight="1">
      <c r="B218" s="711"/>
      <c r="C218" s="711"/>
      <c r="D218" s="525"/>
      <c r="E218" s="1959" t="s">
        <v>4066</v>
      </c>
      <c r="F218" s="1777"/>
      <c r="G218" s="1777"/>
      <c r="H218" s="1777"/>
      <c r="I218" s="1777"/>
      <c r="J218" s="1777"/>
      <c r="K218" s="1777"/>
      <c r="L218" s="1777"/>
      <c r="M218" s="1778"/>
      <c r="N218" s="3821" t="s">
        <v>4067</v>
      </c>
      <c r="O218" s="1777"/>
      <c r="P218" s="1777"/>
      <c r="Q218" s="1777"/>
      <c r="R218" s="1777"/>
      <c r="S218" s="1777"/>
      <c r="T218" s="1777"/>
      <c r="U218" s="1777"/>
      <c r="V218" s="1777"/>
      <c r="W218" s="1777"/>
      <c r="X218" s="1777"/>
      <c r="Y218" s="1777"/>
      <c r="Z218" s="1777"/>
      <c r="AA218" s="1777"/>
      <c r="AB218" s="1777"/>
      <c r="AC218" s="1777"/>
      <c r="AD218" s="1777"/>
      <c r="AE218" s="1777"/>
      <c r="AF218" s="1777"/>
      <c r="AG218" s="1777"/>
      <c r="AH218" s="1777"/>
      <c r="AI218" s="1778"/>
      <c r="AJ218" s="1911"/>
      <c r="AK218" s="1861"/>
      <c r="AL218" s="1861"/>
      <c r="AM218" s="1862"/>
      <c r="AN218" s="581" t="str">
        <f>IF(COUNTIF(LOE,"Not Included")&gt;0,"P","O")</f>
        <v>O</v>
      </c>
      <c r="AO218" s="5"/>
      <c r="AQ218" s="14"/>
    </row>
    <row r="220" spans="1:47" ht="18" customHeight="1">
      <c r="B220" s="2529" t="s">
        <v>461</v>
      </c>
      <c r="C220" s="3797"/>
      <c r="D220" s="3797"/>
      <c r="E220" s="2015"/>
      <c r="F220" s="2015"/>
      <c r="G220" s="2015"/>
      <c r="H220" s="2015"/>
      <c r="I220" s="2015"/>
      <c r="J220" s="2015"/>
      <c r="K220" s="2015"/>
      <c r="L220" s="2015"/>
      <c r="M220" s="2015"/>
      <c r="N220" s="2015"/>
      <c r="O220" s="2015"/>
      <c r="P220" s="2015"/>
      <c r="Q220" s="2015"/>
      <c r="R220" s="2015"/>
      <c r="S220" s="2015"/>
      <c r="T220" s="2015"/>
      <c r="U220" s="2015"/>
      <c r="V220" s="2015"/>
      <c r="W220" s="2015"/>
      <c r="X220" s="2015"/>
      <c r="Y220" s="2015"/>
      <c r="Z220" s="2015"/>
      <c r="AA220" s="2015"/>
      <c r="AB220" s="2015"/>
      <c r="AC220" s="2015"/>
      <c r="AD220" s="2015"/>
      <c r="AE220" s="2015"/>
      <c r="AF220" s="2015"/>
      <c r="AG220" s="2015"/>
      <c r="AH220" s="2015"/>
      <c r="AI220" s="2015"/>
      <c r="AJ220" s="2015"/>
      <c r="AK220" s="2015"/>
      <c r="AL220" s="2015"/>
      <c r="AM220" s="2015"/>
      <c r="AO220" s="575"/>
      <c r="AP220" s="11"/>
    </row>
  </sheetData>
  <sheetProtection algorithmName="SHA-512" hashValue="/aPP0kKcRlYw+mlJZL6Qy9PWK3OYZhYsAA4YkI6af54fy4KtWdSAuLyfWfrf0uR9gk+WXTD5Ch6ftcldCVaKdQ==" saltValue="+v+dojSkhRGT1MFDsdnxvg==" spinCount="100000" sheet="1" objects="1" scenarios="1"/>
  <mergeCells count="678">
    <mergeCell ref="N20:AI20"/>
    <mergeCell ref="N91:AI91"/>
    <mergeCell ref="E15:M15"/>
    <mergeCell ref="B60:D60"/>
    <mergeCell ref="E128:M128"/>
    <mergeCell ref="AJ79:AM79"/>
    <mergeCell ref="E155:M155"/>
    <mergeCell ref="N123:AI123"/>
    <mergeCell ref="AJ171:AM171"/>
    <mergeCell ref="B53:D53"/>
    <mergeCell ref="E65:M65"/>
    <mergeCell ref="B87:D87"/>
    <mergeCell ref="E86:M86"/>
    <mergeCell ref="E84:M84"/>
    <mergeCell ref="E78:M78"/>
    <mergeCell ref="N169:AI169"/>
    <mergeCell ref="E141:M141"/>
    <mergeCell ref="AJ135:AM135"/>
    <mergeCell ref="AJ122:AM122"/>
    <mergeCell ref="B142:D142"/>
    <mergeCell ref="B119:R119"/>
    <mergeCell ref="AJ167:AM167"/>
    <mergeCell ref="B111:M111"/>
    <mergeCell ref="AJ106:AM106"/>
    <mergeCell ref="B8:D8"/>
    <mergeCell ref="B73:D73"/>
    <mergeCell ref="AJ104:AM104"/>
    <mergeCell ref="E25:M25"/>
    <mergeCell ref="E20:M20"/>
    <mergeCell ref="B23:D23"/>
    <mergeCell ref="E13:M13"/>
    <mergeCell ref="AJ147:AM147"/>
    <mergeCell ref="N90:AI90"/>
    <mergeCell ref="B124:D124"/>
    <mergeCell ref="AJ8:AM8"/>
    <mergeCell ref="E50:M50"/>
    <mergeCell ref="B47:D47"/>
    <mergeCell ref="B59:D59"/>
    <mergeCell ref="B46:D46"/>
    <mergeCell ref="E52:M52"/>
    <mergeCell ref="AJ97:AM97"/>
    <mergeCell ref="AJ63:AM63"/>
    <mergeCell ref="N61:AI61"/>
    <mergeCell ref="AJ31:AM31"/>
    <mergeCell ref="E32:M32"/>
    <mergeCell ref="AJ85:AM85"/>
    <mergeCell ref="N22:AI22"/>
    <mergeCell ref="N54:AI54"/>
    <mergeCell ref="AJ133:AM133"/>
    <mergeCell ref="AJ161:AM161"/>
    <mergeCell ref="AJ141:AM141"/>
    <mergeCell ref="E123:M123"/>
    <mergeCell ref="E150:M150"/>
    <mergeCell ref="E167:M167"/>
    <mergeCell ref="B154:D154"/>
    <mergeCell ref="B156:D156"/>
    <mergeCell ref="B123:D123"/>
    <mergeCell ref="E146:M146"/>
    <mergeCell ref="E143:M143"/>
    <mergeCell ref="AJ162:AM162"/>
    <mergeCell ref="N147:AI147"/>
    <mergeCell ref="N155:AI155"/>
    <mergeCell ref="N154:AI154"/>
    <mergeCell ref="B161:D161"/>
    <mergeCell ref="N167:AI167"/>
    <mergeCell ref="N211:AI211"/>
    <mergeCell ref="N162:AI162"/>
    <mergeCell ref="N40:AI40"/>
    <mergeCell ref="AJ54:AM54"/>
    <mergeCell ref="E201:M201"/>
    <mergeCell ref="E90:M90"/>
    <mergeCell ref="N177:AI177"/>
    <mergeCell ref="AJ41:AM41"/>
    <mergeCell ref="N208:AI208"/>
    <mergeCell ref="AJ198:AM198"/>
    <mergeCell ref="N193:AI193"/>
    <mergeCell ref="E191:M191"/>
    <mergeCell ref="N185:AI185"/>
    <mergeCell ref="AJ192:AM192"/>
    <mergeCell ref="AJ197:AM197"/>
    <mergeCell ref="AJ134:AM134"/>
    <mergeCell ref="E176:M176"/>
    <mergeCell ref="E114:M114"/>
    <mergeCell ref="N88:AI88"/>
    <mergeCell ref="AJ40:AM40"/>
    <mergeCell ref="E183:M183"/>
    <mergeCell ref="AJ160:AM160"/>
    <mergeCell ref="E103:M103"/>
    <mergeCell ref="AJ172:AM172"/>
    <mergeCell ref="AJ217:AM217"/>
    <mergeCell ref="B99:D99"/>
    <mergeCell ref="B152:R152"/>
    <mergeCell ref="AJ56:AM56"/>
    <mergeCell ref="N114:AI114"/>
    <mergeCell ref="B220:AM220"/>
    <mergeCell ref="E154:M154"/>
    <mergeCell ref="B201:D201"/>
    <mergeCell ref="AJ105:AM105"/>
    <mergeCell ref="B139:D139"/>
    <mergeCell ref="B74:D74"/>
    <mergeCell ref="N206:AI206"/>
    <mergeCell ref="B68:M68"/>
    <mergeCell ref="E172:M172"/>
    <mergeCell ref="AJ123:AM123"/>
    <mergeCell ref="E196:M196"/>
    <mergeCell ref="AJ110:AM110"/>
    <mergeCell ref="B76:D76"/>
    <mergeCell ref="N66:AI66"/>
    <mergeCell ref="AJ132:AM132"/>
    <mergeCell ref="N117:AI117"/>
    <mergeCell ref="AJ168:AM168"/>
    <mergeCell ref="AJ184:AM184"/>
    <mergeCell ref="E83:M83"/>
    <mergeCell ref="N212:AI212"/>
    <mergeCell ref="N16:AI16"/>
    <mergeCell ref="N41:AI41"/>
    <mergeCell ref="N122:AI122"/>
    <mergeCell ref="AJ120:AM120"/>
    <mergeCell ref="N56:AI56"/>
    <mergeCell ref="N105:AI105"/>
    <mergeCell ref="B116:M116"/>
    <mergeCell ref="B108:D108"/>
    <mergeCell ref="E49:M49"/>
    <mergeCell ref="E36:M36"/>
    <mergeCell ref="B143:D143"/>
    <mergeCell ref="E101:M101"/>
    <mergeCell ref="AJ173:AM173"/>
    <mergeCell ref="N204:AI204"/>
    <mergeCell ref="N141:AI141"/>
    <mergeCell ref="N37:AI37"/>
    <mergeCell ref="N72:AI72"/>
    <mergeCell ref="AJ191:AM191"/>
    <mergeCell ref="AJ21:AM21"/>
    <mergeCell ref="AJ24:AM24"/>
    <mergeCell ref="AJ49:AM49"/>
    <mergeCell ref="N25:AI25"/>
    <mergeCell ref="AJ207:AM207"/>
    <mergeCell ref="AN3:AV7"/>
    <mergeCell ref="AJ57:AM57"/>
    <mergeCell ref="E204:M204"/>
    <mergeCell ref="AJ155:AM155"/>
    <mergeCell ref="E33:M33"/>
    <mergeCell ref="B140:D140"/>
    <mergeCell ref="AJ149:AM149"/>
    <mergeCell ref="N107:AI107"/>
    <mergeCell ref="B102:M102"/>
    <mergeCell ref="B77:D77"/>
    <mergeCell ref="E35:M35"/>
    <mergeCell ref="AJ107:AM107"/>
    <mergeCell ref="N67:AI67"/>
    <mergeCell ref="N132:AI132"/>
    <mergeCell ref="E28:M28"/>
    <mergeCell ref="N195:AI195"/>
    <mergeCell ref="B189:D189"/>
    <mergeCell ref="AJ174:AM174"/>
    <mergeCell ref="AJ101:AM101"/>
    <mergeCell ref="AJ72:AM72"/>
    <mergeCell ref="B190:D190"/>
    <mergeCell ref="E175:M175"/>
    <mergeCell ref="N180:AI180"/>
    <mergeCell ref="E180:M180"/>
    <mergeCell ref="AJ215:AM215"/>
    <mergeCell ref="N9:AI9"/>
    <mergeCell ref="B29:D29"/>
    <mergeCell ref="N69:AI69"/>
    <mergeCell ref="N196:AI196"/>
    <mergeCell ref="E30:M30"/>
    <mergeCell ref="E59:M59"/>
    <mergeCell ref="N133:AI133"/>
    <mergeCell ref="N198:AI198"/>
    <mergeCell ref="AJ50:AM50"/>
    <mergeCell ref="AJ12:AM12"/>
    <mergeCell ref="B24:D24"/>
    <mergeCell ref="N135:AI135"/>
    <mergeCell ref="B95:D95"/>
    <mergeCell ref="AJ52:AM52"/>
    <mergeCell ref="B89:M89"/>
    <mergeCell ref="N110:AI110"/>
    <mergeCell ref="AJ150:AM150"/>
    <mergeCell ref="AJ39:AM39"/>
    <mergeCell ref="B32:D32"/>
    <mergeCell ref="AJ70:AM70"/>
    <mergeCell ref="N18:AI18"/>
    <mergeCell ref="AJ65:AM65"/>
    <mergeCell ref="AJ66:AM66"/>
    <mergeCell ref="E217:M217"/>
    <mergeCell ref="B197:D197"/>
    <mergeCell ref="B97:D97"/>
    <mergeCell ref="B153:D153"/>
    <mergeCell ref="B26:D26"/>
    <mergeCell ref="E192:M192"/>
    <mergeCell ref="N209:AI209"/>
    <mergeCell ref="B90:D90"/>
    <mergeCell ref="B184:D184"/>
    <mergeCell ref="E194:M194"/>
    <mergeCell ref="B27:D27"/>
    <mergeCell ref="E181:M181"/>
    <mergeCell ref="E131:M131"/>
    <mergeCell ref="E87:M87"/>
    <mergeCell ref="B42:D42"/>
    <mergeCell ref="N57:AI57"/>
    <mergeCell ref="B179:D179"/>
    <mergeCell ref="N146:AI146"/>
    <mergeCell ref="B166:D166"/>
    <mergeCell ref="B44:M44"/>
    <mergeCell ref="B196:D196"/>
    <mergeCell ref="N207:AI207"/>
    <mergeCell ref="E168:M168"/>
    <mergeCell ref="N173:AI173"/>
    <mergeCell ref="E39:M39"/>
    <mergeCell ref="E24:M24"/>
    <mergeCell ref="AJ37:AM37"/>
    <mergeCell ref="E79:M79"/>
    <mergeCell ref="E73:M73"/>
    <mergeCell ref="E26:M26"/>
    <mergeCell ref="AJ38:AM38"/>
    <mergeCell ref="N43:AI43"/>
    <mergeCell ref="AJ62:AM62"/>
    <mergeCell ref="AJ73:AM73"/>
    <mergeCell ref="AJ71:AM71"/>
    <mergeCell ref="E74:M74"/>
    <mergeCell ref="AJ43:AM43"/>
    <mergeCell ref="AJ36:AM36"/>
    <mergeCell ref="N28:AI28"/>
    <mergeCell ref="N35:AI35"/>
    <mergeCell ref="AJ35:AM35"/>
    <mergeCell ref="AJ29:AM29"/>
    <mergeCell ref="N39:AI39"/>
    <mergeCell ref="N46:AI46"/>
    <mergeCell ref="N23:AI23"/>
    <mergeCell ref="AJ27:AM27"/>
    <mergeCell ref="AJ156:AM156"/>
    <mergeCell ref="AJ148:AM148"/>
    <mergeCell ref="AJ114:AM114"/>
    <mergeCell ref="AJ165:AM165"/>
    <mergeCell ref="N217:AI217"/>
    <mergeCell ref="N65:AI65"/>
    <mergeCell ref="N83:AI83"/>
    <mergeCell ref="AJ94:AM94"/>
    <mergeCell ref="AJ103:AM103"/>
    <mergeCell ref="AJ121:AM121"/>
    <mergeCell ref="AJ128:AM128"/>
    <mergeCell ref="AJ108:AM108"/>
    <mergeCell ref="AJ81:AM81"/>
    <mergeCell ref="AJ142:AM142"/>
    <mergeCell ref="AJ213:AM213"/>
    <mergeCell ref="AJ42:AM42"/>
    <mergeCell ref="N121:AI121"/>
    <mergeCell ref="N179:AI179"/>
    <mergeCell ref="N166:AI166"/>
    <mergeCell ref="N168:AI168"/>
    <mergeCell ref="AJ212:AM212"/>
    <mergeCell ref="AJ80:AM80"/>
    <mergeCell ref="B174:D174"/>
    <mergeCell ref="AJ166:AM166"/>
    <mergeCell ref="N153:AI153"/>
    <mergeCell ref="AJ99:AM99"/>
    <mergeCell ref="AJ23:AM23"/>
    <mergeCell ref="E213:M213"/>
    <mergeCell ref="E215:M215"/>
    <mergeCell ref="B164:M164"/>
    <mergeCell ref="B203:M203"/>
    <mergeCell ref="N172:AI172"/>
    <mergeCell ref="E177:M177"/>
    <mergeCell ref="E132:M132"/>
    <mergeCell ref="E107:M107"/>
    <mergeCell ref="N161:AI161"/>
    <mergeCell ref="E140:M140"/>
    <mergeCell ref="N139:AI139"/>
    <mergeCell ref="N215:AI215"/>
    <mergeCell ref="E205:M205"/>
    <mergeCell ref="B130:R130"/>
    <mergeCell ref="N128:AI128"/>
    <mergeCell ref="N214:AI214"/>
    <mergeCell ref="B113:M113"/>
    <mergeCell ref="B165:D165"/>
    <mergeCell ref="E206:M206"/>
    <mergeCell ref="B80:D80"/>
    <mergeCell ref="N47:AI47"/>
    <mergeCell ref="B63:D63"/>
    <mergeCell ref="E80:M80"/>
    <mergeCell ref="N170:AI170"/>
    <mergeCell ref="E48:M48"/>
    <mergeCell ref="B91:D91"/>
    <mergeCell ref="B92:D92"/>
    <mergeCell ref="N134:AI134"/>
    <mergeCell ref="B117:D117"/>
    <mergeCell ref="B138:R138"/>
    <mergeCell ref="B128:D128"/>
    <mergeCell ref="B84:D84"/>
    <mergeCell ref="B82:M82"/>
    <mergeCell ref="B65:D65"/>
    <mergeCell ref="E170:M170"/>
    <mergeCell ref="E149:M149"/>
    <mergeCell ref="E216:M216"/>
    <mergeCell ref="E45:M45"/>
    <mergeCell ref="B67:D67"/>
    <mergeCell ref="B55:D55"/>
    <mergeCell ref="B93:D93"/>
    <mergeCell ref="B86:D86"/>
    <mergeCell ref="B45:D45"/>
    <mergeCell ref="AJ93:AM93"/>
    <mergeCell ref="E135:M135"/>
    <mergeCell ref="AJ74:AM74"/>
    <mergeCell ref="AJ55:AM55"/>
    <mergeCell ref="AJ53:AM53"/>
    <mergeCell ref="N50:AI50"/>
    <mergeCell ref="AJ48:AM48"/>
    <mergeCell ref="N74:AI74"/>
    <mergeCell ref="AJ190:AM190"/>
    <mergeCell ref="N125:AI125"/>
    <mergeCell ref="N216:AI216"/>
    <mergeCell ref="E125:M125"/>
    <mergeCell ref="AJ206:AM206"/>
    <mergeCell ref="E182:M182"/>
    <mergeCell ref="AJ143:AM143"/>
    <mergeCell ref="N149:AI149"/>
    <mergeCell ref="AJ182:AM182"/>
    <mergeCell ref="AJ18:AM18"/>
    <mergeCell ref="N19:AI19"/>
    <mergeCell ref="AJ69:AM69"/>
    <mergeCell ref="N26:AI26"/>
    <mergeCell ref="E218:M218"/>
    <mergeCell ref="N104:AI104"/>
    <mergeCell ref="AJ169:AM169"/>
    <mergeCell ref="N175:AI175"/>
    <mergeCell ref="B51:M51"/>
    <mergeCell ref="N112:AI112"/>
    <mergeCell ref="N106:AI106"/>
    <mergeCell ref="N81:AI81"/>
    <mergeCell ref="E71:M71"/>
    <mergeCell ref="B122:D122"/>
    <mergeCell ref="B158:R158"/>
    <mergeCell ref="AJ131:AM131"/>
    <mergeCell ref="E142:M142"/>
    <mergeCell ref="AJ87:AM87"/>
    <mergeCell ref="N194:AI194"/>
    <mergeCell ref="N181:AI181"/>
    <mergeCell ref="N178:AI178"/>
    <mergeCell ref="E148:M148"/>
    <mergeCell ref="AJ30:AM30"/>
    <mergeCell ref="AJ59:AM59"/>
    <mergeCell ref="AJ13:AM13"/>
    <mergeCell ref="N59:AI59"/>
    <mergeCell ref="AJ78:AM78"/>
    <mergeCell ref="B103:D103"/>
    <mergeCell ref="E67:M67"/>
    <mergeCell ref="N62:AI62"/>
    <mergeCell ref="N7:AI7"/>
    <mergeCell ref="N63:AI63"/>
    <mergeCell ref="N30:AI30"/>
    <mergeCell ref="N64:AI64"/>
    <mergeCell ref="N60:AI60"/>
    <mergeCell ref="B43:D43"/>
    <mergeCell ref="B40:D40"/>
    <mergeCell ref="B30:D30"/>
    <mergeCell ref="B61:D61"/>
    <mergeCell ref="B38:D38"/>
    <mergeCell ref="B69:D69"/>
    <mergeCell ref="B41:D41"/>
    <mergeCell ref="E31:M31"/>
    <mergeCell ref="E56:M56"/>
    <mergeCell ref="E99:M99"/>
    <mergeCell ref="B94:D94"/>
    <mergeCell ref="B7:D7"/>
    <mergeCell ref="AJ9:AM9"/>
    <mergeCell ref="E12:M12"/>
    <mergeCell ref="N13:AI13"/>
    <mergeCell ref="Y33:AI33"/>
    <mergeCell ref="N31:AI31"/>
    <mergeCell ref="N84:AI84"/>
    <mergeCell ref="B31:D31"/>
    <mergeCell ref="N92:AI92"/>
    <mergeCell ref="B39:D39"/>
    <mergeCell ref="N48:AI48"/>
    <mergeCell ref="E81:M81"/>
    <mergeCell ref="N49:AI49"/>
    <mergeCell ref="N36:AI36"/>
    <mergeCell ref="E60:M60"/>
    <mergeCell ref="B66:D66"/>
    <mergeCell ref="E29:M29"/>
    <mergeCell ref="E70:M70"/>
    <mergeCell ref="N87:AI87"/>
    <mergeCell ref="B88:D88"/>
    <mergeCell ref="N79:AI79"/>
    <mergeCell ref="E92:M92"/>
    <mergeCell ref="E46:M46"/>
    <mergeCell ref="N29:AI29"/>
    <mergeCell ref="N55:AI55"/>
    <mergeCell ref="N27:AI27"/>
    <mergeCell ref="B14:D14"/>
    <mergeCell ref="E94:M94"/>
    <mergeCell ref="AJ216:AM216"/>
    <mergeCell ref="N103:AI103"/>
    <mergeCell ref="AJ45:AM45"/>
    <mergeCell ref="AJ201:AM201"/>
    <mergeCell ref="AJ139:AM139"/>
    <mergeCell ref="E110:M110"/>
    <mergeCell ref="N197:AI197"/>
    <mergeCell ref="B83:D83"/>
    <mergeCell ref="AJ90:AM90"/>
    <mergeCell ref="E187:M187"/>
    <mergeCell ref="E174:M174"/>
    <mergeCell ref="B110:D110"/>
    <mergeCell ref="B85:D85"/>
    <mergeCell ref="E189:M189"/>
    <mergeCell ref="AJ15:AM15"/>
    <mergeCell ref="AJ76:AM76"/>
    <mergeCell ref="AJ32:AM32"/>
    <mergeCell ref="AJ28:AM28"/>
    <mergeCell ref="AJ211:AM211"/>
    <mergeCell ref="E188:M188"/>
    <mergeCell ref="AJ204:AM204"/>
    <mergeCell ref="E190:M190"/>
    <mergeCell ref="N205:AI205"/>
    <mergeCell ref="E179:M179"/>
    <mergeCell ref="AJ208:AM208"/>
    <mergeCell ref="N176:AI176"/>
    <mergeCell ref="AJ210:AM210"/>
    <mergeCell ref="N191:AI191"/>
    <mergeCell ref="E161:M161"/>
    <mergeCell ref="AJ195:AM195"/>
    <mergeCell ref="E171:M171"/>
    <mergeCell ref="AJ205:AM205"/>
    <mergeCell ref="AJ194:AM194"/>
    <mergeCell ref="AJ181:AM181"/>
    <mergeCell ref="E165:M165"/>
    <mergeCell ref="AJ188:AM188"/>
    <mergeCell ref="AJ178:AM178"/>
    <mergeCell ref="E184:M184"/>
    <mergeCell ref="AJ177:AM177"/>
    <mergeCell ref="E185:M185"/>
    <mergeCell ref="N182:AI182"/>
    <mergeCell ref="AJ170:AM170"/>
    <mergeCell ref="N183:AI183"/>
    <mergeCell ref="AJ176:AM176"/>
    <mergeCell ref="AJ179:AM179"/>
    <mergeCell ref="AJ175:AM175"/>
    <mergeCell ref="AJ218:AM218"/>
    <mergeCell ref="N210:AI210"/>
    <mergeCell ref="E77:M77"/>
    <mergeCell ref="E108:M108"/>
    <mergeCell ref="AJ193:AM193"/>
    <mergeCell ref="E95:M95"/>
    <mergeCell ref="N192:AI192"/>
    <mergeCell ref="E162:M162"/>
    <mergeCell ref="N70:AI70"/>
    <mergeCell ref="B145:X145"/>
    <mergeCell ref="E72:M72"/>
    <mergeCell ref="E195:M195"/>
    <mergeCell ref="N124:AI124"/>
    <mergeCell ref="N142:AI142"/>
    <mergeCell ref="N80:AI80"/>
    <mergeCell ref="E76:M76"/>
    <mergeCell ref="B72:D72"/>
    <mergeCell ref="B70:D70"/>
    <mergeCell ref="N120:AI120"/>
    <mergeCell ref="AJ95:AM95"/>
    <mergeCell ref="B78:D78"/>
    <mergeCell ref="B127:R127"/>
    <mergeCell ref="E98:M98"/>
    <mergeCell ref="N93:AI93"/>
    <mergeCell ref="N218:AI218"/>
    <mergeCell ref="B104:D104"/>
    <mergeCell ref="AJ61:AM61"/>
    <mergeCell ref="B79:D79"/>
    <mergeCell ref="E208:M208"/>
    <mergeCell ref="AJ159:AM159"/>
    <mergeCell ref="E97:M97"/>
    <mergeCell ref="E159:M159"/>
    <mergeCell ref="AJ153:AM153"/>
    <mergeCell ref="B106:D106"/>
    <mergeCell ref="AJ125:AM125"/>
    <mergeCell ref="E139:M139"/>
    <mergeCell ref="B81:D81"/>
    <mergeCell ref="E210:M210"/>
    <mergeCell ref="N71:AI71"/>
    <mergeCell ref="AJ214:AM214"/>
    <mergeCell ref="N213:AI213"/>
    <mergeCell ref="N150:AI150"/>
    <mergeCell ref="E198:M198"/>
    <mergeCell ref="AJ67:AM67"/>
    <mergeCell ref="N165:AI165"/>
    <mergeCell ref="B125:D125"/>
    <mergeCell ref="B185:D185"/>
    <mergeCell ref="AJ154:AM154"/>
    <mergeCell ref="AJ91:AM91"/>
    <mergeCell ref="N143:AI143"/>
    <mergeCell ref="E91:M91"/>
    <mergeCell ref="AJ124:AM124"/>
    <mergeCell ref="B71:D71"/>
    <mergeCell ref="N98:AI98"/>
    <mergeCell ref="B52:D52"/>
    <mergeCell ref="B121:D121"/>
    <mergeCell ref="N94:AI94"/>
    <mergeCell ref="B62:D62"/>
    <mergeCell ref="N101:AI101"/>
    <mergeCell ref="E124:M124"/>
    <mergeCell ref="E120:M120"/>
    <mergeCell ref="N85:AI85"/>
    <mergeCell ref="N76:AI76"/>
    <mergeCell ref="AJ92:AM92"/>
    <mergeCell ref="B100:M100"/>
    <mergeCell ref="E106:M106"/>
    <mergeCell ref="N131:AI131"/>
    <mergeCell ref="B98:D98"/>
    <mergeCell ref="B96:M96"/>
    <mergeCell ref="N99:AI99"/>
    <mergeCell ref="B64:D64"/>
    <mergeCell ref="N53:AI53"/>
    <mergeCell ref="B172:D172"/>
    <mergeCell ref="B28:D28"/>
    <mergeCell ref="B34:M34"/>
    <mergeCell ref="B186:D186"/>
    <mergeCell ref="E27:M27"/>
    <mergeCell ref="E193:M193"/>
    <mergeCell ref="E209:M209"/>
    <mergeCell ref="N33:X33"/>
    <mergeCell ref="B48:D48"/>
    <mergeCell ref="E38:M38"/>
    <mergeCell ref="B171:D171"/>
    <mergeCell ref="E104:M104"/>
    <mergeCell ref="B180:D180"/>
    <mergeCell ref="B198:D198"/>
    <mergeCell ref="E166:M166"/>
    <mergeCell ref="B170:D170"/>
    <mergeCell ref="B162:D162"/>
    <mergeCell ref="E197:M197"/>
    <mergeCell ref="N156:AI156"/>
    <mergeCell ref="B188:D188"/>
    <mergeCell ref="E173:M173"/>
    <mergeCell ref="N187:AI187"/>
    <mergeCell ref="N186:AI186"/>
    <mergeCell ref="E178:M178"/>
    <mergeCell ref="E211:M211"/>
    <mergeCell ref="N201:AI201"/>
    <mergeCell ref="AJ189:AM189"/>
    <mergeCell ref="N174:AI174"/>
    <mergeCell ref="E66:M66"/>
    <mergeCell ref="B173:D173"/>
    <mergeCell ref="E53:M53"/>
    <mergeCell ref="N140:AI140"/>
    <mergeCell ref="AJ180:AM180"/>
    <mergeCell ref="B75:M75"/>
    <mergeCell ref="N77:AI77"/>
    <mergeCell ref="AJ146:AM146"/>
    <mergeCell ref="E117:M117"/>
    <mergeCell ref="E55:M55"/>
    <mergeCell ref="AJ196:AM196"/>
    <mergeCell ref="E160:M160"/>
    <mergeCell ref="AJ186:AM186"/>
    <mergeCell ref="B195:D195"/>
    <mergeCell ref="N190:AI190"/>
    <mergeCell ref="E54:M54"/>
    <mergeCell ref="AJ140:AM140"/>
    <mergeCell ref="B155:D155"/>
    <mergeCell ref="E147:M147"/>
    <mergeCell ref="E186:M186"/>
    <mergeCell ref="B2:AM3"/>
    <mergeCell ref="B120:D120"/>
    <mergeCell ref="AJ98:AM98"/>
    <mergeCell ref="B107:D107"/>
    <mergeCell ref="B17:D17"/>
    <mergeCell ref="E14:M14"/>
    <mergeCell ref="N24:AF24"/>
    <mergeCell ref="AG24:AI24"/>
    <mergeCell ref="B105:D105"/>
    <mergeCell ref="B114:D114"/>
    <mergeCell ref="B5:AM5"/>
    <mergeCell ref="B11:M11"/>
    <mergeCell ref="B57:D57"/>
    <mergeCell ref="AJ88:AM88"/>
    <mergeCell ref="AJ26:AM26"/>
    <mergeCell ref="E7:M7"/>
    <mergeCell ref="E8:M8"/>
    <mergeCell ref="B13:D13"/>
    <mergeCell ref="B15:D15"/>
    <mergeCell ref="B12:D12"/>
    <mergeCell ref="E9:M9"/>
    <mergeCell ref="B49:D49"/>
    <mergeCell ref="E61:M61"/>
    <mergeCell ref="E62:M62"/>
    <mergeCell ref="AJ14:AM14"/>
    <mergeCell ref="AJ112:AM112"/>
    <mergeCell ref="AJ183:AM183"/>
    <mergeCell ref="AJ25:AM25"/>
    <mergeCell ref="AJ60:AM60"/>
    <mergeCell ref="E133:M133"/>
    <mergeCell ref="AJ84:AM84"/>
    <mergeCell ref="AJ22:AM22"/>
    <mergeCell ref="E169:M169"/>
    <mergeCell ref="AJ117:AM117"/>
    <mergeCell ref="AJ83:AM83"/>
    <mergeCell ref="N73:AI73"/>
    <mergeCell ref="E63:M63"/>
    <mergeCell ref="E42:M42"/>
    <mergeCell ref="AJ77:AM77"/>
    <mergeCell ref="E156:M156"/>
    <mergeCell ref="N148:AI148"/>
    <mergeCell ref="AJ33:AM33"/>
    <mergeCell ref="E153:M153"/>
    <mergeCell ref="AJ47:AM47"/>
    <mergeCell ref="AJ46:AM46"/>
    <mergeCell ref="AJ64:AM64"/>
    <mergeCell ref="E122:M122"/>
    <mergeCell ref="AJ16:AM16"/>
    <mergeCell ref="E214:M214"/>
    <mergeCell ref="E43:M43"/>
    <mergeCell ref="N171:AI171"/>
    <mergeCell ref="AO35:AS37"/>
    <mergeCell ref="N189:AI189"/>
    <mergeCell ref="N42:AI42"/>
    <mergeCell ref="N17:AI17"/>
    <mergeCell ref="E207:M207"/>
    <mergeCell ref="N108:AI108"/>
    <mergeCell ref="N95:AI95"/>
    <mergeCell ref="AJ86:AM86"/>
    <mergeCell ref="N160:AI160"/>
    <mergeCell ref="N32:AI32"/>
    <mergeCell ref="N159:AI159"/>
    <mergeCell ref="N97:AI97"/>
    <mergeCell ref="AJ185:AM185"/>
    <mergeCell ref="E212:M212"/>
    <mergeCell ref="E112:M112"/>
    <mergeCell ref="E41:M41"/>
    <mergeCell ref="AJ20:AM20"/>
    <mergeCell ref="N188:AI188"/>
    <mergeCell ref="E22:M22"/>
    <mergeCell ref="AJ209:AM209"/>
    <mergeCell ref="N86:AI86"/>
    <mergeCell ref="AP97:BB97"/>
    <mergeCell ref="B200:R200"/>
    <mergeCell ref="E69:M69"/>
    <mergeCell ref="B50:D50"/>
    <mergeCell ref="E16:M16"/>
    <mergeCell ref="E18:M18"/>
    <mergeCell ref="E19:M19"/>
    <mergeCell ref="N78:AI78"/>
    <mergeCell ref="E85:M85"/>
    <mergeCell ref="B101:D101"/>
    <mergeCell ref="E134:M134"/>
    <mergeCell ref="E37:M37"/>
    <mergeCell ref="E47:M47"/>
    <mergeCell ref="B54:D54"/>
    <mergeCell ref="N21:AI21"/>
    <mergeCell ref="B56:D56"/>
    <mergeCell ref="E121:M121"/>
    <mergeCell ref="B109:M109"/>
    <mergeCell ref="E21:M21"/>
    <mergeCell ref="E23:M23"/>
    <mergeCell ref="E105:M105"/>
    <mergeCell ref="E17:M17"/>
    <mergeCell ref="N184:AI184"/>
    <mergeCell ref="AJ187:AM187"/>
    <mergeCell ref="B4:M4"/>
    <mergeCell ref="AF4:AM4"/>
    <mergeCell ref="E88:M88"/>
    <mergeCell ref="E93:M93"/>
    <mergeCell ref="Y38:AI38"/>
    <mergeCell ref="N38:X38"/>
    <mergeCell ref="N45:X45"/>
    <mergeCell ref="Y45:AI45"/>
    <mergeCell ref="N52:X52"/>
    <mergeCell ref="Y52:AI52"/>
    <mergeCell ref="AJ7:AM7"/>
    <mergeCell ref="N8:AI8"/>
    <mergeCell ref="B9:D9"/>
    <mergeCell ref="AJ17:AM17"/>
    <mergeCell ref="AJ19:AM19"/>
    <mergeCell ref="B16:D16"/>
    <mergeCell ref="B18:D18"/>
    <mergeCell ref="N14:AI14"/>
    <mergeCell ref="B58:M58"/>
    <mergeCell ref="E64:M64"/>
    <mergeCell ref="E40:M40"/>
    <mergeCell ref="E57:M57"/>
    <mergeCell ref="N15:AI15"/>
    <mergeCell ref="N12:AI12"/>
  </mergeCells>
  <conditionalFormatting sqref="AJ8:AJ9 AJ12:AJ18 AJ23:AJ28 AJ30:AJ32 AJ35:AJ43 AJ45:AJ50 AJ52:AJ57 AJ59:AJ65 AJ67 AJ69:AJ72 AJ74 AJ76:AJ79 AJ81 AJ83:AJ86 AJ88 AJ90:AJ92 AJ97:AJ99 AJ101 AJ103:AJ106 AJ108 AJ110 AJ113:AJ114 AJ117 AJ119:AJ128 AJ139:AJ143 AJ153:AJ156 AJ161:AJ162 AJ165:AJ166 AJ170:AJ174 AJ178:AJ198 AJ201 AJ207:AJ210 AJ212:AJ215 AJ218">
    <cfRule type="cellIs" dxfId="436" priority="843" operator="equal">
      <formula>"Included"</formula>
    </cfRule>
    <cfRule type="cellIs" dxfId="435" priority="846" operator="equal">
      <formula>"Not Included"</formula>
    </cfRule>
  </conditionalFormatting>
  <conditionalFormatting sqref="AJ141:AJ143">
    <cfRule type="cellIs" dxfId="434" priority="731" operator="equal">
      <formula>"Included"</formula>
    </cfRule>
    <cfRule type="cellIs" dxfId="433" priority="732" operator="equal">
      <formula>"Included"</formula>
    </cfRule>
    <cfRule type="cellIs" dxfId="432" priority="733" operator="equal">
      <formula>"Included"</formula>
    </cfRule>
    <cfRule type="cellIs" dxfId="431" priority="734" operator="equal">
      <formula>"Not Included"</formula>
    </cfRule>
    <cfRule type="cellIs" dxfId="430" priority="735" operator="equal">
      <formula>"Included"</formula>
    </cfRule>
  </conditionalFormatting>
  <conditionalFormatting sqref="AJ140:AJ143">
    <cfRule type="cellIs" dxfId="429" priority="726" operator="equal">
      <formula>"Included"</formula>
    </cfRule>
    <cfRule type="cellIs" dxfId="428" priority="727" operator="equal">
      <formula>"Included"</formula>
    </cfRule>
    <cfRule type="cellIs" dxfId="427" priority="728" operator="equal">
      <formula>"Included"</formula>
    </cfRule>
    <cfRule type="cellIs" dxfId="426" priority="729" operator="equal">
      <formula>"Not Included"</formula>
    </cfRule>
    <cfRule type="cellIs" dxfId="425" priority="730" operator="equal">
      <formula>"Included"</formula>
    </cfRule>
  </conditionalFormatting>
  <conditionalFormatting sqref="AJ142:AJ143">
    <cfRule type="cellIs" dxfId="424" priority="721" operator="equal">
      <formula>"Included"</formula>
    </cfRule>
    <cfRule type="cellIs" dxfId="423" priority="722" operator="equal">
      <formula>"Included"</formula>
    </cfRule>
    <cfRule type="cellIs" dxfId="422" priority="723" operator="equal">
      <formula>"Included"</formula>
    </cfRule>
    <cfRule type="cellIs" dxfId="421" priority="724" operator="equal">
      <formula>"Not Included"</formula>
    </cfRule>
    <cfRule type="cellIs" dxfId="420" priority="725" operator="equal">
      <formula>"Included"</formula>
    </cfRule>
  </conditionalFormatting>
  <conditionalFormatting sqref="AJ143">
    <cfRule type="cellIs" dxfId="419" priority="716" operator="equal">
      <formula>"Included"</formula>
    </cfRule>
    <cfRule type="cellIs" dxfId="418" priority="717" operator="equal">
      <formula>"Included"</formula>
    </cfRule>
    <cfRule type="cellIs" dxfId="417" priority="718" operator="equal">
      <formula>"Included"</formula>
    </cfRule>
    <cfRule type="cellIs" dxfId="416" priority="719" operator="equal">
      <formula>"Not Included"</formula>
    </cfRule>
    <cfRule type="cellIs" dxfId="415" priority="720" operator="equal">
      <formula>"Included"</formula>
    </cfRule>
  </conditionalFormatting>
  <conditionalFormatting sqref="AJ24:AJ25">
    <cfRule type="cellIs" dxfId="414" priority="696" operator="equal">
      <formula>"Included"</formula>
    </cfRule>
    <cfRule type="cellIs" dxfId="413" priority="697" operator="equal">
      <formula>"Included"</formula>
    </cfRule>
    <cfRule type="cellIs" dxfId="412" priority="698" operator="equal">
      <formula>"Included"</formula>
    </cfRule>
    <cfRule type="cellIs" dxfId="411" priority="699" operator="equal">
      <formula>"Not Included"</formula>
    </cfRule>
    <cfRule type="cellIs" dxfId="410" priority="700" operator="equal">
      <formula>"Included"</formula>
    </cfRule>
  </conditionalFormatting>
  <conditionalFormatting sqref="N103:N104 N108">
    <cfRule type="cellIs" dxfId="409" priority="695" operator="equal">
      <formula>0</formula>
    </cfRule>
  </conditionalFormatting>
  <conditionalFormatting sqref="AJ107">
    <cfRule type="cellIs" dxfId="408" priority="670" operator="equal">
      <formula>"Included"</formula>
    </cfRule>
    <cfRule type="cellIs" dxfId="407" priority="671" operator="equal">
      <formula>"Not Included"</formula>
    </cfRule>
  </conditionalFormatting>
  <conditionalFormatting sqref="AJ205">
    <cfRule type="cellIs" dxfId="406" priority="650" operator="equal">
      <formula>"Included"</formula>
    </cfRule>
    <cfRule type="cellIs" dxfId="405" priority="651" operator="equal">
      <formula>"Included"</formula>
    </cfRule>
    <cfRule type="cellIs" dxfId="404" priority="652" operator="equal">
      <formula>"Included"</formula>
    </cfRule>
    <cfRule type="cellIs" dxfId="403" priority="653" operator="equal">
      <formula>"Not Included"</formula>
    </cfRule>
    <cfRule type="cellIs" dxfId="402" priority="654" operator="equal">
      <formula>"Included"</formula>
    </cfRule>
  </conditionalFormatting>
  <conditionalFormatting sqref="AJ204">
    <cfRule type="cellIs" dxfId="401" priority="646" operator="equal">
      <formula>"Included"</formula>
    </cfRule>
    <cfRule type="cellIs" dxfId="400" priority="647" operator="equal">
      <formula>"Not Included"</formula>
    </cfRule>
  </conditionalFormatting>
  <conditionalFormatting sqref="AJ170:AJ174">
    <cfRule type="cellIs" dxfId="399" priority="636" operator="equal">
      <formula>"Included"</formula>
    </cfRule>
    <cfRule type="cellIs" dxfId="398" priority="637" operator="equal">
      <formula>"Not Included"</formula>
    </cfRule>
  </conditionalFormatting>
  <conditionalFormatting sqref="AJ66">
    <cfRule type="cellIs" dxfId="397" priority="630" operator="equal">
      <formula>"Included"</formula>
    </cfRule>
    <cfRule type="cellIs" dxfId="396" priority="631" operator="equal">
      <formula>"Not Included"</formula>
    </cfRule>
  </conditionalFormatting>
  <conditionalFormatting sqref="AJ73">
    <cfRule type="cellIs" dxfId="395" priority="628" operator="equal">
      <formula>"Included"</formula>
    </cfRule>
    <cfRule type="cellIs" dxfId="394" priority="629" operator="equal">
      <formula>"Not Included"</formula>
    </cfRule>
  </conditionalFormatting>
  <conditionalFormatting sqref="AJ80">
    <cfRule type="cellIs" dxfId="393" priority="626" operator="equal">
      <formula>"Included"</formula>
    </cfRule>
    <cfRule type="cellIs" dxfId="392" priority="627" operator="equal">
      <formula>"Not Included"</formula>
    </cfRule>
  </conditionalFormatting>
  <conditionalFormatting sqref="AJ87">
    <cfRule type="cellIs" dxfId="391" priority="624" operator="equal">
      <formula>"Included"</formula>
    </cfRule>
    <cfRule type="cellIs" dxfId="390" priority="625" operator="equal">
      <formula>"Not Included"</formula>
    </cfRule>
  </conditionalFormatting>
  <conditionalFormatting sqref="AJ208 AJ210">
    <cfRule type="cellIs" dxfId="389" priority="617" operator="equal">
      <formula>"Included"</formula>
    </cfRule>
    <cfRule type="cellIs" dxfId="388" priority="618" operator="equal">
      <formula>"Included"</formula>
    </cfRule>
    <cfRule type="cellIs" dxfId="387" priority="619" operator="equal">
      <formula>"Included"</formula>
    </cfRule>
    <cfRule type="cellIs" dxfId="386" priority="620" operator="equal">
      <formula>"Not Included"</formula>
    </cfRule>
    <cfRule type="cellIs" dxfId="385" priority="621" operator="equal">
      <formula>"Included"</formula>
    </cfRule>
  </conditionalFormatting>
  <conditionalFormatting sqref="AJ206">
    <cfRule type="cellIs" dxfId="384" priority="610" operator="equal">
      <formula>"Included"</formula>
    </cfRule>
    <cfRule type="cellIs" dxfId="383" priority="611" operator="equal">
      <formula>"Included"</formula>
    </cfRule>
    <cfRule type="cellIs" dxfId="382" priority="612" operator="equal">
      <formula>"Included"</formula>
    </cfRule>
    <cfRule type="cellIs" dxfId="381" priority="613" operator="equal">
      <formula>"Not Included"</formula>
    </cfRule>
    <cfRule type="cellIs" dxfId="380" priority="614" operator="equal">
      <formula>"Included"</formula>
    </cfRule>
  </conditionalFormatting>
  <conditionalFormatting sqref="AJ162">
    <cfRule type="cellIs" dxfId="379" priority="522" operator="equal">
      <formula>"Included"</formula>
    </cfRule>
    <cfRule type="cellIs" dxfId="378" priority="523" operator="equal">
      <formula>"Not Included"</formula>
    </cfRule>
    <cfRule type="cellIs" dxfId="377" priority="524" operator="equal">
      <formula>"Included"</formula>
    </cfRule>
    <cfRule type="cellIs" dxfId="376" priority="525" operator="equal">
      <formula>"Included"</formula>
    </cfRule>
    <cfRule type="cellIs" dxfId="375" priority="526" operator="equal">
      <formula>"Included"</formula>
    </cfRule>
    <cfRule type="cellIs" dxfId="374" priority="527" operator="equal">
      <formula>"Not Included"</formula>
    </cfRule>
    <cfRule type="cellIs" dxfId="373" priority="528" operator="equal">
      <formula>"Included"</formula>
    </cfRule>
  </conditionalFormatting>
  <conditionalFormatting sqref="AJ94">
    <cfRule type="cellIs" dxfId="372" priority="506" operator="equal">
      <formula>"Included"</formula>
    </cfRule>
    <cfRule type="cellIs" dxfId="371" priority="507" operator="equal">
      <formula>"Not Included"</formula>
    </cfRule>
  </conditionalFormatting>
  <conditionalFormatting sqref="AJ93">
    <cfRule type="cellIs" dxfId="370" priority="504" operator="equal">
      <formula>"Included"</formula>
    </cfRule>
    <cfRule type="cellIs" dxfId="369" priority="505" operator="equal">
      <formula>"Not Included"</formula>
    </cfRule>
  </conditionalFormatting>
  <conditionalFormatting sqref="AJ95">
    <cfRule type="cellIs" dxfId="368" priority="502" operator="equal">
      <formula>"Included"</formula>
    </cfRule>
    <cfRule type="cellIs" dxfId="367" priority="503" operator="equal">
      <formula>"Not Included"</formula>
    </cfRule>
  </conditionalFormatting>
  <conditionalFormatting sqref="AJ209">
    <cfRule type="cellIs" dxfId="366" priority="475" operator="equal">
      <formula>"Included"</formula>
    </cfRule>
    <cfRule type="cellIs" dxfId="365" priority="476" operator="equal">
      <formula>"Included"</formula>
    </cfRule>
    <cfRule type="cellIs" dxfId="364" priority="477" operator="equal">
      <formula>"Included"</formula>
    </cfRule>
    <cfRule type="cellIs" dxfId="363" priority="478" operator="equal">
      <formula>"Not Included"</formula>
    </cfRule>
    <cfRule type="cellIs" dxfId="362" priority="479" operator="equal">
      <formula>"Included"</formula>
    </cfRule>
  </conditionalFormatting>
  <conditionalFormatting sqref="AJ124">
    <cfRule type="cellIs" dxfId="361" priority="470" operator="equal">
      <formula>"Included"</formula>
    </cfRule>
    <cfRule type="cellIs" dxfId="360" priority="471" operator="equal">
      <formula>"Included"</formula>
    </cfRule>
    <cfRule type="cellIs" dxfId="359" priority="472" operator="equal">
      <formula>"Included"</formula>
    </cfRule>
    <cfRule type="cellIs" dxfId="358" priority="473" operator="equal">
      <formula>"Not Included"</formula>
    </cfRule>
    <cfRule type="cellIs" dxfId="357" priority="474" operator="equal">
      <formula>"Included"</formula>
    </cfRule>
  </conditionalFormatting>
  <conditionalFormatting sqref="AJ125:AJ128">
    <cfRule type="cellIs" dxfId="356" priority="465" operator="equal">
      <formula>"Included"</formula>
    </cfRule>
    <cfRule type="cellIs" dxfId="355" priority="466" operator="equal">
      <formula>"Included"</formula>
    </cfRule>
    <cfRule type="cellIs" dxfId="354" priority="467" operator="equal">
      <formula>"Included"</formula>
    </cfRule>
    <cfRule type="cellIs" dxfId="353" priority="468" operator="equal">
      <formula>"Not Included"</formula>
    </cfRule>
    <cfRule type="cellIs" dxfId="352" priority="469" operator="equal">
      <formula>"Included"</formula>
    </cfRule>
  </conditionalFormatting>
  <conditionalFormatting sqref="AJ173:AJ174">
    <cfRule type="cellIs" dxfId="351" priority="451" operator="equal">
      <formula>"Included"</formula>
    </cfRule>
    <cfRule type="cellIs" dxfId="350" priority="452" operator="equal">
      <formula>"Not Included"</formula>
    </cfRule>
    <cfRule type="cellIs" dxfId="349" priority="453" operator="equal">
      <formula>"Included"</formula>
    </cfRule>
    <cfRule type="cellIs" dxfId="348" priority="454" operator="equal">
      <formula>"Included"</formula>
    </cfRule>
    <cfRule type="cellIs" dxfId="347" priority="455" operator="equal">
      <formula>"Included"</formula>
    </cfRule>
    <cfRule type="cellIs" dxfId="346" priority="456" operator="equal">
      <formula>"Not Included"</formula>
    </cfRule>
    <cfRule type="cellIs" dxfId="345" priority="457" operator="equal">
      <formula>"Included"</formula>
    </cfRule>
  </conditionalFormatting>
  <conditionalFormatting sqref="AJ120:AJ121">
    <cfRule type="cellIs" dxfId="344" priority="434" operator="equal">
      <formula>"Included"</formula>
    </cfRule>
    <cfRule type="cellIs" dxfId="343" priority="435" operator="equal">
      <formula>"Not Included"</formula>
    </cfRule>
  </conditionalFormatting>
  <conditionalFormatting sqref="AJ121">
    <cfRule type="cellIs" dxfId="342" priority="432" operator="equal">
      <formula>"Included"</formula>
    </cfRule>
    <cfRule type="cellIs" dxfId="341" priority="433" operator="equal">
      <formula>"Not Included"</formula>
    </cfRule>
  </conditionalFormatting>
  <conditionalFormatting sqref="AJ128">
    <cfRule type="cellIs" dxfId="340" priority="413" operator="equal">
      <formula>"Included"</formula>
    </cfRule>
    <cfRule type="cellIs" dxfId="339" priority="414" operator="equal">
      <formula>"Included"</formula>
    </cfRule>
    <cfRule type="cellIs" dxfId="338" priority="415" operator="equal">
      <formula>"Included"</formula>
    </cfRule>
    <cfRule type="cellIs" dxfId="337" priority="416" operator="equal">
      <formula>"Not Included"</formula>
    </cfRule>
    <cfRule type="cellIs" dxfId="336" priority="417" operator="equal">
      <formula>"Included"</formula>
    </cfRule>
    <cfRule type="cellIs" dxfId="335" priority="418" operator="equal">
      <formula>"Included"</formula>
    </cfRule>
    <cfRule type="cellIs" dxfId="334" priority="419" operator="equal">
      <formula>"Included"</formula>
    </cfRule>
    <cfRule type="cellIs" dxfId="333" priority="420" operator="equal">
      <formula>"Included"</formula>
    </cfRule>
    <cfRule type="cellIs" dxfId="332" priority="421" operator="equal">
      <formula>"Not Included"</formula>
    </cfRule>
    <cfRule type="cellIs" dxfId="331" priority="422" operator="equal">
      <formula>"Included"</formula>
    </cfRule>
    <cfRule type="cellIs" dxfId="330" priority="423" operator="equal">
      <formula>"Included"</formula>
    </cfRule>
    <cfRule type="cellIs" dxfId="329" priority="424" operator="equal">
      <formula>"Included"</formula>
    </cfRule>
    <cfRule type="cellIs" dxfId="328" priority="425" operator="equal">
      <formula>"Included"</formula>
    </cfRule>
    <cfRule type="cellIs" dxfId="327" priority="426" operator="equal">
      <formula>"Not Included"</formula>
    </cfRule>
    <cfRule type="cellIs" dxfId="326" priority="427" operator="equal">
      <formula>"Included"</formula>
    </cfRule>
    <cfRule type="cellIs" dxfId="325" priority="428" operator="equal">
      <formula>"Included"</formula>
    </cfRule>
    <cfRule type="cellIs" dxfId="324" priority="429" operator="equal">
      <formula>"Not Included"</formula>
    </cfRule>
  </conditionalFormatting>
  <conditionalFormatting sqref="AN8:AN9 AN13:AN15 AN38:AN43 AN45:AN50 AN52:AN57 AN90:AN95 AN119 AN181:AN188 AN187:AO188 AN191:AN196 AN212 AN214:AN215 AN218 AO182:AO183">
    <cfRule type="cellIs" dxfId="323" priority="412" operator="equal">
      <formula>"P"</formula>
    </cfRule>
  </conditionalFormatting>
  <conditionalFormatting sqref="AN8 AN13:AN15 AN38:AN43 AN45:AN50 AN52:AN57 AN90:AN95 AN119 AN181:AN188 AN187:AO188 AN191:AN196 AN212 AN214:AN215 AN218 AO182:AO183">
    <cfRule type="cellIs" dxfId="322" priority="409" operator="equal">
      <formula>"O"</formula>
    </cfRule>
  </conditionalFormatting>
  <conditionalFormatting sqref="AN9">
    <cfRule type="cellIs" dxfId="321" priority="408" operator="equal">
      <formula>"O"</formula>
    </cfRule>
  </conditionalFormatting>
  <conditionalFormatting sqref="AN12">
    <cfRule type="cellIs" dxfId="320" priority="406" operator="equal">
      <formula>"O"</formula>
    </cfRule>
    <cfRule type="cellIs" dxfId="319" priority="407" operator="equal">
      <formula>"P"</formula>
    </cfRule>
  </conditionalFormatting>
  <conditionalFormatting sqref="AN16">
    <cfRule type="cellIs" dxfId="318" priority="400" operator="equal">
      <formula>"O"</formula>
    </cfRule>
    <cfRule type="cellIs" dxfId="317" priority="401" operator="equal">
      <formula>"P"</formula>
    </cfRule>
  </conditionalFormatting>
  <conditionalFormatting sqref="AN17">
    <cfRule type="cellIs" dxfId="316" priority="398" operator="equal">
      <formula>"O"</formula>
    </cfRule>
    <cfRule type="cellIs" dxfId="315" priority="399" operator="equal">
      <formula>"P"</formula>
    </cfRule>
  </conditionalFormatting>
  <conditionalFormatting sqref="AN18">
    <cfRule type="cellIs" dxfId="314" priority="396" operator="equal">
      <formula>"O"</formula>
    </cfRule>
    <cfRule type="cellIs" dxfId="313" priority="397" operator="equal">
      <formula>"P"</formula>
    </cfRule>
  </conditionalFormatting>
  <conditionalFormatting sqref="AN15">
    <cfRule type="cellIs" dxfId="312" priority="392" operator="equal">
      <formula>"O"</formula>
    </cfRule>
    <cfRule type="cellIs" dxfId="311" priority="393" operator="equal">
      <formula>"P"</formula>
    </cfRule>
  </conditionalFormatting>
  <conditionalFormatting sqref="AN24:AN25">
    <cfRule type="cellIs" dxfId="310" priority="386" operator="equal">
      <formula>"O"</formula>
    </cfRule>
    <cfRule type="cellIs" dxfId="309" priority="387" operator="equal">
      <formula>"P"</formula>
    </cfRule>
    <cfRule type="cellIs" dxfId="308" priority="388" operator="equal">
      <formula>"O"</formula>
    </cfRule>
    <cfRule type="cellIs" dxfId="307" priority="389" operator="equal">
      <formula>"P"</formula>
    </cfRule>
  </conditionalFormatting>
  <conditionalFormatting sqref="AN26">
    <cfRule type="cellIs" dxfId="306" priority="384" operator="equal">
      <formula>"O"</formula>
    </cfRule>
    <cfRule type="cellIs" dxfId="305" priority="385" operator="equal">
      <formula>"P"</formula>
    </cfRule>
  </conditionalFormatting>
  <conditionalFormatting sqref="AN27">
    <cfRule type="cellIs" dxfId="304" priority="382" operator="equal">
      <formula>"O"</formula>
    </cfRule>
    <cfRule type="cellIs" dxfId="303" priority="383" operator="equal">
      <formula>"P"</formula>
    </cfRule>
  </conditionalFormatting>
  <conditionalFormatting sqref="AN28:AN29">
    <cfRule type="cellIs" dxfId="302" priority="380" operator="equal">
      <formula>"O"</formula>
    </cfRule>
    <cfRule type="cellIs" dxfId="301" priority="381" operator="equal">
      <formula>"P"</formula>
    </cfRule>
  </conditionalFormatting>
  <conditionalFormatting sqref="AN30">
    <cfRule type="cellIs" dxfId="300" priority="378" operator="equal">
      <formula>"O"</formula>
    </cfRule>
    <cfRule type="cellIs" dxfId="299" priority="379" operator="equal">
      <formula>"P"</formula>
    </cfRule>
  </conditionalFormatting>
  <conditionalFormatting sqref="AN31">
    <cfRule type="cellIs" dxfId="298" priority="372" operator="equal">
      <formula>"O"</formula>
    </cfRule>
    <cfRule type="cellIs" dxfId="297" priority="373" operator="equal">
      <formula>"P"</formula>
    </cfRule>
  </conditionalFormatting>
  <conditionalFormatting sqref="AN32">
    <cfRule type="cellIs" dxfId="296" priority="370" operator="equal">
      <formula>"O"</formula>
    </cfRule>
    <cfRule type="cellIs" dxfId="295" priority="371" operator="equal">
      <formula>"P"</formula>
    </cfRule>
  </conditionalFormatting>
  <conditionalFormatting sqref="AN44">
    <cfRule type="cellIs" dxfId="294" priority="366" operator="equal">
      <formula>"O"</formula>
    </cfRule>
    <cfRule type="cellIs" dxfId="293" priority="367" operator="equal">
      <formula>"P"</formula>
    </cfRule>
  </conditionalFormatting>
  <conditionalFormatting sqref="AN59:AN67">
    <cfRule type="cellIs" dxfId="292" priority="356" operator="equal">
      <formula>"O"</formula>
    </cfRule>
    <cfRule type="cellIs" dxfId="291" priority="357" operator="equal">
      <formula>"P"</formula>
    </cfRule>
  </conditionalFormatting>
  <conditionalFormatting sqref="AN69:AN74">
    <cfRule type="cellIs" dxfId="290" priority="354" operator="equal">
      <formula>"O"</formula>
    </cfRule>
    <cfRule type="cellIs" dxfId="289" priority="355" operator="equal">
      <formula>"P"</formula>
    </cfRule>
  </conditionalFormatting>
  <conditionalFormatting sqref="AN76:AN81">
    <cfRule type="cellIs" dxfId="288" priority="352" operator="equal">
      <formula>"O"</formula>
    </cfRule>
    <cfRule type="cellIs" dxfId="287" priority="353" operator="equal">
      <formula>"P"</formula>
    </cfRule>
  </conditionalFormatting>
  <conditionalFormatting sqref="AN83:AN88">
    <cfRule type="cellIs" dxfId="286" priority="350" operator="equal">
      <formula>"O"</formula>
    </cfRule>
    <cfRule type="cellIs" dxfId="285" priority="351" operator="equal">
      <formula>"P"</formula>
    </cfRule>
  </conditionalFormatting>
  <conditionalFormatting sqref="AN97">
    <cfRule type="cellIs" dxfId="284" priority="346" operator="equal">
      <formula>"O"</formula>
    </cfRule>
    <cfRule type="cellIs" dxfId="283" priority="347" operator="equal">
      <formula>"P"</formula>
    </cfRule>
  </conditionalFormatting>
  <conditionalFormatting sqref="AN98">
    <cfRule type="cellIs" dxfId="282" priority="344" operator="equal">
      <formula>"O"</formula>
    </cfRule>
    <cfRule type="cellIs" dxfId="281" priority="345" operator="equal">
      <formula>"P"</formula>
    </cfRule>
  </conditionalFormatting>
  <conditionalFormatting sqref="AN99">
    <cfRule type="cellIs" dxfId="280" priority="342" operator="equal">
      <formula>"O"</formula>
    </cfRule>
    <cfRule type="cellIs" dxfId="279" priority="343" operator="equal">
      <formula>"P"</formula>
    </cfRule>
  </conditionalFormatting>
  <conditionalFormatting sqref="AN101">
    <cfRule type="cellIs" dxfId="278" priority="340" operator="equal">
      <formula>"O"</formula>
    </cfRule>
    <cfRule type="cellIs" dxfId="277" priority="341" operator="equal">
      <formula>"P"</formula>
    </cfRule>
  </conditionalFormatting>
  <conditionalFormatting sqref="AN114">
    <cfRule type="cellIs" dxfId="276" priority="338" operator="equal">
      <formula>"O"</formula>
    </cfRule>
    <cfRule type="cellIs" dxfId="275" priority="339" operator="equal">
      <formula>"P"</formula>
    </cfRule>
  </conditionalFormatting>
  <conditionalFormatting sqref="AN103:AN108">
    <cfRule type="cellIs" dxfId="274" priority="336" operator="equal">
      <formula>"O"</formula>
    </cfRule>
    <cfRule type="cellIs" dxfId="273" priority="337" operator="equal">
      <formula>"P"</formula>
    </cfRule>
  </conditionalFormatting>
  <conditionalFormatting sqref="AN110 AN113:AN114">
    <cfRule type="cellIs" dxfId="272" priority="332" operator="equal">
      <formula>"O"</formula>
    </cfRule>
    <cfRule type="cellIs" dxfId="271" priority="333" operator="equal">
      <formula>"P"</formula>
    </cfRule>
  </conditionalFormatting>
  <conditionalFormatting sqref="AN165">
    <cfRule type="cellIs" dxfId="270" priority="328" operator="equal">
      <formula>"O"</formula>
    </cfRule>
    <cfRule type="cellIs" dxfId="269" priority="329" operator="equal">
      <formula>"P"</formula>
    </cfRule>
  </conditionalFormatting>
  <conditionalFormatting sqref="AN170:AN173">
    <cfRule type="cellIs" dxfId="268" priority="326" operator="equal">
      <formula>"O"</formula>
    </cfRule>
    <cfRule type="cellIs" dxfId="267" priority="327" operator="equal">
      <formula>"P"</formula>
    </cfRule>
  </conditionalFormatting>
  <conditionalFormatting sqref="AN174">
    <cfRule type="cellIs" dxfId="266" priority="324" operator="equal">
      <formula>"O"</formula>
    </cfRule>
    <cfRule type="cellIs" dxfId="265" priority="325" operator="equal">
      <formula>"P"</formula>
    </cfRule>
  </conditionalFormatting>
  <conditionalFormatting sqref="AN178:AN179">
    <cfRule type="cellIs" dxfId="264" priority="320" operator="equal">
      <formula>"O"</formula>
    </cfRule>
    <cfRule type="cellIs" dxfId="263" priority="321" operator="equal">
      <formula>"P"</formula>
    </cfRule>
  </conditionalFormatting>
  <conditionalFormatting sqref="AN180">
    <cfRule type="cellIs" dxfId="262" priority="318" operator="equal">
      <formula>"O"</formula>
    </cfRule>
    <cfRule type="cellIs" dxfId="261" priority="319" operator="equal">
      <formula>"P"</formula>
    </cfRule>
  </conditionalFormatting>
  <conditionalFormatting sqref="AN188">
    <cfRule type="cellIs" dxfId="260" priority="314" operator="equal">
      <formula>"O"</formula>
    </cfRule>
    <cfRule type="cellIs" dxfId="259" priority="315" operator="equal">
      <formula>"P"</formula>
    </cfRule>
  </conditionalFormatting>
  <conditionalFormatting sqref="AN189">
    <cfRule type="cellIs" dxfId="258" priority="312" operator="equal">
      <formula>"O"</formula>
    </cfRule>
    <cfRule type="cellIs" dxfId="257" priority="313" operator="equal">
      <formula>"P"</formula>
    </cfRule>
  </conditionalFormatting>
  <conditionalFormatting sqref="AN190">
    <cfRule type="cellIs" dxfId="256" priority="310" operator="equal">
      <formula>"O"</formula>
    </cfRule>
    <cfRule type="cellIs" dxfId="255" priority="311" operator="equal">
      <formula>"P"</formula>
    </cfRule>
  </conditionalFormatting>
  <conditionalFormatting sqref="AN197:AN198">
    <cfRule type="cellIs" dxfId="254" priority="304" operator="equal">
      <formula>"O"</formula>
    </cfRule>
    <cfRule type="cellIs" dxfId="253" priority="305" operator="equal">
      <formula>"P"</formula>
    </cfRule>
  </conditionalFormatting>
  <conditionalFormatting sqref="AN196">
    <cfRule type="cellIs" dxfId="252" priority="302" operator="equal">
      <formula>"O"</formula>
    </cfRule>
    <cfRule type="cellIs" dxfId="251" priority="303" operator="equal">
      <formula>"P"</formula>
    </cfRule>
  </conditionalFormatting>
  <conditionalFormatting sqref="AN117">
    <cfRule type="cellIs" dxfId="250" priority="286" operator="equal">
      <formula>"O"</formula>
    </cfRule>
    <cfRule type="cellIs" dxfId="249" priority="287" operator="equal">
      <formula>"P"</formula>
    </cfRule>
  </conditionalFormatting>
  <conditionalFormatting sqref="AN161:AN162">
    <cfRule type="cellIs" dxfId="248" priority="266" operator="equal">
      <formula>"O"</formula>
    </cfRule>
    <cfRule type="cellIs" dxfId="247" priority="267" operator="equal">
      <formula>"P"</formula>
    </cfRule>
  </conditionalFormatting>
  <conditionalFormatting sqref="AN162">
    <cfRule type="cellIs" dxfId="246" priority="264" operator="equal">
      <formula>"O"</formula>
    </cfRule>
    <cfRule type="cellIs" dxfId="245" priority="265" operator="equal">
      <formula>"P"</formula>
    </cfRule>
  </conditionalFormatting>
  <conditionalFormatting sqref="AN139">
    <cfRule type="cellIs" dxfId="244" priority="262" operator="equal">
      <formula>"O"</formula>
    </cfRule>
    <cfRule type="cellIs" dxfId="243" priority="263" operator="equal">
      <formula>"P"</formula>
    </cfRule>
  </conditionalFormatting>
  <conditionalFormatting sqref="AN140">
    <cfRule type="cellIs" dxfId="242" priority="260" operator="equal">
      <formula>"O"</formula>
    </cfRule>
    <cfRule type="cellIs" dxfId="241" priority="261" operator="equal">
      <formula>"P"</formula>
    </cfRule>
  </conditionalFormatting>
  <conditionalFormatting sqref="AN141">
    <cfRule type="cellIs" dxfId="240" priority="258" operator="equal">
      <formula>"O"</formula>
    </cfRule>
    <cfRule type="cellIs" dxfId="239" priority="259" operator="equal">
      <formula>"P"</formula>
    </cfRule>
  </conditionalFormatting>
  <conditionalFormatting sqref="AN142">
    <cfRule type="cellIs" dxfId="238" priority="256" operator="equal">
      <formula>"O"</formula>
    </cfRule>
    <cfRule type="cellIs" dxfId="237" priority="257" operator="equal">
      <formula>"P"</formula>
    </cfRule>
  </conditionalFormatting>
  <conditionalFormatting sqref="AN143">
    <cfRule type="cellIs" dxfId="236" priority="254" operator="equal">
      <formula>"O"</formula>
    </cfRule>
    <cfRule type="cellIs" dxfId="235" priority="255" operator="equal">
      <formula>"P"</formula>
    </cfRule>
  </conditionalFormatting>
  <conditionalFormatting sqref="AN128">
    <cfRule type="cellIs" dxfId="234" priority="252" operator="equal">
      <formula>"O"</formula>
    </cfRule>
    <cfRule type="cellIs" dxfId="233" priority="253" operator="equal">
      <formula>"P"</formula>
    </cfRule>
  </conditionalFormatting>
  <conditionalFormatting sqref="AN153">
    <cfRule type="cellIs" dxfId="232" priority="250" operator="equal">
      <formula>"O"</formula>
    </cfRule>
    <cfRule type="cellIs" dxfId="231" priority="251" operator="equal">
      <formula>"P"</formula>
    </cfRule>
  </conditionalFormatting>
  <conditionalFormatting sqref="AN154">
    <cfRule type="cellIs" dxfId="230" priority="248" operator="equal">
      <formula>"O"</formula>
    </cfRule>
    <cfRule type="cellIs" dxfId="229" priority="249" operator="equal">
      <formula>"P"</formula>
    </cfRule>
  </conditionalFormatting>
  <conditionalFormatting sqref="AN155:AN156">
    <cfRule type="cellIs" dxfId="228" priority="246" operator="equal">
      <formula>"O"</formula>
    </cfRule>
    <cfRule type="cellIs" dxfId="227" priority="247" operator="equal">
      <formula>"P"</formula>
    </cfRule>
  </conditionalFormatting>
  <conditionalFormatting sqref="AN201">
    <cfRule type="cellIs" dxfId="226" priority="244" operator="equal">
      <formula>"O"</formula>
    </cfRule>
    <cfRule type="cellIs" dxfId="225" priority="245" operator="equal">
      <formula>"P"</formula>
    </cfRule>
  </conditionalFormatting>
  <conditionalFormatting sqref="AJ29">
    <cfRule type="cellIs" dxfId="224" priority="242" operator="equal">
      <formula>"Included"</formula>
    </cfRule>
    <cfRule type="cellIs" dxfId="223" priority="243" operator="equal">
      <formula>"Not Included"</formula>
    </cfRule>
  </conditionalFormatting>
  <conditionalFormatting sqref="AN204:AN207">
    <cfRule type="cellIs" dxfId="222" priority="240" operator="equal">
      <formula>"O"</formula>
    </cfRule>
    <cfRule type="cellIs" dxfId="221" priority="241" operator="equal">
      <formula>"P"</formula>
    </cfRule>
  </conditionalFormatting>
  <conditionalFormatting sqref="AN208:AN210">
    <cfRule type="cellIs" dxfId="220" priority="236" operator="equal">
      <formula>"O"</formula>
    </cfRule>
    <cfRule type="cellIs" dxfId="219" priority="237" operator="equal">
      <formula>"P"</formula>
    </cfRule>
  </conditionalFormatting>
  <conditionalFormatting sqref="AJ215">
    <cfRule type="cellIs" dxfId="218" priority="227" operator="equal">
      <formula>"Included"</formula>
    </cfRule>
    <cfRule type="cellIs" dxfId="217" priority="228" operator="equal">
      <formula>"Included"</formula>
    </cfRule>
    <cfRule type="cellIs" dxfId="216" priority="229" operator="equal">
      <formula>"Included"</formula>
    </cfRule>
    <cfRule type="cellIs" dxfId="215" priority="230" operator="equal">
      <formula>"Not Included"</formula>
    </cfRule>
    <cfRule type="cellIs" dxfId="214" priority="231" operator="equal">
      <formula>"Included"</formula>
    </cfRule>
    <cfRule type="cellIs" dxfId="213" priority="232" operator="equal">
      <formula>"Included"</formula>
    </cfRule>
    <cfRule type="cellIs" dxfId="212" priority="233" operator="equal">
      <formula>"Not Included"</formula>
    </cfRule>
  </conditionalFormatting>
  <conditionalFormatting sqref="AN215">
    <cfRule type="cellIs" dxfId="211" priority="225" operator="equal">
      <formula>"O"</formula>
    </cfRule>
    <cfRule type="cellIs" dxfId="210" priority="226" operator="equal">
      <formula>"P"</formula>
    </cfRule>
  </conditionalFormatting>
  <conditionalFormatting sqref="AJ217">
    <cfRule type="cellIs" dxfId="209" priority="218" operator="equal">
      <formula>"Included"</formula>
    </cfRule>
    <cfRule type="cellIs" dxfId="208" priority="219" operator="equal">
      <formula>"Included"</formula>
    </cfRule>
    <cfRule type="cellIs" dxfId="207" priority="220" operator="equal">
      <formula>"Included"</formula>
    </cfRule>
    <cfRule type="cellIs" dxfId="206" priority="221" operator="equal">
      <formula>"Not Included"</formula>
    </cfRule>
    <cfRule type="cellIs" dxfId="205" priority="222" operator="equal">
      <formula>"Included"</formula>
    </cfRule>
    <cfRule type="cellIs" dxfId="204" priority="223" operator="equal">
      <formula>"Included"</formula>
    </cfRule>
    <cfRule type="cellIs" dxfId="203" priority="224" operator="equal">
      <formula>"Not Included"</formula>
    </cfRule>
  </conditionalFormatting>
  <conditionalFormatting sqref="AO217">
    <cfRule type="cellIs" dxfId="202" priority="210" operator="equal">
      <formula>"O"</formula>
    </cfRule>
    <cfRule type="cellIs" dxfId="201" priority="211" operator="equal">
      <formula>"P"</formula>
    </cfRule>
  </conditionalFormatting>
  <conditionalFormatting sqref="AN217">
    <cfRule type="cellIs" dxfId="200" priority="208" operator="equal">
      <formula>"O"</formula>
    </cfRule>
    <cfRule type="cellIs" dxfId="199" priority="209" operator="equal">
      <formula>"P"</formula>
    </cfRule>
  </conditionalFormatting>
  <conditionalFormatting sqref="AJ19:AJ22">
    <cfRule type="cellIs" dxfId="198" priority="204" operator="equal">
      <formula>"Included"</formula>
    </cfRule>
    <cfRule type="cellIs" dxfId="197" priority="205" operator="equal">
      <formula>"Not Included"</formula>
    </cfRule>
  </conditionalFormatting>
  <conditionalFormatting sqref="AN19:AN22">
    <cfRule type="cellIs" dxfId="196" priority="202" operator="equal">
      <formula>"O"</formula>
    </cfRule>
    <cfRule type="cellIs" dxfId="195" priority="203" operator="equal">
      <formula>"P"</formula>
    </cfRule>
  </conditionalFormatting>
  <conditionalFormatting sqref="AJ212:AJ215">
    <cfRule type="cellIs" dxfId="194" priority="190" operator="equal">
      <formula>"Included"</formula>
    </cfRule>
    <cfRule type="cellIs" dxfId="193" priority="191" operator="equal">
      <formula>"Not Included"</formula>
    </cfRule>
  </conditionalFormatting>
  <conditionalFormatting sqref="AN212 AN214:AN215">
    <cfRule type="cellIs" dxfId="192" priority="186" operator="equal">
      <formula>"O"</formula>
    </cfRule>
    <cfRule type="cellIs" dxfId="191" priority="187" operator="equal">
      <formula>"P"</formula>
    </cfRule>
  </conditionalFormatting>
  <conditionalFormatting sqref="AJ159:AJ162">
    <cfRule type="cellIs" dxfId="190" priority="184" operator="equal">
      <formula>"Included"</formula>
    </cfRule>
    <cfRule type="cellIs" dxfId="189" priority="185" operator="equal">
      <formula>"Not Included"</formula>
    </cfRule>
  </conditionalFormatting>
  <conditionalFormatting sqref="AN160:AN162">
    <cfRule type="cellIs" dxfId="188" priority="182" operator="equal">
      <formula>"O"</formula>
    </cfRule>
    <cfRule type="cellIs" dxfId="187" priority="183" operator="equal">
      <formula>"P"</formula>
    </cfRule>
  </conditionalFormatting>
  <conditionalFormatting sqref="AJ167">
    <cfRule type="cellIs" dxfId="186" priority="180" operator="equal">
      <formula>"Included"</formula>
    </cfRule>
    <cfRule type="cellIs" dxfId="185" priority="181" operator="equal">
      <formula>"Not Included"</formula>
    </cfRule>
  </conditionalFormatting>
  <conditionalFormatting sqref="AJ175:AJ177">
    <cfRule type="cellIs" dxfId="184" priority="167" operator="equal">
      <formula>"Included"</formula>
    </cfRule>
    <cfRule type="cellIs" dxfId="183" priority="168" operator="equal">
      <formula>"Not Included"</formula>
    </cfRule>
    <cfRule type="cellIs" dxfId="182" priority="169" operator="equal">
      <formula>"Included"</formula>
    </cfRule>
    <cfRule type="cellIs" dxfId="181" priority="170" operator="equal">
      <formula>"Included"</formula>
    </cfRule>
    <cfRule type="cellIs" dxfId="180" priority="171" operator="equal">
      <formula>"Included"</formula>
    </cfRule>
    <cfRule type="cellIs" dxfId="179" priority="172" operator="equal">
      <formula>"Not Included"</formula>
    </cfRule>
    <cfRule type="cellIs" dxfId="178" priority="173" operator="equal">
      <formula>"Included"</formula>
    </cfRule>
    <cfRule type="cellIs" dxfId="177" priority="174" operator="equal">
      <formula>"Included"</formula>
    </cfRule>
    <cfRule type="cellIs" dxfId="176" priority="175" operator="equal">
      <formula>"Not Included"</formula>
    </cfRule>
    <cfRule type="cellIs" dxfId="175" priority="176" operator="equal">
      <formula>"Included"</formula>
    </cfRule>
    <cfRule type="cellIs" dxfId="174" priority="177" operator="equal">
      <formula>"Not Included"</formula>
    </cfRule>
  </conditionalFormatting>
  <conditionalFormatting sqref="AN175:AN177">
    <cfRule type="cellIs" dxfId="173" priority="163" operator="equal">
      <formula>"O"</formula>
    </cfRule>
    <cfRule type="cellIs" dxfId="172" priority="164" operator="equal">
      <formula>"P"</formula>
    </cfRule>
  </conditionalFormatting>
  <conditionalFormatting sqref="AJ183">
    <cfRule type="cellIs" dxfId="171" priority="157" operator="equal">
      <formula>"Included"</formula>
    </cfRule>
    <cfRule type="cellIs" dxfId="170" priority="158" operator="equal">
      <formula>"Not Included"</formula>
    </cfRule>
  </conditionalFormatting>
  <conditionalFormatting sqref="AN183">
    <cfRule type="cellIs" dxfId="169" priority="155" operator="equal">
      <formula>"O"</formula>
    </cfRule>
    <cfRule type="cellIs" dxfId="168" priority="156" operator="equal">
      <formula>"P"</formula>
    </cfRule>
  </conditionalFormatting>
  <conditionalFormatting sqref="AJ211">
    <cfRule type="cellIs" dxfId="167" priority="145" operator="equal">
      <formula>"Included"</formula>
    </cfRule>
    <cfRule type="cellIs" dxfId="166" priority="146" operator="equal">
      <formula>"Not Included"</formula>
    </cfRule>
    <cfRule type="cellIs" dxfId="165" priority="149" operator="equal">
      <formula>"Included"</formula>
    </cfRule>
    <cfRule type="cellIs" dxfId="164" priority="150" operator="equal">
      <formula>"Not Included"</formula>
    </cfRule>
  </conditionalFormatting>
  <conditionalFormatting sqref="AJ216:AJ218">
    <cfRule type="cellIs" dxfId="163" priority="128" operator="equal">
      <formula>"Included"</formula>
    </cfRule>
    <cfRule type="cellIs" dxfId="162" priority="129" operator="equal">
      <formula>"Not Included"</formula>
    </cfRule>
    <cfRule type="cellIs" dxfId="161" priority="132" operator="equal">
      <formula>"Included"</formula>
    </cfRule>
    <cfRule type="cellIs" dxfId="160" priority="133" operator="equal">
      <formula>"Included"</formula>
    </cfRule>
    <cfRule type="cellIs" dxfId="159" priority="134" operator="equal">
      <formula>"Included"</formula>
    </cfRule>
    <cfRule type="cellIs" dxfId="158" priority="135" operator="equal">
      <formula>"Not Included"</formula>
    </cfRule>
    <cfRule type="cellIs" dxfId="157" priority="136" operator="equal">
      <formula>"Included"</formula>
    </cfRule>
    <cfRule type="cellIs" dxfId="156" priority="137" operator="equal">
      <formula>"Included"</formula>
    </cfRule>
    <cfRule type="cellIs" dxfId="155" priority="138" operator="equal">
      <formula>"Not Included"</formula>
    </cfRule>
    <cfRule type="cellIs" dxfId="154" priority="141" operator="equal">
      <formula>"Included"</formula>
    </cfRule>
    <cfRule type="cellIs" dxfId="153" priority="142" operator="equal">
      <formula>"Not Included"</formula>
    </cfRule>
  </conditionalFormatting>
  <conditionalFormatting sqref="AN218">
    <cfRule type="cellIs" dxfId="152" priority="126" operator="equal">
      <formula>"O"</formula>
    </cfRule>
    <cfRule type="cellIs" dxfId="151" priority="127" operator="equal">
      <formula>"P"</formula>
    </cfRule>
    <cfRule type="cellIs" dxfId="150" priority="130" operator="equal">
      <formula>"O"</formula>
    </cfRule>
    <cfRule type="cellIs" dxfId="149" priority="131" operator="equal">
      <formula>"P"</formula>
    </cfRule>
    <cfRule type="cellIs" dxfId="148" priority="139" operator="equal">
      <formula>"O"</formula>
    </cfRule>
    <cfRule type="cellIs" dxfId="147" priority="140" operator="equal">
      <formula>"P"</formula>
    </cfRule>
  </conditionalFormatting>
  <conditionalFormatting sqref="AN216:AN217">
    <cfRule type="cellIs" dxfId="146" priority="122" operator="equal">
      <formula>"O"</formula>
    </cfRule>
    <cfRule type="cellIs" dxfId="145" priority="123" operator="equal">
      <formula>"P"</formula>
    </cfRule>
    <cfRule type="cellIs" dxfId="144" priority="124" operator="equal">
      <formula>"O"</formula>
    </cfRule>
    <cfRule type="cellIs" dxfId="143" priority="125" operator="equal">
      <formula>"P"</formula>
    </cfRule>
  </conditionalFormatting>
  <conditionalFormatting sqref="AN211">
    <cfRule type="cellIs" dxfId="142" priority="118" operator="equal">
      <formula>"O"</formula>
    </cfRule>
    <cfRule type="cellIs" dxfId="141" priority="119" operator="equal">
      <formula>"P"</formula>
    </cfRule>
    <cfRule type="cellIs" dxfId="140" priority="120" operator="equal">
      <formula>"O"</formula>
    </cfRule>
    <cfRule type="cellIs" dxfId="139" priority="121" operator="equal">
      <formula>"P"</formula>
    </cfRule>
  </conditionalFormatting>
  <conditionalFormatting sqref="AJ33">
    <cfRule type="cellIs" dxfId="138" priority="116" operator="equal">
      <formula>"Included"</formula>
    </cfRule>
    <cfRule type="cellIs" dxfId="137" priority="117" operator="equal">
      <formula>"Not Included"</formula>
    </cfRule>
  </conditionalFormatting>
  <conditionalFormatting sqref="AN33">
    <cfRule type="cellIs" dxfId="136" priority="114" operator="equal">
      <formula>"O"</formula>
    </cfRule>
    <cfRule type="cellIs" dxfId="135" priority="115" operator="equal">
      <formula>"P"</formula>
    </cfRule>
  </conditionalFormatting>
  <conditionalFormatting sqref="AJ168">
    <cfRule type="cellIs" dxfId="134" priority="112" operator="equal">
      <formula>"Included"</formula>
    </cfRule>
    <cfRule type="cellIs" dxfId="133" priority="113" operator="equal">
      <formula>"Not Included"</formula>
    </cfRule>
  </conditionalFormatting>
  <conditionalFormatting sqref="AJ169">
    <cfRule type="cellIs" dxfId="132" priority="108" operator="equal">
      <formula>"Included"</formula>
    </cfRule>
    <cfRule type="cellIs" dxfId="131" priority="109" operator="equal">
      <formula>"Not Included"</formula>
    </cfRule>
  </conditionalFormatting>
  <conditionalFormatting sqref="AJ35:AJ37">
    <cfRule type="cellIs" dxfId="130" priority="104" operator="equal">
      <formula>"Included"</formula>
    </cfRule>
    <cfRule type="cellIs" dxfId="129" priority="105" operator="equal">
      <formula>"Not Included"</formula>
    </cfRule>
  </conditionalFormatting>
  <conditionalFormatting sqref="AN35:AN37">
    <cfRule type="cellIs" dxfId="128" priority="100" operator="equal">
      <formula>"O"</formula>
    </cfRule>
    <cfRule type="cellIs" dxfId="127" priority="101" operator="equal">
      <formula>"P"</formula>
    </cfRule>
  </conditionalFormatting>
  <conditionalFormatting sqref="AJ112">
    <cfRule type="cellIs" dxfId="126" priority="98" operator="equal">
      <formula>"Included"</formula>
    </cfRule>
    <cfRule type="cellIs" dxfId="125" priority="99" operator="equal">
      <formula>"Not Included"</formula>
    </cfRule>
  </conditionalFormatting>
  <conditionalFormatting sqref="AN112">
    <cfRule type="cellIs" dxfId="124" priority="96" operator="equal">
      <formula>"O"</formula>
    </cfRule>
    <cfRule type="cellIs" dxfId="123" priority="97" operator="equal">
      <formula>"P"</formula>
    </cfRule>
  </conditionalFormatting>
  <conditionalFormatting sqref="AN120:AN128">
    <cfRule type="cellIs" dxfId="122" priority="94" operator="equal">
      <formula>"O"</formula>
    </cfRule>
    <cfRule type="cellIs" dxfId="121" priority="95" operator="equal">
      <formula>"P"</formula>
    </cfRule>
  </conditionalFormatting>
  <conditionalFormatting sqref="AN213">
    <cfRule type="cellIs" dxfId="120" priority="92" operator="equal">
      <formula>"O"</formula>
    </cfRule>
    <cfRule type="cellIs" dxfId="119" priority="93" operator="equal">
      <formula>"P"</formula>
    </cfRule>
  </conditionalFormatting>
  <conditionalFormatting sqref="AJ131:AJ132">
    <cfRule type="cellIs" dxfId="118" priority="68" operator="equal">
      <formula>"Included"</formula>
    </cfRule>
    <cfRule type="cellIs" dxfId="117" priority="69" operator="equal">
      <formula>"Included"</formula>
    </cfRule>
    <cfRule type="cellIs" dxfId="116" priority="70" operator="equal">
      <formula>"Included"</formula>
    </cfRule>
    <cfRule type="cellIs" dxfId="115" priority="71" operator="equal">
      <formula>"Not Included"</formula>
    </cfRule>
    <cfRule type="cellIs" dxfId="114" priority="72" operator="equal">
      <formula>"Included"</formula>
    </cfRule>
    <cfRule type="cellIs" dxfId="113" priority="73" operator="equal">
      <formula>"Included"</formula>
    </cfRule>
    <cfRule type="cellIs" dxfId="112" priority="74" operator="equal">
      <formula>"Included"</formula>
    </cfRule>
    <cfRule type="cellIs" dxfId="111" priority="75" operator="equal">
      <formula>"Included"</formula>
    </cfRule>
    <cfRule type="cellIs" dxfId="110" priority="76" operator="equal">
      <formula>"Not Included"</formula>
    </cfRule>
    <cfRule type="cellIs" dxfId="109" priority="77" operator="equal">
      <formula>"Included"</formula>
    </cfRule>
    <cfRule type="cellIs" dxfId="108" priority="78" operator="equal">
      <formula>"Included"</formula>
    </cfRule>
    <cfRule type="cellIs" dxfId="107" priority="79" operator="equal">
      <formula>"Included"</formula>
    </cfRule>
    <cfRule type="cellIs" dxfId="106" priority="80" operator="equal">
      <formula>"Included"</formula>
    </cfRule>
    <cfRule type="cellIs" dxfId="105" priority="81" operator="equal">
      <formula>"Not Included"</formula>
    </cfRule>
    <cfRule type="cellIs" dxfId="104" priority="82" operator="equal">
      <formula>"Included"</formula>
    </cfRule>
    <cfRule type="cellIs" dxfId="103" priority="83" operator="equal">
      <formula>"Included"</formula>
    </cfRule>
    <cfRule type="cellIs" dxfId="102" priority="84" operator="equal">
      <formula>"Not Included"</formula>
    </cfRule>
    <cfRule type="cellIs" dxfId="101" priority="85" operator="equal">
      <formula>"Included"</formula>
    </cfRule>
    <cfRule type="cellIs" dxfId="100" priority="86" operator="equal">
      <formula>"Included"</formula>
    </cfRule>
    <cfRule type="cellIs" dxfId="99" priority="87" operator="equal">
      <formula>"Included"</formula>
    </cfRule>
    <cfRule type="cellIs" dxfId="98" priority="88" operator="equal">
      <formula>"Not Included"</formula>
    </cfRule>
    <cfRule type="cellIs" dxfId="97" priority="89" operator="equal">
      <formula>"Included"</formula>
    </cfRule>
    <cfRule type="cellIs" dxfId="96" priority="90" operator="equal">
      <formula>"Included"</formula>
    </cfRule>
    <cfRule type="cellIs" dxfId="95" priority="91" operator="equal">
      <formula>"Not Included"</formula>
    </cfRule>
  </conditionalFormatting>
  <conditionalFormatting sqref="AN131:AN132">
    <cfRule type="cellIs" dxfId="94" priority="64" operator="equal">
      <formula>"O"</formula>
    </cfRule>
    <cfRule type="cellIs" dxfId="93" priority="65" operator="equal">
      <formula>"P"</formula>
    </cfRule>
    <cfRule type="cellIs" dxfId="92" priority="66" operator="equal">
      <formula>"O"</formula>
    </cfRule>
    <cfRule type="cellIs" dxfId="91" priority="67" operator="equal">
      <formula>"P"</formula>
    </cfRule>
  </conditionalFormatting>
  <conditionalFormatting sqref="AO187:AO188">
    <cfRule type="cellIs" dxfId="90" priority="60" operator="equal">
      <formula>"O"</formula>
    </cfRule>
    <cfRule type="cellIs" dxfId="89" priority="61" operator="equal">
      <formula>"P"</formula>
    </cfRule>
  </conditionalFormatting>
  <conditionalFormatting sqref="AN191:AN194">
    <cfRule type="cellIs" dxfId="88" priority="52" operator="equal">
      <formula>"O"</formula>
    </cfRule>
    <cfRule type="cellIs" dxfId="87" priority="53" operator="equal">
      <formula>"P"</formula>
    </cfRule>
  </conditionalFormatting>
  <conditionalFormatting sqref="AN23">
    <cfRule type="cellIs" dxfId="86" priority="50" operator="equal">
      <formula>"O"</formula>
    </cfRule>
    <cfRule type="cellIs" dxfId="85" priority="51" operator="equal">
      <formula>"P"</formula>
    </cfRule>
  </conditionalFormatting>
  <conditionalFormatting sqref="AN166:AN169">
    <cfRule type="cellIs" dxfId="84" priority="48" operator="equal">
      <formula>"O"</formula>
    </cfRule>
    <cfRule type="cellIs" dxfId="83" priority="49" operator="equal">
      <formula>"P"</formula>
    </cfRule>
  </conditionalFormatting>
  <conditionalFormatting sqref="AJ133">
    <cfRule type="cellIs" dxfId="82" priority="46" operator="equal">
      <formula>"Included"</formula>
    </cfRule>
    <cfRule type="cellIs" dxfId="81" priority="47" operator="equal">
      <formula>"Not Included"</formula>
    </cfRule>
  </conditionalFormatting>
  <conditionalFormatting sqref="AN133">
    <cfRule type="cellIs" dxfId="80" priority="44" operator="equal">
      <formula>"O"</formula>
    </cfRule>
    <cfRule type="cellIs" dxfId="79" priority="45" operator="equal">
      <formula>"P"</formula>
    </cfRule>
  </conditionalFormatting>
  <conditionalFormatting sqref="AJ134">
    <cfRule type="cellIs" dxfId="78" priority="29" operator="equal">
      <formula>"Included"</formula>
    </cfRule>
    <cfRule type="cellIs" dxfId="77" priority="30" operator="equal">
      <formula>"Not Included"</formula>
    </cfRule>
    <cfRule type="cellIs" dxfId="76" priority="35" operator="equal">
      <formula>"Included"</formula>
    </cfRule>
    <cfRule type="cellIs" dxfId="75" priority="36" operator="equal">
      <formula>"Not Included"</formula>
    </cfRule>
    <cfRule type="cellIs" dxfId="74" priority="37" operator="equal">
      <formula>"Included"</formula>
    </cfRule>
    <cfRule type="cellIs" dxfId="73" priority="38" operator="equal">
      <formula>"Included"</formula>
    </cfRule>
    <cfRule type="cellIs" dxfId="72" priority="39" operator="equal">
      <formula>"Included"</formula>
    </cfRule>
    <cfRule type="cellIs" dxfId="71" priority="40" operator="equal">
      <formula>"Not Included"</formula>
    </cfRule>
    <cfRule type="cellIs" dxfId="70" priority="41" operator="equal">
      <formula>"Included"</formula>
    </cfRule>
    <cfRule type="cellIs" dxfId="69" priority="42" operator="equal">
      <formula>"Included"</formula>
    </cfRule>
    <cfRule type="cellIs" dxfId="68" priority="43" operator="equal">
      <formula>"Not Included"</formula>
    </cfRule>
  </conditionalFormatting>
  <conditionalFormatting sqref="AN134">
    <cfRule type="cellIs" dxfId="67" priority="27" operator="equal">
      <formula>"O"</formula>
    </cfRule>
    <cfRule type="cellIs" dxfId="66" priority="28" operator="equal">
      <formula>"P"</formula>
    </cfRule>
    <cfRule type="cellIs" dxfId="65" priority="31" operator="equal">
      <formula>"O"</formula>
    </cfRule>
    <cfRule type="cellIs" dxfId="64" priority="32" operator="equal">
      <formula>"P"</formula>
    </cfRule>
    <cfRule type="cellIs" dxfId="63" priority="33" operator="equal">
      <formula>"O"</formula>
    </cfRule>
    <cfRule type="cellIs" dxfId="62" priority="34" operator="equal">
      <formula>"P"</formula>
    </cfRule>
  </conditionalFormatting>
  <conditionalFormatting sqref="AJ135">
    <cfRule type="cellIs" dxfId="61" priority="25" operator="equal">
      <formula>"Included"</formula>
    </cfRule>
    <cfRule type="cellIs" dxfId="60" priority="26" operator="equal">
      <formula>"Not Included"</formula>
    </cfRule>
  </conditionalFormatting>
  <conditionalFormatting sqref="AJ146:AJ150">
    <cfRule type="cellIs" dxfId="59" priority="23" operator="equal">
      <formula>"Included"</formula>
    </cfRule>
    <cfRule type="cellIs" dxfId="58" priority="24" operator="equal">
      <formula>"Not Included"</formula>
    </cfRule>
  </conditionalFormatting>
  <conditionalFormatting sqref="AJ148:AJ150">
    <cfRule type="cellIs" dxfId="57" priority="18" operator="equal">
      <formula>"Included"</formula>
    </cfRule>
    <cfRule type="cellIs" dxfId="56" priority="19" operator="equal">
      <formula>"Included"</formula>
    </cfRule>
    <cfRule type="cellIs" dxfId="55" priority="20" operator="equal">
      <formula>"Included"</formula>
    </cfRule>
    <cfRule type="cellIs" dxfId="54" priority="21" operator="equal">
      <formula>"Not Included"</formula>
    </cfRule>
    <cfRule type="cellIs" dxfId="53" priority="22" operator="equal">
      <formula>"Included"</formula>
    </cfRule>
  </conditionalFormatting>
  <conditionalFormatting sqref="AJ147:AJ150">
    <cfRule type="cellIs" dxfId="52" priority="13" operator="equal">
      <formula>"Included"</formula>
    </cfRule>
    <cfRule type="cellIs" dxfId="51" priority="14" operator="equal">
      <formula>"Included"</formula>
    </cfRule>
    <cfRule type="cellIs" dxfId="50" priority="15" operator="equal">
      <formula>"Included"</formula>
    </cfRule>
    <cfRule type="cellIs" dxfId="49" priority="16" operator="equal">
      <formula>"Not Included"</formula>
    </cfRule>
    <cfRule type="cellIs" dxfId="48" priority="17" operator="equal">
      <formula>"Included"</formula>
    </cfRule>
  </conditionalFormatting>
  <conditionalFormatting sqref="AJ149:AJ150">
    <cfRule type="cellIs" dxfId="47" priority="8" operator="equal">
      <formula>"Included"</formula>
    </cfRule>
    <cfRule type="cellIs" dxfId="46" priority="9" operator="equal">
      <formula>"Included"</formula>
    </cfRule>
    <cfRule type="cellIs" dxfId="45" priority="10" operator="equal">
      <formula>"Included"</formula>
    </cfRule>
    <cfRule type="cellIs" dxfId="44" priority="11" operator="equal">
      <formula>"Not Included"</formula>
    </cfRule>
    <cfRule type="cellIs" dxfId="43" priority="12" operator="equal">
      <formula>"Included"</formula>
    </cfRule>
  </conditionalFormatting>
  <conditionalFormatting sqref="AJ150">
    <cfRule type="cellIs" dxfId="42" priority="3" operator="equal">
      <formula>"Included"</formula>
    </cfRule>
    <cfRule type="cellIs" dxfId="41" priority="4" operator="equal">
      <formula>"Included"</formula>
    </cfRule>
    <cfRule type="cellIs" dxfId="40" priority="5" operator="equal">
      <formula>"Included"</formula>
    </cfRule>
    <cfRule type="cellIs" dxfId="39" priority="6" operator="equal">
      <formula>"Not Included"</formula>
    </cfRule>
    <cfRule type="cellIs" dxfId="38" priority="7" operator="equal">
      <formula>"Included"</formula>
    </cfRule>
  </conditionalFormatting>
  <conditionalFormatting sqref="AN159">
    <cfRule type="cellIs" dxfId="37" priority="1" operator="equal">
      <formula>"O"</formula>
    </cfRule>
    <cfRule type="cellIs" dxfId="36" priority="2" operator="equal">
      <formula>"P"</formula>
    </cfRule>
  </conditionalFormatting>
  <dataValidations count="2">
    <dataValidation type="list" allowBlank="1" showInputMessage="1" showErrorMessage="1" sqref="AJ8:AJ9 AJ201:AJ202 AJ182:AJ198 AJ204:AJ218 AJ12:AJ23" xr:uid="{00000000-0002-0000-2600-000000000000}">
      <formula1>"Included, Not Included, Not Applicable"</formula1>
    </dataValidation>
    <dataValidation type="list" allowBlank="1" showInputMessage="1" showErrorMessage="1" sqref="B65653:B65659 B65662:B65675 B65677:B65679 B65681:B65684 B65686:B65688 B65690:B65699 B131189:B131195 B131198:B131211 B131213:B131215 B131217:B131220 B131222:B131224 B131226:B131235 B196725:B196731 B196734:B196747 B196749:B196751 B196753:B196756 B196758:B196760 B196762:B196771 B262261:B262267 B262270:B262283 B262285:B262287 B262289:B262292 B262294:B262296 B262298:B262307 B327797:B327803 B327806:B327819 B327821:B327823 B327825:B327828 B327830:B327832 B327834:B327843 B393333:B393339 B393342:B393355 B393357:B393359 B393361:B393364 B393366:B393368 B393370:B393379 B458869:B458875 B458878:B458891 B458893:B458895 B458897:B458900 B458902:B458904 B458906:B458915 B524405:B524411 B524414:B524427 B524429:B524431 B524433:B524436 B524438:B524440 B524442:B524451 B589941:B589947 B589950:B589963 B589965:B589967 B589969:B589972 B589974:B589976 B589978:B589987 B655477:B655483 B655486:B655499 B655501:B655503 B655505:B655508 B655510:B655512 B655514:B655523 B721013:B721019 B721022:B721035 B721037:B721039 B721041:B721044 B721046:B721048 B721050:B721059 B786549:B786555 B786558:B786571 B786573:B786575 B786577:B786580 B786582:B786584 B786586:B786595 B852085:B852091 B852094:B852107 B852109:B852111 B852113:B852116 B852118:B852120 B852122:B852131 B917621:B917627 B917630:B917643 B917645:B917647 B917649:B917652 B917654:B917656 B917658:B917667 B983157:B983163 B983166:B983179 B983181:B983183 B983185:B983188 B983190:B983192 B983194:B983203 IT5:IU5 IT7:IU8 IT9 IT65455:IU65461 IT65464:IU65477 IT65479:IT65480 IT65481:IU65481 IT65483:IU65486 IT65488:IU65490 IT65492:IU65501 IT130991:IU130997 IT131000:IU131013 IT131015:IT131016 IT131017:IU131017 IT131019:IU131022 IT131024:IU131026 IT131028:IU131037 IT196527:IU196533 IT196536:IU196549 IT196551:IT196552 IT196553:IU196553 IT196555:IU196558 IT196560:IU196562 IT196564:IU196573 IT262063:IU262069 IT262072:IU262085 IT262087:IT262088 IT262089:IU262089 IT262091:IU262094 IT262096:IU262098 IT262100:IU262109 IT327599:IU327605 IT327608:IU327621 IT327623:IT327624 IT327625:IU327625 IT327627:IU327630 IT327632:IU327634 IT327636:IU327645 IT393135:IU393141 IT393144:IU393157 IT393159:IT393160 IT393161:IU393161 IT393163:IU393166 IT393168:IU393170 IT393172:IU393181 IT458671:IU458677 IT458680:IU458693 IT458695:IT458696 IT458697:IU458697 IT458699:IU458702 IT458704:IU458706 IT458708:IU458717 IT524207:IU524213 IT524216:IU524229 IT524231:IT524232 IT524233:IU524233 IT524235:IU524238 IT524240:IU524242 IT524244:IU524253 IT589743:IU589749 IT589752:IU589765 IT589767:IT589768 IT589769:IU589769 IT589771:IU589774 IT589776:IU589778 IT589780:IU589789 IT655279:IU655285 IT655288:IU655301 IT655303:IT655304 IT655305:IU655305 IT655307:IU655310 IT655312:IU655314 IT655316:IU655325 IT720815:IU720821 IT720824:IU720837 IT720839:IT720840 IT720841:IU720841 IT720843:IU720846 IT720848:IU720850 IT720852:IU720861 IT786351:IU786357 IT786360:IU786373 IT786375:IT786376 IT786377:IU786377 IT786379:IU786382 IT786384:IU786386 IT786388:IU786397 IT851887:IU851893 IT851896:IU851909 IT851911:IT851912 IT851913:IU851913 IT851915:IU851918 IT851920:IU851922 IT851924:IU851933 IT917423:IU917429 IT917432:IU917445 IT917447:IT917448 IT917449:IU917449 IT917451:IU917454 IT917456:IU917458 IT917460:IU917469 IT982959:IU982965 IT982968:IU982981 IT982983:IT982984 IT982985:IU982985 IT982987:IU982990 IT982992:IU982994 IT982996:IU983005 IU65479 IU131015 IU196551 IU262087 IU327623 IU393159 IU458695 IU524231 IU589767 IU655303 IU720839 IU786375 IU851911 IU917447 IU982983 SP5:SQ5 SP7:SQ8 SP9 SP65455:SQ65461 SP65464:SQ65477 SP65479:SP65480 SP65481:SQ65481 SP65483:SQ65486 SP65488:SQ65490 SP65492:SQ65501 SP130991:SQ130997 SP131000:SQ131013 SP131015:SP131016 SP131017:SQ131017 SP131019:SQ131022 SP131024:SQ131026 SP131028:SQ131037 SP196527:SQ196533 SP196536:SQ196549 SP196551:SP196552 SP196553:SQ196553 SP196555:SQ196558 SP196560:SQ196562 SP196564:SQ196573 SP262063:SQ262069 SP262072:SQ262085 SP262087:SP262088 SP262089:SQ262089 SP262091:SQ262094 SP262096:SQ262098 SP262100:SQ262109 SP327599:SQ327605 SP327608:SQ327621 SP327623:SP327624 SP327625:SQ327625 SP327627:SQ327630 SP327632:SQ327634 SP327636:SQ327645 SP393135:SQ393141 SP393144:SQ393157 SP393159:SP393160 SP393161:SQ393161 SP393163:SQ393166 SP393168:SQ393170 SP393172:SQ393181 SP458671:SQ458677 SP458680:SQ458693 SP458695:SP458696 SP458697:SQ458697 SP458699:SQ458702 SP458704:SQ458706 SP458708:SQ458717 SP524207:SQ524213 SP524216:SQ524229 SP524231:SP524232 SP524233:SQ524233 SP524235:SQ524238 SP524240:SQ524242 SP524244:SQ524253 SP589743:SQ589749 SP589752:SQ589765 SP589767:SP589768 SP589769:SQ589769 SP589771:SQ589774 SP589776:SQ589778 SP589780:SQ589789 SP655279:SQ655285 SP655288:SQ655301 SP655303:SP655304 SP655305:SQ655305 SP655307:SQ655310 SP655312:SQ655314 SP655316:SQ655325 SP720815:SQ720821 SP720824:SQ720837 SP720839:SP720840 SP720841:SQ720841 SP720843:SQ720846 SP720848:SQ720850 SP720852:SQ720861 SP786351:SQ786357 SP786360:SQ786373 SP786375:SP786376 SP786377:SQ786377 SP786379:SQ786382 SP786384:SQ786386 SP786388:SQ786397 SP851887:SQ851893 SP851896:SQ851909 SP851911:SP851912 SP851913:SQ851913 SP851915:SQ851918 SP851920:SQ851922 SP851924:SQ851933 SP917423:SQ917429 SP917432:SQ917445 SP917447:SP917448 SP917449:SQ917449 SP917451:SQ917454 SP917456:SQ917458 SP917460:SQ917469 SP982959:SQ982965 SP982968:SQ982981 SP982983:SP982984 SP982985:SQ982985 SP982987:SQ982990 SP982992:SQ982994 SP982996:SQ983005 SQ65479 SQ131015 SQ196551 SQ262087 SQ327623 SQ393159 SQ458695 SQ524231 SQ589767 SQ655303 SQ720839 SQ786375 SQ851911 SQ917447 SQ982983 ACL5:ACM5 ACL7:ACM8 ACL9 ACL65455:ACM65461 ACL65464:ACM65477 ACL65479:ACL65480 ACL65481:ACM65481 ACL65483:ACM65486 ACL65488:ACM65490 ACL65492:ACM65501 ACL130991:ACM130997 ACL131000:ACM131013 ACL131015:ACL131016 ACL131017:ACM131017 ACL131019:ACM131022 ACL131024:ACM131026 ACL131028:ACM131037 ACL196527:ACM196533 ACL196536:ACM196549 ACL196551:ACL196552 ACL196553:ACM196553 ACL196555:ACM196558 ACL196560:ACM196562 ACL196564:ACM196573 ACL262063:ACM262069 ACL262072:ACM262085 ACL262087:ACL262088 ACL262089:ACM262089 ACL262091:ACM262094 ACL262096:ACM262098 ACL262100:ACM262109 ACL327599:ACM327605 ACL327608:ACM327621 ACL327623:ACL327624 ACL327625:ACM327625 ACL327627:ACM327630 ACL327632:ACM327634 ACL327636:ACM327645 ACL393135:ACM393141 ACL393144:ACM393157 ACL393159:ACL393160 ACL393161:ACM393161 ACL393163:ACM393166 ACL393168:ACM393170 ACL393172:ACM393181 ACL458671:ACM458677 ACL458680:ACM458693 ACL458695:ACL458696 ACL458697:ACM458697 ACL458699:ACM458702 ACL458704:ACM458706 ACL458708:ACM458717 ACL524207:ACM524213 ACL524216:ACM524229 ACL524231:ACL524232 ACL524233:ACM524233 ACL524235:ACM524238 ACL524240:ACM524242 ACL524244:ACM524253 ACL589743:ACM589749 ACL589752:ACM589765 ACL589767:ACL589768 ACL589769:ACM589769 ACL589771:ACM589774 ACL589776:ACM589778 ACL589780:ACM589789 ACL655279:ACM655285 ACL655288:ACM655301 ACL655303:ACL655304 ACL655305:ACM655305 ACL655307:ACM655310 ACL655312:ACM655314 ACL655316:ACM655325 ACL720815:ACM720821 ACL720824:ACM720837 ACL720839:ACL720840 ACL720841:ACM720841 ACL720843:ACM720846 ACL720848:ACM720850 ACL720852:ACM720861 ACL786351:ACM786357 ACL786360:ACM786373 ACL786375:ACL786376 ACL786377:ACM786377 ACL786379:ACM786382 ACL786384:ACM786386 ACL786388:ACM786397 ACL851887:ACM851893 ACL851896:ACM851909 ACL851911:ACL851912 ACL851913:ACM851913 ACL851915:ACM851918 ACL851920:ACM851922 ACL851924:ACM851933 ACL917423:ACM917429 ACL917432:ACM917445 ACL917447:ACL917448 ACL917449:ACM917449 ACL917451:ACM917454 ACL917456:ACM917458 ACL917460:ACM917469 ACL982959:ACM982965 ACL982968:ACM982981 ACL982983:ACL982984 ACL982985:ACM982985 ACL982987:ACM982990 ACL982992:ACM982994 ACL982996:ACM983005 ACM65479 ACM131015 ACM196551 ACM262087 ACM327623 ACM393159 ACM458695 ACM524231 ACM589767 ACM655303 ACM720839 ACM786375 ACM851911 ACM917447 ACM982983 AMH5:AMI5 AMH7:AMI8 AMH9 AMH65455:AMI65461 AMH65464:AMI65477 AMH65479:AMH65480 AMH65481:AMI65481 AMH65483:AMI65486 AMH65488:AMI65490 AMH65492:AMI65501 AMH130991:AMI130997 AMH131000:AMI131013 AMH131015:AMH131016 AMH131017:AMI131017 AMH131019:AMI131022 AMH131024:AMI131026 AMH131028:AMI131037 AMH196527:AMI196533 AMH196536:AMI196549 AMH196551:AMH196552 AMH196553:AMI196553 AMH196555:AMI196558 AMH196560:AMI196562 AMH196564:AMI196573 AMH262063:AMI262069 AMH262072:AMI262085 AMH262087:AMH262088 AMH262089:AMI262089 AMH262091:AMI262094 AMH262096:AMI262098 AMH262100:AMI262109 AMH327599:AMI327605 AMH327608:AMI327621 AMH327623:AMH327624 AMH327625:AMI327625 AMH327627:AMI327630 AMH327632:AMI327634 AMH327636:AMI327645 AMH393135:AMI393141 AMH393144:AMI393157 AMH393159:AMH393160 AMH393161:AMI393161 AMH393163:AMI393166 AMH393168:AMI393170 AMH393172:AMI393181 AMH458671:AMI458677 AMH458680:AMI458693 AMH458695:AMH458696 AMH458697:AMI458697 AMH458699:AMI458702 AMH458704:AMI458706 AMH458708:AMI458717 AMH524207:AMI524213 AMH524216:AMI524229 AMH524231:AMH524232 AMH524233:AMI524233 AMH524235:AMI524238 AMH524240:AMI524242 AMH524244:AMI524253 AMH589743:AMI589749 AMH589752:AMI589765 AMH589767:AMH589768 AMH589769:AMI589769 AMH589771:AMI589774 AMH589776:AMI589778 AMH589780:AMI589789 AMH655279:AMI655285 AMH655288:AMI655301 AMH655303:AMH655304 AMH655305:AMI655305 AMH655307:AMI655310 AMH655312:AMI655314 AMH655316:AMI655325 AMH720815:AMI720821 AMH720824:AMI720837 AMH720839:AMH720840 AMH720841:AMI720841 AMH720843:AMI720846 AMH720848:AMI720850 AMH720852:AMI720861 AMH786351:AMI786357 AMH786360:AMI786373 AMH786375:AMH786376 AMH786377:AMI786377 AMH786379:AMI786382 AMH786384:AMI786386 AMH786388:AMI786397 AMH851887:AMI851893 AMH851896:AMI851909 AMH851911:AMH851912 AMH851913:AMI851913 AMH851915:AMI851918 AMH851920:AMI851922 AMH851924:AMI851933 AMH917423:AMI917429 AMH917432:AMI917445 AMH917447:AMH917448 AMH917449:AMI917449 AMH917451:AMI917454 AMH917456:AMI917458 AMH917460:AMI917469 AMH982959:AMI982965 AMH982968:AMI982981 AMH982983:AMH982984 AMH982985:AMI982985 AMH982987:AMI982990 AMH982992:AMI982994 AMH982996:AMI983005 AMI65479 AMI131015 AMI196551 AMI262087 AMI327623 AMI393159 AMI458695 AMI524231 AMI589767 AMI655303 AMI720839 AMI786375 AMI851911 AMI917447 AMI982983 AWD5:AWE5 AWD7:AWE8 AWD9 AWD65455:AWE65461 AWD65464:AWE65477 AWD65479:AWD65480 AWD65481:AWE65481 AWD65483:AWE65486 AWD65488:AWE65490 AWD65492:AWE65501 AWD130991:AWE130997 AWD131000:AWE131013 AWD131015:AWD131016 AWD131017:AWE131017 AWD131019:AWE131022 AWD131024:AWE131026 AWD131028:AWE131037 AWD196527:AWE196533 AWD196536:AWE196549 AWD196551:AWD196552 AWD196553:AWE196553 AWD196555:AWE196558 AWD196560:AWE196562 AWD196564:AWE196573 AWD262063:AWE262069 AWD262072:AWE262085 AWD262087:AWD262088 AWD262089:AWE262089 AWD262091:AWE262094 AWD262096:AWE262098 AWD262100:AWE262109 AWD327599:AWE327605 AWD327608:AWE327621 AWD327623:AWD327624 AWD327625:AWE327625 AWD327627:AWE327630 AWD327632:AWE327634 AWD327636:AWE327645 AWD393135:AWE393141 AWD393144:AWE393157 AWD393159:AWD393160 AWD393161:AWE393161 AWD393163:AWE393166 AWD393168:AWE393170 AWD393172:AWE393181 AWD458671:AWE458677 AWD458680:AWE458693 AWD458695:AWD458696 AWD458697:AWE458697 AWD458699:AWE458702 AWD458704:AWE458706 AWD458708:AWE458717 AWD524207:AWE524213 AWD524216:AWE524229 AWD524231:AWD524232 AWD524233:AWE524233 AWD524235:AWE524238 AWD524240:AWE524242 AWD524244:AWE524253 AWD589743:AWE589749 AWD589752:AWE589765 AWD589767:AWD589768 AWD589769:AWE589769 AWD589771:AWE589774 AWD589776:AWE589778 AWD589780:AWE589789 AWD655279:AWE655285 AWD655288:AWE655301 AWD655303:AWD655304 AWD655305:AWE655305 AWD655307:AWE655310 AWD655312:AWE655314 AWD655316:AWE655325 AWD720815:AWE720821 AWD720824:AWE720837 AWD720839:AWD720840 AWD720841:AWE720841 AWD720843:AWE720846 AWD720848:AWE720850 AWD720852:AWE720861 AWD786351:AWE786357 AWD786360:AWE786373 AWD786375:AWD786376 AWD786377:AWE786377 AWD786379:AWE786382 AWD786384:AWE786386 AWD786388:AWE786397 AWD851887:AWE851893 AWD851896:AWE851909 AWD851911:AWD851912 AWD851913:AWE851913 AWD851915:AWE851918 AWD851920:AWE851922 AWD851924:AWE851933 AWD917423:AWE917429 AWD917432:AWE917445 AWD917447:AWD917448 AWD917449:AWE917449 AWD917451:AWE917454 AWD917456:AWE917458 AWD917460:AWE917469 AWD982959:AWE982965 AWD982968:AWE982981 AWD982983:AWD982984 AWD982985:AWE982985 AWD982987:AWE982990 AWD982992:AWE982994 AWD982996:AWE983005 AWE65479 AWE131015 AWE196551 AWE262087 AWE327623 AWE393159 AWE458695 AWE524231 AWE589767 AWE655303 AWE720839 AWE786375 AWE851911 AWE917447 AWE982983 BFZ5:BGA5 BFZ7:BGA8 BFZ9 BFZ65455:BGA65461 BFZ65464:BGA65477 BFZ65479:BFZ65480 BFZ65481:BGA65481 BFZ65483:BGA65486 BFZ65488:BGA65490 BFZ65492:BGA65501 BFZ130991:BGA130997 BFZ131000:BGA131013 BFZ131015:BFZ131016 BFZ131017:BGA131017 BFZ131019:BGA131022 BFZ131024:BGA131026 BFZ131028:BGA131037 BFZ196527:BGA196533 BFZ196536:BGA196549 BFZ196551:BFZ196552 BFZ196553:BGA196553 BFZ196555:BGA196558 BFZ196560:BGA196562 BFZ196564:BGA196573 BFZ262063:BGA262069 BFZ262072:BGA262085 BFZ262087:BFZ262088 BFZ262089:BGA262089 BFZ262091:BGA262094 BFZ262096:BGA262098 BFZ262100:BGA262109 BFZ327599:BGA327605 BFZ327608:BGA327621 BFZ327623:BFZ327624 BFZ327625:BGA327625 BFZ327627:BGA327630 BFZ327632:BGA327634 BFZ327636:BGA327645 BFZ393135:BGA393141 BFZ393144:BGA393157 BFZ393159:BFZ393160 BFZ393161:BGA393161 BFZ393163:BGA393166 BFZ393168:BGA393170 BFZ393172:BGA393181 BFZ458671:BGA458677 BFZ458680:BGA458693 BFZ458695:BFZ458696 BFZ458697:BGA458697 BFZ458699:BGA458702 BFZ458704:BGA458706 BFZ458708:BGA458717 BFZ524207:BGA524213 BFZ524216:BGA524229 BFZ524231:BFZ524232 BFZ524233:BGA524233 BFZ524235:BGA524238 BFZ524240:BGA524242 BFZ524244:BGA524253 BFZ589743:BGA589749 BFZ589752:BGA589765 BFZ589767:BFZ589768 BFZ589769:BGA589769 BFZ589771:BGA589774 BFZ589776:BGA589778 BFZ589780:BGA589789 BFZ655279:BGA655285 BFZ655288:BGA655301 BFZ655303:BFZ655304 BFZ655305:BGA655305 BFZ655307:BGA655310 BFZ655312:BGA655314 BFZ655316:BGA655325 BFZ720815:BGA720821 BFZ720824:BGA720837 BFZ720839:BFZ720840 BFZ720841:BGA720841 BFZ720843:BGA720846 BFZ720848:BGA720850 BFZ720852:BGA720861 BFZ786351:BGA786357 BFZ786360:BGA786373 BFZ786375:BFZ786376 BFZ786377:BGA786377 BFZ786379:BGA786382 BFZ786384:BGA786386 BFZ786388:BGA786397 BFZ851887:BGA851893 BFZ851896:BGA851909 BFZ851911:BFZ851912 BFZ851913:BGA851913 BFZ851915:BGA851918 BFZ851920:BGA851922 BFZ851924:BGA851933 BFZ917423:BGA917429 BFZ917432:BGA917445 BFZ917447:BFZ917448 BFZ917449:BGA917449 BFZ917451:BGA917454 BFZ917456:BGA917458 BFZ917460:BGA917469 BFZ982959:BGA982965 BFZ982968:BGA982981 BFZ982983:BFZ982984 BFZ982985:BGA982985 BFZ982987:BGA982990 BFZ982992:BGA982994 BFZ982996:BGA983005 BGA65479 BGA131015 BGA196551 BGA262087 BGA327623 BGA393159 BGA458695 BGA524231 BGA589767 BGA655303 BGA720839 BGA786375 BGA851911 BGA917447 BGA982983 BPV5:BPW5 BPV7:BPW8 BPV9 BPV65455:BPW65461 BPV65464:BPW65477 BPV65479:BPV65480 BPV65481:BPW65481 BPV65483:BPW65486 BPV65488:BPW65490 BPV65492:BPW65501 BPV130991:BPW130997 BPV131000:BPW131013 BPV131015:BPV131016 BPV131017:BPW131017 BPV131019:BPW131022 BPV131024:BPW131026 BPV131028:BPW131037 BPV196527:BPW196533 BPV196536:BPW196549 BPV196551:BPV196552 BPV196553:BPW196553 BPV196555:BPW196558 BPV196560:BPW196562 BPV196564:BPW196573 BPV262063:BPW262069 BPV262072:BPW262085 BPV262087:BPV262088 BPV262089:BPW262089 BPV262091:BPW262094 BPV262096:BPW262098 BPV262100:BPW262109 BPV327599:BPW327605 BPV327608:BPW327621 BPV327623:BPV327624 BPV327625:BPW327625 BPV327627:BPW327630 BPV327632:BPW327634 BPV327636:BPW327645 BPV393135:BPW393141 BPV393144:BPW393157 BPV393159:BPV393160 BPV393161:BPW393161 BPV393163:BPW393166 BPV393168:BPW393170 BPV393172:BPW393181 BPV458671:BPW458677 BPV458680:BPW458693 BPV458695:BPV458696 BPV458697:BPW458697 BPV458699:BPW458702 BPV458704:BPW458706 BPV458708:BPW458717 BPV524207:BPW524213 BPV524216:BPW524229 BPV524231:BPV524232 BPV524233:BPW524233 BPV524235:BPW524238 BPV524240:BPW524242 BPV524244:BPW524253 BPV589743:BPW589749 BPV589752:BPW589765 BPV589767:BPV589768 BPV589769:BPW589769 BPV589771:BPW589774 BPV589776:BPW589778 BPV589780:BPW589789 BPV655279:BPW655285 BPV655288:BPW655301 BPV655303:BPV655304 BPV655305:BPW655305 BPV655307:BPW655310 BPV655312:BPW655314 BPV655316:BPW655325 BPV720815:BPW720821 BPV720824:BPW720837 BPV720839:BPV720840 BPV720841:BPW720841 BPV720843:BPW720846 BPV720848:BPW720850 BPV720852:BPW720861 BPV786351:BPW786357 BPV786360:BPW786373 BPV786375:BPV786376 BPV786377:BPW786377 BPV786379:BPW786382 BPV786384:BPW786386 BPV786388:BPW786397 BPV851887:BPW851893 BPV851896:BPW851909 BPV851911:BPV851912 BPV851913:BPW851913 BPV851915:BPW851918 BPV851920:BPW851922 BPV851924:BPW851933 BPV917423:BPW917429 BPV917432:BPW917445 BPV917447:BPV917448 BPV917449:BPW917449 BPV917451:BPW917454 BPV917456:BPW917458 BPV917460:BPW917469 BPV982959:BPW982965 BPV982968:BPW982981 BPV982983:BPV982984 BPV982985:BPW982985 BPV982987:BPW982990 BPV982992:BPW982994 BPV982996:BPW983005 BPW65479 BPW131015 BPW196551 BPW262087 BPW327623 BPW393159 BPW458695 BPW524231 BPW589767 BPW655303 BPW720839 BPW786375 BPW851911 BPW917447 BPW982983 BZR5:BZS5 BZR7:BZS8 BZR9 BZR65455:BZS65461 BZR65464:BZS65477 BZR65479:BZR65480 BZR65481:BZS65481 BZR65483:BZS65486 BZR65488:BZS65490 BZR65492:BZS65501 BZR130991:BZS130997 BZR131000:BZS131013 BZR131015:BZR131016 BZR131017:BZS131017 BZR131019:BZS131022 BZR131024:BZS131026 BZR131028:BZS131037 BZR196527:BZS196533 BZR196536:BZS196549 BZR196551:BZR196552 BZR196553:BZS196553 BZR196555:BZS196558 BZR196560:BZS196562 BZR196564:BZS196573 BZR262063:BZS262069 BZR262072:BZS262085 BZR262087:BZR262088 BZR262089:BZS262089 BZR262091:BZS262094 BZR262096:BZS262098 BZR262100:BZS262109 BZR327599:BZS327605 BZR327608:BZS327621 BZR327623:BZR327624 BZR327625:BZS327625 BZR327627:BZS327630 BZR327632:BZS327634 BZR327636:BZS327645 BZR393135:BZS393141 BZR393144:BZS393157 BZR393159:BZR393160 BZR393161:BZS393161 BZR393163:BZS393166 BZR393168:BZS393170 BZR393172:BZS393181 BZR458671:BZS458677 BZR458680:BZS458693 BZR458695:BZR458696 BZR458697:BZS458697 BZR458699:BZS458702 BZR458704:BZS458706 BZR458708:BZS458717 BZR524207:BZS524213 BZR524216:BZS524229 BZR524231:BZR524232 BZR524233:BZS524233 BZR524235:BZS524238 BZR524240:BZS524242 BZR524244:BZS524253 BZR589743:BZS589749 BZR589752:BZS589765 BZR589767:BZR589768 BZR589769:BZS589769 BZR589771:BZS589774 BZR589776:BZS589778 BZR589780:BZS589789 BZR655279:BZS655285 BZR655288:BZS655301 BZR655303:BZR655304 BZR655305:BZS655305 BZR655307:BZS655310 BZR655312:BZS655314 BZR655316:BZS655325 BZR720815:BZS720821 BZR720824:BZS720837 BZR720839:BZR720840 BZR720841:BZS720841 BZR720843:BZS720846 BZR720848:BZS720850 BZR720852:BZS720861 BZR786351:BZS786357 BZR786360:BZS786373 BZR786375:BZR786376 BZR786377:BZS786377 BZR786379:BZS786382 BZR786384:BZS786386 BZR786388:BZS786397 BZR851887:BZS851893 BZR851896:BZS851909 BZR851911:BZR851912 BZR851913:BZS851913 BZR851915:BZS851918 BZR851920:BZS851922 BZR851924:BZS851933 BZR917423:BZS917429 BZR917432:BZS917445 BZR917447:BZR917448 BZR917449:BZS917449 BZR917451:BZS917454 BZR917456:BZS917458 BZR917460:BZS917469 BZR982959:BZS982965 BZR982968:BZS982981 BZR982983:BZR982984 BZR982985:BZS982985 BZR982987:BZS982990 BZR982992:BZS982994 BZR982996:BZS983005 BZS65479 BZS131015 BZS196551 BZS262087 BZS327623 BZS393159 BZS458695 BZS524231 BZS589767 BZS655303 BZS720839 BZS786375 BZS851911 BZS917447 BZS982983 CJN5:CJO5 CJN7:CJO8 CJN9 CJN65455:CJO65461 CJN65464:CJO65477 CJN65479:CJN65480 CJN65481:CJO65481 CJN65483:CJO65486 CJN65488:CJO65490 CJN65492:CJO65501 CJN130991:CJO130997 CJN131000:CJO131013 CJN131015:CJN131016 CJN131017:CJO131017 CJN131019:CJO131022 CJN131024:CJO131026 CJN131028:CJO131037 CJN196527:CJO196533 CJN196536:CJO196549 CJN196551:CJN196552 CJN196553:CJO196553 CJN196555:CJO196558 CJN196560:CJO196562 CJN196564:CJO196573 CJN262063:CJO262069 CJN262072:CJO262085 CJN262087:CJN262088 CJN262089:CJO262089 CJN262091:CJO262094 CJN262096:CJO262098 CJN262100:CJO262109 CJN327599:CJO327605 CJN327608:CJO327621 CJN327623:CJN327624 CJN327625:CJO327625 CJN327627:CJO327630 CJN327632:CJO327634 CJN327636:CJO327645 CJN393135:CJO393141 CJN393144:CJO393157 CJN393159:CJN393160 CJN393161:CJO393161 CJN393163:CJO393166 CJN393168:CJO393170 CJN393172:CJO393181 CJN458671:CJO458677 CJN458680:CJO458693 CJN458695:CJN458696 CJN458697:CJO458697 CJN458699:CJO458702 CJN458704:CJO458706 CJN458708:CJO458717 CJN524207:CJO524213 CJN524216:CJO524229 CJN524231:CJN524232 CJN524233:CJO524233 CJN524235:CJO524238 CJN524240:CJO524242 CJN524244:CJO524253 CJN589743:CJO589749 CJN589752:CJO589765 CJN589767:CJN589768 CJN589769:CJO589769 CJN589771:CJO589774 CJN589776:CJO589778 CJN589780:CJO589789 CJN655279:CJO655285 CJN655288:CJO655301 CJN655303:CJN655304 CJN655305:CJO655305 CJN655307:CJO655310 CJN655312:CJO655314 CJN655316:CJO655325 CJN720815:CJO720821 CJN720824:CJO720837 CJN720839:CJN720840 CJN720841:CJO720841 CJN720843:CJO720846 CJN720848:CJO720850 CJN720852:CJO720861 CJN786351:CJO786357 CJN786360:CJO786373 CJN786375:CJN786376 CJN786377:CJO786377 CJN786379:CJO786382 CJN786384:CJO786386 CJN786388:CJO786397 CJN851887:CJO851893 CJN851896:CJO851909 CJN851911:CJN851912 CJN851913:CJO851913 CJN851915:CJO851918 CJN851920:CJO851922 CJN851924:CJO851933 CJN917423:CJO917429 CJN917432:CJO917445 CJN917447:CJN917448 CJN917449:CJO917449 CJN917451:CJO917454 CJN917456:CJO917458 CJN917460:CJO917469 CJN982959:CJO982965 CJN982968:CJO982981 CJN982983:CJN982984 CJN982985:CJO982985 CJN982987:CJO982990 CJN982992:CJO982994 CJN982996:CJO983005 CJO65479 CJO131015 CJO196551 CJO262087 CJO327623 CJO393159 CJO458695 CJO524231 CJO589767 CJO655303 CJO720839 CJO786375 CJO851911 CJO917447 CJO982983 CTJ5:CTK5 CTJ7:CTK8 CTJ9 CTJ65455:CTK65461 CTJ65464:CTK65477 CTJ65479:CTJ65480 CTJ65481:CTK65481 CTJ65483:CTK65486 CTJ65488:CTK65490 CTJ65492:CTK65501 CTJ130991:CTK130997 CTJ131000:CTK131013 CTJ131015:CTJ131016 CTJ131017:CTK131017 CTJ131019:CTK131022 CTJ131024:CTK131026 CTJ131028:CTK131037 CTJ196527:CTK196533 CTJ196536:CTK196549 CTJ196551:CTJ196552 CTJ196553:CTK196553 CTJ196555:CTK196558 CTJ196560:CTK196562 CTJ196564:CTK196573 CTJ262063:CTK262069 CTJ262072:CTK262085 CTJ262087:CTJ262088 CTJ262089:CTK262089 CTJ262091:CTK262094 CTJ262096:CTK262098 CTJ262100:CTK262109 CTJ327599:CTK327605 CTJ327608:CTK327621 CTJ327623:CTJ327624 CTJ327625:CTK327625 CTJ327627:CTK327630 CTJ327632:CTK327634 CTJ327636:CTK327645 CTJ393135:CTK393141 CTJ393144:CTK393157 CTJ393159:CTJ393160 CTJ393161:CTK393161 CTJ393163:CTK393166 CTJ393168:CTK393170 CTJ393172:CTK393181 CTJ458671:CTK458677 CTJ458680:CTK458693 CTJ458695:CTJ458696 CTJ458697:CTK458697 CTJ458699:CTK458702 CTJ458704:CTK458706 CTJ458708:CTK458717 CTJ524207:CTK524213 CTJ524216:CTK524229 CTJ524231:CTJ524232 CTJ524233:CTK524233 CTJ524235:CTK524238 CTJ524240:CTK524242 CTJ524244:CTK524253 CTJ589743:CTK589749 CTJ589752:CTK589765 CTJ589767:CTJ589768 CTJ589769:CTK589769 CTJ589771:CTK589774 CTJ589776:CTK589778 CTJ589780:CTK589789 CTJ655279:CTK655285 CTJ655288:CTK655301 CTJ655303:CTJ655304 CTJ655305:CTK655305 CTJ655307:CTK655310 CTJ655312:CTK655314 CTJ655316:CTK655325 CTJ720815:CTK720821 CTJ720824:CTK720837 CTJ720839:CTJ720840 CTJ720841:CTK720841 CTJ720843:CTK720846 CTJ720848:CTK720850 CTJ720852:CTK720861 CTJ786351:CTK786357 CTJ786360:CTK786373 CTJ786375:CTJ786376 CTJ786377:CTK786377 CTJ786379:CTK786382 CTJ786384:CTK786386 CTJ786388:CTK786397 CTJ851887:CTK851893 CTJ851896:CTK851909 CTJ851911:CTJ851912 CTJ851913:CTK851913 CTJ851915:CTK851918 CTJ851920:CTK851922 CTJ851924:CTK851933 CTJ917423:CTK917429 CTJ917432:CTK917445 CTJ917447:CTJ917448 CTJ917449:CTK917449 CTJ917451:CTK917454 CTJ917456:CTK917458 CTJ917460:CTK917469 CTJ982959:CTK982965 CTJ982968:CTK982981 CTJ982983:CTJ982984 CTJ982985:CTK982985 CTJ982987:CTK982990 CTJ982992:CTK982994 CTJ982996:CTK983005 CTK65479 CTK131015 CTK196551 CTK262087 CTK327623 CTK393159 CTK458695 CTK524231 CTK589767 CTK655303 CTK720839 CTK786375 CTK851911 CTK917447 CTK982983 DDF5:DDG5 DDF7:DDG8 DDF9 DDF65455:DDG65461 DDF65464:DDG65477 DDF65479:DDF65480 DDF65481:DDG65481 DDF65483:DDG65486 DDF65488:DDG65490 DDF65492:DDG65501 DDF130991:DDG130997 DDF131000:DDG131013 DDF131015:DDF131016 DDF131017:DDG131017 DDF131019:DDG131022 DDF131024:DDG131026 DDF131028:DDG131037 DDF196527:DDG196533 DDF196536:DDG196549 DDF196551:DDF196552 DDF196553:DDG196553 DDF196555:DDG196558 DDF196560:DDG196562 DDF196564:DDG196573 DDF262063:DDG262069 DDF262072:DDG262085 DDF262087:DDF262088 DDF262089:DDG262089 DDF262091:DDG262094 DDF262096:DDG262098 DDF262100:DDG262109 DDF327599:DDG327605 DDF327608:DDG327621 DDF327623:DDF327624 DDF327625:DDG327625 DDF327627:DDG327630 DDF327632:DDG327634 DDF327636:DDG327645 DDF393135:DDG393141 DDF393144:DDG393157 DDF393159:DDF393160 DDF393161:DDG393161 DDF393163:DDG393166 DDF393168:DDG393170 DDF393172:DDG393181 DDF458671:DDG458677 DDF458680:DDG458693 DDF458695:DDF458696 DDF458697:DDG458697 DDF458699:DDG458702 DDF458704:DDG458706 DDF458708:DDG458717 DDF524207:DDG524213 DDF524216:DDG524229 DDF524231:DDF524232 DDF524233:DDG524233 DDF524235:DDG524238 DDF524240:DDG524242 DDF524244:DDG524253 DDF589743:DDG589749 DDF589752:DDG589765 DDF589767:DDF589768 DDF589769:DDG589769 DDF589771:DDG589774 DDF589776:DDG589778 DDF589780:DDG589789 DDF655279:DDG655285 DDF655288:DDG655301 DDF655303:DDF655304 DDF655305:DDG655305 DDF655307:DDG655310 DDF655312:DDG655314 DDF655316:DDG655325 DDF720815:DDG720821 DDF720824:DDG720837 DDF720839:DDF720840 DDF720841:DDG720841 DDF720843:DDG720846 DDF720848:DDG720850 DDF720852:DDG720861 DDF786351:DDG786357 DDF786360:DDG786373 DDF786375:DDF786376 DDF786377:DDG786377 DDF786379:DDG786382 DDF786384:DDG786386 DDF786388:DDG786397 DDF851887:DDG851893 DDF851896:DDG851909 DDF851911:DDF851912 DDF851913:DDG851913 DDF851915:DDG851918 DDF851920:DDG851922 DDF851924:DDG851933 DDF917423:DDG917429 DDF917432:DDG917445 DDF917447:DDF917448 DDF917449:DDG917449 DDF917451:DDG917454 DDF917456:DDG917458 DDF917460:DDG917469 DDF982959:DDG982965 DDF982968:DDG982981 DDF982983:DDF982984 DDF982985:DDG982985 DDF982987:DDG982990 DDF982992:DDG982994 DDF982996:DDG983005 DDG65479 DDG131015 DDG196551 DDG262087 DDG327623 DDG393159 DDG458695 DDG524231 DDG589767 DDG655303 DDG720839 DDG786375 DDG851911 DDG917447 DDG982983 DNB5:DNC5 DNB7:DNC8 DNB9 DNB65455:DNC65461 DNB65464:DNC65477 DNB65479:DNB65480 DNB65481:DNC65481 DNB65483:DNC65486 DNB65488:DNC65490 DNB65492:DNC65501 DNB130991:DNC130997 DNB131000:DNC131013 DNB131015:DNB131016 DNB131017:DNC131017 DNB131019:DNC131022 DNB131024:DNC131026 DNB131028:DNC131037 DNB196527:DNC196533 DNB196536:DNC196549 DNB196551:DNB196552 DNB196553:DNC196553 DNB196555:DNC196558 DNB196560:DNC196562 DNB196564:DNC196573 DNB262063:DNC262069 DNB262072:DNC262085 DNB262087:DNB262088 DNB262089:DNC262089 DNB262091:DNC262094 DNB262096:DNC262098 DNB262100:DNC262109 DNB327599:DNC327605 DNB327608:DNC327621 DNB327623:DNB327624 DNB327625:DNC327625 DNB327627:DNC327630 DNB327632:DNC327634 DNB327636:DNC327645 DNB393135:DNC393141 DNB393144:DNC393157 DNB393159:DNB393160 DNB393161:DNC393161 DNB393163:DNC393166 DNB393168:DNC393170 DNB393172:DNC393181 DNB458671:DNC458677 DNB458680:DNC458693 DNB458695:DNB458696 DNB458697:DNC458697 DNB458699:DNC458702 DNB458704:DNC458706 DNB458708:DNC458717 DNB524207:DNC524213 DNB524216:DNC524229 DNB524231:DNB524232 DNB524233:DNC524233 DNB524235:DNC524238 DNB524240:DNC524242 DNB524244:DNC524253 DNB589743:DNC589749 DNB589752:DNC589765 DNB589767:DNB589768 DNB589769:DNC589769 DNB589771:DNC589774 DNB589776:DNC589778 DNB589780:DNC589789 DNB655279:DNC655285 DNB655288:DNC655301 DNB655303:DNB655304 DNB655305:DNC655305 DNB655307:DNC655310 DNB655312:DNC655314 DNB655316:DNC655325 DNB720815:DNC720821 DNB720824:DNC720837 DNB720839:DNB720840 DNB720841:DNC720841 DNB720843:DNC720846 DNB720848:DNC720850 DNB720852:DNC720861 DNB786351:DNC786357 DNB786360:DNC786373 DNB786375:DNB786376 DNB786377:DNC786377 DNB786379:DNC786382 DNB786384:DNC786386 DNB786388:DNC786397 DNB851887:DNC851893 DNB851896:DNC851909 DNB851911:DNB851912 DNB851913:DNC851913 DNB851915:DNC851918 DNB851920:DNC851922 DNB851924:DNC851933 DNB917423:DNC917429 DNB917432:DNC917445 DNB917447:DNB917448 DNB917449:DNC917449 DNB917451:DNC917454 DNB917456:DNC917458 DNB917460:DNC917469 DNB982959:DNC982965 DNB982968:DNC982981 DNB982983:DNB982984 DNB982985:DNC982985 DNB982987:DNC982990 DNB982992:DNC982994 DNB982996:DNC983005 DNC65479 DNC131015 DNC196551 DNC262087 DNC327623 DNC393159 DNC458695 DNC524231 DNC589767 DNC655303 DNC720839 DNC786375 DNC851911 DNC917447 DNC982983 DWX5:DWY5 DWX7:DWY8 DWX9 DWX65455:DWY65461 DWX65464:DWY65477 DWX65479:DWX65480 DWX65481:DWY65481 DWX65483:DWY65486 DWX65488:DWY65490 DWX65492:DWY65501 DWX130991:DWY130997 DWX131000:DWY131013 DWX131015:DWX131016 DWX131017:DWY131017 DWX131019:DWY131022 DWX131024:DWY131026 DWX131028:DWY131037 DWX196527:DWY196533 DWX196536:DWY196549 DWX196551:DWX196552 DWX196553:DWY196553 DWX196555:DWY196558 DWX196560:DWY196562 DWX196564:DWY196573 DWX262063:DWY262069 DWX262072:DWY262085 DWX262087:DWX262088 DWX262089:DWY262089 DWX262091:DWY262094 DWX262096:DWY262098 DWX262100:DWY262109 DWX327599:DWY327605 DWX327608:DWY327621 DWX327623:DWX327624 DWX327625:DWY327625 DWX327627:DWY327630 DWX327632:DWY327634 DWX327636:DWY327645 DWX393135:DWY393141 DWX393144:DWY393157 DWX393159:DWX393160 DWX393161:DWY393161 DWX393163:DWY393166 DWX393168:DWY393170 DWX393172:DWY393181 DWX458671:DWY458677 DWX458680:DWY458693 DWX458695:DWX458696 DWX458697:DWY458697 DWX458699:DWY458702 DWX458704:DWY458706 DWX458708:DWY458717 DWX524207:DWY524213 DWX524216:DWY524229 DWX524231:DWX524232 DWX524233:DWY524233 DWX524235:DWY524238 DWX524240:DWY524242 DWX524244:DWY524253 DWX589743:DWY589749 DWX589752:DWY589765 DWX589767:DWX589768 DWX589769:DWY589769 DWX589771:DWY589774 DWX589776:DWY589778 DWX589780:DWY589789 DWX655279:DWY655285 DWX655288:DWY655301 DWX655303:DWX655304 DWX655305:DWY655305 DWX655307:DWY655310 DWX655312:DWY655314 DWX655316:DWY655325 DWX720815:DWY720821 DWX720824:DWY720837 DWX720839:DWX720840 DWX720841:DWY720841 DWX720843:DWY720846 DWX720848:DWY720850 DWX720852:DWY720861 DWX786351:DWY786357 DWX786360:DWY786373 DWX786375:DWX786376 DWX786377:DWY786377 DWX786379:DWY786382 DWX786384:DWY786386 DWX786388:DWY786397 DWX851887:DWY851893 DWX851896:DWY851909 DWX851911:DWX851912 DWX851913:DWY851913 DWX851915:DWY851918 DWX851920:DWY851922 DWX851924:DWY851933 DWX917423:DWY917429 DWX917432:DWY917445 DWX917447:DWX917448 DWX917449:DWY917449 DWX917451:DWY917454 DWX917456:DWY917458 DWX917460:DWY917469 DWX982959:DWY982965 DWX982968:DWY982981 DWX982983:DWX982984 DWX982985:DWY982985 DWX982987:DWY982990 DWX982992:DWY982994 DWX982996:DWY983005 DWY65479 DWY131015 DWY196551 DWY262087 DWY327623 DWY393159 DWY458695 DWY524231 DWY589767 DWY655303 DWY720839 DWY786375 DWY851911 DWY917447 DWY982983 EGT5:EGU5 EGT7:EGU8 EGT9 EGT65455:EGU65461 EGT65464:EGU65477 EGT65479:EGT65480 EGT65481:EGU65481 EGT65483:EGU65486 EGT65488:EGU65490 EGT65492:EGU65501 EGT130991:EGU130997 EGT131000:EGU131013 EGT131015:EGT131016 EGT131017:EGU131017 EGT131019:EGU131022 EGT131024:EGU131026 EGT131028:EGU131037 EGT196527:EGU196533 EGT196536:EGU196549 EGT196551:EGT196552 EGT196553:EGU196553 EGT196555:EGU196558 EGT196560:EGU196562 EGT196564:EGU196573 EGT262063:EGU262069 EGT262072:EGU262085 EGT262087:EGT262088 EGT262089:EGU262089 EGT262091:EGU262094 EGT262096:EGU262098 EGT262100:EGU262109 EGT327599:EGU327605 EGT327608:EGU327621 EGT327623:EGT327624 EGT327625:EGU327625 EGT327627:EGU327630 EGT327632:EGU327634 EGT327636:EGU327645 EGT393135:EGU393141 EGT393144:EGU393157 EGT393159:EGT393160 EGT393161:EGU393161 EGT393163:EGU393166 EGT393168:EGU393170 EGT393172:EGU393181 EGT458671:EGU458677 EGT458680:EGU458693 EGT458695:EGT458696 EGT458697:EGU458697 EGT458699:EGU458702 EGT458704:EGU458706 EGT458708:EGU458717 EGT524207:EGU524213 EGT524216:EGU524229 EGT524231:EGT524232 EGT524233:EGU524233 EGT524235:EGU524238 EGT524240:EGU524242 EGT524244:EGU524253 EGT589743:EGU589749 EGT589752:EGU589765 EGT589767:EGT589768 EGT589769:EGU589769 EGT589771:EGU589774 EGT589776:EGU589778 EGT589780:EGU589789 EGT655279:EGU655285 EGT655288:EGU655301 EGT655303:EGT655304 EGT655305:EGU655305 EGT655307:EGU655310 EGT655312:EGU655314 EGT655316:EGU655325 EGT720815:EGU720821 EGT720824:EGU720837 EGT720839:EGT720840 EGT720841:EGU720841 EGT720843:EGU720846 EGT720848:EGU720850 EGT720852:EGU720861 EGT786351:EGU786357 EGT786360:EGU786373 EGT786375:EGT786376 EGT786377:EGU786377 EGT786379:EGU786382 EGT786384:EGU786386 EGT786388:EGU786397 EGT851887:EGU851893 EGT851896:EGU851909 EGT851911:EGT851912 EGT851913:EGU851913 EGT851915:EGU851918 EGT851920:EGU851922 EGT851924:EGU851933 EGT917423:EGU917429 EGT917432:EGU917445 EGT917447:EGT917448 EGT917449:EGU917449 EGT917451:EGU917454 EGT917456:EGU917458 EGT917460:EGU917469 EGT982959:EGU982965 EGT982968:EGU982981 EGT982983:EGT982984 EGT982985:EGU982985 EGT982987:EGU982990 EGT982992:EGU982994 EGT982996:EGU983005 EGU65479 EGU131015 EGU196551 EGU262087 EGU327623 EGU393159 EGU458695 EGU524231 EGU589767 EGU655303 EGU720839 EGU786375 EGU851911 EGU917447 EGU982983 EQP5:EQQ5 EQP7:EQQ8 EQP9 EQP65455:EQQ65461 EQP65464:EQQ65477 EQP65479:EQP65480 EQP65481:EQQ65481 EQP65483:EQQ65486 EQP65488:EQQ65490 EQP65492:EQQ65501 EQP130991:EQQ130997 EQP131000:EQQ131013 EQP131015:EQP131016 EQP131017:EQQ131017 EQP131019:EQQ131022 EQP131024:EQQ131026 EQP131028:EQQ131037 EQP196527:EQQ196533 EQP196536:EQQ196549 EQP196551:EQP196552 EQP196553:EQQ196553 EQP196555:EQQ196558 EQP196560:EQQ196562 EQP196564:EQQ196573 EQP262063:EQQ262069 EQP262072:EQQ262085 EQP262087:EQP262088 EQP262089:EQQ262089 EQP262091:EQQ262094 EQP262096:EQQ262098 EQP262100:EQQ262109 EQP327599:EQQ327605 EQP327608:EQQ327621 EQP327623:EQP327624 EQP327625:EQQ327625 EQP327627:EQQ327630 EQP327632:EQQ327634 EQP327636:EQQ327645 EQP393135:EQQ393141 EQP393144:EQQ393157 EQP393159:EQP393160 EQP393161:EQQ393161 EQP393163:EQQ393166 EQP393168:EQQ393170 EQP393172:EQQ393181 EQP458671:EQQ458677 EQP458680:EQQ458693 EQP458695:EQP458696 EQP458697:EQQ458697 EQP458699:EQQ458702 EQP458704:EQQ458706 EQP458708:EQQ458717 EQP524207:EQQ524213 EQP524216:EQQ524229 EQP524231:EQP524232 EQP524233:EQQ524233 EQP524235:EQQ524238 EQP524240:EQQ524242 EQP524244:EQQ524253 EQP589743:EQQ589749 EQP589752:EQQ589765 EQP589767:EQP589768 EQP589769:EQQ589769 EQP589771:EQQ589774 EQP589776:EQQ589778 EQP589780:EQQ589789 EQP655279:EQQ655285 EQP655288:EQQ655301 EQP655303:EQP655304 EQP655305:EQQ655305 EQP655307:EQQ655310 EQP655312:EQQ655314 EQP655316:EQQ655325 EQP720815:EQQ720821 EQP720824:EQQ720837 EQP720839:EQP720840 EQP720841:EQQ720841 EQP720843:EQQ720846 EQP720848:EQQ720850 EQP720852:EQQ720861 EQP786351:EQQ786357 EQP786360:EQQ786373 EQP786375:EQP786376 EQP786377:EQQ786377 EQP786379:EQQ786382 EQP786384:EQQ786386 EQP786388:EQQ786397 EQP851887:EQQ851893 EQP851896:EQQ851909 EQP851911:EQP851912 EQP851913:EQQ851913 EQP851915:EQQ851918 EQP851920:EQQ851922 EQP851924:EQQ851933 EQP917423:EQQ917429 EQP917432:EQQ917445 EQP917447:EQP917448 EQP917449:EQQ917449 EQP917451:EQQ917454 EQP917456:EQQ917458 EQP917460:EQQ917469 EQP982959:EQQ982965 EQP982968:EQQ982981 EQP982983:EQP982984 EQP982985:EQQ982985 EQP982987:EQQ982990 EQP982992:EQQ982994 EQP982996:EQQ983005 EQQ65479 EQQ131015 EQQ196551 EQQ262087 EQQ327623 EQQ393159 EQQ458695 EQQ524231 EQQ589767 EQQ655303 EQQ720839 EQQ786375 EQQ851911 EQQ917447 EQQ982983 FAL5:FAM5 FAL7:FAM8 FAL9 FAL65455:FAM65461 FAL65464:FAM65477 FAL65479:FAL65480 FAL65481:FAM65481 FAL65483:FAM65486 FAL65488:FAM65490 FAL65492:FAM65501 FAL130991:FAM130997 FAL131000:FAM131013 FAL131015:FAL131016 FAL131017:FAM131017 FAL131019:FAM131022 FAL131024:FAM131026 FAL131028:FAM131037 FAL196527:FAM196533 FAL196536:FAM196549 FAL196551:FAL196552 FAL196553:FAM196553 FAL196555:FAM196558 FAL196560:FAM196562 FAL196564:FAM196573 FAL262063:FAM262069 FAL262072:FAM262085 FAL262087:FAL262088 FAL262089:FAM262089 FAL262091:FAM262094 FAL262096:FAM262098 FAL262100:FAM262109 FAL327599:FAM327605 FAL327608:FAM327621 FAL327623:FAL327624 FAL327625:FAM327625 FAL327627:FAM327630 FAL327632:FAM327634 FAL327636:FAM327645 FAL393135:FAM393141 FAL393144:FAM393157 FAL393159:FAL393160 FAL393161:FAM393161 FAL393163:FAM393166 FAL393168:FAM393170 FAL393172:FAM393181 FAL458671:FAM458677 FAL458680:FAM458693 FAL458695:FAL458696 FAL458697:FAM458697 FAL458699:FAM458702 FAL458704:FAM458706 FAL458708:FAM458717 FAL524207:FAM524213 FAL524216:FAM524229 FAL524231:FAL524232 FAL524233:FAM524233 FAL524235:FAM524238 FAL524240:FAM524242 FAL524244:FAM524253 FAL589743:FAM589749 FAL589752:FAM589765 FAL589767:FAL589768 FAL589769:FAM589769 FAL589771:FAM589774 FAL589776:FAM589778 FAL589780:FAM589789 FAL655279:FAM655285 FAL655288:FAM655301 FAL655303:FAL655304 FAL655305:FAM655305 FAL655307:FAM655310 FAL655312:FAM655314 FAL655316:FAM655325 FAL720815:FAM720821 FAL720824:FAM720837 FAL720839:FAL720840 FAL720841:FAM720841 FAL720843:FAM720846 FAL720848:FAM720850 FAL720852:FAM720861 FAL786351:FAM786357 FAL786360:FAM786373 FAL786375:FAL786376 FAL786377:FAM786377 FAL786379:FAM786382 FAL786384:FAM786386 FAL786388:FAM786397 FAL851887:FAM851893 FAL851896:FAM851909 FAL851911:FAL851912 FAL851913:FAM851913 FAL851915:FAM851918 FAL851920:FAM851922 FAL851924:FAM851933 FAL917423:FAM917429 FAL917432:FAM917445 FAL917447:FAL917448 FAL917449:FAM917449 FAL917451:FAM917454 FAL917456:FAM917458 FAL917460:FAM917469 FAL982959:FAM982965 FAL982968:FAM982981 FAL982983:FAL982984 FAL982985:FAM982985 FAL982987:FAM982990 FAL982992:FAM982994 FAL982996:FAM983005 FAM65479 FAM131015 FAM196551 FAM262087 FAM327623 FAM393159 FAM458695 FAM524231 FAM589767 FAM655303 FAM720839 FAM786375 FAM851911 FAM917447 FAM982983 FKH5:FKI5 FKH7:FKI8 FKH9 FKH65455:FKI65461 FKH65464:FKI65477 FKH65479:FKH65480 FKH65481:FKI65481 FKH65483:FKI65486 FKH65488:FKI65490 FKH65492:FKI65501 FKH130991:FKI130997 FKH131000:FKI131013 FKH131015:FKH131016 FKH131017:FKI131017 FKH131019:FKI131022 FKH131024:FKI131026 FKH131028:FKI131037 FKH196527:FKI196533 FKH196536:FKI196549 FKH196551:FKH196552 FKH196553:FKI196553 FKH196555:FKI196558 FKH196560:FKI196562 FKH196564:FKI196573 FKH262063:FKI262069 FKH262072:FKI262085 FKH262087:FKH262088 FKH262089:FKI262089 FKH262091:FKI262094 FKH262096:FKI262098 FKH262100:FKI262109 FKH327599:FKI327605 FKH327608:FKI327621 FKH327623:FKH327624 FKH327625:FKI327625 FKH327627:FKI327630 FKH327632:FKI327634 FKH327636:FKI327645 FKH393135:FKI393141 FKH393144:FKI393157 FKH393159:FKH393160 FKH393161:FKI393161 FKH393163:FKI393166 FKH393168:FKI393170 FKH393172:FKI393181 FKH458671:FKI458677 FKH458680:FKI458693 FKH458695:FKH458696 FKH458697:FKI458697 FKH458699:FKI458702 FKH458704:FKI458706 FKH458708:FKI458717 FKH524207:FKI524213 FKH524216:FKI524229 FKH524231:FKH524232 FKH524233:FKI524233 FKH524235:FKI524238 FKH524240:FKI524242 FKH524244:FKI524253 FKH589743:FKI589749 FKH589752:FKI589765 FKH589767:FKH589768 FKH589769:FKI589769 FKH589771:FKI589774 FKH589776:FKI589778 FKH589780:FKI589789 FKH655279:FKI655285 FKH655288:FKI655301 FKH655303:FKH655304 FKH655305:FKI655305 FKH655307:FKI655310 FKH655312:FKI655314 FKH655316:FKI655325 FKH720815:FKI720821 FKH720824:FKI720837 FKH720839:FKH720840 FKH720841:FKI720841 FKH720843:FKI720846 FKH720848:FKI720850 FKH720852:FKI720861 FKH786351:FKI786357 FKH786360:FKI786373 FKH786375:FKH786376 FKH786377:FKI786377 FKH786379:FKI786382 FKH786384:FKI786386 FKH786388:FKI786397 FKH851887:FKI851893 FKH851896:FKI851909 FKH851911:FKH851912 FKH851913:FKI851913 FKH851915:FKI851918 FKH851920:FKI851922 FKH851924:FKI851933 FKH917423:FKI917429 FKH917432:FKI917445 FKH917447:FKH917448 FKH917449:FKI917449 FKH917451:FKI917454 FKH917456:FKI917458 FKH917460:FKI917469 FKH982959:FKI982965 FKH982968:FKI982981 FKH982983:FKH982984 FKH982985:FKI982985 FKH982987:FKI982990 FKH982992:FKI982994 FKH982996:FKI983005 FKI65479 FKI131015 FKI196551 FKI262087 FKI327623 FKI393159 FKI458695 FKI524231 FKI589767 FKI655303 FKI720839 FKI786375 FKI851911 FKI917447 FKI982983 FUD5:FUE5 FUD7:FUE8 FUD9 FUD65455:FUE65461 FUD65464:FUE65477 FUD65479:FUD65480 FUD65481:FUE65481 FUD65483:FUE65486 FUD65488:FUE65490 FUD65492:FUE65501 FUD130991:FUE130997 FUD131000:FUE131013 FUD131015:FUD131016 FUD131017:FUE131017 FUD131019:FUE131022 FUD131024:FUE131026 FUD131028:FUE131037 FUD196527:FUE196533 FUD196536:FUE196549 FUD196551:FUD196552 FUD196553:FUE196553 FUD196555:FUE196558 FUD196560:FUE196562 FUD196564:FUE196573 FUD262063:FUE262069 FUD262072:FUE262085 FUD262087:FUD262088 FUD262089:FUE262089 FUD262091:FUE262094 FUD262096:FUE262098 FUD262100:FUE262109 FUD327599:FUE327605 FUD327608:FUE327621 FUD327623:FUD327624 FUD327625:FUE327625 FUD327627:FUE327630 FUD327632:FUE327634 FUD327636:FUE327645 FUD393135:FUE393141 FUD393144:FUE393157 FUD393159:FUD393160 FUD393161:FUE393161 FUD393163:FUE393166 FUD393168:FUE393170 FUD393172:FUE393181 FUD458671:FUE458677 FUD458680:FUE458693 FUD458695:FUD458696 FUD458697:FUE458697 FUD458699:FUE458702 FUD458704:FUE458706 FUD458708:FUE458717 FUD524207:FUE524213 FUD524216:FUE524229 FUD524231:FUD524232 FUD524233:FUE524233 FUD524235:FUE524238 FUD524240:FUE524242 FUD524244:FUE524253 FUD589743:FUE589749 FUD589752:FUE589765 FUD589767:FUD589768 FUD589769:FUE589769 FUD589771:FUE589774 FUD589776:FUE589778 FUD589780:FUE589789 FUD655279:FUE655285 FUD655288:FUE655301 FUD655303:FUD655304 FUD655305:FUE655305 FUD655307:FUE655310 FUD655312:FUE655314 FUD655316:FUE655325 FUD720815:FUE720821 FUD720824:FUE720837 FUD720839:FUD720840 FUD720841:FUE720841 FUD720843:FUE720846 FUD720848:FUE720850 FUD720852:FUE720861 FUD786351:FUE786357 FUD786360:FUE786373 FUD786375:FUD786376 FUD786377:FUE786377 FUD786379:FUE786382 FUD786384:FUE786386 FUD786388:FUE786397 FUD851887:FUE851893 FUD851896:FUE851909 FUD851911:FUD851912 FUD851913:FUE851913 FUD851915:FUE851918 FUD851920:FUE851922 FUD851924:FUE851933 FUD917423:FUE917429 FUD917432:FUE917445 FUD917447:FUD917448 FUD917449:FUE917449 FUD917451:FUE917454 FUD917456:FUE917458 FUD917460:FUE917469 FUD982959:FUE982965 FUD982968:FUE982981 FUD982983:FUD982984 FUD982985:FUE982985 FUD982987:FUE982990 FUD982992:FUE982994 FUD982996:FUE983005 FUE65479 FUE131015 FUE196551 FUE262087 FUE327623 FUE393159 FUE458695 FUE524231 FUE589767 FUE655303 FUE720839 FUE786375 FUE851911 FUE917447 FUE982983 GDZ5:GEA5 GDZ7:GEA8 GDZ9 GDZ65455:GEA65461 GDZ65464:GEA65477 GDZ65479:GDZ65480 GDZ65481:GEA65481 GDZ65483:GEA65486 GDZ65488:GEA65490 GDZ65492:GEA65501 GDZ130991:GEA130997 GDZ131000:GEA131013 GDZ131015:GDZ131016 GDZ131017:GEA131017 GDZ131019:GEA131022 GDZ131024:GEA131026 GDZ131028:GEA131037 GDZ196527:GEA196533 GDZ196536:GEA196549 GDZ196551:GDZ196552 GDZ196553:GEA196553 GDZ196555:GEA196558 GDZ196560:GEA196562 GDZ196564:GEA196573 GDZ262063:GEA262069 GDZ262072:GEA262085 GDZ262087:GDZ262088 GDZ262089:GEA262089 GDZ262091:GEA262094 GDZ262096:GEA262098 GDZ262100:GEA262109 GDZ327599:GEA327605 GDZ327608:GEA327621 GDZ327623:GDZ327624 GDZ327625:GEA327625 GDZ327627:GEA327630 GDZ327632:GEA327634 GDZ327636:GEA327645 GDZ393135:GEA393141 GDZ393144:GEA393157 GDZ393159:GDZ393160 GDZ393161:GEA393161 GDZ393163:GEA393166 GDZ393168:GEA393170 GDZ393172:GEA393181 GDZ458671:GEA458677 GDZ458680:GEA458693 GDZ458695:GDZ458696 GDZ458697:GEA458697 GDZ458699:GEA458702 GDZ458704:GEA458706 GDZ458708:GEA458717 GDZ524207:GEA524213 GDZ524216:GEA524229 GDZ524231:GDZ524232 GDZ524233:GEA524233 GDZ524235:GEA524238 GDZ524240:GEA524242 GDZ524244:GEA524253 GDZ589743:GEA589749 GDZ589752:GEA589765 GDZ589767:GDZ589768 GDZ589769:GEA589769 GDZ589771:GEA589774 GDZ589776:GEA589778 GDZ589780:GEA589789 GDZ655279:GEA655285 GDZ655288:GEA655301 GDZ655303:GDZ655304 GDZ655305:GEA655305 GDZ655307:GEA655310 GDZ655312:GEA655314 GDZ655316:GEA655325 GDZ720815:GEA720821 GDZ720824:GEA720837 GDZ720839:GDZ720840 GDZ720841:GEA720841 GDZ720843:GEA720846 GDZ720848:GEA720850 GDZ720852:GEA720861 GDZ786351:GEA786357 GDZ786360:GEA786373 GDZ786375:GDZ786376 GDZ786377:GEA786377 GDZ786379:GEA786382 GDZ786384:GEA786386 GDZ786388:GEA786397 GDZ851887:GEA851893 GDZ851896:GEA851909 GDZ851911:GDZ851912 GDZ851913:GEA851913 GDZ851915:GEA851918 GDZ851920:GEA851922 GDZ851924:GEA851933 GDZ917423:GEA917429 GDZ917432:GEA917445 GDZ917447:GDZ917448 GDZ917449:GEA917449 GDZ917451:GEA917454 GDZ917456:GEA917458 GDZ917460:GEA917469 GDZ982959:GEA982965 GDZ982968:GEA982981 GDZ982983:GDZ982984 GDZ982985:GEA982985 GDZ982987:GEA982990 GDZ982992:GEA982994 GDZ982996:GEA983005 GEA65479 GEA131015 GEA196551 GEA262087 GEA327623 GEA393159 GEA458695 GEA524231 GEA589767 GEA655303 GEA720839 GEA786375 GEA851911 GEA917447 GEA982983 GNV5:GNW5 GNV7:GNW8 GNV9 GNV65455:GNW65461 GNV65464:GNW65477 GNV65479:GNV65480 GNV65481:GNW65481 GNV65483:GNW65486 GNV65488:GNW65490 GNV65492:GNW65501 GNV130991:GNW130997 GNV131000:GNW131013 GNV131015:GNV131016 GNV131017:GNW131017 GNV131019:GNW131022 GNV131024:GNW131026 GNV131028:GNW131037 GNV196527:GNW196533 GNV196536:GNW196549 GNV196551:GNV196552 GNV196553:GNW196553 GNV196555:GNW196558 GNV196560:GNW196562 GNV196564:GNW196573 GNV262063:GNW262069 GNV262072:GNW262085 GNV262087:GNV262088 GNV262089:GNW262089 GNV262091:GNW262094 GNV262096:GNW262098 GNV262100:GNW262109 GNV327599:GNW327605 GNV327608:GNW327621 GNV327623:GNV327624 GNV327625:GNW327625 GNV327627:GNW327630 GNV327632:GNW327634 GNV327636:GNW327645 GNV393135:GNW393141 GNV393144:GNW393157 GNV393159:GNV393160 GNV393161:GNW393161 GNV393163:GNW393166 GNV393168:GNW393170 GNV393172:GNW393181 GNV458671:GNW458677 GNV458680:GNW458693 GNV458695:GNV458696 GNV458697:GNW458697 GNV458699:GNW458702 GNV458704:GNW458706 GNV458708:GNW458717 GNV524207:GNW524213 GNV524216:GNW524229 GNV524231:GNV524232 GNV524233:GNW524233 GNV524235:GNW524238 GNV524240:GNW524242 GNV524244:GNW524253 GNV589743:GNW589749 GNV589752:GNW589765 GNV589767:GNV589768 GNV589769:GNW589769 GNV589771:GNW589774 GNV589776:GNW589778 GNV589780:GNW589789 GNV655279:GNW655285 GNV655288:GNW655301 GNV655303:GNV655304 GNV655305:GNW655305 GNV655307:GNW655310 GNV655312:GNW655314 GNV655316:GNW655325 GNV720815:GNW720821 GNV720824:GNW720837 GNV720839:GNV720840 GNV720841:GNW720841 GNV720843:GNW720846 GNV720848:GNW720850 GNV720852:GNW720861 GNV786351:GNW786357 GNV786360:GNW786373 GNV786375:GNV786376 GNV786377:GNW786377 GNV786379:GNW786382 GNV786384:GNW786386 GNV786388:GNW786397 GNV851887:GNW851893 GNV851896:GNW851909 GNV851911:GNV851912 GNV851913:GNW851913 GNV851915:GNW851918 GNV851920:GNW851922 GNV851924:GNW851933 GNV917423:GNW917429 GNV917432:GNW917445 GNV917447:GNV917448 GNV917449:GNW917449 GNV917451:GNW917454 GNV917456:GNW917458 GNV917460:GNW917469 GNV982959:GNW982965 GNV982968:GNW982981 GNV982983:GNV982984 GNV982985:GNW982985 GNV982987:GNW982990 GNV982992:GNW982994 GNV982996:GNW983005 GNW65479 GNW131015 GNW196551 GNW262087 GNW327623 GNW393159 GNW458695 GNW524231 GNW589767 GNW655303 GNW720839 GNW786375 GNW851911 GNW917447 GNW982983 GXR5:GXS5 GXR7:GXS8 GXR9 GXR65455:GXS65461 GXR65464:GXS65477 GXR65479:GXR65480 GXR65481:GXS65481 GXR65483:GXS65486 GXR65488:GXS65490 GXR65492:GXS65501 GXR130991:GXS130997 GXR131000:GXS131013 GXR131015:GXR131016 GXR131017:GXS131017 GXR131019:GXS131022 GXR131024:GXS131026 GXR131028:GXS131037 GXR196527:GXS196533 GXR196536:GXS196549 GXR196551:GXR196552 GXR196553:GXS196553 GXR196555:GXS196558 GXR196560:GXS196562 GXR196564:GXS196573 GXR262063:GXS262069 GXR262072:GXS262085 GXR262087:GXR262088 GXR262089:GXS262089 GXR262091:GXS262094 GXR262096:GXS262098 GXR262100:GXS262109 GXR327599:GXS327605 GXR327608:GXS327621 GXR327623:GXR327624 GXR327625:GXS327625 GXR327627:GXS327630 GXR327632:GXS327634 GXR327636:GXS327645 GXR393135:GXS393141 GXR393144:GXS393157 GXR393159:GXR393160 GXR393161:GXS393161 GXR393163:GXS393166 GXR393168:GXS393170 GXR393172:GXS393181 GXR458671:GXS458677 GXR458680:GXS458693 GXR458695:GXR458696 GXR458697:GXS458697 GXR458699:GXS458702 GXR458704:GXS458706 GXR458708:GXS458717 GXR524207:GXS524213 GXR524216:GXS524229 GXR524231:GXR524232 GXR524233:GXS524233 GXR524235:GXS524238 GXR524240:GXS524242 GXR524244:GXS524253 GXR589743:GXS589749 GXR589752:GXS589765 GXR589767:GXR589768 GXR589769:GXS589769 GXR589771:GXS589774 GXR589776:GXS589778 GXR589780:GXS589789 GXR655279:GXS655285 GXR655288:GXS655301 GXR655303:GXR655304 GXR655305:GXS655305 GXR655307:GXS655310 GXR655312:GXS655314 GXR655316:GXS655325 GXR720815:GXS720821 GXR720824:GXS720837 GXR720839:GXR720840 GXR720841:GXS720841 GXR720843:GXS720846 GXR720848:GXS720850 GXR720852:GXS720861 GXR786351:GXS786357 GXR786360:GXS786373 GXR786375:GXR786376 GXR786377:GXS786377 GXR786379:GXS786382 GXR786384:GXS786386 GXR786388:GXS786397 GXR851887:GXS851893 GXR851896:GXS851909 GXR851911:GXR851912 GXR851913:GXS851913 GXR851915:GXS851918 GXR851920:GXS851922 GXR851924:GXS851933 GXR917423:GXS917429 GXR917432:GXS917445 GXR917447:GXR917448 GXR917449:GXS917449 GXR917451:GXS917454 GXR917456:GXS917458 GXR917460:GXS917469 GXR982959:GXS982965 GXR982968:GXS982981 GXR982983:GXR982984 GXR982985:GXS982985 GXR982987:GXS982990 GXR982992:GXS982994 GXR982996:GXS983005 GXS65479 GXS131015 GXS196551 GXS262087 GXS327623 GXS393159 GXS458695 GXS524231 GXS589767 GXS655303 GXS720839 GXS786375 GXS851911 GXS917447 GXS982983 HHN5:HHO5 HHN7:HHO8 HHN9 HHN65455:HHO65461 HHN65464:HHO65477 HHN65479:HHN65480 HHN65481:HHO65481 HHN65483:HHO65486 HHN65488:HHO65490 HHN65492:HHO65501 HHN130991:HHO130997 HHN131000:HHO131013 HHN131015:HHN131016 HHN131017:HHO131017 HHN131019:HHO131022 HHN131024:HHO131026 HHN131028:HHO131037 HHN196527:HHO196533 HHN196536:HHO196549 HHN196551:HHN196552 HHN196553:HHO196553 HHN196555:HHO196558 HHN196560:HHO196562 HHN196564:HHO196573 HHN262063:HHO262069 HHN262072:HHO262085 HHN262087:HHN262088 HHN262089:HHO262089 HHN262091:HHO262094 HHN262096:HHO262098 HHN262100:HHO262109 HHN327599:HHO327605 HHN327608:HHO327621 HHN327623:HHN327624 HHN327625:HHO327625 HHN327627:HHO327630 HHN327632:HHO327634 HHN327636:HHO327645 HHN393135:HHO393141 HHN393144:HHO393157 HHN393159:HHN393160 HHN393161:HHO393161 HHN393163:HHO393166 HHN393168:HHO393170 HHN393172:HHO393181 HHN458671:HHO458677 HHN458680:HHO458693 HHN458695:HHN458696 HHN458697:HHO458697 HHN458699:HHO458702 HHN458704:HHO458706 HHN458708:HHO458717 HHN524207:HHO524213 HHN524216:HHO524229 HHN524231:HHN524232 HHN524233:HHO524233 HHN524235:HHO524238 HHN524240:HHO524242 HHN524244:HHO524253 HHN589743:HHO589749 HHN589752:HHO589765 HHN589767:HHN589768 HHN589769:HHO589769 HHN589771:HHO589774 HHN589776:HHO589778 HHN589780:HHO589789 HHN655279:HHO655285 HHN655288:HHO655301 HHN655303:HHN655304 HHN655305:HHO655305 HHN655307:HHO655310 HHN655312:HHO655314 HHN655316:HHO655325 HHN720815:HHO720821 HHN720824:HHO720837 HHN720839:HHN720840 HHN720841:HHO720841 HHN720843:HHO720846 HHN720848:HHO720850 HHN720852:HHO720861 HHN786351:HHO786357 HHN786360:HHO786373 HHN786375:HHN786376 HHN786377:HHO786377 HHN786379:HHO786382 HHN786384:HHO786386 HHN786388:HHO786397 HHN851887:HHO851893 HHN851896:HHO851909 HHN851911:HHN851912 HHN851913:HHO851913 HHN851915:HHO851918 HHN851920:HHO851922 HHN851924:HHO851933 HHN917423:HHO917429 HHN917432:HHO917445 HHN917447:HHN917448 HHN917449:HHO917449 HHN917451:HHO917454 HHN917456:HHO917458 HHN917460:HHO917469 HHN982959:HHO982965 HHN982968:HHO982981 HHN982983:HHN982984 HHN982985:HHO982985 HHN982987:HHO982990 HHN982992:HHO982994 HHN982996:HHO983005 HHO65479 HHO131015 HHO196551 HHO262087 HHO327623 HHO393159 HHO458695 HHO524231 HHO589767 HHO655303 HHO720839 HHO786375 HHO851911 HHO917447 HHO982983 HRJ5:HRK5 HRJ7:HRK8 HRJ9 HRJ65455:HRK65461 HRJ65464:HRK65477 HRJ65479:HRJ65480 HRJ65481:HRK65481 HRJ65483:HRK65486 HRJ65488:HRK65490 HRJ65492:HRK65501 HRJ130991:HRK130997 HRJ131000:HRK131013 HRJ131015:HRJ131016 HRJ131017:HRK131017 HRJ131019:HRK131022 HRJ131024:HRK131026 HRJ131028:HRK131037 HRJ196527:HRK196533 HRJ196536:HRK196549 HRJ196551:HRJ196552 HRJ196553:HRK196553 HRJ196555:HRK196558 HRJ196560:HRK196562 HRJ196564:HRK196573 HRJ262063:HRK262069 HRJ262072:HRK262085 HRJ262087:HRJ262088 HRJ262089:HRK262089 HRJ262091:HRK262094 HRJ262096:HRK262098 HRJ262100:HRK262109 HRJ327599:HRK327605 HRJ327608:HRK327621 HRJ327623:HRJ327624 HRJ327625:HRK327625 HRJ327627:HRK327630 HRJ327632:HRK327634 HRJ327636:HRK327645 HRJ393135:HRK393141 HRJ393144:HRK393157 HRJ393159:HRJ393160 HRJ393161:HRK393161 HRJ393163:HRK393166 HRJ393168:HRK393170 HRJ393172:HRK393181 HRJ458671:HRK458677 HRJ458680:HRK458693 HRJ458695:HRJ458696 HRJ458697:HRK458697 HRJ458699:HRK458702 HRJ458704:HRK458706 HRJ458708:HRK458717 HRJ524207:HRK524213 HRJ524216:HRK524229 HRJ524231:HRJ524232 HRJ524233:HRK524233 HRJ524235:HRK524238 HRJ524240:HRK524242 HRJ524244:HRK524253 HRJ589743:HRK589749 HRJ589752:HRK589765 HRJ589767:HRJ589768 HRJ589769:HRK589769 HRJ589771:HRK589774 HRJ589776:HRK589778 HRJ589780:HRK589789 HRJ655279:HRK655285 HRJ655288:HRK655301 HRJ655303:HRJ655304 HRJ655305:HRK655305 HRJ655307:HRK655310 HRJ655312:HRK655314 HRJ655316:HRK655325 HRJ720815:HRK720821 HRJ720824:HRK720837 HRJ720839:HRJ720840 HRJ720841:HRK720841 HRJ720843:HRK720846 HRJ720848:HRK720850 HRJ720852:HRK720861 HRJ786351:HRK786357 HRJ786360:HRK786373 HRJ786375:HRJ786376 HRJ786377:HRK786377 HRJ786379:HRK786382 HRJ786384:HRK786386 HRJ786388:HRK786397 HRJ851887:HRK851893 HRJ851896:HRK851909 HRJ851911:HRJ851912 HRJ851913:HRK851913 HRJ851915:HRK851918 HRJ851920:HRK851922 HRJ851924:HRK851933 HRJ917423:HRK917429 HRJ917432:HRK917445 HRJ917447:HRJ917448 HRJ917449:HRK917449 HRJ917451:HRK917454 HRJ917456:HRK917458 HRJ917460:HRK917469 HRJ982959:HRK982965 HRJ982968:HRK982981 HRJ982983:HRJ982984 HRJ982985:HRK982985 HRJ982987:HRK982990 HRJ982992:HRK982994 HRJ982996:HRK983005 HRK65479 HRK131015 HRK196551 HRK262087 HRK327623 HRK393159 HRK458695 HRK524231 HRK589767 HRK655303 HRK720839 HRK786375 HRK851911 HRK917447 HRK982983 IBF5:IBG5 IBF7:IBG8 IBF9 IBF65455:IBG65461 IBF65464:IBG65477 IBF65479:IBF65480 IBF65481:IBG65481 IBF65483:IBG65486 IBF65488:IBG65490 IBF65492:IBG65501 IBF130991:IBG130997 IBF131000:IBG131013 IBF131015:IBF131016 IBF131017:IBG131017 IBF131019:IBG131022 IBF131024:IBG131026 IBF131028:IBG131037 IBF196527:IBG196533 IBF196536:IBG196549 IBF196551:IBF196552 IBF196553:IBG196553 IBF196555:IBG196558 IBF196560:IBG196562 IBF196564:IBG196573 IBF262063:IBG262069 IBF262072:IBG262085 IBF262087:IBF262088 IBF262089:IBG262089 IBF262091:IBG262094 IBF262096:IBG262098 IBF262100:IBG262109 IBF327599:IBG327605 IBF327608:IBG327621 IBF327623:IBF327624 IBF327625:IBG327625 IBF327627:IBG327630 IBF327632:IBG327634 IBF327636:IBG327645 IBF393135:IBG393141 IBF393144:IBG393157 IBF393159:IBF393160 IBF393161:IBG393161 IBF393163:IBG393166 IBF393168:IBG393170 IBF393172:IBG393181 IBF458671:IBG458677 IBF458680:IBG458693 IBF458695:IBF458696 IBF458697:IBG458697 IBF458699:IBG458702 IBF458704:IBG458706 IBF458708:IBG458717 IBF524207:IBG524213 IBF524216:IBG524229 IBF524231:IBF524232 IBF524233:IBG524233 IBF524235:IBG524238 IBF524240:IBG524242 IBF524244:IBG524253 IBF589743:IBG589749 IBF589752:IBG589765 IBF589767:IBF589768 IBF589769:IBG589769 IBF589771:IBG589774 IBF589776:IBG589778 IBF589780:IBG589789 IBF655279:IBG655285 IBF655288:IBG655301 IBF655303:IBF655304 IBF655305:IBG655305 IBF655307:IBG655310 IBF655312:IBG655314 IBF655316:IBG655325 IBF720815:IBG720821 IBF720824:IBG720837 IBF720839:IBF720840 IBF720841:IBG720841 IBF720843:IBG720846 IBF720848:IBG720850 IBF720852:IBG720861 IBF786351:IBG786357 IBF786360:IBG786373 IBF786375:IBF786376 IBF786377:IBG786377 IBF786379:IBG786382 IBF786384:IBG786386 IBF786388:IBG786397 IBF851887:IBG851893 IBF851896:IBG851909 IBF851911:IBF851912 IBF851913:IBG851913 IBF851915:IBG851918 IBF851920:IBG851922 IBF851924:IBG851933 IBF917423:IBG917429 IBF917432:IBG917445 IBF917447:IBF917448 IBF917449:IBG917449 IBF917451:IBG917454 IBF917456:IBG917458 IBF917460:IBG917469 IBF982959:IBG982965 IBF982968:IBG982981 IBF982983:IBF982984 IBF982985:IBG982985 IBF982987:IBG982990 IBF982992:IBG982994 IBF982996:IBG983005 IBG65479 IBG131015 IBG196551 IBG262087 IBG327623 IBG393159 IBG458695 IBG524231 IBG589767 IBG655303 IBG720839 IBG786375 IBG851911 IBG917447 IBG982983 ILB5:ILC5 ILB7:ILC8 ILB9 ILB65455:ILC65461 ILB65464:ILC65477 ILB65479:ILB65480 ILB65481:ILC65481 ILB65483:ILC65486 ILB65488:ILC65490 ILB65492:ILC65501 ILB130991:ILC130997 ILB131000:ILC131013 ILB131015:ILB131016 ILB131017:ILC131017 ILB131019:ILC131022 ILB131024:ILC131026 ILB131028:ILC131037 ILB196527:ILC196533 ILB196536:ILC196549 ILB196551:ILB196552 ILB196553:ILC196553 ILB196555:ILC196558 ILB196560:ILC196562 ILB196564:ILC196573 ILB262063:ILC262069 ILB262072:ILC262085 ILB262087:ILB262088 ILB262089:ILC262089 ILB262091:ILC262094 ILB262096:ILC262098 ILB262100:ILC262109 ILB327599:ILC327605 ILB327608:ILC327621 ILB327623:ILB327624 ILB327625:ILC327625 ILB327627:ILC327630 ILB327632:ILC327634 ILB327636:ILC327645 ILB393135:ILC393141 ILB393144:ILC393157 ILB393159:ILB393160 ILB393161:ILC393161 ILB393163:ILC393166 ILB393168:ILC393170 ILB393172:ILC393181 ILB458671:ILC458677 ILB458680:ILC458693 ILB458695:ILB458696 ILB458697:ILC458697 ILB458699:ILC458702 ILB458704:ILC458706 ILB458708:ILC458717 ILB524207:ILC524213 ILB524216:ILC524229 ILB524231:ILB524232 ILB524233:ILC524233 ILB524235:ILC524238 ILB524240:ILC524242 ILB524244:ILC524253 ILB589743:ILC589749 ILB589752:ILC589765 ILB589767:ILB589768 ILB589769:ILC589769 ILB589771:ILC589774 ILB589776:ILC589778 ILB589780:ILC589789 ILB655279:ILC655285 ILB655288:ILC655301 ILB655303:ILB655304 ILB655305:ILC655305 ILB655307:ILC655310 ILB655312:ILC655314 ILB655316:ILC655325 ILB720815:ILC720821 ILB720824:ILC720837 ILB720839:ILB720840 ILB720841:ILC720841 ILB720843:ILC720846 ILB720848:ILC720850 ILB720852:ILC720861 ILB786351:ILC786357 ILB786360:ILC786373 ILB786375:ILB786376 ILB786377:ILC786377 ILB786379:ILC786382 ILB786384:ILC786386 ILB786388:ILC786397 ILB851887:ILC851893 ILB851896:ILC851909 ILB851911:ILB851912 ILB851913:ILC851913 ILB851915:ILC851918 ILB851920:ILC851922 ILB851924:ILC851933 ILB917423:ILC917429 ILB917432:ILC917445 ILB917447:ILB917448 ILB917449:ILC917449 ILB917451:ILC917454 ILB917456:ILC917458 ILB917460:ILC917469 ILB982959:ILC982965 ILB982968:ILC982981 ILB982983:ILB982984 ILB982985:ILC982985 ILB982987:ILC982990 ILB982992:ILC982994 ILB982996:ILC983005 ILC65479 ILC131015 ILC196551 ILC262087 ILC327623 ILC393159 ILC458695 ILC524231 ILC589767 ILC655303 ILC720839 ILC786375 ILC851911 ILC917447 ILC982983 IUX5:IUY5 IUX7:IUY8 IUX9 IUX65455:IUY65461 IUX65464:IUY65477 IUX65479:IUX65480 IUX65481:IUY65481 IUX65483:IUY65486 IUX65488:IUY65490 IUX65492:IUY65501 IUX130991:IUY130997 IUX131000:IUY131013 IUX131015:IUX131016 IUX131017:IUY131017 IUX131019:IUY131022 IUX131024:IUY131026 IUX131028:IUY131037 IUX196527:IUY196533 IUX196536:IUY196549 IUX196551:IUX196552 IUX196553:IUY196553 IUX196555:IUY196558 IUX196560:IUY196562 IUX196564:IUY196573 IUX262063:IUY262069 IUX262072:IUY262085 IUX262087:IUX262088 IUX262089:IUY262089 IUX262091:IUY262094 IUX262096:IUY262098 IUX262100:IUY262109 IUX327599:IUY327605 IUX327608:IUY327621 IUX327623:IUX327624 IUX327625:IUY327625 IUX327627:IUY327630 IUX327632:IUY327634 IUX327636:IUY327645 IUX393135:IUY393141 IUX393144:IUY393157 IUX393159:IUX393160 IUX393161:IUY393161 IUX393163:IUY393166 IUX393168:IUY393170 IUX393172:IUY393181 IUX458671:IUY458677 IUX458680:IUY458693 IUX458695:IUX458696 IUX458697:IUY458697 IUX458699:IUY458702 IUX458704:IUY458706 IUX458708:IUY458717 IUX524207:IUY524213 IUX524216:IUY524229 IUX524231:IUX524232 IUX524233:IUY524233 IUX524235:IUY524238 IUX524240:IUY524242 IUX524244:IUY524253 IUX589743:IUY589749 IUX589752:IUY589765 IUX589767:IUX589768 IUX589769:IUY589769 IUX589771:IUY589774 IUX589776:IUY589778 IUX589780:IUY589789 IUX655279:IUY655285 IUX655288:IUY655301 IUX655303:IUX655304 IUX655305:IUY655305 IUX655307:IUY655310 IUX655312:IUY655314 IUX655316:IUY655325 IUX720815:IUY720821 IUX720824:IUY720837 IUX720839:IUX720840 IUX720841:IUY720841 IUX720843:IUY720846 IUX720848:IUY720850 IUX720852:IUY720861 IUX786351:IUY786357 IUX786360:IUY786373 IUX786375:IUX786376 IUX786377:IUY786377 IUX786379:IUY786382 IUX786384:IUY786386 IUX786388:IUY786397 IUX851887:IUY851893 IUX851896:IUY851909 IUX851911:IUX851912 IUX851913:IUY851913 IUX851915:IUY851918 IUX851920:IUY851922 IUX851924:IUY851933 IUX917423:IUY917429 IUX917432:IUY917445 IUX917447:IUX917448 IUX917449:IUY917449 IUX917451:IUY917454 IUX917456:IUY917458 IUX917460:IUY917469 IUX982959:IUY982965 IUX982968:IUY982981 IUX982983:IUX982984 IUX982985:IUY982985 IUX982987:IUY982990 IUX982992:IUY982994 IUX982996:IUY983005 IUY65479 IUY131015 IUY196551 IUY262087 IUY327623 IUY393159 IUY458695 IUY524231 IUY589767 IUY655303 IUY720839 IUY786375 IUY851911 IUY917447 IUY982983 JET5:JEU5 JET7:JEU8 JET9 JET65455:JEU65461 JET65464:JEU65477 JET65479:JET65480 JET65481:JEU65481 JET65483:JEU65486 JET65488:JEU65490 JET65492:JEU65501 JET130991:JEU130997 JET131000:JEU131013 JET131015:JET131016 JET131017:JEU131017 JET131019:JEU131022 JET131024:JEU131026 JET131028:JEU131037 JET196527:JEU196533 JET196536:JEU196549 JET196551:JET196552 JET196553:JEU196553 JET196555:JEU196558 JET196560:JEU196562 JET196564:JEU196573 JET262063:JEU262069 JET262072:JEU262085 JET262087:JET262088 JET262089:JEU262089 JET262091:JEU262094 JET262096:JEU262098 JET262100:JEU262109 JET327599:JEU327605 JET327608:JEU327621 JET327623:JET327624 JET327625:JEU327625 JET327627:JEU327630 JET327632:JEU327634 JET327636:JEU327645 JET393135:JEU393141 JET393144:JEU393157 JET393159:JET393160 JET393161:JEU393161 JET393163:JEU393166 JET393168:JEU393170 JET393172:JEU393181 JET458671:JEU458677 JET458680:JEU458693 JET458695:JET458696 JET458697:JEU458697 JET458699:JEU458702 JET458704:JEU458706 JET458708:JEU458717 JET524207:JEU524213 JET524216:JEU524229 JET524231:JET524232 JET524233:JEU524233 JET524235:JEU524238 JET524240:JEU524242 JET524244:JEU524253 JET589743:JEU589749 JET589752:JEU589765 JET589767:JET589768 JET589769:JEU589769 JET589771:JEU589774 JET589776:JEU589778 JET589780:JEU589789 JET655279:JEU655285 JET655288:JEU655301 JET655303:JET655304 JET655305:JEU655305 JET655307:JEU655310 JET655312:JEU655314 JET655316:JEU655325 JET720815:JEU720821 JET720824:JEU720837 JET720839:JET720840 JET720841:JEU720841 JET720843:JEU720846 JET720848:JEU720850 JET720852:JEU720861 JET786351:JEU786357 JET786360:JEU786373 JET786375:JET786376 JET786377:JEU786377 JET786379:JEU786382 JET786384:JEU786386 JET786388:JEU786397 JET851887:JEU851893 JET851896:JEU851909 JET851911:JET851912 JET851913:JEU851913 JET851915:JEU851918 JET851920:JEU851922 JET851924:JEU851933 JET917423:JEU917429 JET917432:JEU917445 JET917447:JET917448 JET917449:JEU917449 JET917451:JEU917454 JET917456:JEU917458 JET917460:JEU917469 JET982959:JEU982965 JET982968:JEU982981 JET982983:JET982984 JET982985:JEU982985 JET982987:JEU982990 JET982992:JEU982994 JET982996:JEU983005 JEU65479 JEU131015 JEU196551 JEU262087 JEU327623 JEU393159 JEU458695 JEU524231 JEU589767 JEU655303 JEU720839 JEU786375 JEU851911 JEU917447 JEU982983 JOP5:JOQ5 JOP7:JOQ8 JOP9 JOP65455:JOQ65461 JOP65464:JOQ65477 JOP65479:JOP65480 JOP65481:JOQ65481 JOP65483:JOQ65486 JOP65488:JOQ65490 JOP65492:JOQ65501 JOP130991:JOQ130997 JOP131000:JOQ131013 JOP131015:JOP131016 JOP131017:JOQ131017 JOP131019:JOQ131022 JOP131024:JOQ131026 JOP131028:JOQ131037 JOP196527:JOQ196533 JOP196536:JOQ196549 JOP196551:JOP196552 JOP196553:JOQ196553 JOP196555:JOQ196558 JOP196560:JOQ196562 JOP196564:JOQ196573 JOP262063:JOQ262069 JOP262072:JOQ262085 JOP262087:JOP262088 JOP262089:JOQ262089 JOP262091:JOQ262094 JOP262096:JOQ262098 JOP262100:JOQ262109 JOP327599:JOQ327605 JOP327608:JOQ327621 JOP327623:JOP327624 JOP327625:JOQ327625 JOP327627:JOQ327630 JOP327632:JOQ327634 JOP327636:JOQ327645 JOP393135:JOQ393141 JOP393144:JOQ393157 JOP393159:JOP393160 JOP393161:JOQ393161 JOP393163:JOQ393166 JOP393168:JOQ393170 JOP393172:JOQ393181 JOP458671:JOQ458677 JOP458680:JOQ458693 JOP458695:JOP458696 JOP458697:JOQ458697 JOP458699:JOQ458702 JOP458704:JOQ458706 JOP458708:JOQ458717 JOP524207:JOQ524213 JOP524216:JOQ524229 JOP524231:JOP524232 JOP524233:JOQ524233 JOP524235:JOQ524238 JOP524240:JOQ524242 JOP524244:JOQ524253 JOP589743:JOQ589749 JOP589752:JOQ589765 JOP589767:JOP589768 JOP589769:JOQ589769 JOP589771:JOQ589774 JOP589776:JOQ589778 JOP589780:JOQ589789 JOP655279:JOQ655285 JOP655288:JOQ655301 JOP655303:JOP655304 JOP655305:JOQ655305 JOP655307:JOQ655310 JOP655312:JOQ655314 JOP655316:JOQ655325 JOP720815:JOQ720821 JOP720824:JOQ720837 JOP720839:JOP720840 JOP720841:JOQ720841 JOP720843:JOQ720846 JOP720848:JOQ720850 JOP720852:JOQ720861 JOP786351:JOQ786357 JOP786360:JOQ786373 JOP786375:JOP786376 JOP786377:JOQ786377 JOP786379:JOQ786382 JOP786384:JOQ786386 JOP786388:JOQ786397 JOP851887:JOQ851893 JOP851896:JOQ851909 JOP851911:JOP851912 JOP851913:JOQ851913 JOP851915:JOQ851918 JOP851920:JOQ851922 JOP851924:JOQ851933 JOP917423:JOQ917429 JOP917432:JOQ917445 JOP917447:JOP917448 JOP917449:JOQ917449 JOP917451:JOQ917454 JOP917456:JOQ917458 JOP917460:JOQ917469 JOP982959:JOQ982965 JOP982968:JOQ982981 JOP982983:JOP982984 JOP982985:JOQ982985 JOP982987:JOQ982990 JOP982992:JOQ982994 JOP982996:JOQ983005 JOQ65479 JOQ131015 JOQ196551 JOQ262087 JOQ327623 JOQ393159 JOQ458695 JOQ524231 JOQ589767 JOQ655303 JOQ720839 JOQ786375 JOQ851911 JOQ917447 JOQ982983 JYL5:JYM5 JYL7:JYM8 JYL9 JYL65455:JYM65461 JYL65464:JYM65477 JYL65479:JYL65480 JYL65481:JYM65481 JYL65483:JYM65486 JYL65488:JYM65490 JYL65492:JYM65501 JYL130991:JYM130997 JYL131000:JYM131013 JYL131015:JYL131016 JYL131017:JYM131017 JYL131019:JYM131022 JYL131024:JYM131026 JYL131028:JYM131037 JYL196527:JYM196533 JYL196536:JYM196549 JYL196551:JYL196552 JYL196553:JYM196553 JYL196555:JYM196558 JYL196560:JYM196562 JYL196564:JYM196573 JYL262063:JYM262069 JYL262072:JYM262085 JYL262087:JYL262088 JYL262089:JYM262089 JYL262091:JYM262094 JYL262096:JYM262098 JYL262100:JYM262109 JYL327599:JYM327605 JYL327608:JYM327621 JYL327623:JYL327624 JYL327625:JYM327625 JYL327627:JYM327630 JYL327632:JYM327634 JYL327636:JYM327645 JYL393135:JYM393141 JYL393144:JYM393157 JYL393159:JYL393160 JYL393161:JYM393161 JYL393163:JYM393166 JYL393168:JYM393170 JYL393172:JYM393181 JYL458671:JYM458677 JYL458680:JYM458693 JYL458695:JYL458696 JYL458697:JYM458697 JYL458699:JYM458702 JYL458704:JYM458706 JYL458708:JYM458717 JYL524207:JYM524213 JYL524216:JYM524229 JYL524231:JYL524232 JYL524233:JYM524233 JYL524235:JYM524238 JYL524240:JYM524242 JYL524244:JYM524253 JYL589743:JYM589749 JYL589752:JYM589765 JYL589767:JYL589768 JYL589769:JYM589769 JYL589771:JYM589774 JYL589776:JYM589778 JYL589780:JYM589789 JYL655279:JYM655285 JYL655288:JYM655301 JYL655303:JYL655304 JYL655305:JYM655305 JYL655307:JYM655310 JYL655312:JYM655314 JYL655316:JYM655325 JYL720815:JYM720821 JYL720824:JYM720837 JYL720839:JYL720840 JYL720841:JYM720841 JYL720843:JYM720846 JYL720848:JYM720850 JYL720852:JYM720861 JYL786351:JYM786357 JYL786360:JYM786373 JYL786375:JYL786376 JYL786377:JYM786377 JYL786379:JYM786382 JYL786384:JYM786386 JYL786388:JYM786397 JYL851887:JYM851893 JYL851896:JYM851909 JYL851911:JYL851912 JYL851913:JYM851913 JYL851915:JYM851918 JYL851920:JYM851922 JYL851924:JYM851933 JYL917423:JYM917429 JYL917432:JYM917445 JYL917447:JYL917448 JYL917449:JYM917449 JYL917451:JYM917454 JYL917456:JYM917458 JYL917460:JYM917469 JYL982959:JYM982965 JYL982968:JYM982981 JYL982983:JYL982984 JYL982985:JYM982985 JYL982987:JYM982990 JYL982992:JYM982994 JYL982996:JYM983005 JYM65479 JYM131015 JYM196551 JYM262087 JYM327623 JYM393159 JYM458695 JYM524231 JYM589767 JYM655303 JYM720839 JYM786375 JYM851911 JYM917447 JYM982983 KIH5:KII5 KIH7:KII8 KIH9 KIH65455:KII65461 KIH65464:KII65477 KIH65479:KIH65480 KIH65481:KII65481 KIH65483:KII65486 KIH65488:KII65490 KIH65492:KII65501 KIH130991:KII130997 KIH131000:KII131013 KIH131015:KIH131016 KIH131017:KII131017 KIH131019:KII131022 KIH131024:KII131026 KIH131028:KII131037 KIH196527:KII196533 KIH196536:KII196549 KIH196551:KIH196552 KIH196553:KII196553 KIH196555:KII196558 KIH196560:KII196562 KIH196564:KII196573 KIH262063:KII262069 KIH262072:KII262085 KIH262087:KIH262088 KIH262089:KII262089 KIH262091:KII262094 KIH262096:KII262098 KIH262100:KII262109 KIH327599:KII327605 KIH327608:KII327621 KIH327623:KIH327624 KIH327625:KII327625 KIH327627:KII327630 KIH327632:KII327634 KIH327636:KII327645 KIH393135:KII393141 KIH393144:KII393157 KIH393159:KIH393160 KIH393161:KII393161 KIH393163:KII393166 KIH393168:KII393170 KIH393172:KII393181 KIH458671:KII458677 KIH458680:KII458693 KIH458695:KIH458696 KIH458697:KII458697 KIH458699:KII458702 KIH458704:KII458706 KIH458708:KII458717 KIH524207:KII524213 KIH524216:KII524229 KIH524231:KIH524232 KIH524233:KII524233 KIH524235:KII524238 KIH524240:KII524242 KIH524244:KII524253 KIH589743:KII589749 KIH589752:KII589765 KIH589767:KIH589768 KIH589769:KII589769 KIH589771:KII589774 KIH589776:KII589778 KIH589780:KII589789 KIH655279:KII655285 KIH655288:KII655301 KIH655303:KIH655304 KIH655305:KII655305 KIH655307:KII655310 KIH655312:KII655314 KIH655316:KII655325 KIH720815:KII720821 KIH720824:KII720837 KIH720839:KIH720840 KIH720841:KII720841 KIH720843:KII720846 KIH720848:KII720850 KIH720852:KII720861 KIH786351:KII786357 KIH786360:KII786373 KIH786375:KIH786376 KIH786377:KII786377 KIH786379:KII786382 KIH786384:KII786386 KIH786388:KII786397 KIH851887:KII851893 KIH851896:KII851909 KIH851911:KIH851912 KIH851913:KII851913 KIH851915:KII851918 KIH851920:KII851922 KIH851924:KII851933 KIH917423:KII917429 KIH917432:KII917445 KIH917447:KIH917448 KIH917449:KII917449 KIH917451:KII917454 KIH917456:KII917458 KIH917460:KII917469 KIH982959:KII982965 KIH982968:KII982981 KIH982983:KIH982984 KIH982985:KII982985 KIH982987:KII982990 KIH982992:KII982994 KIH982996:KII983005 KII65479 KII131015 KII196551 KII262087 KII327623 KII393159 KII458695 KII524231 KII589767 KII655303 KII720839 KII786375 KII851911 KII917447 KII982983 KSD5:KSE5 KSD7:KSE8 KSD9 KSD65455:KSE65461 KSD65464:KSE65477 KSD65479:KSD65480 KSD65481:KSE65481 KSD65483:KSE65486 KSD65488:KSE65490 KSD65492:KSE65501 KSD130991:KSE130997 KSD131000:KSE131013 KSD131015:KSD131016 KSD131017:KSE131017 KSD131019:KSE131022 KSD131024:KSE131026 KSD131028:KSE131037 KSD196527:KSE196533 KSD196536:KSE196549 KSD196551:KSD196552 KSD196553:KSE196553 KSD196555:KSE196558 KSD196560:KSE196562 KSD196564:KSE196573 KSD262063:KSE262069 KSD262072:KSE262085 KSD262087:KSD262088 KSD262089:KSE262089 KSD262091:KSE262094 KSD262096:KSE262098 KSD262100:KSE262109 KSD327599:KSE327605 KSD327608:KSE327621 KSD327623:KSD327624 KSD327625:KSE327625 KSD327627:KSE327630 KSD327632:KSE327634 KSD327636:KSE327645 KSD393135:KSE393141 KSD393144:KSE393157 KSD393159:KSD393160 KSD393161:KSE393161 KSD393163:KSE393166 KSD393168:KSE393170 KSD393172:KSE393181 KSD458671:KSE458677 KSD458680:KSE458693 KSD458695:KSD458696 KSD458697:KSE458697 KSD458699:KSE458702 KSD458704:KSE458706 KSD458708:KSE458717 KSD524207:KSE524213 KSD524216:KSE524229 KSD524231:KSD524232 KSD524233:KSE524233 KSD524235:KSE524238 KSD524240:KSE524242 KSD524244:KSE524253 KSD589743:KSE589749 KSD589752:KSE589765 KSD589767:KSD589768 KSD589769:KSE589769 KSD589771:KSE589774 KSD589776:KSE589778 KSD589780:KSE589789 KSD655279:KSE655285 KSD655288:KSE655301 KSD655303:KSD655304 KSD655305:KSE655305 KSD655307:KSE655310 KSD655312:KSE655314 KSD655316:KSE655325 KSD720815:KSE720821 KSD720824:KSE720837 KSD720839:KSD720840 KSD720841:KSE720841 KSD720843:KSE720846 KSD720848:KSE720850 KSD720852:KSE720861 KSD786351:KSE786357 KSD786360:KSE786373 KSD786375:KSD786376 KSD786377:KSE786377 KSD786379:KSE786382 KSD786384:KSE786386 KSD786388:KSE786397 KSD851887:KSE851893 KSD851896:KSE851909 KSD851911:KSD851912 KSD851913:KSE851913 KSD851915:KSE851918 KSD851920:KSE851922 KSD851924:KSE851933 KSD917423:KSE917429 KSD917432:KSE917445 KSD917447:KSD917448 KSD917449:KSE917449 KSD917451:KSE917454 KSD917456:KSE917458 KSD917460:KSE917469 KSD982959:KSE982965 KSD982968:KSE982981 KSD982983:KSD982984 KSD982985:KSE982985 KSD982987:KSE982990 KSD982992:KSE982994 KSD982996:KSE983005 KSE65479 KSE131015 KSE196551 KSE262087 KSE327623 KSE393159 KSE458695 KSE524231 KSE589767 KSE655303 KSE720839 KSE786375 KSE851911 KSE917447 KSE982983 LBZ5:LCA5 LBZ7:LCA8 LBZ9 LBZ65455:LCA65461 LBZ65464:LCA65477 LBZ65479:LBZ65480 LBZ65481:LCA65481 LBZ65483:LCA65486 LBZ65488:LCA65490 LBZ65492:LCA65501 LBZ130991:LCA130997 LBZ131000:LCA131013 LBZ131015:LBZ131016 LBZ131017:LCA131017 LBZ131019:LCA131022 LBZ131024:LCA131026 LBZ131028:LCA131037 LBZ196527:LCA196533 LBZ196536:LCA196549 LBZ196551:LBZ196552 LBZ196553:LCA196553 LBZ196555:LCA196558 LBZ196560:LCA196562 LBZ196564:LCA196573 LBZ262063:LCA262069 LBZ262072:LCA262085 LBZ262087:LBZ262088 LBZ262089:LCA262089 LBZ262091:LCA262094 LBZ262096:LCA262098 LBZ262100:LCA262109 LBZ327599:LCA327605 LBZ327608:LCA327621 LBZ327623:LBZ327624 LBZ327625:LCA327625 LBZ327627:LCA327630 LBZ327632:LCA327634 LBZ327636:LCA327645 LBZ393135:LCA393141 LBZ393144:LCA393157 LBZ393159:LBZ393160 LBZ393161:LCA393161 LBZ393163:LCA393166 LBZ393168:LCA393170 LBZ393172:LCA393181 LBZ458671:LCA458677 LBZ458680:LCA458693 LBZ458695:LBZ458696 LBZ458697:LCA458697 LBZ458699:LCA458702 LBZ458704:LCA458706 LBZ458708:LCA458717 LBZ524207:LCA524213 LBZ524216:LCA524229 LBZ524231:LBZ524232 LBZ524233:LCA524233 LBZ524235:LCA524238 LBZ524240:LCA524242 LBZ524244:LCA524253 LBZ589743:LCA589749 LBZ589752:LCA589765 LBZ589767:LBZ589768 LBZ589769:LCA589769 LBZ589771:LCA589774 LBZ589776:LCA589778 LBZ589780:LCA589789 LBZ655279:LCA655285 LBZ655288:LCA655301 LBZ655303:LBZ655304 LBZ655305:LCA655305 LBZ655307:LCA655310 LBZ655312:LCA655314 LBZ655316:LCA655325 LBZ720815:LCA720821 LBZ720824:LCA720837 LBZ720839:LBZ720840 LBZ720841:LCA720841 LBZ720843:LCA720846 LBZ720848:LCA720850 LBZ720852:LCA720861 LBZ786351:LCA786357 LBZ786360:LCA786373 LBZ786375:LBZ786376 LBZ786377:LCA786377 LBZ786379:LCA786382 LBZ786384:LCA786386 LBZ786388:LCA786397 LBZ851887:LCA851893 LBZ851896:LCA851909 LBZ851911:LBZ851912 LBZ851913:LCA851913 LBZ851915:LCA851918 LBZ851920:LCA851922 LBZ851924:LCA851933 LBZ917423:LCA917429 LBZ917432:LCA917445 LBZ917447:LBZ917448 LBZ917449:LCA917449 LBZ917451:LCA917454 LBZ917456:LCA917458 LBZ917460:LCA917469 LBZ982959:LCA982965 LBZ982968:LCA982981 LBZ982983:LBZ982984 LBZ982985:LCA982985 LBZ982987:LCA982990 LBZ982992:LCA982994 LBZ982996:LCA983005 LCA65479 LCA131015 LCA196551 LCA262087 LCA327623 LCA393159 LCA458695 LCA524231 LCA589767 LCA655303 LCA720839 LCA786375 LCA851911 LCA917447 LCA982983 LLV5:LLW5 LLV7:LLW8 LLV9 LLV65455:LLW65461 LLV65464:LLW65477 LLV65479:LLV65480 LLV65481:LLW65481 LLV65483:LLW65486 LLV65488:LLW65490 LLV65492:LLW65501 LLV130991:LLW130997 LLV131000:LLW131013 LLV131015:LLV131016 LLV131017:LLW131017 LLV131019:LLW131022 LLV131024:LLW131026 LLV131028:LLW131037 LLV196527:LLW196533 LLV196536:LLW196549 LLV196551:LLV196552 LLV196553:LLW196553 LLV196555:LLW196558 LLV196560:LLW196562 LLV196564:LLW196573 LLV262063:LLW262069 LLV262072:LLW262085 LLV262087:LLV262088 LLV262089:LLW262089 LLV262091:LLW262094 LLV262096:LLW262098 LLV262100:LLW262109 LLV327599:LLW327605 LLV327608:LLW327621 LLV327623:LLV327624 LLV327625:LLW327625 LLV327627:LLW327630 LLV327632:LLW327634 LLV327636:LLW327645 LLV393135:LLW393141 LLV393144:LLW393157 LLV393159:LLV393160 LLV393161:LLW393161 LLV393163:LLW393166 LLV393168:LLW393170 LLV393172:LLW393181 LLV458671:LLW458677 LLV458680:LLW458693 LLV458695:LLV458696 LLV458697:LLW458697 LLV458699:LLW458702 LLV458704:LLW458706 LLV458708:LLW458717 LLV524207:LLW524213 LLV524216:LLW524229 LLV524231:LLV524232 LLV524233:LLW524233 LLV524235:LLW524238 LLV524240:LLW524242 LLV524244:LLW524253 LLV589743:LLW589749 LLV589752:LLW589765 LLV589767:LLV589768 LLV589769:LLW589769 LLV589771:LLW589774 LLV589776:LLW589778 LLV589780:LLW589789 LLV655279:LLW655285 LLV655288:LLW655301 LLV655303:LLV655304 LLV655305:LLW655305 LLV655307:LLW655310 LLV655312:LLW655314 LLV655316:LLW655325 LLV720815:LLW720821 LLV720824:LLW720837 LLV720839:LLV720840 LLV720841:LLW720841 LLV720843:LLW720846 LLV720848:LLW720850 LLV720852:LLW720861 LLV786351:LLW786357 LLV786360:LLW786373 LLV786375:LLV786376 LLV786377:LLW786377 LLV786379:LLW786382 LLV786384:LLW786386 LLV786388:LLW786397 LLV851887:LLW851893 LLV851896:LLW851909 LLV851911:LLV851912 LLV851913:LLW851913 LLV851915:LLW851918 LLV851920:LLW851922 LLV851924:LLW851933 LLV917423:LLW917429 LLV917432:LLW917445 LLV917447:LLV917448 LLV917449:LLW917449 LLV917451:LLW917454 LLV917456:LLW917458 LLV917460:LLW917469 LLV982959:LLW982965 LLV982968:LLW982981 LLV982983:LLV982984 LLV982985:LLW982985 LLV982987:LLW982990 LLV982992:LLW982994 LLV982996:LLW983005 LLW65479 LLW131015 LLW196551 LLW262087 LLW327623 LLW393159 LLW458695 LLW524231 LLW589767 LLW655303 LLW720839 LLW786375 LLW851911 LLW917447 LLW982983 LVR5:LVS5 LVR7:LVS8 LVR9 LVR65455:LVS65461 LVR65464:LVS65477 LVR65479:LVR65480 LVR65481:LVS65481 LVR65483:LVS65486 LVR65488:LVS65490 LVR65492:LVS65501 LVR130991:LVS130997 LVR131000:LVS131013 LVR131015:LVR131016 LVR131017:LVS131017 LVR131019:LVS131022 LVR131024:LVS131026 LVR131028:LVS131037 LVR196527:LVS196533 LVR196536:LVS196549 LVR196551:LVR196552 LVR196553:LVS196553 LVR196555:LVS196558 LVR196560:LVS196562 LVR196564:LVS196573 LVR262063:LVS262069 LVR262072:LVS262085 LVR262087:LVR262088 LVR262089:LVS262089 LVR262091:LVS262094 LVR262096:LVS262098 LVR262100:LVS262109 LVR327599:LVS327605 LVR327608:LVS327621 LVR327623:LVR327624 LVR327625:LVS327625 LVR327627:LVS327630 LVR327632:LVS327634 LVR327636:LVS327645 LVR393135:LVS393141 LVR393144:LVS393157 LVR393159:LVR393160 LVR393161:LVS393161 LVR393163:LVS393166 LVR393168:LVS393170 LVR393172:LVS393181 LVR458671:LVS458677 LVR458680:LVS458693 LVR458695:LVR458696 LVR458697:LVS458697 LVR458699:LVS458702 LVR458704:LVS458706 LVR458708:LVS458717 LVR524207:LVS524213 LVR524216:LVS524229 LVR524231:LVR524232 LVR524233:LVS524233 LVR524235:LVS524238 LVR524240:LVS524242 LVR524244:LVS524253 LVR589743:LVS589749 LVR589752:LVS589765 LVR589767:LVR589768 LVR589769:LVS589769 LVR589771:LVS589774 LVR589776:LVS589778 LVR589780:LVS589789 LVR655279:LVS655285 LVR655288:LVS655301 LVR655303:LVR655304 LVR655305:LVS655305 LVR655307:LVS655310 LVR655312:LVS655314 LVR655316:LVS655325 LVR720815:LVS720821 LVR720824:LVS720837 LVR720839:LVR720840 LVR720841:LVS720841 LVR720843:LVS720846 LVR720848:LVS720850 LVR720852:LVS720861 LVR786351:LVS786357 LVR786360:LVS786373 LVR786375:LVR786376 LVR786377:LVS786377 LVR786379:LVS786382 LVR786384:LVS786386 LVR786388:LVS786397 LVR851887:LVS851893 LVR851896:LVS851909 LVR851911:LVR851912 LVR851913:LVS851913 LVR851915:LVS851918 LVR851920:LVS851922 LVR851924:LVS851933 LVR917423:LVS917429 LVR917432:LVS917445 LVR917447:LVR917448 LVR917449:LVS917449 LVR917451:LVS917454 LVR917456:LVS917458 LVR917460:LVS917469 LVR982959:LVS982965 LVR982968:LVS982981 LVR982983:LVR982984 LVR982985:LVS982985 LVR982987:LVS982990 LVR982992:LVS982994 LVR982996:LVS983005 LVS65479 LVS131015 LVS196551 LVS262087 LVS327623 LVS393159 LVS458695 LVS524231 LVS589767 LVS655303 LVS720839 LVS786375 LVS851911 LVS917447 LVS982983 MFN5:MFO5 MFN7:MFO8 MFN9 MFN65455:MFO65461 MFN65464:MFO65477 MFN65479:MFN65480 MFN65481:MFO65481 MFN65483:MFO65486 MFN65488:MFO65490 MFN65492:MFO65501 MFN130991:MFO130997 MFN131000:MFO131013 MFN131015:MFN131016 MFN131017:MFO131017 MFN131019:MFO131022 MFN131024:MFO131026 MFN131028:MFO131037 MFN196527:MFO196533 MFN196536:MFO196549 MFN196551:MFN196552 MFN196553:MFO196553 MFN196555:MFO196558 MFN196560:MFO196562 MFN196564:MFO196573 MFN262063:MFO262069 MFN262072:MFO262085 MFN262087:MFN262088 MFN262089:MFO262089 MFN262091:MFO262094 MFN262096:MFO262098 MFN262100:MFO262109 MFN327599:MFO327605 MFN327608:MFO327621 MFN327623:MFN327624 MFN327625:MFO327625 MFN327627:MFO327630 MFN327632:MFO327634 MFN327636:MFO327645 MFN393135:MFO393141 MFN393144:MFO393157 MFN393159:MFN393160 MFN393161:MFO393161 MFN393163:MFO393166 MFN393168:MFO393170 MFN393172:MFO393181 MFN458671:MFO458677 MFN458680:MFO458693 MFN458695:MFN458696 MFN458697:MFO458697 MFN458699:MFO458702 MFN458704:MFO458706 MFN458708:MFO458717 MFN524207:MFO524213 MFN524216:MFO524229 MFN524231:MFN524232 MFN524233:MFO524233 MFN524235:MFO524238 MFN524240:MFO524242 MFN524244:MFO524253 MFN589743:MFO589749 MFN589752:MFO589765 MFN589767:MFN589768 MFN589769:MFO589769 MFN589771:MFO589774 MFN589776:MFO589778 MFN589780:MFO589789 MFN655279:MFO655285 MFN655288:MFO655301 MFN655303:MFN655304 MFN655305:MFO655305 MFN655307:MFO655310 MFN655312:MFO655314 MFN655316:MFO655325 MFN720815:MFO720821 MFN720824:MFO720837 MFN720839:MFN720840 MFN720841:MFO720841 MFN720843:MFO720846 MFN720848:MFO720850 MFN720852:MFO720861 MFN786351:MFO786357 MFN786360:MFO786373 MFN786375:MFN786376 MFN786377:MFO786377 MFN786379:MFO786382 MFN786384:MFO786386 MFN786388:MFO786397 MFN851887:MFO851893 MFN851896:MFO851909 MFN851911:MFN851912 MFN851913:MFO851913 MFN851915:MFO851918 MFN851920:MFO851922 MFN851924:MFO851933 MFN917423:MFO917429 MFN917432:MFO917445 MFN917447:MFN917448 MFN917449:MFO917449 MFN917451:MFO917454 MFN917456:MFO917458 MFN917460:MFO917469 MFN982959:MFO982965 MFN982968:MFO982981 MFN982983:MFN982984 MFN982985:MFO982985 MFN982987:MFO982990 MFN982992:MFO982994 MFN982996:MFO983005 MFO65479 MFO131015 MFO196551 MFO262087 MFO327623 MFO393159 MFO458695 MFO524231 MFO589767 MFO655303 MFO720839 MFO786375 MFO851911 MFO917447 MFO982983 MPJ5:MPK5 MPJ7:MPK8 MPJ9 MPJ65455:MPK65461 MPJ65464:MPK65477 MPJ65479:MPJ65480 MPJ65481:MPK65481 MPJ65483:MPK65486 MPJ65488:MPK65490 MPJ65492:MPK65501 MPJ130991:MPK130997 MPJ131000:MPK131013 MPJ131015:MPJ131016 MPJ131017:MPK131017 MPJ131019:MPK131022 MPJ131024:MPK131026 MPJ131028:MPK131037 MPJ196527:MPK196533 MPJ196536:MPK196549 MPJ196551:MPJ196552 MPJ196553:MPK196553 MPJ196555:MPK196558 MPJ196560:MPK196562 MPJ196564:MPK196573 MPJ262063:MPK262069 MPJ262072:MPK262085 MPJ262087:MPJ262088 MPJ262089:MPK262089 MPJ262091:MPK262094 MPJ262096:MPK262098 MPJ262100:MPK262109 MPJ327599:MPK327605 MPJ327608:MPK327621 MPJ327623:MPJ327624 MPJ327625:MPK327625 MPJ327627:MPK327630 MPJ327632:MPK327634 MPJ327636:MPK327645 MPJ393135:MPK393141 MPJ393144:MPK393157 MPJ393159:MPJ393160 MPJ393161:MPK393161 MPJ393163:MPK393166 MPJ393168:MPK393170 MPJ393172:MPK393181 MPJ458671:MPK458677 MPJ458680:MPK458693 MPJ458695:MPJ458696 MPJ458697:MPK458697 MPJ458699:MPK458702 MPJ458704:MPK458706 MPJ458708:MPK458717 MPJ524207:MPK524213 MPJ524216:MPK524229 MPJ524231:MPJ524232 MPJ524233:MPK524233 MPJ524235:MPK524238 MPJ524240:MPK524242 MPJ524244:MPK524253 MPJ589743:MPK589749 MPJ589752:MPK589765 MPJ589767:MPJ589768 MPJ589769:MPK589769 MPJ589771:MPK589774 MPJ589776:MPK589778 MPJ589780:MPK589789 MPJ655279:MPK655285 MPJ655288:MPK655301 MPJ655303:MPJ655304 MPJ655305:MPK655305 MPJ655307:MPK655310 MPJ655312:MPK655314 MPJ655316:MPK655325 MPJ720815:MPK720821 MPJ720824:MPK720837 MPJ720839:MPJ720840 MPJ720841:MPK720841 MPJ720843:MPK720846 MPJ720848:MPK720850 MPJ720852:MPK720861 MPJ786351:MPK786357 MPJ786360:MPK786373 MPJ786375:MPJ786376 MPJ786377:MPK786377 MPJ786379:MPK786382 MPJ786384:MPK786386 MPJ786388:MPK786397 MPJ851887:MPK851893 MPJ851896:MPK851909 MPJ851911:MPJ851912 MPJ851913:MPK851913 MPJ851915:MPK851918 MPJ851920:MPK851922 MPJ851924:MPK851933 MPJ917423:MPK917429 MPJ917432:MPK917445 MPJ917447:MPJ917448 MPJ917449:MPK917449 MPJ917451:MPK917454 MPJ917456:MPK917458 MPJ917460:MPK917469 MPJ982959:MPK982965 MPJ982968:MPK982981 MPJ982983:MPJ982984 MPJ982985:MPK982985 MPJ982987:MPK982990 MPJ982992:MPK982994 MPJ982996:MPK983005 MPK65479 MPK131015 MPK196551 MPK262087 MPK327623 MPK393159 MPK458695 MPK524231 MPK589767 MPK655303 MPK720839 MPK786375 MPK851911 MPK917447 MPK982983 MZF5:MZG5 MZF7:MZG8 MZF9 MZF65455:MZG65461 MZF65464:MZG65477 MZF65479:MZF65480 MZF65481:MZG65481 MZF65483:MZG65486 MZF65488:MZG65490 MZF65492:MZG65501 MZF130991:MZG130997 MZF131000:MZG131013 MZF131015:MZF131016 MZF131017:MZG131017 MZF131019:MZG131022 MZF131024:MZG131026 MZF131028:MZG131037 MZF196527:MZG196533 MZF196536:MZG196549 MZF196551:MZF196552 MZF196553:MZG196553 MZF196555:MZG196558 MZF196560:MZG196562 MZF196564:MZG196573 MZF262063:MZG262069 MZF262072:MZG262085 MZF262087:MZF262088 MZF262089:MZG262089 MZF262091:MZG262094 MZF262096:MZG262098 MZF262100:MZG262109 MZF327599:MZG327605 MZF327608:MZG327621 MZF327623:MZF327624 MZF327625:MZG327625 MZF327627:MZG327630 MZF327632:MZG327634 MZF327636:MZG327645 MZF393135:MZG393141 MZF393144:MZG393157 MZF393159:MZF393160 MZF393161:MZG393161 MZF393163:MZG393166 MZF393168:MZG393170 MZF393172:MZG393181 MZF458671:MZG458677 MZF458680:MZG458693 MZF458695:MZF458696 MZF458697:MZG458697 MZF458699:MZG458702 MZF458704:MZG458706 MZF458708:MZG458717 MZF524207:MZG524213 MZF524216:MZG524229 MZF524231:MZF524232 MZF524233:MZG524233 MZF524235:MZG524238 MZF524240:MZG524242 MZF524244:MZG524253 MZF589743:MZG589749 MZF589752:MZG589765 MZF589767:MZF589768 MZF589769:MZG589769 MZF589771:MZG589774 MZF589776:MZG589778 MZF589780:MZG589789 MZF655279:MZG655285 MZF655288:MZG655301 MZF655303:MZF655304 MZF655305:MZG655305 MZF655307:MZG655310 MZF655312:MZG655314 MZF655316:MZG655325 MZF720815:MZG720821 MZF720824:MZG720837 MZF720839:MZF720840 MZF720841:MZG720841 MZF720843:MZG720846 MZF720848:MZG720850 MZF720852:MZG720861 MZF786351:MZG786357 MZF786360:MZG786373 MZF786375:MZF786376 MZF786377:MZG786377 MZF786379:MZG786382 MZF786384:MZG786386 MZF786388:MZG786397 MZF851887:MZG851893 MZF851896:MZG851909 MZF851911:MZF851912 MZF851913:MZG851913 MZF851915:MZG851918 MZF851920:MZG851922 MZF851924:MZG851933 MZF917423:MZG917429 MZF917432:MZG917445 MZF917447:MZF917448 MZF917449:MZG917449 MZF917451:MZG917454 MZF917456:MZG917458 MZF917460:MZG917469 MZF982959:MZG982965 MZF982968:MZG982981 MZF982983:MZF982984 MZF982985:MZG982985 MZF982987:MZG982990 MZF982992:MZG982994 MZF982996:MZG983005 MZG65479 MZG131015 MZG196551 MZG262087 MZG327623 MZG393159 MZG458695 MZG524231 MZG589767 MZG655303 MZG720839 MZG786375 MZG851911 MZG917447 MZG982983 NJB5:NJC5 NJB7:NJC8 NJB9 NJB65455:NJC65461 NJB65464:NJC65477 NJB65479:NJB65480 NJB65481:NJC65481 NJB65483:NJC65486 NJB65488:NJC65490 NJB65492:NJC65501 NJB130991:NJC130997 NJB131000:NJC131013 NJB131015:NJB131016 NJB131017:NJC131017 NJB131019:NJC131022 NJB131024:NJC131026 NJB131028:NJC131037 NJB196527:NJC196533 NJB196536:NJC196549 NJB196551:NJB196552 NJB196553:NJC196553 NJB196555:NJC196558 NJB196560:NJC196562 NJB196564:NJC196573 NJB262063:NJC262069 NJB262072:NJC262085 NJB262087:NJB262088 NJB262089:NJC262089 NJB262091:NJC262094 NJB262096:NJC262098 NJB262100:NJC262109 NJB327599:NJC327605 NJB327608:NJC327621 NJB327623:NJB327624 NJB327625:NJC327625 NJB327627:NJC327630 NJB327632:NJC327634 NJB327636:NJC327645 NJB393135:NJC393141 NJB393144:NJC393157 NJB393159:NJB393160 NJB393161:NJC393161 NJB393163:NJC393166 NJB393168:NJC393170 NJB393172:NJC393181 NJB458671:NJC458677 NJB458680:NJC458693 NJB458695:NJB458696 NJB458697:NJC458697 NJB458699:NJC458702 NJB458704:NJC458706 NJB458708:NJC458717 NJB524207:NJC524213 NJB524216:NJC524229 NJB524231:NJB524232 NJB524233:NJC524233 NJB524235:NJC524238 NJB524240:NJC524242 NJB524244:NJC524253 NJB589743:NJC589749 NJB589752:NJC589765 NJB589767:NJB589768 NJB589769:NJC589769 NJB589771:NJC589774 NJB589776:NJC589778 NJB589780:NJC589789 NJB655279:NJC655285 NJB655288:NJC655301 NJB655303:NJB655304 NJB655305:NJC655305 NJB655307:NJC655310 NJB655312:NJC655314 NJB655316:NJC655325 NJB720815:NJC720821 NJB720824:NJC720837 NJB720839:NJB720840 NJB720841:NJC720841 NJB720843:NJC720846 NJB720848:NJC720850 NJB720852:NJC720861 NJB786351:NJC786357 NJB786360:NJC786373 NJB786375:NJB786376 NJB786377:NJC786377 NJB786379:NJC786382 NJB786384:NJC786386 NJB786388:NJC786397 NJB851887:NJC851893 NJB851896:NJC851909 NJB851911:NJB851912 NJB851913:NJC851913 NJB851915:NJC851918 NJB851920:NJC851922 NJB851924:NJC851933 NJB917423:NJC917429 NJB917432:NJC917445 NJB917447:NJB917448 NJB917449:NJC917449 NJB917451:NJC917454 NJB917456:NJC917458 NJB917460:NJC917469 NJB982959:NJC982965 NJB982968:NJC982981 NJB982983:NJB982984 NJB982985:NJC982985 NJB982987:NJC982990 NJB982992:NJC982994 NJB982996:NJC983005 NJC65479 NJC131015 NJC196551 NJC262087 NJC327623 NJC393159 NJC458695 NJC524231 NJC589767 NJC655303 NJC720839 NJC786375 NJC851911 NJC917447 NJC982983 NSX5:NSY5 NSX7:NSY8 NSX9 NSX65455:NSY65461 NSX65464:NSY65477 NSX65479:NSX65480 NSX65481:NSY65481 NSX65483:NSY65486 NSX65488:NSY65490 NSX65492:NSY65501 NSX130991:NSY130997 NSX131000:NSY131013 NSX131015:NSX131016 NSX131017:NSY131017 NSX131019:NSY131022 NSX131024:NSY131026 NSX131028:NSY131037 NSX196527:NSY196533 NSX196536:NSY196549 NSX196551:NSX196552 NSX196553:NSY196553 NSX196555:NSY196558 NSX196560:NSY196562 NSX196564:NSY196573 NSX262063:NSY262069 NSX262072:NSY262085 NSX262087:NSX262088 NSX262089:NSY262089 NSX262091:NSY262094 NSX262096:NSY262098 NSX262100:NSY262109 NSX327599:NSY327605 NSX327608:NSY327621 NSX327623:NSX327624 NSX327625:NSY327625 NSX327627:NSY327630 NSX327632:NSY327634 NSX327636:NSY327645 NSX393135:NSY393141 NSX393144:NSY393157 NSX393159:NSX393160 NSX393161:NSY393161 NSX393163:NSY393166 NSX393168:NSY393170 NSX393172:NSY393181 NSX458671:NSY458677 NSX458680:NSY458693 NSX458695:NSX458696 NSX458697:NSY458697 NSX458699:NSY458702 NSX458704:NSY458706 NSX458708:NSY458717 NSX524207:NSY524213 NSX524216:NSY524229 NSX524231:NSX524232 NSX524233:NSY524233 NSX524235:NSY524238 NSX524240:NSY524242 NSX524244:NSY524253 NSX589743:NSY589749 NSX589752:NSY589765 NSX589767:NSX589768 NSX589769:NSY589769 NSX589771:NSY589774 NSX589776:NSY589778 NSX589780:NSY589789 NSX655279:NSY655285 NSX655288:NSY655301 NSX655303:NSX655304 NSX655305:NSY655305 NSX655307:NSY655310 NSX655312:NSY655314 NSX655316:NSY655325 NSX720815:NSY720821 NSX720824:NSY720837 NSX720839:NSX720840 NSX720841:NSY720841 NSX720843:NSY720846 NSX720848:NSY720850 NSX720852:NSY720861 NSX786351:NSY786357 NSX786360:NSY786373 NSX786375:NSX786376 NSX786377:NSY786377 NSX786379:NSY786382 NSX786384:NSY786386 NSX786388:NSY786397 NSX851887:NSY851893 NSX851896:NSY851909 NSX851911:NSX851912 NSX851913:NSY851913 NSX851915:NSY851918 NSX851920:NSY851922 NSX851924:NSY851933 NSX917423:NSY917429 NSX917432:NSY917445 NSX917447:NSX917448 NSX917449:NSY917449 NSX917451:NSY917454 NSX917456:NSY917458 NSX917460:NSY917469 NSX982959:NSY982965 NSX982968:NSY982981 NSX982983:NSX982984 NSX982985:NSY982985 NSX982987:NSY982990 NSX982992:NSY982994 NSX982996:NSY983005 NSY65479 NSY131015 NSY196551 NSY262087 NSY327623 NSY393159 NSY458695 NSY524231 NSY589767 NSY655303 NSY720839 NSY786375 NSY851911 NSY917447 NSY982983 OCT5:OCU5 OCT7:OCU8 OCT9 OCT65455:OCU65461 OCT65464:OCU65477 OCT65479:OCT65480 OCT65481:OCU65481 OCT65483:OCU65486 OCT65488:OCU65490 OCT65492:OCU65501 OCT130991:OCU130997 OCT131000:OCU131013 OCT131015:OCT131016 OCT131017:OCU131017 OCT131019:OCU131022 OCT131024:OCU131026 OCT131028:OCU131037 OCT196527:OCU196533 OCT196536:OCU196549 OCT196551:OCT196552 OCT196553:OCU196553 OCT196555:OCU196558 OCT196560:OCU196562 OCT196564:OCU196573 OCT262063:OCU262069 OCT262072:OCU262085 OCT262087:OCT262088 OCT262089:OCU262089 OCT262091:OCU262094 OCT262096:OCU262098 OCT262100:OCU262109 OCT327599:OCU327605 OCT327608:OCU327621 OCT327623:OCT327624 OCT327625:OCU327625 OCT327627:OCU327630 OCT327632:OCU327634 OCT327636:OCU327645 OCT393135:OCU393141 OCT393144:OCU393157 OCT393159:OCT393160 OCT393161:OCU393161 OCT393163:OCU393166 OCT393168:OCU393170 OCT393172:OCU393181 OCT458671:OCU458677 OCT458680:OCU458693 OCT458695:OCT458696 OCT458697:OCU458697 OCT458699:OCU458702 OCT458704:OCU458706 OCT458708:OCU458717 OCT524207:OCU524213 OCT524216:OCU524229 OCT524231:OCT524232 OCT524233:OCU524233 OCT524235:OCU524238 OCT524240:OCU524242 OCT524244:OCU524253 OCT589743:OCU589749 OCT589752:OCU589765 OCT589767:OCT589768 OCT589769:OCU589769 OCT589771:OCU589774 OCT589776:OCU589778 OCT589780:OCU589789 OCT655279:OCU655285 OCT655288:OCU655301 OCT655303:OCT655304 OCT655305:OCU655305 OCT655307:OCU655310 OCT655312:OCU655314 OCT655316:OCU655325 OCT720815:OCU720821 OCT720824:OCU720837 OCT720839:OCT720840 OCT720841:OCU720841 OCT720843:OCU720846 OCT720848:OCU720850 OCT720852:OCU720861 OCT786351:OCU786357 OCT786360:OCU786373 OCT786375:OCT786376 OCT786377:OCU786377 OCT786379:OCU786382 OCT786384:OCU786386 OCT786388:OCU786397 OCT851887:OCU851893 OCT851896:OCU851909 OCT851911:OCT851912 OCT851913:OCU851913 OCT851915:OCU851918 OCT851920:OCU851922 OCT851924:OCU851933 OCT917423:OCU917429 OCT917432:OCU917445 OCT917447:OCT917448 OCT917449:OCU917449 OCT917451:OCU917454 OCT917456:OCU917458 OCT917460:OCU917469 OCT982959:OCU982965 OCT982968:OCU982981 OCT982983:OCT982984 OCT982985:OCU982985 OCT982987:OCU982990 OCT982992:OCU982994 OCT982996:OCU983005 OCU65479 OCU131015 OCU196551 OCU262087 OCU327623 OCU393159 OCU458695 OCU524231 OCU589767 OCU655303 OCU720839 OCU786375 OCU851911 OCU917447 OCU982983 OMP5:OMQ5 OMP7:OMQ8 OMP9 OMP65455:OMQ65461 OMP65464:OMQ65477 OMP65479:OMP65480 OMP65481:OMQ65481 OMP65483:OMQ65486 OMP65488:OMQ65490 OMP65492:OMQ65501 OMP130991:OMQ130997 OMP131000:OMQ131013 OMP131015:OMP131016 OMP131017:OMQ131017 OMP131019:OMQ131022 OMP131024:OMQ131026 OMP131028:OMQ131037 OMP196527:OMQ196533 OMP196536:OMQ196549 OMP196551:OMP196552 OMP196553:OMQ196553 OMP196555:OMQ196558 OMP196560:OMQ196562 OMP196564:OMQ196573 OMP262063:OMQ262069 OMP262072:OMQ262085 OMP262087:OMP262088 OMP262089:OMQ262089 OMP262091:OMQ262094 OMP262096:OMQ262098 OMP262100:OMQ262109 OMP327599:OMQ327605 OMP327608:OMQ327621 OMP327623:OMP327624 OMP327625:OMQ327625 OMP327627:OMQ327630 OMP327632:OMQ327634 OMP327636:OMQ327645 OMP393135:OMQ393141 OMP393144:OMQ393157 OMP393159:OMP393160 OMP393161:OMQ393161 OMP393163:OMQ393166 OMP393168:OMQ393170 OMP393172:OMQ393181 OMP458671:OMQ458677 OMP458680:OMQ458693 OMP458695:OMP458696 OMP458697:OMQ458697 OMP458699:OMQ458702 OMP458704:OMQ458706 OMP458708:OMQ458717 OMP524207:OMQ524213 OMP524216:OMQ524229 OMP524231:OMP524232 OMP524233:OMQ524233 OMP524235:OMQ524238 OMP524240:OMQ524242 OMP524244:OMQ524253 OMP589743:OMQ589749 OMP589752:OMQ589765 OMP589767:OMP589768 OMP589769:OMQ589769 OMP589771:OMQ589774 OMP589776:OMQ589778 OMP589780:OMQ589789 OMP655279:OMQ655285 OMP655288:OMQ655301 OMP655303:OMP655304 OMP655305:OMQ655305 OMP655307:OMQ655310 OMP655312:OMQ655314 OMP655316:OMQ655325 OMP720815:OMQ720821 OMP720824:OMQ720837 OMP720839:OMP720840 OMP720841:OMQ720841 OMP720843:OMQ720846 OMP720848:OMQ720850 OMP720852:OMQ720861 OMP786351:OMQ786357 OMP786360:OMQ786373 OMP786375:OMP786376 OMP786377:OMQ786377 OMP786379:OMQ786382 OMP786384:OMQ786386 OMP786388:OMQ786397 OMP851887:OMQ851893 OMP851896:OMQ851909 OMP851911:OMP851912 OMP851913:OMQ851913 OMP851915:OMQ851918 OMP851920:OMQ851922 OMP851924:OMQ851933 OMP917423:OMQ917429 OMP917432:OMQ917445 OMP917447:OMP917448 OMP917449:OMQ917449 OMP917451:OMQ917454 OMP917456:OMQ917458 OMP917460:OMQ917469 OMP982959:OMQ982965 OMP982968:OMQ982981 OMP982983:OMP982984 OMP982985:OMQ982985 OMP982987:OMQ982990 OMP982992:OMQ982994 OMP982996:OMQ983005 OMQ65479 OMQ131015 OMQ196551 OMQ262087 OMQ327623 OMQ393159 OMQ458695 OMQ524231 OMQ589767 OMQ655303 OMQ720839 OMQ786375 OMQ851911 OMQ917447 OMQ982983 OWL5:OWM5 OWL7:OWM8 OWL9 OWL65455:OWM65461 OWL65464:OWM65477 OWL65479:OWL65480 OWL65481:OWM65481 OWL65483:OWM65486 OWL65488:OWM65490 OWL65492:OWM65501 OWL130991:OWM130997 OWL131000:OWM131013 OWL131015:OWL131016 OWL131017:OWM131017 OWL131019:OWM131022 OWL131024:OWM131026 OWL131028:OWM131037 OWL196527:OWM196533 OWL196536:OWM196549 OWL196551:OWL196552 OWL196553:OWM196553 OWL196555:OWM196558 OWL196560:OWM196562 OWL196564:OWM196573 OWL262063:OWM262069 OWL262072:OWM262085 OWL262087:OWL262088 OWL262089:OWM262089 OWL262091:OWM262094 OWL262096:OWM262098 OWL262100:OWM262109 OWL327599:OWM327605 OWL327608:OWM327621 OWL327623:OWL327624 OWL327625:OWM327625 OWL327627:OWM327630 OWL327632:OWM327634 OWL327636:OWM327645 OWL393135:OWM393141 OWL393144:OWM393157 OWL393159:OWL393160 OWL393161:OWM393161 OWL393163:OWM393166 OWL393168:OWM393170 OWL393172:OWM393181 OWL458671:OWM458677 OWL458680:OWM458693 OWL458695:OWL458696 OWL458697:OWM458697 OWL458699:OWM458702 OWL458704:OWM458706 OWL458708:OWM458717 OWL524207:OWM524213 OWL524216:OWM524229 OWL524231:OWL524232 OWL524233:OWM524233 OWL524235:OWM524238 OWL524240:OWM524242 OWL524244:OWM524253 OWL589743:OWM589749 OWL589752:OWM589765 OWL589767:OWL589768 OWL589769:OWM589769 OWL589771:OWM589774 OWL589776:OWM589778 OWL589780:OWM589789 OWL655279:OWM655285 OWL655288:OWM655301 OWL655303:OWL655304 OWL655305:OWM655305 OWL655307:OWM655310 OWL655312:OWM655314 OWL655316:OWM655325 OWL720815:OWM720821 OWL720824:OWM720837 OWL720839:OWL720840 OWL720841:OWM720841 OWL720843:OWM720846 OWL720848:OWM720850 OWL720852:OWM720861 OWL786351:OWM786357 OWL786360:OWM786373 OWL786375:OWL786376 OWL786377:OWM786377 OWL786379:OWM786382 OWL786384:OWM786386 OWL786388:OWM786397 OWL851887:OWM851893 OWL851896:OWM851909 OWL851911:OWL851912 OWL851913:OWM851913 OWL851915:OWM851918 OWL851920:OWM851922 OWL851924:OWM851933 OWL917423:OWM917429 OWL917432:OWM917445 OWL917447:OWL917448 OWL917449:OWM917449 OWL917451:OWM917454 OWL917456:OWM917458 OWL917460:OWM917469 OWL982959:OWM982965 OWL982968:OWM982981 OWL982983:OWL982984 OWL982985:OWM982985 OWL982987:OWM982990 OWL982992:OWM982994 OWL982996:OWM983005 OWM65479 OWM131015 OWM196551 OWM262087 OWM327623 OWM393159 OWM458695 OWM524231 OWM589767 OWM655303 OWM720839 OWM786375 OWM851911 OWM917447 OWM982983 PGH5:PGI5 PGH7:PGI8 PGH9 PGH65455:PGI65461 PGH65464:PGI65477 PGH65479:PGH65480 PGH65481:PGI65481 PGH65483:PGI65486 PGH65488:PGI65490 PGH65492:PGI65501 PGH130991:PGI130997 PGH131000:PGI131013 PGH131015:PGH131016 PGH131017:PGI131017 PGH131019:PGI131022 PGH131024:PGI131026 PGH131028:PGI131037 PGH196527:PGI196533 PGH196536:PGI196549 PGH196551:PGH196552 PGH196553:PGI196553 PGH196555:PGI196558 PGH196560:PGI196562 PGH196564:PGI196573 PGH262063:PGI262069 PGH262072:PGI262085 PGH262087:PGH262088 PGH262089:PGI262089 PGH262091:PGI262094 PGH262096:PGI262098 PGH262100:PGI262109 PGH327599:PGI327605 PGH327608:PGI327621 PGH327623:PGH327624 PGH327625:PGI327625 PGH327627:PGI327630 PGH327632:PGI327634 PGH327636:PGI327645 PGH393135:PGI393141 PGH393144:PGI393157 PGH393159:PGH393160 PGH393161:PGI393161 PGH393163:PGI393166 PGH393168:PGI393170 PGH393172:PGI393181 PGH458671:PGI458677 PGH458680:PGI458693 PGH458695:PGH458696 PGH458697:PGI458697 PGH458699:PGI458702 PGH458704:PGI458706 PGH458708:PGI458717 PGH524207:PGI524213 PGH524216:PGI524229 PGH524231:PGH524232 PGH524233:PGI524233 PGH524235:PGI524238 PGH524240:PGI524242 PGH524244:PGI524253 PGH589743:PGI589749 PGH589752:PGI589765 PGH589767:PGH589768 PGH589769:PGI589769 PGH589771:PGI589774 PGH589776:PGI589778 PGH589780:PGI589789 PGH655279:PGI655285 PGH655288:PGI655301 PGH655303:PGH655304 PGH655305:PGI655305 PGH655307:PGI655310 PGH655312:PGI655314 PGH655316:PGI655325 PGH720815:PGI720821 PGH720824:PGI720837 PGH720839:PGH720840 PGH720841:PGI720841 PGH720843:PGI720846 PGH720848:PGI720850 PGH720852:PGI720861 PGH786351:PGI786357 PGH786360:PGI786373 PGH786375:PGH786376 PGH786377:PGI786377 PGH786379:PGI786382 PGH786384:PGI786386 PGH786388:PGI786397 PGH851887:PGI851893 PGH851896:PGI851909 PGH851911:PGH851912 PGH851913:PGI851913 PGH851915:PGI851918 PGH851920:PGI851922 PGH851924:PGI851933 PGH917423:PGI917429 PGH917432:PGI917445 PGH917447:PGH917448 PGH917449:PGI917449 PGH917451:PGI917454 PGH917456:PGI917458 PGH917460:PGI917469 PGH982959:PGI982965 PGH982968:PGI982981 PGH982983:PGH982984 PGH982985:PGI982985 PGH982987:PGI982990 PGH982992:PGI982994 PGH982996:PGI983005 PGI65479 PGI131015 PGI196551 PGI262087 PGI327623 PGI393159 PGI458695 PGI524231 PGI589767 PGI655303 PGI720839 PGI786375 PGI851911 PGI917447 PGI982983 PQD5:PQE5 PQD7:PQE8 PQD9 PQD65455:PQE65461 PQD65464:PQE65477 PQD65479:PQD65480 PQD65481:PQE65481 PQD65483:PQE65486 PQD65488:PQE65490 PQD65492:PQE65501 PQD130991:PQE130997 PQD131000:PQE131013 PQD131015:PQD131016 PQD131017:PQE131017 PQD131019:PQE131022 PQD131024:PQE131026 PQD131028:PQE131037 PQD196527:PQE196533 PQD196536:PQE196549 PQD196551:PQD196552 PQD196553:PQE196553 PQD196555:PQE196558 PQD196560:PQE196562 PQD196564:PQE196573 PQD262063:PQE262069 PQD262072:PQE262085 PQD262087:PQD262088 PQD262089:PQE262089 PQD262091:PQE262094 PQD262096:PQE262098 PQD262100:PQE262109 PQD327599:PQE327605 PQD327608:PQE327621 PQD327623:PQD327624 PQD327625:PQE327625 PQD327627:PQE327630 PQD327632:PQE327634 PQD327636:PQE327645 PQD393135:PQE393141 PQD393144:PQE393157 PQD393159:PQD393160 PQD393161:PQE393161 PQD393163:PQE393166 PQD393168:PQE393170 PQD393172:PQE393181 PQD458671:PQE458677 PQD458680:PQE458693 PQD458695:PQD458696 PQD458697:PQE458697 PQD458699:PQE458702 PQD458704:PQE458706 PQD458708:PQE458717 PQD524207:PQE524213 PQD524216:PQE524229 PQD524231:PQD524232 PQD524233:PQE524233 PQD524235:PQE524238 PQD524240:PQE524242 PQD524244:PQE524253 PQD589743:PQE589749 PQD589752:PQE589765 PQD589767:PQD589768 PQD589769:PQE589769 PQD589771:PQE589774 PQD589776:PQE589778 PQD589780:PQE589789 PQD655279:PQE655285 PQD655288:PQE655301 PQD655303:PQD655304 PQD655305:PQE655305 PQD655307:PQE655310 PQD655312:PQE655314 PQD655316:PQE655325 PQD720815:PQE720821 PQD720824:PQE720837 PQD720839:PQD720840 PQD720841:PQE720841 PQD720843:PQE720846 PQD720848:PQE720850 PQD720852:PQE720861 PQD786351:PQE786357 PQD786360:PQE786373 PQD786375:PQD786376 PQD786377:PQE786377 PQD786379:PQE786382 PQD786384:PQE786386 PQD786388:PQE786397 PQD851887:PQE851893 PQD851896:PQE851909 PQD851911:PQD851912 PQD851913:PQE851913 PQD851915:PQE851918 PQD851920:PQE851922 PQD851924:PQE851933 PQD917423:PQE917429 PQD917432:PQE917445 PQD917447:PQD917448 PQD917449:PQE917449 PQD917451:PQE917454 PQD917456:PQE917458 PQD917460:PQE917469 PQD982959:PQE982965 PQD982968:PQE982981 PQD982983:PQD982984 PQD982985:PQE982985 PQD982987:PQE982990 PQD982992:PQE982994 PQD982996:PQE983005 PQE65479 PQE131015 PQE196551 PQE262087 PQE327623 PQE393159 PQE458695 PQE524231 PQE589767 PQE655303 PQE720839 PQE786375 PQE851911 PQE917447 PQE982983 PZZ5:QAA5 PZZ7:QAA8 PZZ9 PZZ65455:QAA65461 PZZ65464:QAA65477 PZZ65479:PZZ65480 PZZ65481:QAA65481 PZZ65483:QAA65486 PZZ65488:QAA65490 PZZ65492:QAA65501 PZZ130991:QAA130997 PZZ131000:QAA131013 PZZ131015:PZZ131016 PZZ131017:QAA131017 PZZ131019:QAA131022 PZZ131024:QAA131026 PZZ131028:QAA131037 PZZ196527:QAA196533 PZZ196536:QAA196549 PZZ196551:PZZ196552 PZZ196553:QAA196553 PZZ196555:QAA196558 PZZ196560:QAA196562 PZZ196564:QAA196573 PZZ262063:QAA262069 PZZ262072:QAA262085 PZZ262087:PZZ262088 PZZ262089:QAA262089 PZZ262091:QAA262094 PZZ262096:QAA262098 PZZ262100:QAA262109 PZZ327599:QAA327605 PZZ327608:QAA327621 PZZ327623:PZZ327624 PZZ327625:QAA327625 PZZ327627:QAA327630 PZZ327632:QAA327634 PZZ327636:QAA327645 PZZ393135:QAA393141 PZZ393144:QAA393157 PZZ393159:PZZ393160 PZZ393161:QAA393161 PZZ393163:QAA393166 PZZ393168:QAA393170 PZZ393172:QAA393181 PZZ458671:QAA458677 PZZ458680:QAA458693 PZZ458695:PZZ458696 PZZ458697:QAA458697 PZZ458699:QAA458702 PZZ458704:QAA458706 PZZ458708:QAA458717 PZZ524207:QAA524213 PZZ524216:QAA524229 PZZ524231:PZZ524232 PZZ524233:QAA524233 PZZ524235:QAA524238 PZZ524240:QAA524242 PZZ524244:QAA524253 PZZ589743:QAA589749 PZZ589752:QAA589765 PZZ589767:PZZ589768 PZZ589769:QAA589769 PZZ589771:QAA589774 PZZ589776:QAA589778 PZZ589780:QAA589789 PZZ655279:QAA655285 PZZ655288:QAA655301 PZZ655303:PZZ655304 PZZ655305:QAA655305 PZZ655307:QAA655310 PZZ655312:QAA655314 PZZ655316:QAA655325 PZZ720815:QAA720821 PZZ720824:QAA720837 PZZ720839:PZZ720840 PZZ720841:QAA720841 PZZ720843:QAA720846 PZZ720848:QAA720850 PZZ720852:QAA720861 PZZ786351:QAA786357 PZZ786360:QAA786373 PZZ786375:PZZ786376 PZZ786377:QAA786377 PZZ786379:QAA786382 PZZ786384:QAA786386 PZZ786388:QAA786397 PZZ851887:QAA851893 PZZ851896:QAA851909 PZZ851911:PZZ851912 PZZ851913:QAA851913 PZZ851915:QAA851918 PZZ851920:QAA851922 PZZ851924:QAA851933 PZZ917423:QAA917429 PZZ917432:QAA917445 PZZ917447:PZZ917448 PZZ917449:QAA917449 PZZ917451:QAA917454 PZZ917456:QAA917458 PZZ917460:QAA917469 PZZ982959:QAA982965 PZZ982968:QAA982981 PZZ982983:PZZ982984 PZZ982985:QAA982985 PZZ982987:QAA982990 PZZ982992:QAA982994 PZZ982996:QAA983005 QAA65479 QAA131015 QAA196551 QAA262087 QAA327623 QAA393159 QAA458695 QAA524231 QAA589767 QAA655303 QAA720839 QAA786375 QAA851911 QAA917447 QAA982983 QJV5:QJW5 QJV7:QJW8 QJV9 QJV65455:QJW65461 QJV65464:QJW65477 QJV65479:QJV65480 QJV65481:QJW65481 QJV65483:QJW65486 QJV65488:QJW65490 QJV65492:QJW65501 QJV130991:QJW130997 QJV131000:QJW131013 QJV131015:QJV131016 QJV131017:QJW131017 QJV131019:QJW131022 QJV131024:QJW131026 QJV131028:QJW131037 QJV196527:QJW196533 QJV196536:QJW196549 QJV196551:QJV196552 QJV196553:QJW196553 QJV196555:QJW196558 QJV196560:QJW196562 QJV196564:QJW196573 QJV262063:QJW262069 QJV262072:QJW262085 QJV262087:QJV262088 QJV262089:QJW262089 QJV262091:QJW262094 QJV262096:QJW262098 QJV262100:QJW262109 QJV327599:QJW327605 QJV327608:QJW327621 QJV327623:QJV327624 QJV327625:QJW327625 QJV327627:QJW327630 QJV327632:QJW327634 QJV327636:QJW327645 QJV393135:QJW393141 QJV393144:QJW393157 QJV393159:QJV393160 QJV393161:QJW393161 QJV393163:QJW393166 QJV393168:QJW393170 QJV393172:QJW393181 QJV458671:QJW458677 QJV458680:QJW458693 QJV458695:QJV458696 QJV458697:QJW458697 QJV458699:QJW458702 QJV458704:QJW458706 QJV458708:QJW458717 QJV524207:QJW524213 QJV524216:QJW524229 QJV524231:QJV524232 QJV524233:QJW524233 QJV524235:QJW524238 QJV524240:QJW524242 QJV524244:QJW524253 QJV589743:QJW589749 QJV589752:QJW589765 QJV589767:QJV589768 QJV589769:QJW589769 QJV589771:QJW589774 QJV589776:QJW589778 QJV589780:QJW589789 QJV655279:QJW655285 QJV655288:QJW655301 QJV655303:QJV655304 QJV655305:QJW655305 QJV655307:QJW655310 QJV655312:QJW655314 QJV655316:QJW655325 QJV720815:QJW720821 QJV720824:QJW720837 QJV720839:QJV720840 QJV720841:QJW720841 QJV720843:QJW720846 QJV720848:QJW720850 QJV720852:QJW720861 QJV786351:QJW786357 QJV786360:QJW786373 QJV786375:QJV786376 QJV786377:QJW786377 QJV786379:QJW786382 QJV786384:QJW786386 QJV786388:QJW786397 QJV851887:QJW851893 QJV851896:QJW851909 QJV851911:QJV851912 QJV851913:QJW851913 QJV851915:QJW851918 QJV851920:QJW851922 QJV851924:QJW851933 QJV917423:QJW917429 QJV917432:QJW917445 QJV917447:QJV917448 QJV917449:QJW917449 QJV917451:QJW917454 QJV917456:QJW917458 QJV917460:QJW917469 QJV982959:QJW982965 QJV982968:QJW982981 QJV982983:QJV982984 QJV982985:QJW982985 QJV982987:QJW982990 QJV982992:QJW982994 QJV982996:QJW983005 QJW65479 QJW131015 QJW196551 QJW262087 QJW327623 QJW393159 QJW458695 QJW524231 QJW589767 QJW655303 QJW720839 QJW786375 QJW851911 QJW917447 QJW982983 QTR5:QTS5 QTR7:QTS8 QTR9 QTR65455:QTS65461 QTR65464:QTS65477 QTR65479:QTR65480 QTR65481:QTS65481 QTR65483:QTS65486 QTR65488:QTS65490 QTR65492:QTS65501 QTR130991:QTS130997 QTR131000:QTS131013 QTR131015:QTR131016 QTR131017:QTS131017 QTR131019:QTS131022 QTR131024:QTS131026 QTR131028:QTS131037 QTR196527:QTS196533 QTR196536:QTS196549 QTR196551:QTR196552 QTR196553:QTS196553 QTR196555:QTS196558 QTR196560:QTS196562 QTR196564:QTS196573 QTR262063:QTS262069 QTR262072:QTS262085 QTR262087:QTR262088 QTR262089:QTS262089 QTR262091:QTS262094 QTR262096:QTS262098 QTR262100:QTS262109 QTR327599:QTS327605 QTR327608:QTS327621 QTR327623:QTR327624 QTR327625:QTS327625 QTR327627:QTS327630 QTR327632:QTS327634 QTR327636:QTS327645 QTR393135:QTS393141 QTR393144:QTS393157 QTR393159:QTR393160 QTR393161:QTS393161 QTR393163:QTS393166 QTR393168:QTS393170 QTR393172:QTS393181 QTR458671:QTS458677 QTR458680:QTS458693 QTR458695:QTR458696 QTR458697:QTS458697 QTR458699:QTS458702 QTR458704:QTS458706 QTR458708:QTS458717 QTR524207:QTS524213 QTR524216:QTS524229 QTR524231:QTR524232 QTR524233:QTS524233 QTR524235:QTS524238 QTR524240:QTS524242 QTR524244:QTS524253 QTR589743:QTS589749 QTR589752:QTS589765 QTR589767:QTR589768 QTR589769:QTS589769 QTR589771:QTS589774 QTR589776:QTS589778 QTR589780:QTS589789 QTR655279:QTS655285 QTR655288:QTS655301 QTR655303:QTR655304 QTR655305:QTS655305 QTR655307:QTS655310 QTR655312:QTS655314 QTR655316:QTS655325 QTR720815:QTS720821 QTR720824:QTS720837 QTR720839:QTR720840 QTR720841:QTS720841 QTR720843:QTS720846 QTR720848:QTS720850 QTR720852:QTS720861 QTR786351:QTS786357 QTR786360:QTS786373 QTR786375:QTR786376 QTR786377:QTS786377 QTR786379:QTS786382 QTR786384:QTS786386 QTR786388:QTS786397 QTR851887:QTS851893 QTR851896:QTS851909 QTR851911:QTR851912 QTR851913:QTS851913 QTR851915:QTS851918 QTR851920:QTS851922 QTR851924:QTS851933 QTR917423:QTS917429 QTR917432:QTS917445 QTR917447:QTR917448 QTR917449:QTS917449 QTR917451:QTS917454 QTR917456:QTS917458 QTR917460:QTS917469 QTR982959:QTS982965 QTR982968:QTS982981 QTR982983:QTR982984 QTR982985:QTS982985 QTR982987:QTS982990 QTR982992:QTS982994 QTR982996:QTS983005 QTS65479 QTS131015 QTS196551 QTS262087 QTS327623 QTS393159 QTS458695 QTS524231 QTS589767 QTS655303 QTS720839 QTS786375 QTS851911 QTS917447 QTS982983 RDN5:RDO5 RDN7:RDO8 RDN9 RDN65455:RDO65461 RDN65464:RDO65477 RDN65479:RDN65480 RDN65481:RDO65481 RDN65483:RDO65486 RDN65488:RDO65490 RDN65492:RDO65501 RDN130991:RDO130997 RDN131000:RDO131013 RDN131015:RDN131016 RDN131017:RDO131017 RDN131019:RDO131022 RDN131024:RDO131026 RDN131028:RDO131037 RDN196527:RDO196533 RDN196536:RDO196549 RDN196551:RDN196552 RDN196553:RDO196553 RDN196555:RDO196558 RDN196560:RDO196562 RDN196564:RDO196573 RDN262063:RDO262069 RDN262072:RDO262085 RDN262087:RDN262088 RDN262089:RDO262089 RDN262091:RDO262094 RDN262096:RDO262098 RDN262100:RDO262109 RDN327599:RDO327605 RDN327608:RDO327621 RDN327623:RDN327624 RDN327625:RDO327625 RDN327627:RDO327630 RDN327632:RDO327634 RDN327636:RDO327645 RDN393135:RDO393141 RDN393144:RDO393157 RDN393159:RDN393160 RDN393161:RDO393161 RDN393163:RDO393166 RDN393168:RDO393170 RDN393172:RDO393181 RDN458671:RDO458677 RDN458680:RDO458693 RDN458695:RDN458696 RDN458697:RDO458697 RDN458699:RDO458702 RDN458704:RDO458706 RDN458708:RDO458717 RDN524207:RDO524213 RDN524216:RDO524229 RDN524231:RDN524232 RDN524233:RDO524233 RDN524235:RDO524238 RDN524240:RDO524242 RDN524244:RDO524253 RDN589743:RDO589749 RDN589752:RDO589765 RDN589767:RDN589768 RDN589769:RDO589769 RDN589771:RDO589774 RDN589776:RDO589778 RDN589780:RDO589789 RDN655279:RDO655285 RDN655288:RDO655301 RDN655303:RDN655304 RDN655305:RDO655305 RDN655307:RDO655310 RDN655312:RDO655314 RDN655316:RDO655325 RDN720815:RDO720821 RDN720824:RDO720837 RDN720839:RDN720840 RDN720841:RDO720841 RDN720843:RDO720846 RDN720848:RDO720850 RDN720852:RDO720861 RDN786351:RDO786357 RDN786360:RDO786373 RDN786375:RDN786376 RDN786377:RDO786377 RDN786379:RDO786382 RDN786384:RDO786386 RDN786388:RDO786397 RDN851887:RDO851893 RDN851896:RDO851909 RDN851911:RDN851912 RDN851913:RDO851913 RDN851915:RDO851918 RDN851920:RDO851922 RDN851924:RDO851933 RDN917423:RDO917429 RDN917432:RDO917445 RDN917447:RDN917448 RDN917449:RDO917449 RDN917451:RDO917454 RDN917456:RDO917458 RDN917460:RDO917469 RDN982959:RDO982965 RDN982968:RDO982981 RDN982983:RDN982984 RDN982985:RDO982985 RDN982987:RDO982990 RDN982992:RDO982994 RDN982996:RDO983005 RDO65479 RDO131015 RDO196551 RDO262087 RDO327623 RDO393159 RDO458695 RDO524231 RDO589767 RDO655303 RDO720839 RDO786375 RDO851911 RDO917447 RDO982983 RNJ5:RNK5 RNJ7:RNK8 RNJ9 RNJ65455:RNK65461 RNJ65464:RNK65477 RNJ65479:RNJ65480 RNJ65481:RNK65481 RNJ65483:RNK65486 RNJ65488:RNK65490 RNJ65492:RNK65501 RNJ130991:RNK130997 RNJ131000:RNK131013 RNJ131015:RNJ131016 RNJ131017:RNK131017 RNJ131019:RNK131022 RNJ131024:RNK131026 RNJ131028:RNK131037 RNJ196527:RNK196533 RNJ196536:RNK196549 RNJ196551:RNJ196552 RNJ196553:RNK196553 RNJ196555:RNK196558 RNJ196560:RNK196562 RNJ196564:RNK196573 RNJ262063:RNK262069 RNJ262072:RNK262085 RNJ262087:RNJ262088 RNJ262089:RNK262089 RNJ262091:RNK262094 RNJ262096:RNK262098 RNJ262100:RNK262109 RNJ327599:RNK327605 RNJ327608:RNK327621 RNJ327623:RNJ327624 RNJ327625:RNK327625 RNJ327627:RNK327630 RNJ327632:RNK327634 RNJ327636:RNK327645 RNJ393135:RNK393141 RNJ393144:RNK393157 RNJ393159:RNJ393160 RNJ393161:RNK393161 RNJ393163:RNK393166 RNJ393168:RNK393170 RNJ393172:RNK393181 RNJ458671:RNK458677 RNJ458680:RNK458693 RNJ458695:RNJ458696 RNJ458697:RNK458697 RNJ458699:RNK458702 RNJ458704:RNK458706 RNJ458708:RNK458717 RNJ524207:RNK524213 RNJ524216:RNK524229 RNJ524231:RNJ524232 RNJ524233:RNK524233 RNJ524235:RNK524238 RNJ524240:RNK524242 RNJ524244:RNK524253 RNJ589743:RNK589749 RNJ589752:RNK589765 RNJ589767:RNJ589768 RNJ589769:RNK589769 RNJ589771:RNK589774 RNJ589776:RNK589778 RNJ589780:RNK589789 RNJ655279:RNK655285 RNJ655288:RNK655301 RNJ655303:RNJ655304 RNJ655305:RNK655305 RNJ655307:RNK655310 RNJ655312:RNK655314 RNJ655316:RNK655325 RNJ720815:RNK720821 RNJ720824:RNK720837 RNJ720839:RNJ720840 RNJ720841:RNK720841 RNJ720843:RNK720846 RNJ720848:RNK720850 RNJ720852:RNK720861 RNJ786351:RNK786357 RNJ786360:RNK786373 RNJ786375:RNJ786376 RNJ786377:RNK786377 RNJ786379:RNK786382 RNJ786384:RNK786386 RNJ786388:RNK786397 RNJ851887:RNK851893 RNJ851896:RNK851909 RNJ851911:RNJ851912 RNJ851913:RNK851913 RNJ851915:RNK851918 RNJ851920:RNK851922 RNJ851924:RNK851933 RNJ917423:RNK917429 RNJ917432:RNK917445 RNJ917447:RNJ917448 RNJ917449:RNK917449 RNJ917451:RNK917454 RNJ917456:RNK917458 RNJ917460:RNK917469 RNJ982959:RNK982965 RNJ982968:RNK982981 RNJ982983:RNJ982984 RNJ982985:RNK982985 RNJ982987:RNK982990 RNJ982992:RNK982994 RNJ982996:RNK983005 RNK65479 RNK131015 RNK196551 RNK262087 RNK327623 RNK393159 RNK458695 RNK524231 RNK589767 RNK655303 RNK720839 RNK786375 RNK851911 RNK917447 RNK982983 RXF5:RXG5 RXF7:RXG8 RXF9 RXF65455:RXG65461 RXF65464:RXG65477 RXF65479:RXF65480 RXF65481:RXG65481 RXF65483:RXG65486 RXF65488:RXG65490 RXF65492:RXG65501 RXF130991:RXG130997 RXF131000:RXG131013 RXF131015:RXF131016 RXF131017:RXG131017 RXF131019:RXG131022 RXF131024:RXG131026 RXF131028:RXG131037 RXF196527:RXG196533 RXF196536:RXG196549 RXF196551:RXF196552 RXF196553:RXG196553 RXF196555:RXG196558 RXF196560:RXG196562 RXF196564:RXG196573 RXF262063:RXG262069 RXF262072:RXG262085 RXF262087:RXF262088 RXF262089:RXG262089 RXF262091:RXG262094 RXF262096:RXG262098 RXF262100:RXG262109 RXF327599:RXG327605 RXF327608:RXG327621 RXF327623:RXF327624 RXF327625:RXG327625 RXF327627:RXG327630 RXF327632:RXG327634 RXF327636:RXG327645 RXF393135:RXG393141 RXF393144:RXG393157 RXF393159:RXF393160 RXF393161:RXG393161 RXF393163:RXG393166 RXF393168:RXG393170 RXF393172:RXG393181 RXF458671:RXG458677 RXF458680:RXG458693 RXF458695:RXF458696 RXF458697:RXG458697 RXF458699:RXG458702 RXF458704:RXG458706 RXF458708:RXG458717 RXF524207:RXG524213 RXF524216:RXG524229 RXF524231:RXF524232 RXF524233:RXG524233 RXF524235:RXG524238 RXF524240:RXG524242 RXF524244:RXG524253 RXF589743:RXG589749 RXF589752:RXG589765 RXF589767:RXF589768 RXF589769:RXG589769 RXF589771:RXG589774 RXF589776:RXG589778 RXF589780:RXG589789 RXF655279:RXG655285 RXF655288:RXG655301 RXF655303:RXF655304 RXF655305:RXG655305 RXF655307:RXG655310 RXF655312:RXG655314 RXF655316:RXG655325 RXF720815:RXG720821 RXF720824:RXG720837 RXF720839:RXF720840 RXF720841:RXG720841 RXF720843:RXG720846 RXF720848:RXG720850 RXF720852:RXG720861 RXF786351:RXG786357 RXF786360:RXG786373 RXF786375:RXF786376 RXF786377:RXG786377 RXF786379:RXG786382 RXF786384:RXG786386 RXF786388:RXG786397 RXF851887:RXG851893 RXF851896:RXG851909 RXF851911:RXF851912 RXF851913:RXG851913 RXF851915:RXG851918 RXF851920:RXG851922 RXF851924:RXG851933 RXF917423:RXG917429 RXF917432:RXG917445 RXF917447:RXF917448 RXF917449:RXG917449 RXF917451:RXG917454 RXF917456:RXG917458 RXF917460:RXG917469 RXF982959:RXG982965 RXF982968:RXG982981 RXF982983:RXF982984 RXF982985:RXG982985 RXF982987:RXG982990 RXF982992:RXG982994 RXF982996:RXG983005 RXG65479 RXG131015 RXG196551 RXG262087 RXG327623 RXG393159 RXG458695 RXG524231 RXG589767 RXG655303 RXG720839 RXG786375 RXG851911 RXG917447 RXG982983 SHB5:SHC5 SHB7:SHC8 SHB9 SHB65455:SHC65461 SHB65464:SHC65477 SHB65479:SHB65480 SHB65481:SHC65481 SHB65483:SHC65486 SHB65488:SHC65490 SHB65492:SHC65501 SHB130991:SHC130997 SHB131000:SHC131013 SHB131015:SHB131016 SHB131017:SHC131017 SHB131019:SHC131022 SHB131024:SHC131026 SHB131028:SHC131037 SHB196527:SHC196533 SHB196536:SHC196549 SHB196551:SHB196552 SHB196553:SHC196553 SHB196555:SHC196558 SHB196560:SHC196562 SHB196564:SHC196573 SHB262063:SHC262069 SHB262072:SHC262085 SHB262087:SHB262088 SHB262089:SHC262089 SHB262091:SHC262094 SHB262096:SHC262098 SHB262100:SHC262109 SHB327599:SHC327605 SHB327608:SHC327621 SHB327623:SHB327624 SHB327625:SHC327625 SHB327627:SHC327630 SHB327632:SHC327634 SHB327636:SHC327645 SHB393135:SHC393141 SHB393144:SHC393157 SHB393159:SHB393160 SHB393161:SHC393161 SHB393163:SHC393166 SHB393168:SHC393170 SHB393172:SHC393181 SHB458671:SHC458677 SHB458680:SHC458693 SHB458695:SHB458696 SHB458697:SHC458697 SHB458699:SHC458702 SHB458704:SHC458706 SHB458708:SHC458717 SHB524207:SHC524213 SHB524216:SHC524229 SHB524231:SHB524232 SHB524233:SHC524233 SHB524235:SHC524238 SHB524240:SHC524242 SHB524244:SHC524253 SHB589743:SHC589749 SHB589752:SHC589765 SHB589767:SHB589768 SHB589769:SHC589769 SHB589771:SHC589774 SHB589776:SHC589778 SHB589780:SHC589789 SHB655279:SHC655285 SHB655288:SHC655301 SHB655303:SHB655304 SHB655305:SHC655305 SHB655307:SHC655310 SHB655312:SHC655314 SHB655316:SHC655325 SHB720815:SHC720821 SHB720824:SHC720837 SHB720839:SHB720840 SHB720841:SHC720841 SHB720843:SHC720846 SHB720848:SHC720850 SHB720852:SHC720861 SHB786351:SHC786357 SHB786360:SHC786373 SHB786375:SHB786376 SHB786377:SHC786377 SHB786379:SHC786382 SHB786384:SHC786386 SHB786388:SHC786397 SHB851887:SHC851893 SHB851896:SHC851909 SHB851911:SHB851912 SHB851913:SHC851913 SHB851915:SHC851918 SHB851920:SHC851922 SHB851924:SHC851933 SHB917423:SHC917429 SHB917432:SHC917445 SHB917447:SHB917448 SHB917449:SHC917449 SHB917451:SHC917454 SHB917456:SHC917458 SHB917460:SHC917469 SHB982959:SHC982965 SHB982968:SHC982981 SHB982983:SHB982984 SHB982985:SHC982985 SHB982987:SHC982990 SHB982992:SHC982994 SHB982996:SHC983005 SHC65479 SHC131015 SHC196551 SHC262087 SHC327623 SHC393159 SHC458695 SHC524231 SHC589767 SHC655303 SHC720839 SHC786375 SHC851911 SHC917447 SHC982983 SQX5:SQY5 SQX7:SQY8 SQX9 SQX65455:SQY65461 SQX65464:SQY65477 SQX65479:SQX65480 SQX65481:SQY65481 SQX65483:SQY65486 SQX65488:SQY65490 SQX65492:SQY65501 SQX130991:SQY130997 SQX131000:SQY131013 SQX131015:SQX131016 SQX131017:SQY131017 SQX131019:SQY131022 SQX131024:SQY131026 SQX131028:SQY131037 SQX196527:SQY196533 SQX196536:SQY196549 SQX196551:SQX196552 SQX196553:SQY196553 SQX196555:SQY196558 SQX196560:SQY196562 SQX196564:SQY196573 SQX262063:SQY262069 SQX262072:SQY262085 SQX262087:SQX262088 SQX262089:SQY262089 SQX262091:SQY262094 SQX262096:SQY262098 SQX262100:SQY262109 SQX327599:SQY327605 SQX327608:SQY327621 SQX327623:SQX327624 SQX327625:SQY327625 SQX327627:SQY327630 SQX327632:SQY327634 SQX327636:SQY327645 SQX393135:SQY393141 SQX393144:SQY393157 SQX393159:SQX393160 SQX393161:SQY393161 SQX393163:SQY393166 SQX393168:SQY393170 SQX393172:SQY393181 SQX458671:SQY458677 SQX458680:SQY458693 SQX458695:SQX458696 SQX458697:SQY458697 SQX458699:SQY458702 SQX458704:SQY458706 SQX458708:SQY458717 SQX524207:SQY524213 SQX524216:SQY524229 SQX524231:SQX524232 SQX524233:SQY524233 SQX524235:SQY524238 SQX524240:SQY524242 SQX524244:SQY524253 SQX589743:SQY589749 SQX589752:SQY589765 SQX589767:SQX589768 SQX589769:SQY589769 SQX589771:SQY589774 SQX589776:SQY589778 SQX589780:SQY589789 SQX655279:SQY655285 SQX655288:SQY655301 SQX655303:SQX655304 SQX655305:SQY655305 SQX655307:SQY655310 SQX655312:SQY655314 SQX655316:SQY655325 SQX720815:SQY720821 SQX720824:SQY720837 SQX720839:SQX720840 SQX720841:SQY720841 SQX720843:SQY720846 SQX720848:SQY720850 SQX720852:SQY720861 SQX786351:SQY786357 SQX786360:SQY786373 SQX786375:SQX786376 SQX786377:SQY786377 SQX786379:SQY786382 SQX786384:SQY786386 SQX786388:SQY786397 SQX851887:SQY851893 SQX851896:SQY851909 SQX851911:SQX851912 SQX851913:SQY851913 SQX851915:SQY851918 SQX851920:SQY851922 SQX851924:SQY851933 SQX917423:SQY917429 SQX917432:SQY917445 SQX917447:SQX917448 SQX917449:SQY917449 SQX917451:SQY917454 SQX917456:SQY917458 SQX917460:SQY917469 SQX982959:SQY982965 SQX982968:SQY982981 SQX982983:SQX982984 SQX982985:SQY982985 SQX982987:SQY982990 SQX982992:SQY982994 SQX982996:SQY983005 SQY65479 SQY131015 SQY196551 SQY262087 SQY327623 SQY393159 SQY458695 SQY524231 SQY589767 SQY655303 SQY720839 SQY786375 SQY851911 SQY917447 SQY982983 TAT5:TAU5 TAT7:TAU8 TAT9 TAT65455:TAU65461 TAT65464:TAU65477 TAT65479:TAT65480 TAT65481:TAU65481 TAT65483:TAU65486 TAT65488:TAU65490 TAT65492:TAU65501 TAT130991:TAU130997 TAT131000:TAU131013 TAT131015:TAT131016 TAT131017:TAU131017 TAT131019:TAU131022 TAT131024:TAU131026 TAT131028:TAU131037 TAT196527:TAU196533 TAT196536:TAU196549 TAT196551:TAT196552 TAT196553:TAU196553 TAT196555:TAU196558 TAT196560:TAU196562 TAT196564:TAU196573 TAT262063:TAU262069 TAT262072:TAU262085 TAT262087:TAT262088 TAT262089:TAU262089 TAT262091:TAU262094 TAT262096:TAU262098 TAT262100:TAU262109 TAT327599:TAU327605 TAT327608:TAU327621 TAT327623:TAT327624 TAT327625:TAU327625 TAT327627:TAU327630 TAT327632:TAU327634 TAT327636:TAU327645 TAT393135:TAU393141 TAT393144:TAU393157 TAT393159:TAT393160 TAT393161:TAU393161 TAT393163:TAU393166 TAT393168:TAU393170 TAT393172:TAU393181 TAT458671:TAU458677 TAT458680:TAU458693 TAT458695:TAT458696 TAT458697:TAU458697 TAT458699:TAU458702 TAT458704:TAU458706 TAT458708:TAU458717 TAT524207:TAU524213 TAT524216:TAU524229 TAT524231:TAT524232 TAT524233:TAU524233 TAT524235:TAU524238 TAT524240:TAU524242 TAT524244:TAU524253 TAT589743:TAU589749 TAT589752:TAU589765 TAT589767:TAT589768 TAT589769:TAU589769 TAT589771:TAU589774 TAT589776:TAU589778 TAT589780:TAU589789 TAT655279:TAU655285 TAT655288:TAU655301 TAT655303:TAT655304 TAT655305:TAU655305 TAT655307:TAU655310 TAT655312:TAU655314 TAT655316:TAU655325 TAT720815:TAU720821 TAT720824:TAU720837 TAT720839:TAT720840 TAT720841:TAU720841 TAT720843:TAU720846 TAT720848:TAU720850 TAT720852:TAU720861 TAT786351:TAU786357 TAT786360:TAU786373 TAT786375:TAT786376 TAT786377:TAU786377 TAT786379:TAU786382 TAT786384:TAU786386 TAT786388:TAU786397 TAT851887:TAU851893 TAT851896:TAU851909 TAT851911:TAT851912 TAT851913:TAU851913 TAT851915:TAU851918 TAT851920:TAU851922 TAT851924:TAU851933 TAT917423:TAU917429 TAT917432:TAU917445 TAT917447:TAT917448 TAT917449:TAU917449 TAT917451:TAU917454 TAT917456:TAU917458 TAT917460:TAU917469 TAT982959:TAU982965 TAT982968:TAU982981 TAT982983:TAT982984 TAT982985:TAU982985 TAT982987:TAU982990 TAT982992:TAU982994 TAT982996:TAU983005 TAU65479 TAU131015 TAU196551 TAU262087 TAU327623 TAU393159 TAU458695 TAU524231 TAU589767 TAU655303 TAU720839 TAU786375 TAU851911 TAU917447 TAU982983 TKP5:TKQ5 TKP7:TKQ8 TKP9 TKP65455:TKQ65461 TKP65464:TKQ65477 TKP65479:TKP65480 TKP65481:TKQ65481 TKP65483:TKQ65486 TKP65488:TKQ65490 TKP65492:TKQ65501 TKP130991:TKQ130997 TKP131000:TKQ131013 TKP131015:TKP131016 TKP131017:TKQ131017 TKP131019:TKQ131022 TKP131024:TKQ131026 TKP131028:TKQ131037 TKP196527:TKQ196533 TKP196536:TKQ196549 TKP196551:TKP196552 TKP196553:TKQ196553 TKP196555:TKQ196558 TKP196560:TKQ196562 TKP196564:TKQ196573 TKP262063:TKQ262069 TKP262072:TKQ262085 TKP262087:TKP262088 TKP262089:TKQ262089 TKP262091:TKQ262094 TKP262096:TKQ262098 TKP262100:TKQ262109 TKP327599:TKQ327605 TKP327608:TKQ327621 TKP327623:TKP327624 TKP327625:TKQ327625 TKP327627:TKQ327630 TKP327632:TKQ327634 TKP327636:TKQ327645 TKP393135:TKQ393141 TKP393144:TKQ393157 TKP393159:TKP393160 TKP393161:TKQ393161 TKP393163:TKQ393166 TKP393168:TKQ393170 TKP393172:TKQ393181 TKP458671:TKQ458677 TKP458680:TKQ458693 TKP458695:TKP458696 TKP458697:TKQ458697 TKP458699:TKQ458702 TKP458704:TKQ458706 TKP458708:TKQ458717 TKP524207:TKQ524213 TKP524216:TKQ524229 TKP524231:TKP524232 TKP524233:TKQ524233 TKP524235:TKQ524238 TKP524240:TKQ524242 TKP524244:TKQ524253 TKP589743:TKQ589749 TKP589752:TKQ589765 TKP589767:TKP589768 TKP589769:TKQ589769 TKP589771:TKQ589774 TKP589776:TKQ589778 TKP589780:TKQ589789 TKP655279:TKQ655285 TKP655288:TKQ655301 TKP655303:TKP655304 TKP655305:TKQ655305 TKP655307:TKQ655310 TKP655312:TKQ655314 TKP655316:TKQ655325 TKP720815:TKQ720821 TKP720824:TKQ720837 TKP720839:TKP720840 TKP720841:TKQ720841 TKP720843:TKQ720846 TKP720848:TKQ720850 TKP720852:TKQ720861 TKP786351:TKQ786357 TKP786360:TKQ786373 TKP786375:TKP786376 TKP786377:TKQ786377 TKP786379:TKQ786382 TKP786384:TKQ786386 TKP786388:TKQ786397 TKP851887:TKQ851893 TKP851896:TKQ851909 TKP851911:TKP851912 TKP851913:TKQ851913 TKP851915:TKQ851918 TKP851920:TKQ851922 TKP851924:TKQ851933 TKP917423:TKQ917429 TKP917432:TKQ917445 TKP917447:TKP917448 TKP917449:TKQ917449 TKP917451:TKQ917454 TKP917456:TKQ917458 TKP917460:TKQ917469 TKP982959:TKQ982965 TKP982968:TKQ982981 TKP982983:TKP982984 TKP982985:TKQ982985 TKP982987:TKQ982990 TKP982992:TKQ982994 TKP982996:TKQ983005 TKQ65479 TKQ131015 TKQ196551 TKQ262087 TKQ327623 TKQ393159 TKQ458695 TKQ524231 TKQ589767 TKQ655303 TKQ720839 TKQ786375 TKQ851911 TKQ917447 TKQ982983 TUL5:TUM5 TUL7:TUM8 TUL9 TUL65455:TUM65461 TUL65464:TUM65477 TUL65479:TUL65480 TUL65481:TUM65481 TUL65483:TUM65486 TUL65488:TUM65490 TUL65492:TUM65501 TUL130991:TUM130997 TUL131000:TUM131013 TUL131015:TUL131016 TUL131017:TUM131017 TUL131019:TUM131022 TUL131024:TUM131026 TUL131028:TUM131037 TUL196527:TUM196533 TUL196536:TUM196549 TUL196551:TUL196552 TUL196553:TUM196553 TUL196555:TUM196558 TUL196560:TUM196562 TUL196564:TUM196573 TUL262063:TUM262069 TUL262072:TUM262085 TUL262087:TUL262088 TUL262089:TUM262089 TUL262091:TUM262094 TUL262096:TUM262098 TUL262100:TUM262109 TUL327599:TUM327605 TUL327608:TUM327621 TUL327623:TUL327624 TUL327625:TUM327625 TUL327627:TUM327630 TUL327632:TUM327634 TUL327636:TUM327645 TUL393135:TUM393141 TUL393144:TUM393157 TUL393159:TUL393160 TUL393161:TUM393161 TUL393163:TUM393166 TUL393168:TUM393170 TUL393172:TUM393181 TUL458671:TUM458677 TUL458680:TUM458693 TUL458695:TUL458696 TUL458697:TUM458697 TUL458699:TUM458702 TUL458704:TUM458706 TUL458708:TUM458717 TUL524207:TUM524213 TUL524216:TUM524229 TUL524231:TUL524232 TUL524233:TUM524233 TUL524235:TUM524238 TUL524240:TUM524242 TUL524244:TUM524253 TUL589743:TUM589749 TUL589752:TUM589765 TUL589767:TUL589768 TUL589769:TUM589769 TUL589771:TUM589774 TUL589776:TUM589778 TUL589780:TUM589789 TUL655279:TUM655285 TUL655288:TUM655301 TUL655303:TUL655304 TUL655305:TUM655305 TUL655307:TUM655310 TUL655312:TUM655314 TUL655316:TUM655325 TUL720815:TUM720821 TUL720824:TUM720837 TUL720839:TUL720840 TUL720841:TUM720841 TUL720843:TUM720846 TUL720848:TUM720850 TUL720852:TUM720861 TUL786351:TUM786357 TUL786360:TUM786373 TUL786375:TUL786376 TUL786377:TUM786377 TUL786379:TUM786382 TUL786384:TUM786386 TUL786388:TUM786397 TUL851887:TUM851893 TUL851896:TUM851909 TUL851911:TUL851912 TUL851913:TUM851913 TUL851915:TUM851918 TUL851920:TUM851922 TUL851924:TUM851933 TUL917423:TUM917429 TUL917432:TUM917445 TUL917447:TUL917448 TUL917449:TUM917449 TUL917451:TUM917454 TUL917456:TUM917458 TUL917460:TUM917469 TUL982959:TUM982965 TUL982968:TUM982981 TUL982983:TUL982984 TUL982985:TUM982985 TUL982987:TUM982990 TUL982992:TUM982994 TUL982996:TUM983005 TUM65479 TUM131015 TUM196551 TUM262087 TUM327623 TUM393159 TUM458695 TUM524231 TUM589767 TUM655303 TUM720839 TUM786375 TUM851911 TUM917447 TUM982983 UEH5:UEI5 UEH7:UEI8 UEH9 UEH65455:UEI65461 UEH65464:UEI65477 UEH65479:UEH65480 UEH65481:UEI65481 UEH65483:UEI65486 UEH65488:UEI65490 UEH65492:UEI65501 UEH130991:UEI130997 UEH131000:UEI131013 UEH131015:UEH131016 UEH131017:UEI131017 UEH131019:UEI131022 UEH131024:UEI131026 UEH131028:UEI131037 UEH196527:UEI196533 UEH196536:UEI196549 UEH196551:UEH196552 UEH196553:UEI196553 UEH196555:UEI196558 UEH196560:UEI196562 UEH196564:UEI196573 UEH262063:UEI262069 UEH262072:UEI262085 UEH262087:UEH262088 UEH262089:UEI262089 UEH262091:UEI262094 UEH262096:UEI262098 UEH262100:UEI262109 UEH327599:UEI327605 UEH327608:UEI327621 UEH327623:UEH327624 UEH327625:UEI327625 UEH327627:UEI327630 UEH327632:UEI327634 UEH327636:UEI327645 UEH393135:UEI393141 UEH393144:UEI393157 UEH393159:UEH393160 UEH393161:UEI393161 UEH393163:UEI393166 UEH393168:UEI393170 UEH393172:UEI393181 UEH458671:UEI458677 UEH458680:UEI458693 UEH458695:UEH458696 UEH458697:UEI458697 UEH458699:UEI458702 UEH458704:UEI458706 UEH458708:UEI458717 UEH524207:UEI524213 UEH524216:UEI524229 UEH524231:UEH524232 UEH524233:UEI524233 UEH524235:UEI524238 UEH524240:UEI524242 UEH524244:UEI524253 UEH589743:UEI589749 UEH589752:UEI589765 UEH589767:UEH589768 UEH589769:UEI589769 UEH589771:UEI589774 UEH589776:UEI589778 UEH589780:UEI589789 UEH655279:UEI655285 UEH655288:UEI655301 UEH655303:UEH655304 UEH655305:UEI655305 UEH655307:UEI655310 UEH655312:UEI655314 UEH655316:UEI655325 UEH720815:UEI720821 UEH720824:UEI720837 UEH720839:UEH720840 UEH720841:UEI720841 UEH720843:UEI720846 UEH720848:UEI720850 UEH720852:UEI720861 UEH786351:UEI786357 UEH786360:UEI786373 UEH786375:UEH786376 UEH786377:UEI786377 UEH786379:UEI786382 UEH786384:UEI786386 UEH786388:UEI786397 UEH851887:UEI851893 UEH851896:UEI851909 UEH851911:UEH851912 UEH851913:UEI851913 UEH851915:UEI851918 UEH851920:UEI851922 UEH851924:UEI851933 UEH917423:UEI917429 UEH917432:UEI917445 UEH917447:UEH917448 UEH917449:UEI917449 UEH917451:UEI917454 UEH917456:UEI917458 UEH917460:UEI917469 UEH982959:UEI982965 UEH982968:UEI982981 UEH982983:UEH982984 UEH982985:UEI982985 UEH982987:UEI982990 UEH982992:UEI982994 UEH982996:UEI983005 UEI65479 UEI131015 UEI196551 UEI262087 UEI327623 UEI393159 UEI458695 UEI524231 UEI589767 UEI655303 UEI720839 UEI786375 UEI851911 UEI917447 UEI982983 UOD5:UOE5 UOD7:UOE8 UOD9 UOD65455:UOE65461 UOD65464:UOE65477 UOD65479:UOD65480 UOD65481:UOE65481 UOD65483:UOE65486 UOD65488:UOE65490 UOD65492:UOE65501 UOD130991:UOE130997 UOD131000:UOE131013 UOD131015:UOD131016 UOD131017:UOE131017 UOD131019:UOE131022 UOD131024:UOE131026 UOD131028:UOE131037 UOD196527:UOE196533 UOD196536:UOE196549 UOD196551:UOD196552 UOD196553:UOE196553 UOD196555:UOE196558 UOD196560:UOE196562 UOD196564:UOE196573 UOD262063:UOE262069 UOD262072:UOE262085 UOD262087:UOD262088 UOD262089:UOE262089 UOD262091:UOE262094 UOD262096:UOE262098 UOD262100:UOE262109 UOD327599:UOE327605 UOD327608:UOE327621 UOD327623:UOD327624 UOD327625:UOE327625 UOD327627:UOE327630 UOD327632:UOE327634 UOD327636:UOE327645 UOD393135:UOE393141 UOD393144:UOE393157 UOD393159:UOD393160 UOD393161:UOE393161 UOD393163:UOE393166 UOD393168:UOE393170 UOD393172:UOE393181 UOD458671:UOE458677 UOD458680:UOE458693 UOD458695:UOD458696 UOD458697:UOE458697 UOD458699:UOE458702 UOD458704:UOE458706 UOD458708:UOE458717 UOD524207:UOE524213 UOD524216:UOE524229 UOD524231:UOD524232 UOD524233:UOE524233 UOD524235:UOE524238 UOD524240:UOE524242 UOD524244:UOE524253 UOD589743:UOE589749 UOD589752:UOE589765 UOD589767:UOD589768 UOD589769:UOE589769 UOD589771:UOE589774 UOD589776:UOE589778 UOD589780:UOE589789 UOD655279:UOE655285 UOD655288:UOE655301 UOD655303:UOD655304 UOD655305:UOE655305 UOD655307:UOE655310 UOD655312:UOE655314 UOD655316:UOE655325 UOD720815:UOE720821 UOD720824:UOE720837 UOD720839:UOD720840 UOD720841:UOE720841 UOD720843:UOE720846 UOD720848:UOE720850 UOD720852:UOE720861 UOD786351:UOE786357 UOD786360:UOE786373 UOD786375:UOD786376 UOD786377:UOE786377 UOD786379:UOE786382 UOD786384:UOE786386 UOD786388:UOE786397 UOD851887:UOE851893 UOD851896:UOE851909 UOD851911:UOD851912 UOD851913:UOE851913 UOD851915:UOE851918 UOD851920:UOE851922 UOD851924:UOE851933 UOD917423:UOE917429 UOD917432:UOE917445 UOD917447:UOD917448 UOD917449:UOE917449 UOD917451:UOE917454 UOD917456:UOE917458 UOD917460:UOE917469 UOD982959:UOE982965 UOD982968:UOE982981 UOD982983:UOD982984 UOD982985:UOE982985 UOD982987:UOE982990 UOD982992:UOE982994 UOD982996:UOE983005 UOE65479 UOE131015 UOE196551 UOE262087 UOE327623 UOE393159 UOE458695 UOE524231 UOE589767 UOE655303 UOE720839 UOE786375 UOE851911 UOE917447 UOE982983 UXZ5:UYA5 UXZ7:UYA8 UXZ9 UXZ65455:UYA65461 UXZ65464:UYA65477 UXZ65479:UXZ65480 UXZ65481:UYA65481 UXZ65483:UYA65486 UXZ65488:UYA65490 UXZ65492:UYA65501 UXZ130991:UYA130997 UXZ131000:UYA131013 UXZ131015:UXZ131016 UXZ131017:UYA131017 UXZ131019:UYA131022 UXZ131024:UYA131026 UXZ131028:UYA131037 UXZ196527:UYA196533 UXZ196536:UYA196549 UXZ196551:UXZ196552 UXZ196553:UYA196553 UXZ196555:UYA196558 UXZ196560:UYA196562 UXZ196564:UYA196573 UXZ262063:UYA262069 UXZ262072:UYA262085 UXZ262087:UXZ262088 UXZ262089:UYA262089 UXZ262091:UYA262094 UXZ262096:UYA262098 UXZ262100:UYA262109 UXZ327599:UYA327605 UXZ327608:UYA327621 UXZ327623:UXZ327624 UXZ327625:UYA327625 UXZ327627:UYA327630 UXZ327632:UYA327634 UXZ327636:UYA327645 UXZ393135:UYA393141 UXZ393144:UYA393157 UXZ393159:UXZ393160 UXZ393161:UYA393161 UXZ393163:UYA393166 UXZ393168:UYA393170 UXZ393172:UYA393181 UXZ458671:UYA458677 UXZ458680:UYA458693 UXZ458695:UXZ458696 UXZ458697:UYA458697 UXZ458699:UYA458702 UXZ458704:UYA458706 UXZ458708:UYA458717 UXZ524207:UYA524213 UXZ524216:UYA524229 UXZ524231:UXZ524232 UXZ524233:UYA524233 UXZ524235:UYA524238 UXZ524240:UYA524242 UXZ524244:UYA524253 UXZ589743:UYA589749 UXZ589752:UYA589765 UXZ589767:UXZ589768 UXZ589769:UYA589769 UXZ589771:UYA589774 UXZ589776:UYA589778 UXZ589780:UYA589789 UXZ655279:UYA655285 UXZ655288:UYA655301 UXZ655303:UXZ655304 UXZ655305:UYA655305 UXZ655307:UYA655310 UXZ655312:UYA655314 UXZ655316:UYA655325 UXZ720815:UYA720821 UXZ720824:UYA720837 UXZ720839:UXZ720840 UXZ720841:UYA720841 UXZ720843:UYA720846 UXZ720848:UYA720850 UXZ720852:UYA720861 UXZ786351:UYA786357 UXZ786360:UYA786373 UXZ786375:UXZ786376 UXZ786377:UYA786377 UXZ786379:UYA786382 UXZ786384:UYA786386 UXZ786388:UYA786397 UXZ851887:UYA851893 UXZ851896:UYA851909 UXZ851911:UXZ851912 UXZ851913:UYA851913 UXZ851915:UYA851918 UXZ851920:UYA851922 UXZ851924:UYA851933 UXZ917423:UYA917429 UXZ917432:UYA917445 UXZ917447:UXZ917448 UXZ917449:UYA917449 UXZ917451:UYA917454 UXZ917456:UYA917458 UXZ917460:UYA917469 UXZ982959:UYA982965 UXZ982968:UYA982981 UXZ982983:UXZ982984 UXZ982985:UYA982985 UXZ982987:UYA982990 UXZ982992:UYA982994 UXZ982996:UYA983005 UYA65479 UYA131015 UYA196551 UYA262087 UYA327623 UYA393159 UYA458695 UYA524231 UYA589767 UYA655303 UYA720839 UYA786375 UYA851911 UYA917447 UYA982983 VHV5:VHW5 VHV7:VHW8 VHV9 VHV65455:VHW65461 VHV65464:VHW65477 VHV65479:VHV65480 VHV65481:VHW65481 VHV65483:VHW65486 VHV65488:VHW65490 VHV65492:VHW65501 VHV130991:VHW130997 VHV131000:VHW131013 VHV131015:VHV131016 VHV131017:VHW131017 VHV131019:VHW131022 VHV131024:VHW131026 VHV131028:VHW131037 VHV196527:VHW196533 VHV196536:VHW196549 VHV196551:VHV196552 VHV196553:VHW196553 VHV196555:VHW196558 VHV196560:VHW196562 VHV196564:VHW196573 VHV262063:VHW262069 VHV262072:VHW262085 VHV262087:VHV262088 VHV262089:VHW262089 VHV262091:VHW262094 VHV262096:VHW262098 VHV262100:VHW262109 VHV327599:VHW327605 VHV327608:VHW327621 VHV327623:VHV327624 VHV327625:VHW327625 VHV327627:VHW327630 VHV327632:VHW327634 VHV327636:VHW327645 VHV393135:VHW393141 VHV393144:VHW393157 VHV393159:VHV393160 VHV393161:VHW393161 VHV393163:VHW393166 VHV393168:VHW393170 VHV393172:VHW393181 VHV458671:VHW458677 VHV458680:VHW458693 VHV458695:VHV458696 VHV458697:VHW458697 VHV458699:VHW458702 VHV458704:VHW458706 VHV458708:VHW458717 VHV524207:VHW524213 VHV524216:VHW524229 VHV524231:VHV524232 VHV524233:VHW524233 VHV524235:VHW524238 VHV524240:VHW524242 VHV524244:VHW524253 VHV589743:VHW589749 VHV589752:VHW589765 VHV589767:VHV589768 VHV589769:VHW589769 VHV589771:VHW589774 VHV589776:VHW589778 VHV589780:VHW589789 VHV655279:VHW655285 VHV655288:VHW655301 VHV655303:VHV655304 VHV655305:VHW655305 VHV655307:VHW655310 VHV655312:VHW655314 VHV655316:VHW655325 VHV720815:VHW720821 VHV720824:VHW720837 VHV720839:VHV720840 VHV720841:VHW720841 VHV720843:VHW720846 VHV720848:VHW720850 VHV720852:VHW720861 VHV786351:VHW786357 VHV786360:VHW786373 VHV786375:VHV786376 VHV786377:VHW786377 VHV786379:VHW786382 VHV786384:VHW786386 VHV786388:VHW786397 VHV851887:VHW851893 VHV851896:VHW851909 VHV851911:VHV851912 VHV851913:VHW851913 VHV851915:VHW851918 VHV851920:VHW851922 VHV851924:VHW851933 VHV917423:VHW917429 VHV917432:VHW917445 VHV917447:VHV917448 VHV917449:VHW917449 VHV917451:VHW917454 VHV917456:VHW917458 VHV917460:VHW917469 VHV982959:VHW982965 VHV982968:VHW982981 VHV982983:VHV982984 VHV982985:VHW982985 VHV982987:VHW982990 VHV982992:VHW982994 VHV982996:VHW983005 VHW65479 VHW131015 VHW196551 VHW262087 VHW327623 VHW393159 VHW458695 VHW524231 VHW589767 VHW655303 VHW720839 VHW786375 VHW851911 VHW917447 VHW982983 VRR5:VRS5 VRR7:VRS8 VRR9 VRR65455:VRS65461 VRR65464:VRS65477 VRR65479:VRR65480 VRR65481:VRS65481 VRR65483:VRS65486 VRR65488:VRS65490 VRR65492:VRS65501 VRR130991:VRS130997 VRR131000:VRS131013 VRR131015:VRR131016 VRR131017:VRS131017 VRR131019:VRS131022 VRR131024:VRS131026 VRR131028:VRS131037 VRR196527:VRS196533 VRR196536:VRS196549 VRR196551:VRR196552 VRR196553:VRS196553 VRR196555:VRS196558 VRR196560:VRS196562 VRR196564:VRS196573 VRR262063:VRS262069 VRR262072:VRS262085 VRR262087:VRR262088 VRR262089:VRS262089 VRR262091:VRS262094 VRR262096:VRS262098 VRR262100:VRS262109 VRR327599:VRS327605 VRR327608:VRS327621 VRR327623:VRR327624 VRR327625:VRS327625 VRR327627:VRS327630 VRR327632:VRS327634 VRR327636:VRS327645 VRR393135:VRS393141 VRR393144:VRS393157 VRR393159:VRR393160 VRR393161:VRS393161 VRR393163:VRS393166 VRR393168:VRS393170 VRR393172:VRS393181 VRR458671:VRS458677 VRR458680:VRS458693 VRR458695:VRR458696 VRR458697:VRS458697 VRR458699:VRS458702 VRR458704:VRS458706 VRR458708:VRS458717 VRR524207:VRS524213 VRR524216:VRS524229 VRR524231:VRR524232 VRR524233:VRS524233 VRR524235:VRS524238 VRR524240:VRS524242 VRR524244:VRS524253 VRR589743:VRS589749 VRR589752:VRS589765 VRR589767:VRR589768 VRR589769:VRS589769 VRR589771:VRS589774 VRR589776:VRS589778 VRR589780:VRS589789 VRR655279:VRS655285 VRR655288:VRS655301 VRR655303:VRR655304 VRR655305:VRS655305 VRR655307:VRS655310 VRR655312:VRS655314 VRR655316:VRS655325 VRR720815:VRS720821 VRR720824:VRS720837 VRR720839:VRR720840 VRR720841:VRS720841 VRR720843:VRS720846 VRR720848:VRS720850 VRR720852:VRS720861 VRR786351:VRS786357 VRR786360:VRS786373 VRR786375:VRR786376 VRR786377:VRS786377 VRR786379:VRS786382 VRR786384:VRS786386 VRR786388:VRS786397 VRR851887:VRS851893 VRR851896:VRS851909 VRR851911:VRR851912 VRR851913:VRS851913 VRR851915:VRS851918 VRR851920:VRS851922 VRR851924:VRS851933 VRR917423:VRS917429 VRR917432:VRS917445 VRR917447:VRR917448 VRR917449:VRS917449 VRR917451:VRS917454 VRR917456:VRS917458 VRR917460:VRS917469 VRR982959:VRS982965 VRR982968:VRS982981 VRR982983:VRR982984 VRR982985:VRS982985 VRR982987:VRS982990 VRR982992:VRS982994 VRR982996:VRS983005 VRS65479 VRS131015 VRS196551 VRS262087 VRS327623 VRS393159 VRS458695 VRS524231 VRS589767 VRS655303 VRS720839 VRS786375 VRS851911 VRS917447 VRS982983 WBN5:WBO5 WBN7:WBO8 WBN9 WBN65455:WBO65461 WBN65464:WBO65477 WBN65479:WBN65480 WBN65481:WBO65481 WBN65483:WBO65486 WBN65488:WBO65490 WBN65492:WBO65501 WBN130991:WBO130997 WBN131000:WBO131013 WBN131015:WBN131016 WBN131017:WBO131017 WBN131019:WBO131022 WBN131024:WBO131026 WBN131028:WBO131037 WBN196527:WBO196533 WBN196536:WBO196549 WBN196551:WBN196552 WBN196553:WBO196553 WBN196555:WBO196558 WBN196560:WBO196562 WBN196564:WBO196573 WBN262063:WBO262069 WBN262072:WBO262085 WBN262087:WBN262088 WBN262089:WBO262089 WBN262091:WBO262094 WBN262096:WBO262098 WBN262100:WBO262109 WBN327599:WBO327605 WBN327608:WBO327621 WBN327623:WBN327624 WBN327625:WBO327625 WBN327627:WBO327630 WBN327632:WBO327634 WBN327636:WBO327645 WBN393135:WBO393141 WBN393144:WBO393157 WBN393159:WBN393160 WBN393161:WBO393161 WBN393163:WBO393166 WBN393168:WBO393170 WBN393172:WBO393181 WBN458671:WBO458677 WBN458680:WBO458693 WBN458695:WBN458696 WBN458697:WBO458697 WBN458699:WBO458702 WBN458704:WBO458706 WBN458708:WBO458717 WBN524207:WBO524213 WBN524216:WBO524229 WBN524231:WBN524232 WBN524233:WBO524233 WBN524235:WBO524238 WBN524240:WBO524242 WBN524244:WBO524253 WBN589743:WBO589749 WBN589752:WBO589765 WBN589767:WBN589768 WBN589769:WBO589769 WBN589771:WBO589774 WBN589776:WBO589778 WBN589780:WBO589789 WBN655279:WBO655285 WBN655288:WBO655301 WBN655303:WBN655304 WBN655305:WBO655305 WBN655307:WBO655310 WBN655312:WBO655314 WBN655316:WBO655325 WBN720815:WBO720821 WBN720824:WBO720837 WBN720839:WBN720840 WBN720841:WBO720841 WBN720843:WBO720846 WBN720848:WBO720850 WBN720852:WBO720861 WBN786351:WBO786357 WBN786360:WBO786373 WBN786375:WBN786376 WBN786377:WBO786377 WBN786379:WBO786382 WBN786384:WBO786386 WBN786388:WBO786397 WBN851887:WBO851893 WBN851896:WBO851909 WBN851911:WBN851912 WBN851913:WBO851913 WBN851915:WBO851918 WBN851920:WBO851922 WBN851924:WBO851933 WBN917423:WBO917429 WBN917432:WBO917445 WBN917447:WBN917448 WBN917449:WBO917449 WBN917451:WBO917454 WBN917456:WBO917458 WBN917460:WBO917469 WBN982959:WBO982965 WBN982968:WBO982981 WBN982983:WBN982984 WBN982985:WBO982985 WBN982987:WBO982990 WBN982992:WBO982994 WBN982996:WBO983005 WBO65479 WBO131015 WBO196551 WBO262087 WBO327623 WBO393159 WBO458695 WBO524231 WBO589767 WBO655303 WBO720839 WBO786375 WBO851911 WBO917447 WBO982983 WLJ5:WLK5 WLJ7:WLK8 WLJ9 WLJ65455:WLK65461 WLJ65464:WLK65477 WLJ65479:WLJ65480 WLJ65481:WLK65481 WLJ65483:WLK65486 WLJ65488:WLK65490 WLJ65492:WLK65501 WLJ130991:WLK130997 WLJ131000:WLK131013 WLJ131015:WLJ131016 WLJ131017:WLK131017 WLJ131019:WLK131022 WLJ131024:WLK131026 WLJ131028:WLK131037 WLJ196527:WLK196533 WLJ196536:WLK196549 WLJ196551:WLJ196552 WLJ196553:WLK196553 WLJ196555:WLK196558 WLJ196560:WLK196562 WLJ196564:WLK196573 WLJ262063:WLK262069 WLJ262072:WLK262085 WLJ262087:WLJ262088 WLJ262089:WLK262089 WLJ262091:WLK262094 WLJ262096:WLK262098 WLJ262100:WLK262109 WLJ327599:WLK327605 WLJ327608:WLK327621 WLJ327623:WLJ327624 WLJ327625:WLK327625 WLJ327627:WLK327630 WLJ327632:WLK327634 WLJ327636:WLK327645 WLJ393135:WLK393141 WLJ393144:WLK393157 WLJ393159:WLJ393160 WLJ393161:WLK393161 WLJ393163:WLK393166 WLJ393168:WLK393170 WLJ393172:WLK393181 WLJ458671:WLK458677 WLJ458680:WLK458693 WLJ458695:WLJ458696 WLJ458697:WLK458697 WLJ458699:WLK458702 WLJ458704:WLK458706 WLJ458708:WLK458717 WLJ524207:WLK524213 WLJ524216:WLK524229 WLJ524231:WLJ524232 WLJ524233:WLK524233 WLJ524235:WLK524238 WLJ524240:WLK524242 WLJ524244:WLK524253 WLJ589743:WLK589749 WLJ589752:WLK589765 WLJ589767:WLJ589768 WLJ589769:WLK589769 WLJ589771:WLK589774 WLJ589776:WLK589778 WLJ589780:WLK589789 WLJ655279:WLK655285 WLJ655288:WLK655301 WLJ655303:WLJ655304 WLJ655305:WLK655305 WLJ655307:WLK655310 WLJ655312:WLK655314 WLJ655316:WLK655325 WLJ720815:WLK720821 WLJ720824:WLK720837 WLJ720839:WLJ720840 WLJ720841:WLK720841 WLJ720843:WLK720846 WLJ720848:WLK720850 WLJ720852:WLK720861 WLJ786351:WLK786357 WLJ786360:WLK786373 WLJ786375:WLJ786376 WLJ786377:WLK786377 WLJ786379:WLK786382 WLJ786384:WLK786386 WLJ786388:WLK786397 WLJ851887:WLK851893 WLJ851896:WLK851909 WLJ851911:WLJ851912 WLJ851913:WLK851913 WLJ851915:WLK851918 WLJ851920:WLK851922 WLJ851924:WLK851933 WLJ917423:WLK917429 WLJ917432:WLK917445 WLJ917447:WLJ917448 WLJ917449:WLK917449 WLJ917451:WLK917454 WLJ917456:WLK917458 WLJ917460:WLK917469 WLJ982959:WLK982965 WLJ982968:WLK982981 WLJ982983:WLJ982984 WLJ982985:WLK982985 WLJ982987:WLK982990 WLJ982992:WLK982994 WLJ982996:WLK983005 WLK65479 WLK131015 WLK196551 WLK262087 WLK327623 WLK393159 WLK458695 WLK524231 WLK589767 WLK655303 WLK720839 WLK786375 WLK851911 WLK917447 WLK982983 WVF5:WVG5 WVF7:WVG8 WVF9 WVF65455:WVG65461 WVF65464:WVG65477 WVF65479:WVF65480 WVF65481:WVG65481 WVF65483:WVG65486 WVF65488:WVG65490 WVF65492:WVG65501 WVF130991:WVG130997 WVF131000:WVG131013 WVF131015:WVF131016 WVF131017:WVG131017 WVF131019:WVG131022 WVF131024:WVG131026 WVF131028:WVG131037 WVF196527:WVG196533 WVF196536:WVG196549 WVF196551:WVF196552 WVF196553:WVG196553 WVF196555:WVG196558 WVF196560:WVG196562 WVF196564:WVG196573 WVF262063:WVG262069 WVF262072:WVG262085 WVF262087:WVF262088 WVF262089:WVG262089 WVF262091:WVG262094 WVF262096:WVG262098 WVF262100:WVG262109 WVF327599:WVG327605 WVF327608:WVG327621 WVF327623:WVF327624 WVF327625:WVG327625 WVF327627:WVG327630 WVF327632:WVG327634 WVF327636:WVG327645 WVF393135:WVG393141 WVF393144:WVG393157 WVF393159:WVF393160 WVF393161:WVG393161 WVF393163:WVG393166 WVF393168:WVG393170 WVF393172:WVG393181 WVF458671:WVG458677 WVF458680:WVG458693 WVF458695:WVF458696 WVF458697:WVG458697 WVF458699:WVG458702 WVF458704:WVG458706 WVF458708:WVG458717 WVF524207:WVG524213 WVF524216:WVG524229 WVF524231:WVF524232 WVF524233:WVG524233 WVF524235:WVG524238 WVF524240:WVG524242 WVF524244:WVG524253 WVF589743:WVG589749 WVF589752:WVG589765 WVF589767:WVF589768 WVF589769:WVG589769 WVF589771:WVG589774 WVF589776:WVG589778 WVF589780:WVG589789 WVF655279:WVG655285 WVF655288:WVG655301 WVF655303:WVF655304 WVF655305:WVG655305 WVF655307:WVG655310 WVF655312:WVG655314 WVF655316:WVG655325 WVF720815:WVG720821 WVF720824:WVG720837 WVF720839:WVF720840 WVF720841:WVG720841 WVF720843:WVG720846 WVF720848:WVG720850 WVF720852:WVG720861 WVF786351:WVG786357 WVF786360:WVG786373 WVF786375:WVF786376 WVF786377:WVG786377 WVF786379:WVG786382 WVF786384:WVG786386 WVF786388:WVG786397 WVF851887:WVG851893 WVF851896:WVG851909 WVF851911:WVF851912 WVF851913:WVG851913 WVF851915:WVG851918 WVF851920:WVG851922 WVF851924:WVG851933 WVF917423:WVG917429 WVF917432:WVG917445 WVF917447:WVF917448 WVF917449:WVG917449 WVF917451:WVG917454 WVF917456:WVG917458 WVF917460:WVG917469 WVF982959:WVG982965 WVF982968:WVG982981 WVF982983:WVF982984 WVF982985:WVG982985 WVF982987:WVG982990 WVF982992:WVG982994 WVF982996:WVG983005 WVG65479 WVG131015 WVG196551 WVG262087 WVG327623 WVG393159 WVG458695 WVG524231 WVG589767 WVG655303 WVG720839 WVG786375 WVG851911 WVG917447 WVG982983" xr:uid="{00000000-0002-0000-2600-000001000000}">
      <formula1>"Included, Not Applicable"</formula1>
    </dataValidation>
  </dataValidations>
  <hyperlinks>
    <hyperlink ref="Y38" location="'Sponsor Certification'!A1" display="Reference Sponsor Certification Worksheet." xr:uid="{00000000-0004-0000-2600-000001000000}"/>
    <hyperlink ref="N39" location="'Entity Org Docs'!A1" display="Reference Entity Org Docs worksheet." xr:uid="{00000000-0004-0000-2600-000002000000}"/>
    <hyperlink ref="N46" location="'Entity Org Docs'!A1" display="Reference Entity Org Docs worksheet." xr:uid="{00000000-0004-0000-2600-000004000000}"/>
    <hyperlink ref="N53" location="'Entity Org Docs'!A1" display="Reference Entity Org Docs worksheet." xr:uid="{00000000-0004-0000-2600-000006000000}"/>
    <hyperlink ref="N59" location="'Sponsor Certification'!A1" display="Reference Sponsor Certification Worksheet." xr:uid="{00000000-0004-0000-2600-000007000000}"/>
    <hyperlink ref="N60" location="'Entity Org Docs'!A1" display="Reference Entity Org Docs worksheet." xr:uid="{00000000-0004-0000-2600-000008000000}"/>
    <hyperlink ref="N63" r:id="rId1" display="https://www.hcd.ca.gov/super-nofa-program-forms" xr:uid="{00000000-0004-0000-2600-000009000000}"/>
    <hyperlink ref="N64" r:id="rId2" display="Reference: Taxpayer Identification Number (TIN) (public entities ONLY) on the AB434 webpage." xr:uid="{00000000-0004-0000-2600-00000A000000}"/>
    <hyperlink ref="N69" location="'Sponsor Certification'!A1" display="Reference Sponsor Certification Worksheet." xr:uid="{00000000-0004-0000-2600-00000B000000}"/>
    <hyperlink ref="N70" location="'Entity Org Docs'!A1" display="Reference Entity Org Docs worksheet." xr:uid="{00000000-0004-0000-2600-00000C000000}"/>
    <hyperlink ref="N76" location="'Sponsor Certification'!A1" display="Reference Sponsor Certification Worksheet." xr:uid="{00000000-0004-0000-2600-00000D000000}"/>
    <hyperlink ref="N77" location="'Entity Org Docs'!A1" display="Reference Entity Org Docs worksheet." xr:uid="{00000000-0004-0000-2600-00000E000000}"/>
    <hyperlink ref="N83" location="'Sponsor Certification'!A1" display="Reference Sponsor Certification Worksheet." xr:uid="{00000000-0004-0000-2600-00000F000000}"/>
    <hyperlink ref="N84" location="'Entity Org Docs'!A1" display="Reference Entity Org Docs worksheet." xr:uid="{00000000-0004-0000-2600-000010000000}"/>
    <hyperlink ref="N90" location="'Sponsor Certification'!A1" display="'Sponsor Certification'!A1" xr:uid="{00000000-0004-0000-2600-000011000000}"/>
    <hyperlink ref="N93" location="'Entity Org Docs'!A1" display="Reference Entity Org Docs worksheet." xr:uid="{00000000-0004-0000-2600-000012000000}"/>
    <hyperlink ref="Y33" r:id="rId3" xr:uid="{BF64286F-72B5-47A2-B06F-3DC4C8C21F11}"/>
    <hyperlink ref="AG24:AI24" r:id="rId4" display="HSC §50675.7(e)" xr:uid="{9E852EA4-1F1F-413A-8605-7B4401FA96C2}"/>
    <hyperlink ref="Y45" location="'Sponsor Certification'!A1" display="Reference Sponsor Certification Worksheet." xr:uid="{CACE692B-47EB-44A5-88D4-EA268E7650B3}"/>
    <hyperlink ref="Y52" location="'Sponsor Certification'!A1" display="Reference Sponsor Certification Worksheet." xr:uid="{C1DC5DA5-09FF-4D87-A378-0796C6A5D767}"/>
    <hyperlink ref="AF4:AM4" r:id="rId5" display="MFSN Application Portal" xr:uid="{B9360972-7FB9-4935-8BF7-AAB39C76E142}"/>
    <hyperlink ref="Y33:AI33" r:id="rId6" display="Documentation of rural status" xr:uid="{58864810-E408-45D5-908C-D7AC63AE4F93}"/>
  </hyperlinks>
  <printOptions horizontalCentered="1"/>
  <pageMargins left="0" right="0.25" top="0" bottom="0" header="0.25" footer="0.25"/>
  <pageSetup scale="65" orientation="portrait" r:id="rId7"/>
  <headerFooter>
    <oddFooter>&amp;L&amp;F&amp;C&amp;P of &amp;N&amp;R &amp;A</oddFooter>
  </headerFooter>
  <rowBreaks count="2" manualBreakCount="2">
    <brk id="81" max="16383" man="1"/>
    <brk id="202" max="16383" man="1"/>
  </rowBreaks>
  <colBreaks count="1" manualBreakCount="1">
    <brk id="39" max="1048575" man="1"/>
  </colBreak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ApplicationSupport2"/>
  <dimension ref="A1:AQ22"/>
  <sheetViews>
    <sheetView showGridLines="0" topLeftCell="A11" zoomScaleNormal="100" zoomScaleSheetLayoutView="100" workbookViewId="0">
      <selection activeCell="D12" sqref="D12:J12"/>
    </sheetView>
  </sheetViews>
  <sheetFormatPr defaultColWidth="9.28515625" defaultRowHeight="18" customHeight="1"/>
  <cols>
    <col min="1" max="1" width="8.7109375" style="6" customWidth="1"/>
    <col min="2" max="18" width="4.28515625" style="6" customWidth="1"/>
    <col min="19" max="30" width="4.28515625" style="441" customWidth="1"/>
    <col min="31" max="36" width="4.28515625" style="6" customWidth="1"/>
    <col min="37" max="39" width="4.28515625" style="439" customWidth="1"/>
    <col min="40" max="40" width="68.42578125" style="442" hidden="1" customWidth="1"/>
    <col min="41" max="45" width="9.28515625" style="6" customWidth="1"/>
    <col min="46" max="16384" width="9.28515625" style="6"/>
  </cols>
  <sheetData>
    <row r="1" spans="1:43" ht="18" customHeight="1">
      <c r="A1" s="1766"/>
      <c r="B1" s="1766"/>
      <c r="C1" s="1766"/>
      <c r="D1" s="1766"/>
      <c r="E1" s="1766"/>
      <c r="F1" s="1766"/>
      <c r="G1" s="1766"/>
      <c r="H1" s="1766"/>
      <c r="I1" s="1766"/>
      <c r="J1" s="1766"/>
      <c r="K1" s="1766"/>
      <c r="L1" s="1766"/>
      <c r="M1" s="1766"/>
      <c r="N1" s="1766"/>
      <c r="O1" s="1766"/>
      <c r="P1" s="1766"/>
      <c r="Q1" s="1766"/>
      <c r="R1" s="1766"/>
      <c r="S1" s="1767"/>
      <c r="T1" s="1767"/>
      <c r="U1" s="1767"/>
      <c r="V1" s="1767"/>
      <c r="W1" s="1767"/>
      <c r="X1" s="1767"/>
      <c r="Y1" s="1767"/>
      <c r="Z1" s="1767"/>
      <c r="AA1" s="1767"/>
      <c r="AB1" s="1767"/>
      <c r="AC1" s="1767"/>
      <c r="AD1" s="1767"/>
      <c r="AE1" s="1766"/>
      <c r="AF1" s="1766"/>
      <c r="AG1" s="1766"/>
      <c r="AH1" s="1766"/>
      <c r="AI1" s="1766"/>
      <c r="AJ1" s="1766"/>
      <c r="AK1" s="1768"/>
      <c r="AL1" s="1768"/>
      <c r="AM1" s="1768"/>
      <c r="AO1" s="1766"/>
      <c r="AP1" s="1766"/>
      <c r="AQ1" s="1766"/>
    </row>
    <row r="2" spans="1:43" ht="15">
      <c r="A2" s="1766"/>
      <c r="B2" s="3849" t="s">
        <v>4068</v>
      </c>
      <c r="C2" s="3850"/>
      <c r="D2" s="3850"/>
      <c r="E2" s="3850"/>
      <c r="F2" s="3850"/>
      <c r="G2" s="3850"/>
      <c r="H2" s="3850"/>
      <c r="I2" s="3850"/>
      <c r="J2" s="3850"/>
      <c r="K2" s="3850"/>
      <c r="L2" s="3850"/>
      <c r="M2" s="3850"/>
      <c r="N2" s="3850"/>
      <c r="O2" s="3850"/>
      <c r="P2" s="3850"/>
      <c r="Q2" s="3850"/>
      <c r="R2" s="3850"/>
      <c r="S2" s="3851"/>
      <c r="T2" s="3851"/>
      <c r="U2" s="3851"/>
      <c r="V2" s="3851"/>
      <c r="W2" s="3851"/>
      <c r="X2" s="3851"/>
      <c r="Y2" s="3851"/>
      <c r="Z2" s="3851"/>
      <c r="AA2" s="3851"/>
      <c r="AB2" s="3851"/>
      <c r="AC2" s="3851"/>
      <c r="AD2" s="3851"/>
      <c r="AE2" s="3850"/>
      <c r="AF2" s="3850"/>
      <c r="AG2" s="3850"/>
      <c r="AH2" s="3850"/>
      <c r="AI2" s="3850"/>
      <c r="AJ2" s="3850"/>
      <c r="AK2" s="3852"/>
      <c r="AL2" s="3852"/>
      <c r="AM2" s="3852"/>
      <c r="AO2" s="1766"/>
      <c r="AP2" s="1766"/>
      <c r="AQ2" s="1766"/>
    </row>
    <row r="3" spans="1:43" ht="18" customHeight="1">
      <c r="A3" s="1766"/>
      <c r="B3" s="134"/>
      <c r="C3" s="134"/>
      <c r="D3" s="134"/>
      <c r="E3" s="134"/>
      <c r="F3" s="134"/>
      <c r="G3" s="134"/>
      <c r="H3" s="134"/>
      <c r="I3" s="134"/>
      <c r="J3" s="134"/>
      <c r="K3" s="134"/>
      <c r="L3" s="134"/>
      <c r="M3" s="134"/>
      <c r="N3" s="134"/>
      <c r="O3" s="134"/>
      <c r="P3" s="134"/>
      <c r="Q3" s="134"/>
      <c r="R3" s="134"/>
      <c r="S3" s="440"/>
      <c r="T3" s="440"/>
      <c r="U3" s="440"/>
      <c r="V3" s="440"/>
      <c r="W3" s="440"/>
      <c r="X3" s="440"/>
      <c r="Y3" s="440"/>
      <c r="Z3" s="440"/>
      <c r="AA3" s="440"/>
      <c r="AB3" s="440"/>
      <c r="AC3" s="440"/>
      <c r="AD3" s="440"/>
      <c r="AE3" s="134"/>
      <c r="AF3" s="134"/>
      <c r="AG3" s="134"/>
      <c r="AH3" s="134"/>
      <c r="AI3" s="134"/>
      <c r="AJ3" s="134"/>
      <c r="AK3" s="134"/>
      <c r="AL3" s="134"/>
      <c r="AM3" s="134"/>
      <c r="AO3" s="1766"/>
      <c r="AP3" s="1766"/>
      <c r="AQ3" s="1766"/>
    </row>
    <row r="4" spans="1:43" ht="36" customHeight="1">
      <c r="A4" s="1766"/>
      <c r="B4" s="3847" t="s">
        <v>4069</v>
      </c>
      <c r="C4" s="3847"/>
      <c r="D4" s="3847"/>
      <c r="E4" s="3847"/>
      <c r="F4" s="3847"/>
      <c r="G4" s="3847"/>
      <c r="H4" s="3847"/>
      <c r="I4" s="3847"/>
      <c r="J4" s="3847"/>
      <c r="K4" s="3847"/>
      <c r="L4" s="3847"/>
      <c r="M4" s="3847"/>
      <c r="N4" s="3847"/>
      <c r="O4" s="3847"/>
      <c r="P4" s="3847"/>
      <c r="Q4" s="3847"/>
      <c r="R4" s="3847"/>
      <c r="S4" s="3848" t="s">
        <v>474</v>
      </c>
      <c r="T4" s="3848"/>
      <c r="U4" s="3848"/>
      <c r="V4" s="3848"/>
      <c r="W4" s="3848"/>
      <c r="X4" s="3848"/>
      <c r="Y4" s="3848"/>
      <c r="Z4" s="1561"/>
      <c r="AA4" s="1561"/>
      <c r="AB4" s="1561"/>
      <c r="AC4" s="1561"/>
      <c r="AD4" s="1561"/>
      <c r="AE4" s="1766"/>
      <c r="AF4" s="1766"/>
      <c r="AG4" s="1766"/>
      <c r="AH4" s="1766"/>
      <c r="AI4" s="1766"/>
      <c r="AJ4" s="1766"/>
      <c r="AK4" s="1768"/>
      <c r="AL4" s="1768"/>
      <c r="AM4" s="1768"/>
      <c r="AO4" s="1766"/>
      <c r="AP4" s="1562"/>
      <c r="AQ4" s="1561"/>
    </row>
    <row r="5" spans="1:43" ht="24" customHeight="1">
      <c r="A5" s="1766"/>
      <c r="B5" s="3847" t="s">
        <v>4070</v>
      </c>
      <c r="C5" s="3847"/>
      <c r="D5" s="3847"/>
      <c r="E5" s="3847"/>
      <c r="F5" s="3847"/>
      <c r="G5" s="3847"/>
      <c r="H5" s="3847"/>
      <c r="I5" s="3847"/>
      <c r="J5" s="3847"/>
      <c r="K5" s="3847"/>
      <c r="L5" s="3847"/>
      <c r="M5" s="3847"/>
      <c r="N5" s="3847"/>
      <c r="O5" s="3847"/>
      <c r="P5" s="3847"/>
      <c r="Q5" s="3847"/>
      <c r="R5" s="3847"/>
      <c r="S5" s="3847"/>
      <c r="T5" s="3847"/>
      <c r="U5" s="3847"/>
      <c r="V5" s="3847"/>
      <c r="W5" s="3847"/>
      <c r="X5" s="3847"/>
      <c r="Y5" s="3847"/>
      <c r="Z5" s="3847"/>
      <c r="AA5" s="3847"/>
      <c r="AB5" s="3847"/>
      <c r="AC5" s="3847"/>
      <c r="AD5" s="3847"/>
      <c r="AE5" s="3847"/>
      <c r="AF5" s="3847"/>
      <c r="AG5" s="3847"/>
      <c r="AH5" s="3847"/>
      <c r="AI5" s="3847"/>
      <c r="AJ5" s="3847"/>
      <c r="AK5" s="3847"/>
      <c r="AL5" s="3847"/>
      <c r="AM5" s="3847"/>
      <c r="AO5" s="1766"/>
      <c r="AP5" s="1562"/>
      <c r="AQ5" s="1561"/>
    </row>
    <row r="6" spans="1:43" ht="18" customHeight="1">
      <c r="A6" s="1766"/>
      <c r="B6" s="486"/>
      <c r="C6" s="486"/>
      <c r="D6" s="486"/>
      <c r="E6" s="486"/>
      <c r="F6" s="486"/>
      <c r="G6" s="486"/>
      <c r="H6" s="486"/>
      <c r="I6" s="486"/>
      <c r="J6" s="486"/>
      <c r="K6" s="486"/>
      <c r="L6" s="486"/>
      <c r="M6" s="486"/>
      <c r="N6" s="486"/>
      <c r="O6" s="486"/>
      <c r="P6" s="486"/>
      <c r="Q6" s="486"/>
      <c r="R6" s="486"/>
      <c r="S6" s="1765"/>
      <c r="T6" s="1765"/>
      <c r="U6" s="1765"/>
      <c r="V6" s="1765"/>
      <c r="W6" s="1765"/>
      <c r="X6" s="1765"/>
      <c r="Y6" s="1765"/>
      <c r="Z6" s="1765"/>
      <c r="AA6" s="1765"/>
      <c r="AB6" s="1765"/>
      <c r="AC6" s="1765"/>
      <c r="AD6" s="1765"/>
      <c r="AE6" s="486"/>
      <c r="AF6" s="486"/>
      <c r="AG6" s="486"/>
      <c r="AH6" s="486"/>
      <c r="AI6" s="486"/>
      <c r="AJ6" s="486"/>
      <c r="AK6" s="486"/>
      <c r="AL6" s="486"/>
      <c r="AM6" s="486"/>
      <c r="AO6" s="1766"/>
      <c r="AP6" s="1766"/>
      <c r="AQ6" s="1766"/>
    </row>
    <row r="7" spans="1:43" ht="18" customHeight="1">
      <c r="A7" s="1766"/>
      <c r="B7" s="3870" t="s">
        <v>4071</v>
      </c>
      <c r="C7" s="1777"/>
      <c r="D7" s="1778"/>
      <c r="E7" s="3865"/>
      <c r="F7" s="1861"/>
      <c r="G7" s="1861"/>
      <c r="H7" s="1861"/>
      <c r="I7" s="1861"/>
      <c r="J7" s="1861"/>
      <c r="K7" s="1861"/>
      <c r="L7" s="1861"/>
      <c r="M7" s="1861"/>
      <c r="N7" s="1861"/>
      <c r="O7" s="1861"/>
      <c r="P7" s="1861"/>
      <c r="Q7" s="1861"/>
      <c r="R7" s="1862"/>
      <c r="S7" s="3859" t="s">
        <v>4072</v>
      </c>
      <c r="T7" s="1777"/>
      <c r="U7" s="1777"/>
      <c r="V7" s="1778"/>
      <c r="W7" s="3864"/>
      <c r="X7" s="1861"/>
      <c r="Y7" s="1861"/>
      <c r="Z7" s="1862"/>
      <c r="AA7" s="3866" t="s">
        <v>4073</v>
      </c>
      <c r="AB7" s="1777"/>
      <c r="AC7" s="1777"/>
      <c r="AD7" s="1777"/>
      <c r="AE7" s="1777"/>
      <c r="AF7" s="1778"/>
      <c r="AG7" s="3872"/>
      <c r="AH7" s="1861"/>
      <c r="AI7" s="1861"/>
      <c r="AJ7" s="1861"/>
      <c r="AK7" s="1861"/>
      <c r="AL7" s="1861"/>
      <c r="AM7" s="1862"/>
      <c r="AO7" s="1766"/>
      <c r="AP7" s="1766"/>
      <c r="AQ7" s="1766"/>
    </row>
    <row r="8" spans="1:43" ht="18" customHeight="1">
      <c r="A8" s="1766"/>
      <c r="B8" s="3868" t="s">
        <v>4074</v>
      </c>
      <c r="C8" s="1777"/>
      <c r="D8" s="1777"/>
      <c r="E8" s="1778"/>
      <c r="F8" s="3867"/>
      <c r="G8" s="1861"/>
      <c r="H8" s="1861"/>
      <c r="I8" s="1861"/>
      <c r="J8" s="1861"/>
      <c r="K8" s="1861"/>
      <c r="L8" s="1861"/>
      <c r="M8" s="1861"/>
      <c r="N8" s="1861"/>
      <c r="O8" s="1861"/>
      <c r="P8" s="1862"/>
      <c r="Q8" s="3863" t="s">
        <v>2108</v>
      </c>
      <c r="R8" s="1778"/>
      <c r="S8" s="3869"/>
      <c r="T8" s="1861"/>
      <c r="U8" s="1861"/>
      <c r="V8" s="1861"/>
      <c r="W8" s="1861"/>
      <c r="X8" s="1861"/>
      <c r="Y8" s="1861"/>
      <c r="Z8" s="1861"/>
      <c r="AA8" s="1861"/>
      <c r="AB8" s="1861"/>
      <c r="AC8" s="1862"/>
      <c r="AD8" s="3863" t="s">
        <v>4075</v>
      </c>
      <c r="AE8" s="1777"/>
      <c r="AF8" s="1777"/>
      <c r="AG8" s="1778"/>
      <c r="AH8" s="3871"/>
      <c r="AI8" s="1861"/>
      <c r="AJ8" s="1861"/>
      <c r="AK8" s="1861"/>
      <c r="AL8" s="1861"/>
      <c r="AM8" s="1862"/>
      <c r="AO8" s="1766"/>
      <c r="AP8" s="1766"/>
      <c r="AQ8" s="1766"/>
    </row>
    <row r="9" spans="1:43" ht="63" customHeight="1">
      <c r="A9" s="1766"/>
      <c r="B9" s="3862" t="s">
        <v>4076</v>
      </c>
      <c r="C9" s="1861"/>
      <c r="D9" s="1861"/>
      <c r="E9" s="1861"/>
      <c r="F9" s="1861"/>
      <c r="G9" s="1861"/>
      <c r="H9" s="1861"/>
      <c r="I9" s="1861"/>
      <c r="J9" s="1861"/>
      <c r="K9" s="1861"/>
      <c r="L9" s="1861"/>
      <c r="M9" s="1861"/>
      <c r="N9" s="1861"/>
      <c r="O9" s="1861"/>
      <c r="P9" s="1861"/>
      <c r="Q9" s="1861"/>
      <c r="R9" s="1861"/>
      <c r="S9" s="1861"/>
      <c r="T9" s="1861"/>
      <c r="U9" s="1861"/>
      <c r="V9" s="1861"/>
      <c r="W9" s="1861"/>
      <c r="X9" s="1861"/>
      <c r="Y9" s="1861"/>
      <c r="Z9" s="1861"/>
      <c r="AA9" s="1861"/>
      <c r="AB9" s="1861"/>
      <c r="AC9" s="1861"/>
      <c r="AD9" s="1861"/>
      <c r="AE9" s="1861"/>
      <c r="AF9" s="1861"/>
      <c r="AG9" s="1861"/>
      <c r="AH9" s="1861"/>
      <c r="AI9" s="1861"/>
      <c r="AJ9" s="1861"/>
      <c r="AK9" s="1861"/>
      <c r="AL9" s="1861"/>
      <c r="AM9" s="1862"/>
      <c r="AN9" s="443"/>
      <c r="AO9" s="1766"/>
      <c r="AP9" s="1766"/>
      <c r="AQ9" s="1766"/>
    </row>
    <row r="10" spans="1:43" ht="54" customHeight="1">
      <c r="A10" s="1766"/>
      <c r="B10" s="3855" t="s">
        <v>4077</v>
      </c>
      <c r="C10" s="1778"/>
      <c r="D10" s="3855" t="s">
        <v>4078</v>
      </c>
      <c r="E10" s="1777"/>
      <c r="F10" s="1777"/>
      <c r="G10" s="1777"/>
      <c r="H10" s="1777"/>
      <c r="I10" s="1777"/>
      <c r="J10" s="1778"/>
      <c r="K10" s="3855" t="s">
        <v>4079</v>
      </c>
      <c r="L10" s="1777"/>
      <c r="M10" s="1777"/>
      <c r="N10" s="1778"/>
      <c r="O10" s="3855" t="s">
        <v>4080</v>
      </c>
      <c r="P10" s="1777"/>
      <c r="Q10" s="1777"/>
      <c r="R10" s="1777"/>
      <c r="S10" s="1777"/>
      <c r="T10" s="1777"/>
      <c r="U10" s="1777"/>
      <c r="V10" s="1777"/>
      <c r="W10" s="1777"/>
      <c r="X10" s="1777"/>
      <c r="Y10" s="1777"/>
      <c r="Z10" s="1777"/>
      <c r="AA10" s="1777"/>
      <c r="AB10" s="1777"/>
      <c r="AC10" s="1777"/>
      <c r="AD10" s="1777"/>
      <c r="AE10" s="1777"/>
      <c r="AF10" s="1777"/>
      <c r="AG10" s="1778"/>
      <c r="AH10" s="3855" t="s">
        <v>4081</v>
      </c>
      <c r="AI10" s="1777"/>
      <c r="AJ10" s="1778"/>
      <c r="AK10" s="3855" t="s">
        <v>4082</v>
      </c>
      <c r="AL10" s="1777"/>
      <c r="AM10" s="1778"/>
      <c r="AN10" s="1457" t="s">
        <v>4083</v>
      </c>
      <c r="AO10" s="1766"/>
      <c r="AP10" s="1766"/>
      <c r="AQ10" s="1766"/>
    </row>
    <row r="11" spans="1:43" ht="63" customHeight="1">
      <c r="A11" s="1766"/>
      <c r="B11" s="3861">
        <v>1</v>
      </c>
      <c r="C11" s="1778"/>
      <c r="D11" s="3856"/>
      <c r="E11" s="1861"/>
      <c r="F11" s="1861"/>
      <c r="G11" s="1861"/>
      <c r="H11" s="1861"/>
      <c r="I11" s="1861"/>
      <c r="J11" s="1862"/>
      <c r="K11" s="3854"/>
      <c r="L11" s="1861"/>
      <c r="M11" s="1861"/>
      <c r="N11" s="1861"/>
      <c r="O11" s="3858"/>
      <c r="P11" s="1861"/>
      <c r="Q11" s="1861"/>
      <c r="R11" s="1861"/>
      <c r="S11" s="1861"/>
      <c r="T11" s="1861"/>
      <c r="U11" s="1861"/>
      <c r="V11" s="1861"/>
      <c r="W11" s="1861"/>
      <c r="X11" s="1861"/>
      <c r="Y11" s="1861"/>
      <c r="Z11" s="1861"/>
      <c r="AA11" s="1861"/>
      <c r="AB11" s="1861"/>
      <c r="AC11" s="1861"/>
      <c r="AD11" s="1861"/>
      <c r="AE11" s="1861"/>
      <c r="AF11" s="1861"/>
      <c r="AG11" s="1862"/>
      <c r="AH11" s="3857"/>
      <c r="AI11" s="1861"/>
      <c r="AJ11" s="1862"/>
      <c r="AK11" s="3860"/>
      <c r="AL11" s="1777"/>
      <c r="AM11" s="1778"/>
      <c r="AN11" s="1458"/>
      <c r="AO11" s="1766"/>
      <c r="AP11" s="1766"/>
      <c r="AQ11" s="1766"/>
    </row>
    <row r="12" spans="1:43" ht="63" customHeight="1">
      <c r="A12" s="1766"/>
      <c r="B12" s="3853">
        <v>2</v>
      </c>
      <c r="C12" s="1778"/>
      <c r="D12" s="3856"/>
      <c r="E12" s="1861"/>
      <c r="F12" s="1861"/>
      <c r="G12" s="1861"/>
      <c r="H12" s="1861"/>
      <c r="I12" s="1861"/>
      <c r="J12" s="1862"/>
      <c r="K12" s="3854"/>
      <c r="L12" s="1861"/>
      <c r="M12" s="1861"/>
      <c r="N12" s="1861"/>
      <c r="O12" s="3858"/>
      <c r="P12" s="1861"/>
      <c r="Q12" s="1861"/>
      <c r="R12" s="1861"/>
      <c r="S12" s="1861"/>
      <c r="T12" s="1861"/>
      <c r="U12" s="1861"/>
      <c r="V12" s="1861"/>
      <c r="W12" s="1861"/>
      <c r="X12" s="1861"/>
      <c r="Y12" s="1861"/>
      <c r="Z12" s="1861"/>
      <c r="AA12" s="1861"/>
      <c r="AB12" s="1861"/>
      <c r="AC12" s="1861"/>
      <c r="AD12" s="1861"/>
      <c r="AE12" s="1861"/>
      <c r="AF12" s="1861"/>
      <c r="AG12" s="1862"/>
      <c r="AH12" s="3857"/>
      <c r="AI12" s="1861"/>
      <c r="AJ12" s="1862"/>
      <c r="AK12" s="3860"/>
      <c r="AL12" s="1777"/>
      <c r="AM12" s="1778"/>
      <c r="AN12" s="1458"/>
      <c r="AO12" s="1766"/>
      <c r="AP12" s="1766"/>
      <c r="AQ12" s="1766"/>
    </row>
    <row r="13" spans="1:43" ht="63" customHeight="1">
      <c r="A13" s="1766"/>
      <c r="B13" s="3861">
        <v>3</v>
      </c>
      <c r="C13" s="1778"/>
      <c r="D13" s="3856"/>
      <c r="E13" s="1861"/>
      <c r="F13" s="1861"/>
      <c r="G13" s="1861"/>
      <c r="H13" s="1861"/>
      <c r="I13" s="1861"/>
      <c r="J13" s="1862"/>
      <c r="K13" s="3854"/>
      <c r="L13" s="1861"/>
      <c r="M13" s="1861"/>
      <c r="N13" s="1861"/>
      <c r="O13" s="3858"/>
      <c r="P13" s="1861"/>
      <c r="Q13" s="1861"/>
      <c r="R13" s="1861"/>
      <c r="S13" s="1861"/>
      <c r="T13" s="1861"/>
      <c r="U13" s="1861"/>
      <c r="V13" s="1861"/>
      <c r="W13" s="1861"/>
      <c r="X13" s="1861"/>
      <c r="Y13" s="1861"/>
      <c r="Z13" s="1861"/>
      <c r="AA13" s="1861"/>
      <c r="AB13" s="1861"/>
      <c r="AC13" s="1861"/>
      <c r="AD13" s="1861"/>
      <c r="AE13" s="1861"/>
      <c r="AF13" s="1861"/>
      <c r="AG13" s="1862"/>
      <c r="AH13" s="3857"/>
      <c r="AI13" s="1861"/>
      <c r="AJ13" s="1862"/>
      <c r="AK13" s="3860"/>
      <c r="AL13" s="1777"/>
      <c r="AM13" s="1778"/>
      <c r="AN13" s="1458"/>
      <c r="AO13" s="1766"/>
      <c r="AP13" s="1766"/>
      <c r="AQ13" s="1766"/>
    </row>
    <row r="14" spans="1:43" ht="63" customHeight="1">
      <c r="A14" s="1766"/>
      <c r="B14" s="3853">
        <v>4</v>
      </c>
      <c r="C14" s="1778"/>
      <c r="D14" s="3856"/>
      <c r="E14" s="1861"/>
      <c r="F14" s="1861"/>
      <c r="G14" s="1861"/>
      <c r="H14" s="1861"/>
      <c r="I14" s="1861"/>
      <c r="J14" s="1862"/>
      <c r="K14" s="3854"/>
      <c r="L14" s="1861"/>
      <c r="M14" s="1861"/>
      <c r="N14" s="1861"/>
      <c r="O14" s="3858"/>
      <c r="P14" s="1861"/>
      <c r="Q14" s="1861"/>
      <c r="R14" s="1861"/>
      <c r="S14" s="1861"/>
      <c r="T14" s="1861"/>
      <c r="U14" s="1861"/>
      <c r="V14" s="1861"/>
      <c r="W14" s="1861"/>
      <c r="X14" s="1861"/>
      <c r="Y14" s="1861"/>
      <c r="Z14" s="1861"/>
      <c r="AA14" s="1861"/>
      <c r="AB14" s="1861"/>
      <c r="AC14" s="1861"/>
      <c r="AD14" s="1861"/>
      <c r="AE14" s="1861"/>
      <c r="AF14" s="1861"/>
      <c r="AG14" s="1862"/>
      <c r="AH14" s="3857"/>
      <c r="AI14" s="1861"/>
      <c r="AJ14" s="1862"/>
      <c r="AK14" s="3860"/>
      <c r="AL14" s="1777"/>
      <c r="AM14" s="1778"/>
      <c r="AN14" s="1458"/>
      <c r="AO14" s="1766"/>
      <c r="AP14" s="1766"/>
      <c r="AQ14" s="1766"/>
    </row>
    <row r="15" spans="1:43" ht="63" customHeight="1">
      <c r="A15" s="1766"/>
      <c r="B15" s="3861">
        <v>5</v>
      </c>
      <c r="C15" s="1778"/>
      <c r="D15" s="3856"/>
      <c r="E15" s="1861"/>
      <c r="F15" s="1861"/>
      <c r="G15" s="1861"/>
      <c r="H15" s="1861"/>
      <c r="I15" s="1861"/>
      <c r="J15" s="1862"/>
      <c r="K15" s="3854"/>
      <c r="L15" s="1861"/>
      <c r="M15" s="1861"/>
      <c r="N15" s="1861"/>
      <c r="O15" s="3858"/>
      <c r="P15" s="1861"/>
      <c r="Q15" s="1861"/>
      <c r="R15" s="1861"/>
      <c r="S15" s="1861"/>
      <c r="T15" s="1861"/>
      <c r="U15" s="1861"/>
      <c r="V15" s="1861"/>
      <c r="W15" s="1861"/>
      <c r="X15" s="1861"/>
      <c r="Y15" s="1861"/>
      <c r="Z15" s="1861"/>
      <c r="AA15" s="1861"/>
      <c r="AB15" s="1861"/>
      <c r="AC15" s="1861"/>
      <c r="AD15" s="1861"/>
      <c r="AE15" s="1861"/>
      <c r="AF15" s="1861"/>
      <c r="AG15" s="1862"/>
      <c r="AH15" s="3857"/>
      <c r="AI15" s="1861"/>
      <c r="AJ15" s="1862"/>
      <c r="AK15" s="3860"/>
      <c r="AL15" s="1777"/>
      <c r="AM15" s="1778"/>
      <c r="AN15" s="1458"/>
      <c r="AO15" s="1766"/>
      <c r="AP15" s="1766"/>
      <c r="AQ15" s="1766"/>
    </row>
    <row r="16" spans="1:43" ht="63" customHeight="1">
      <c r="A16" s="1766"/>
      <c r="B16" s="3853">
        <v>6</v>
      </c>
      <c r="C16" s="1778"/>
      <c r="D16" s="3856"/>
      <c r="E16" s="1861"/>
      <c r="F16" s="1861"/>
      <c r="G16" s="1861"/>
      <c r="H16" s="1861"/>
      <c r="I16" s="1861"/>
      <c r="J16" s="1862"/>
      <c r="K16" s="3854"/>
      <c r="L16" s="1861"/>
      <c r="M16" s="1861"/>
      <c r="N16" s="1861"/>
      <c r="O16" s="3858"/>
      <c r="P16" s="1861"/>
      <c r="Q16" s="1861"/>
      <c r="R16" s="1861"/>
      <c r="S16" s="1861"/>
      <c r="T16" s="1861"/>
      <c r="U16" s="1861"/>
      <c r="V16" s="1861"/>
      <c r="W16" s="1861"/>
      <c r="X16" s="1861"/>
      <c r="Y16" s="1861"/>
      <c r="Z16" s="1861"/>
      <c r="AA16" s="1861"/>
      <c r="AB16" s="1861"/>
      <c r="AC16" s="1861"/>
      <c r="AD16" s="1861"/>
      <c r="AE16" s="1861"/>
      <c r="AF16" s="1861"/>
      <c r="AG16" s="1862"/>
      <c r="AH16" s="3857"/>
      <c r="AI16" s="1861"/>
      <c r="AJ16" s="1862"/>
      <c r="AK16" s="3860"/>
      <c r="AL16" s="1777"/>
      <c r="AM16" s="1778"/>
      <c r="AN16" s="1458"/>
      <c r="AO16" s="1766"/>
      <c r="AP16" s="1766"/>
      <c r="AQ16" s="1766"/>
    </row>
    <row r="17" spans="1:43" ht="63" customHeight="1">
      <c r="A17" s="1766"/>
      <c r="B17" s="3861">
        <v>7</v>
      </c>
      <c r="C17" s="1778"/>
      <c r="D17" s="3856"/>
      <c r="E17" s="1861"/>
      <c r="F17" s="1861"/>
      <c r="G17" s="1861"/>
      <c r="H17" s="1861"/>
      <c r="I17" s="1861"/>
      <c r="J17" s="1862"/>
      <c r="K17" s="3854"/>
      <c r="L17" s="1861"/>
      <c r="M17" s="1861"/>
      <c r="N17" s="1861"/>
      <c r="O17" s="3858"/>
      <c r="P17" s="1861"/>
      <c r="Q17" s="1861"/>
      <c r="R17" s="1861"/>
      <c r="S17" s="1861"/>
      <c r="T17" s="1861"/>
      <c r="U17" s="1861"/>
      <c r="V17" s="1861"/>
      <c r="W17" s="1861"/>
      <c r="X17" s="1861"/>
      <c r="Y17" s="1861"/>
      <c r="Z17" s="1861"/>
      <c r="AA17" s="1861"/>
      <c r="AB17" s="1861"/>
      <c r="AC17" s="1861"/>
      <c r="AD17" s="1861"/>
      <c r="AE17" s="1861"/>
      <c r="AF17" s="1861"/>
      <c r="AG17" s="1862"/>
      <c r="AH17" s="3857"/>
      <c r="AI17" s="1861"/>
      <c r="AJ17" s="1862"/>
      <c r="AK17" s="3860"/>
      <c r="AL17" s="1777"/>
      <c r="AM17" s="1778"/>
      <c r="AN17" s="1458"/>
      <c r="AO17" s="1766"/>
      <c r="AP17" s="1766"/>
      <c r="AQ17" s="1766"/>
    </row>
    <row r="18" spans="1:43" ht="63" customHeight="1">
      <c r="A18" s="1766"/>
      <c r="B18" s="3861">
        <v>8</v>
      </c>
      <c r="C18" s="1778"/>
      <c r="D18" s="3856"/>
      <c r="E18" s="1861"/>
      <c r="F18" s="1861"/>
      <c r="G18" s="1861"/>
      <c r="H18" s="1861"/>
      <c r="I18" s="1861"/>
      <c r="J18" s="1862"/>
      <c r="K18" s="3854"/>
      <c r="L18" s="1861"/>
      <c r="M18" s="1861"/>
      <c r="N18" s="1861"/>
      <c r="O18" s="3858"/>
      <c r="P18" s="1861"/>
      <c r="Q18" s="1861"/>
      <c r="R18" s="1861"/>
      <c r="S18" s="1861"/>
      <c r="T18" s="1861"/>
      <c r="U18" s="1861"/>
      <c r="V18" s="1861"/>
      <c r="W18" s="1861"/>
      <c r="X18" s="1861"/>
      <c r="Y18" s="1861"/>
      <c r="Z18" s="1861"/>
      <c r="AA18" s="1861"/>
      <c r="AB18" s="1861"/>
      <c r="AC18" s="1861"/>
      <c r="AD18" s="1861"/>
      <c r="AE18" s="1861"/>
      <c r="AF18" s="1861"/>
      <c r="AG18" s="1862"/>
      <c r="AH18" s="3857"/>
      <c r="AI18" s="1861"/>
      <c r="AJ18" s="1862"/>
      <c r="AK18" s="3860"/>
      <c r="AL18" s="1777"/>
      <c r="AM18" s="1778"/>
      <c r="AN18" s="1458"/>
      <c r="AO18" s="1766"/>
      <c r="AP18" s="1766"/>
      <c r="AQ18" s="1766"/>
    </row>
    <row r="19" spans="1:43" ht="63" customHeight="1">
      <c r="A19" s="1766"/>
      <c r="B19" s="3861">
        <v>9</v>
      </c>
      <c r="C19" s="1778"/>
      <c r="D19" s="3856"/>
      <c r="E19" s="1861"/>
      <c r="F19" s="1861"/>
      <c r="G19" s="1861"/>
      <c r="H19" s="1861"/>
      <c r="I19" s="1861"/>
      <c r="J19" s="1862"/>
      <c r="K19" s="3854"/>
      <c r="L19" s="1861"/>
      <c r="M19" s="1861"/>
      <c r="N19" s="1861"/>
      <c r="O19" s="3858"/>
      <c r="P19" s="1861"/>
      <c r="Q19" s="1861"/>
      <c r="R19" s="1861"/>
      <c r="S19" s="1861"/>
      <c r="T19" s="1861"/>
      <c r="U19" s="1861"/>
      <c r="V19" s="1861"/>
      <c r="W19" s="1861"/>
      <c r="X19" s="1861"/>
      <c r="Y19" s="1861"/>
      <c r="Z19" s="1861"/>
      <c r="AA19" s="1861"/>
      <c r="AB19" s="1861"/>
      <c r="AC19" s="1861"/>
      <c r="AD19" s="1861"/>
      <c r="AE19" s="1861"/>
      <c r="AF19" s="1861"/>
      <c r="AG19" s="1862"/>
      <c r="AH19" s="3857"/>
      <c r="AI19" s="1861"/>
      <c r="AJ19" s="1862"/>
      <c r="AK19" s="3860"/>
      <c r="AL19" s="1777"/>
      <c r="AM19" s="1778"/>
      <c r="AN19" s="1458"/>
      <c r="AO19" s="1766"/>
      <c r="AP19" s="1766"/>
      <c r="AQ19" s="1766"/>
    </row>
    <row r="20" spans="1:43" ht="63" customHeight="1">
      <c r="A20" s="1766"/>
      <c r="B20" s="3853">
        <v>10</v>
      </c>
      <c r="C20" s="1778"/>
      <c r="D20" s="3856"/>
      <c r="E20" s="1861"/>
      <c r="F20" s="1861"/>
      <c r="G20" s="1861"/>
      <c r="H20" s="1861"/>
      <c r="I20" s="1861"/>
      <c r="J20" s="1862"/>
      <c r="K20" s="3854"/>
      <c r="L20" s="1861"/>
      <c r="M20" s="1861"/>
      <c r="N20" s="1861"/>
      <c r="O20" s="3858"/>
      <c r="P20" s="1861"/>
      <c r="Q20" s="1861"/>
      <c r="R20" s="1861"/>
      <c r="S20" s="1861"/>
      <c r="T20" s="1861"/>
      <c r="U20" s="1861"/>
      <c r="V20" s="1861"/>
      <c r="W20" s="1861"/>
      <c r="X20" s="1861"/>
      <c r="Y20" s="1861"/>
      <c r="Z20" s="1861"/>
      <c r="AA20" s="1861"/>
      <c r="AB20" s="1861"/>
      <c r="AC20" s="1861"/>
      <c r="AD20" s="1861"/>
      <c r="AE20" s="1861"/>
      <c r="AF20" s="1861"/>
      <c r="AG20" s="1862"/>
      <c r="AH20" s="3857"/>
      <c r="AI20" s="1861"/>
      <c r="AJ20" s="1862"/>
      <c r="AK20" s="3860"/>
      <c r="AL20" s="1777"/>
      <c r="AM20" s="1778"/>
      <c r="AN20" s="1458"/>
      <c r="AO20" s="1766"/>
      <c r="AP20" s="1766"/>
      <c r="AQ20" s="1766"/>
    </row>
    <row r="22" spans="1:43" ht="18" customHeight="1">
      <c r="A22" s="1766"/>
      <c r="B22" s="2529" t="s">
        <v>461</v>
      </c>
      <c r="C22" s="3850"/>
      <c r="D22" s="3850"/>
      <c r="E22" s="3850"/>
      <c r="F22" s="3850"/>
      <c r="G22" s="3850"/>
      <c r="H22" s="3850"/>
      <c r="I22" s="3850"/>
      <c r="J22" s="3850"/>
      <c r="K22" s="3850"/>
      <c r="L22" s="3850"/>
      <c r="M22" s="3850"/>
      <c r="N22" s="3850"/>
      <c r="O22" s="3850"/>
      <c r="P22" s="3850"/>
      <c r="Q22" s="3850"/>
      <c r="R22" s="3850"/>
      <c r="S22" s="3851"/>
      <c r="T22" s="3851"/>
      <c r="U22" s="3851"/>
      <c r="V22" s="3851"/>
      <c r="W22" s="3851"/>
      <c r="X22" s="3851"/>
      <c r="Y22" s="3851"/>
      <c r="Z22" s="3851"/>
      <c r="AA22" s="3851"/>
      <c r="AB22" s="3851"/>
      <c r="AC22" s="3851"/>
      <c r="AD22" s="3851"/>
      <c r="AE22" s="3850"/>
      <c r="AF22" s="3850"/>
      <c r="AG22" s="3850"/>
      <c r="AH22" s="3850"/>
      <c r="AI22" s="3850"/>
      <c r="AJ22" s="3850"/>
      <c r="AK22" s="3852"/>
      <c r="AL22" s="3852"/>
      <c r="AM22" s="3852"/>
      <c r="AO22" s="1766"/>
      <c r="AP22" s="1766"/>
      <c r="AQ22" s="1766"/>
    </row>
  </sheetData>
  <sheetProtection algorithmName="SHA-512" hashValue="HTkVlG0hkqRHodHNRiTf7sGL+buSlTxzoJUsE2MyGBbcjYrnRikUPxIS3v2Yegh4CxHoYkI4a6F9tbFKTbyhEA==" saltValue="lp0kW2UpOSAdFVPHw7mZgQ==" spinCount="100000" sheet="1" objects="1" scenarios="1"/>
  <mergeCells count="84">
    <mergeCell ref="AD8:AG8"/>
    <mergeCell ref="B5:AM5"/>
    <mergeCell ref="W7:Z7"/>
    <mergeCell ref="E7:R7"/>
    <mergeCell ref="AA7:AF7"/>
    <mergeCell ref="F8:P8"/>
    <mergeCell ref="B8:E8"/>
    <mergeCell ref="Q8:R8"/>
    <mergeCell ref="S8:AC8"/>
    <mergeCell ref="B7:D7"/>
    <mergeCell ref="AH8:AM8"/>
    <mergeCell ref="AG7:AM7"/>
    <mergeCell ref="B15:C15"/>
    <mergeCell ref="D11:J11"/>
    <mergeCell ref="D10:J10"/>
    <mergeCell ref="B22:AM22"/>
    <mergeCell ref="D20:J20"/>
    <mergeCell ref="O11:AG11"/>
    <mergeCell ref="B14:C14"/>
    <mergeCell ref="O20:AG20"/>
    <mergeCell ref="O10:AG10"/>
    <mergeCell ref="AK18:AM18"/>
    <mergeCell ref="D12:J12"/>
    <mergeCell ref="AH13:AJ13"/>
    <mergeCell ref="AK20:AM20"/>
    <mergeCell ref="AH15:AJ15"/>
    <mergeCell ref="AK13:AM13"/>
    <mergeCell ref="B17:C17"/>
    <mergeCell ref="B19:C19"/>
    <mergeCell ref="AK12:AM12"/>
    <mergeCell ref="K14:N14"/>
    <mergeCell ref="B12:C12"/>
    <mergeCell ref="O14:AG14"/>
    <mergeCell ref="K16:N16"/>
    <mergeCell ref="AH17:AJ17"/>
    <mergeCell ref="O16:AG16"/>
    <mergeCell ref="O19:AG19"/>
    <mergeCell ref="B16:C16"/>
    <mergeCell ref="D18:J18"/>
    <mergeCell ref="AK19:AM19"/>
    <mergeCell ref="K18:N18"/>
    <mergeCell ref="D13:J13"/>
    <mergeCell ref="O13:AG13"/>
    <mergeCell ref="AK17:AM17"/>
    <mergeCell ref="B18:C18"/>
    <mergeCell ref="K10:N10"/>
    <mergeCell ref="K17:N17"/>
    <mergeCell ref="B9:AM9"/>
    <mergeCell ref="B11:C11"/>
    <mergeCell ref="AH14:AJ14"/>
    <mergeCell ref="D14:J14"/>
    <mergeCell ref="K13:N13"/>
    <mergeCell ref="K15:N15"/>
    <mergeCell ref="AK16:AM16"/>
    <mergeCell ref="AH11:AJ11"/>
    <mergeCell ref="AK14:AM14"/>
    <mergeCell ref="K11:N11"/>
    <mergeCell ref="B13:C13"/>
    <mergeCell ref="AK10:AM10"/>
    <mergeCell ref="AK15:AM15"/>
    <mergeCell ref="K19:N19"/>
    <mergeCell ref="AH12:AJ12"/>
    <mergeCell ref="K20:N20"/>
    <mergeCell ref="D15:J15"/>
    <mergeCell ref="AH19:AJ19"/>
    <mergeCell ref="D16:J16"/>
    <mergeCell ref="AH16:AJ16"/>
    <mergeCell ref="O15:AG15"/>
    <mergeCell ref="B4:R4"/>
    <mergeCell ref="S4:Y4"/>
    <mergeCell ref="B2:AM2"/>
    <mergeCell ref="B20:C20"/>
    <mergeCell ref="K12:N12"/>
    <mergeCell ref="B10:C10"/>
    <mergeCell ref="D17:J17"/>
    <mergeCell ref="AH18:AJ18"/>
    <mergeCell ref="O17:AG17"/>
    <mergeCell ref="S7:V7"/>
    <mergeCell ref="D19:J19"/>
    <mergeCell ref="AH20:AJ20"/>
    <mergeCell ref="AH10:AJ10"/>
    <mergeCell ref="O18:AG18"/>
    <mergeCell ref="O12:AG12"/>
    <mergeCell ref="AK11:AM11"/>
  </mergeCells>
  <conditionalFormatting sqref="AH11 AK11">
    <cfRule type="cellIs" dxfId="35" priority="304" operator="equal">
      <formula>"High"</formula>
    </cfRule>
    <cfRule type="cellIs" dxfId="34" priority="305" operator="equal">
      <formula>"Medium"</formula>
    </cfRule>
    <cfRule type="cellIs" dxfId="33" priority="306" operator="equal">
      <formula>"Low"</formula>
    </cfRule>
  </conditionalFormatting>
  <conditionalFormatting sqref="AK11">
    <cfRule type="cellIs" dxfId="32" priority="301" operator="equal">
      <formula>"Research"</formula>
    </cfRule>
    <cfRule type="cellIs" dxfId="31" priority="302" operator="equal">
      <formula>"In Process"</formula>
    </cfRule>
    <cfRule type="cellIs" dxfId="30" priority="303" operator="equal">
      <formula>"Resolved"</formula>
    </cfRule>
  </conditionalFormatting>
  <conditionalFormatting sqref="AH12 AK12">
    <cfRule type="cellIs" dxfId="29" priority="298" operator="equal">
      <formula>"High"</formula>
    </cfRule>
    <cfRule type="cellIs" dxfId="28" priority="299" operator="equal">
      <formula>"Medium"</formula>
    </cfRule>
    <cfRule type="cellIs" dxfId="27" priority="300" operator="equal">
      <formula>"Low"</formula>
    </cfRule>
  </conditionalFormatting>
  <conditionalFormatting sqref="AK12">
    <cfRule type="cellIs" dxfId="26" priority="295" operator="equal">
      <formula>"Research"</formula>
    </cfRule>
    <cfRule type="cellIs" dxfId="25" priority="296" operator="equal">
      <formula>"In Process"</formula>
    </cfRule>
    <cfRule type="cellIs" dxfId="24" priority="297" operator="equal">
      <formula>"Resolved"</formula>
    </cfRule>
  </conditionalFormatting>
  <conditionalFormatting sqref="AH13 AK13">
    <cfRule type="cellIs" dxfId="23" priority="286" operator="equal">
      <formula>"High"</formula>
    </cfRule>
    <cfRule type="cellIs" dxfId="22" priority="287" operator="equal">
      <formula>"Medium"</formula>
    </cfRule>
    <cfRule type="cellIs" dxfId="21" priority="288" operator="equal">
      <formula>"Low"</formula>
    </cfRule>
  </conditionalFormatting>
  <conditionalFormatting sqref="AK13">
    <cfRule type="cellIs" dxfId="20" priority="283" operator="equal">
      <formula>"Research"</formula>
    </cfRule>
    <cfRule type="cellIs" dxfId="19" priority="284" operator="equal">
      <formula>"In Process"</formula>
    </cfRule>
    <cfRule type="cellIs" dxfId="18" priority="285" operator="equal">
      <formula>"Resolved"</formula>
    </cfRule>
  </conditionalFormatting>
  <conditionalFormatting sqref="AH14:AH15 AK14:AK15">
    <cfRule type="cellIs" dxfId="17" priority="274" operator="equal">
      <formula>"High"</formula>
    </cfRule>
    <cfRule type="cellIs" dxfId="16" priority="275" operator="equal">
      <formula>"Medium"</formula>
    </cfRule>
    <cfRule type="cellIs" dxfId="15" priority="276" operator="equal">
      <formula>"Low"</formula>
    </cfRule>
  </conditionalFormatting>
  <conditionalFormatting sqref="AK14:AK15">
    <cfRule type="cellIs" dxfId="14" priority="271" operator="equal">
      <formula>"Research"</formula>
    </cfRule>
    <cfRule type="cellIs" dxfId="13" priority="272" operator="equal">
      <formula>"In Process"</formula>
    </cfRule>
    <cfRule type="cellIs" dxfId="12" priority="273" operator="equal">
      <formula>"Resolved"</formula>
    </cfRule>
  </conditionalFormatting>
  <conditionalFormatting sqref="AH16:AH17 AK16:AK17">
    <cfRule type="cellIs" dxfId="11" priority="262" operator="equal">
      <formula>"High"</formula>
    </cfRule>
    <cfRule type="cellIs" dxfId="10" priority="263" operator="equal">
      <formula>"Medium"</formula>
    </cfRule>
    <cfRule type="cellIs" dxfId="9" priority="264" operator="equal">
      <formula>"Low"</formula>
    </cfRule>
  </conditionalFormatting>
  <conditionalFormatting sqref="AK16:AK17">
    <cfRule type="cellIs" dxfId="8" priority="259" operator="equal">
      <formula>"Research"</formula>
    </cfRule>
    <cfRule type="cellIs" dxfId="7" priority="260" operator="equal">
      <formula>"In Process"</formula>
    </cfRule>
    <cfRule type="cellIs" dxfId="6" priority="261" operator="equal">
      <formula>"Resolved"</formula>
    </cfRule>
  </conditionalFormatting>
  <conditionalFormatting sqref="AH18:AH20 AK18:AK20">
    <cfRule type="cellIs" dxfId="5" priority="10" operator="equal">
      <formula>"High"</formula>
    </cfRule>
    <cfRule type="cellIs" dxfId="4" priority="11" operator="equal">
      <formula>"Medium"</formula>
    </cfRule>
    <cfRule type="cellIs" dxfId="3" priority="12" operator="equal">
      <formula>"Low"</formula>
    </cfRule>
  </conditionalFormatting>
  <conditionalFormatting sqref="AK18:AK20">
    <cfRule type="cellIs" dxfId="2" priority="7" operator="equal">
      <formula>"Research"</formula>
    </cfRule>
    <cfRule type="cellIs" dxfId="1" priority="8" operator="equal">
      <formula>"In Process"</formula>
    </cfRule>
    <cfRule type="cellIs" dxfId="0" priority="9" operator="equal">
      <formula>"Resolved"</formula>
    </cfRule>
  </conditionalFormatting>
  <dataValidations count="2">
    <dataValidation type="list" allowBlank="1" showInputMessage="1" showErrorMessage="1" sqref="AK11:AK20" xr:uid="{00000000-0002-0000-2700-000000000000}">
      <formula1>"Resolved, In Process, Research"</formula1>
    </dataValidation>
    <dataValidation type="list" allowBlank="1" showInputMessage="1" showErrorMessage="1" sqref="AH11:AJ20" xr:uid="{00000000-0002-0000-2700-000001000000}">
      <formula1>"High, Medium, Low, General Comment, Suggestion"</formula1>
    </dataValidation>
  </dataValidations>
  <hyperlinks>
    <hyperlink ref="S4" r:id="rId1" xr:uid="{2F67C987-789D-4D8B-A39B-BF1AE1A4A83E}"/>
  </hyperlinks>
  <printOptions horizontalCentered="1"/>
  <pageMargins left="0" right="0.25" top="0" bottom="0" header="0.25" footer="0.25"/>
  <pageSetup scale="65" orientation="portrait" r:id="rId2"/>
  <headerFooter>
    <oddFooter>&amp;L&amp;F&amp;C&amp;P of &amp;N&amp;R &amp;A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Notes xmlns="408baf68-eda8-4737-9fd0-3a9cf9a1120a" xsi:nil="true"/>
    <_ip_UnifiedCompliancePolicyProperties xmlns="http://schemas.microsoft.com/sharepoint/v3" xsi:nil="true"/>
    <lcf76f155ced4ddcb4097134ff3c332f xmlns="408baf68-eda8-4737-9fd0-3a9cf9a1120a">
      <Terms xmlns="http://schemas.microsoft.com/office/infopath/2007/PartnerControls"/>
    </lcf76f155ced4ddcb4097134ff3c332f>
    <TaxCatchAll xmlns="b81d817a-1478-46c7-a8b0-e0874bfd524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AE94DA1C469AC34BA355C8248406E48A" ma:contentTypeVersion="19" ma:contentTypeDescription="Create a new document." ma:contentTypeScope="" ma:versionID="aaadb69b2cda2c1ff981ccc68f633fdf">
  <xsd:schema xmlns:xsd="http://www.w3.org/2001/XMLSchema" xmlns:xs="http://www.w3.org/2001/XMLSchema" xmlns:p="http://schemas.microsoft.com/office/2006/metadata/properties" xmlns:ns1="http://schemas.microsoft.com/sharepoint/v3" xmlns:ns2="408baf68-eda8-4737-9fd0-3a9cf9a1120a" xmlns:ns3="b81d817a-1478-46c7-a8b0-e0874bfd524c" targetNamespace="http://schemas.microsoft.com/office/2006/metadata/properties" ma:root="true" ma:fieldsID="625b026340c48628282e167f24e7e8de" ns1:_="" ns2:_="" ns3:_="">
    <xsd:import namespace="http://schemas.microsoft.com/sharepoint/v3"/>
    <xsd:import namespace="408baf68-eda8-4737-9fd0-3a9cf9a1120a"/>
    <xsd:import namespace="b81d817a-1478-46c7-a8b0-e0874bfd524c"/>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1:_ip_UnifiedCompliancePolicyProperties" minOccurs="0"/>
                <xsd:element ref="ns1:_ip_UnifiedCompliancePolicyUIAction" minOccurs="0"/>
                <xsd:element ref="ns3:SharedWithUsers" minOccurs="0"/>
                <xsd:element ref="ns3:SharedWithDetails" minOccurs="0"/>
                <xsd:element ref="ns2:MediaLengthInSeconds" minOccurs="0"/>
                <xsd:element ref="ns2:MediaServiceSearchProperties" minOccurs="0"/>
                <xsd:element ref="ns2:Not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9" nillable="true" ma:displayName="Unified Compliance Policy Properties" ma:hidden="true" ma:internalName="_ip_UnifiedCompliancePolicyProperties">
      <xsd:simpleType>
        <xsd:restriction base="dms:Note"/>
      </xsd:simpleType>
    </xsd:element>
    <xsd:element name="_ip_UnifiedCompliancePolicyUIAction" ma:index="20"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408baf68-eda8-4737-9fd0-3a9cf9a1120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1f3bbd73-d9da-4b59-89ef-5a1da660cdfb"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description="" ma:indexed="true" ma:internalName="MediaServiceLocation" ma:readOnly="true">
      <xsd:simpleType>
        <xsd:restriction base="dms:Text"/>
      </xsd:simpleType>
    </xsd:element>
    <xsd:element name="MediaLengthInSeconds" ma:index="23" nillable="true" ma:displayName="MediaLengthInSeconds" ma:hidden="true" ma:internalName="MediaLengthInSeconds" ma:readOnly="true">
      <xsd:simpleType>
        <xsd:restriction base="dms:Unknown"/>
      </xsd:simpleType>
    </xsd:element>
    <xsd:element name="MediaServiceSearchProperties" ma:index="24" nillable="true" ma:displayName="MediaServiceSearchProperties" ma:hidden="true" ma:internalName="MediaServiceSearchProperties" ma:readOnly="true">
      <xsd:simpleType>
        <xsd:restriction base="dms:Note"/>
      </xsd:simpleType>
    </xsd:element>
    <xsd:element name="Notes" ma:index="25" nillable="true" ma:displayName="Notes" ma:format="Dropdown" ma:internalName="Notes">
      <xsd:simpleType>
        <xsd:restriction base="dms:Note">
          <xsd:maxLength value="255"/>
        </xsd:restriction>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81d817a-1478-46c7-a8b0-e0874bfd524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f748684e-ac9a-493b-8296-316a972f0062}" ma:internalName="TaxCatchAll" ma:showField="CatchAllData" ma:web="b81d817a-1478-46c7-a8b0-e0874bfd524c">
      <xsd:complexType>
        <xsd:complexContent>
          <xsd:extension base="dms:MultiChoiceLookup">
            <xsd:sequence>
              <xsd:element name="Value" type="dms:Lookup" maxOccurs="unbounded" minOccurs="0" nillable="true"/>
            </xsd:sequence>
          </xsd:extension>
        </xsd:complexContent>
      </xsd:complexType>
    </xsd:element>
    <xsd:element name="SharedWithUsers" ma:index="21"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2"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F463216-34A1-4463-8EEF-54B50CFA0551}">
  <ds:schemaRefs>
    <ds:schemaRef ds:uri="http://schemas.openxmlformats.org/package/2006/metadata/core-properties"/>
    <ds:schemaRef ds:uri="http://purl.org/dc/terms/"/>
    <ds:schemaRef ds:uri="http://schemas.microsoft.com/office/2006/metadata/properties"/>
    <ds:schemaRef ds:uri="http://purl.org/dc/dcmitype/"/>
    <ds:schemaRef ds:uri="http://www.w3.org/XML/1998/namespace"/>
    <ds:schemaRef ds:uri="http://schemas.microsoft.com/office/infopath/2007/PartnerControls"/>
    <ds:schemaRef ds:uri="http://schemas.microsoft.com/office/2006/documentManagement/types"/>
    <ds:schemaRef ds:uri="b81d817a-1478-46c7-a8b0-e0874bfd524c"/>
    <ds:schemaRef ds:uri="408baf68-eda8-4737-9fd0-3a9cf9a1120a"/>
    <ds:schemaRef ds:uri="http://schemas.microsoft.com/sharepoint/v3"/>
    <ds:schemaRef ds:uri="http://purl.org/dc/elements/1.1/"/>
  </ds:schemaRefs>
</ds:datastoreItem>
</file>

<file path=customXml/itemProps2.xml><?xml version="1.0" encoding="utf-8"?>
<ds:datastoreItem xmlns:ds="http://schemas.openxmlformats.org/officeDocument/2006/customXml" ds:itemID="{63E5B70A-DB92-4474-BCC7-0BD47DA4880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08baf68-eda8-4737-9fd0-3a9cf9a1120a"/>
    <ds:schemaRef ds:uri="b81d817a-1478-46c7-a8b0-e0874bfd524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F1EFD4B-AFAE-499E-8592-5817648AEB16}">
  <ds:schemaRefs>
    <ds:schemaRef ds:uri="http://schemas.microsoft.com/sharepoint/v3/contenttype/forms"/>
  </ds:schemaRefs>
</ds:datastoreItem>
</file>

<file path=docMetadata/LabelInfo.xml><?xml version="1.0" encoding="utf-8"?>
<clbl:labelList xmlns:clbl="http://schemas.microsoft.com/office/2020/mipLabelMetadata">
  <clbl:label id="{2b828646-b037-4fe7-8415-e935cd34cf96}" enabled="0" method="" siteId="{2b828646-b037-4fe7-8415-e935cd34cf96}"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38</vt:i4>
      </vt:variant>
      <vt:variant>
        <vt:lpstr>Named Ranges</vt:lpstr>
      </vt:variant>
      <vt:variant>
        <vt:i4>172</vt:i4>
      </vt:variant>
    </vt:vector>
  </HeadingPairs>
  <TitlesOfParts>
    <vt:vector size="210" baseType="lpstr">
      <vt:lpstr>Dropdowns</vt:lpstr>
      <vt:lpstr>Lists</vt:lpstr>
      <vt:lpstr>Visibility</vt:lpstr>
      <vt:lpstr>Cover Page</vt:lpstr>
      <vt:lpstr>Instructions</vt:lpstr>
      <vt:lpstr>Application Certifications</vt:lpstr>
      <vt:lpstr>Project Overview</vt:lpstr>
      <vt:lpstr>Contact List</vt:lpstr>
      <vt:lpstr>Development Sources</vt:lpstr>
      <vt:lpstr>Development Budget</vt:lpstr>
      <vt:lpstr>Sponsor History</vt:lpstr>
      <vt:lpstr>Max Loan and Grant Amounts</vt:lpstr>
      <vt:lpstr>Gap Eligibility</vt:lpstr>
      <vt:lpstr>Unit Mix</vt:lpstr>
      <vt:lpstr>Operating Budget</vt:lpstr>
      <vt:lpstr>Supportive Services Costs</vt:lpstr>
      <vt:lpstr>HCD Reserves Calculator</vt:lpstr>
      <vt:lpstr>Cash Flow</vt:lpstr>
      <vt:lpstr>VHHP Threshold Requirements</vt:lpstr>
      <vt:lpstr>VHHP Program Requirements</vt:lpstr>
      <vt:lpstr>VHHP Resident Services Coord</vt:lpstr>
      <vt:lpstr>VHHP - Supportive Services Plan</vt:lpstr>
      <vt:lpstr>SHMHP or TOD Requirements</vt:lpstr>
      <vt:lpstr>MHP Threshold Requirements</vt:lpstr>
      <vt:lpstr>MHP - Supportive Services Plan</vt:lpstr>
      <vt:lpstr>At High Risk Req</vt:lpstr>
      <vt:lpstr>SH &amp; SNP Exp</vt:lpstr>
      <vt:lpstr>Supportive Services Verif</vt:lpstr>
      <vt:lpstr>FWHG Threshold Requirements</vt:lpstr>
      <vt:lpstr>IIG Threshold Requirements</vt:lpstr>
      <vt:lpstr>Developer Fee</vt:lpstr>
      <vt:lpstr>High-Cost Verification</vt:lpstr>
      <vt:lpstr>Scoring</vt:lpstr>
      <vt:lpstr>Local Enviro Verification</vt:lpstr>
      <vt:lpstr>Entity Org Docs</vt:lpstr>
      <vt:lpstr>Sponsor Certification</vt:lpstr>
      <vt:lpstr>Document Checklist-Full List</vt:lpstr>
      <vt:lpstr>Application Support</vt:lpstr>
      <vt:lpstr>AppDueDate</vt:lpstr>
      <vt:lpstr>BIPOC</vt:lpstr>
      <vt:lpstr>CapilizedValue</vt:lpstr>
      <vt:lpstr>COSRno</vt:lpstr>
      <vt:lpstr>COSRUnits</vt:lpstr>
      <vt:lpstr>COSRyes</vt:lpstr>
      <vt:lpstr>County</vt:lpstr>
      <vt:lpstr>CountyNumber</vt:lpstr>
      <vt:lpstr>EDFundingTarget</vt:lpstr>
      <vt:lpstr>FedTiebreakerWeights</vt:lpstr>
      <vt:lpstr>HRArea</vt:lpstr>
      <vt:lpstr>HRCategory</vt:lpstr>
      <vt:lpstr>IsAtHighRisk</vt:lpstr>
      <vt:lpstr>IsCIP</vt:lpstr>
      <vt:lpstr>IsFarmworker</vt:lpstr>
      <vt:lpstr>IsIig</vt:lpstr>
      <vt:lpstr>IsLargeFamily</vt:lpstr>
      <vt:lpstr>IsLF</vt:lpstr>
      <vt:lpstr>IsMhp</vt:lpstr>
      <vt:lpstr>IsNcNonTargetP</vt:lpstr>
      <vt:lpstr>IsPrograms</vt:lpstr>
      <vt:lpstr>IsSenior</vt:lpstr>
      <vt:lpstr>IsSerna</vt:lpstr>
      <vt:lpstr>IsSH</vt:lpstr>
      <vt:lpstr>IsShmhp</vt:lpstr>
      <vt:lpstr>IsSpecialNeeds</vt:lpstr>
      <vt:lpstr>IsTH</vt:lpstr>
      <vt:lpstr>IsTod</vt:lpstr>
      <vt:lpstr>IsVhhp</vt:lpstr>
      <vt:lpstr>LargeFamily</vt:lpstr>
      <vt:lpstr>Lists!ListCounties</vt:lpstr>
      <vt:lpstr>ListEligibleSponsorTypes</vt:lpstr>
      <vt:lpstr>Lists!ListObligationTypes</vt:lpstr>
      <vt:lpstr>Lists!ListOpportunityAreas</vt:lpstr>
      <vt:lpstr>Lists!ListSiteControlMethods</vt:lpstr>
      <vt:lpstr>Lists!ListSourceTypes</vt:lpstr>
      <vt:lpstr>LOE</vt:lpstr>
      <vt:lpstr>ManagerUnits</vt:lpstr>
      <vt:lpstr>MediCalSetAside</vt:lpstr>
      <vt:lpstr>MHPCOSR</vt:lpstr>
      <vt:lpstr>MHPCOSRYes</vt:lpstr>
      <vt:lpstr>OnsiteSpace</vt:lpstr>
      <vt:lpstr>OtherHCDfunds</vt:lpstr>
      <vt:lpstr>'Application Certifications'!Print_Area</vt:lpstr>
      <vt:lpstr>'Application Support'!Print_Area</vt:lpstr>
      <vt:lpstr>'At High Risk Req'!Print_Area</vt:lpstr>
      <vt:lpstr>'Cash Flow'!Print_Area</vt:lpstr>
      <vt:lpstr>'Contact List'!Print_Area</vt:lpstr>
      <vt:lpstr>'Cover Page'!Print_Area</vt:lpstr>
      <vt:lpstr>'Development Budget'!Print_Area</vt:lpstr>
      <vt:lpstr>'Development Sources'!Print_Area</vt:lpstr>
      <vt:lpstr>'Document Checklist-Full List'!Print_Area</vt:lpstr>
      <vt:lpstr>'Entity Org Docs'!Print_Area</vt:lpstr>
      <vt:lpstr>'Gap Eligibility'!Print_Area</vt:lpstr>
      <vt:lpstr>'HCD Reserves Calculator'!Print_Area</vt:lpstr>
      <vt:lpstr>'High-Cost Verification'!Print_Area</vt:lpstr>
      <vt:lpstr>Instructions!Print_Area</vt:lpstr>
      <vt:lpstr>'Local Enviro Verification'!Print_Area</vt:lpstr>
      <vt:lpstr>'MHP - Supportive Services Plan'!Print_Area</vt:lpstr>
      <vt:lpstr>'Operating Budget'!Print_Area</vt:lpstr>
      <vt:lpstr>'Project Overview'!Print_Area</vt:lpstr>
      <vt:lpstr>Scoring!Print_Area</vt:lpstr>
      <vt:lpstr>'SH &amp; SNP Exp'!Print_Area</vt:lpstr>
      <vt:lpstr>'Sponsor Certification'!Print_Area</vt:lpstr>
      <vt:lpstr>'Supportive Services Costs'!Print_Area</vt:lpstr>
      <vt:lpstr>'Supportive Services Verif'!Print_Area</vt:lpstr>
      <vt:lpstr>'VHHP - Supportive Services Plan'!Print_Area</vt:lpstr>
      <vt:lpstr>'Development Budget'!Print_Titles</vt:lpstr>
      <vt:lpstr>'Development Sources'!Print_Titles</vt:lpstr>
      <vt:lpstr>'Document Checklist-Full List'!Print_Titles</vt:lpstr>
      <vt:lpstr>'VHHP Resident Services Coord'!Print_Titles</vt:lpstr>
      <vt:lpstr>'Gap Eligibility'!Priority_Selected</vt:lpstr>
      <vt:lpstr>projectdevtype</vt:lpstr>
      <vt:lpstr>ProjectName</vt:lpstr>
      <vt:lpstr>ProRata</vt:lpstr>
      <vt:lpstr>RestrictionChoices</vt:lpstr>
      <vt:lpstr>SizeFactors</vt:lpstr>
      <vt:lpstr>Sizes</vt:lpstr>
      <vt:lpstr>Taxcredit</vt:lpstr>
      <vt:lpstr>TieBreakerWeights</vt:lpstr>
      <vt:lpstr>TotalRestrictedUnits</vt:lpstr>
      <vt:lpstr>TotalUnits</vt:lpstr>
      <vt:lpstr>vm180days2</vt:lpstr>
      <vt:lpstr>vmADM2403</vt:lpstr>
      <vt:lpstr>vmAGP1</vt:lpstr>
      <vt:lpstr>vmAGP2</vt:lpstr>
      <vt:lpstr>vmAICP</vt:lpstr>
      <vt:lpstr>vmALW</vt:lpstr>
      <vt:lpstr>vmAtHighRisk</vt:lpstr>
      <vt:lpstr>vmCApplication</vt:lpstr>
      <vt:lpstr>vmCBD</vt:lpstr>
      <vt:lpstr>vmCBD2</vt:lpstr>
      <vt:lpstr>vmCF</vt:lpstr>
      <vt:lpstr>vmCIP</vt:lpstr>
      <vt:lpstr>vmCommercialSpace</vt:lpstr>
      <vt:lpstr>vmConditionApproval</vt:lpstr>
      <vt:lpstr>vmDesignatedTodArea</vt:lpstr>
      <vt:lpstr>vmDF</vt:lpstr>
      <vt:lpstr>vmED</vt:lpstr>
      <vt:lpstr>vmED2</vt:lpstr>
      <vt:lpstr>vmEDCBDExp</vt:lpstr>
      <vt:lpstr>vmExperienceRely</vt:lpstr>
      <vt:lpstr>vmFarmworker</vt:lpstr>
      <vt:lpstr>vmFWHGHybrid</vt:lpstr>
      <vt:lpstr>vmFWHGProposedRents</vt:lpstr>
      <vt:lpstr>vmGroundLease</vt:lpstr>
      <vt:lpstr>vmHCBA</vt:lpstr>
      <vt:lpstr>vmHighE</vt:lpstr>
      <vt:lpstr>vmHousingFirst</vt:lpstr>
      <vt:lpstr>vmIIGProposedRents</vt:lpstr>
      <vt:lpstr>vmIndianCountry</vt:lpstr>
      <vt:lpstr>vmIsHHC</vt:lpstr>
      <vt:lpstr>vmIsIig</vt:lpstr>
      <vt:lpstr>vmIsMhp</vt:lpstr>
      <vt:lpstr>vmIsSerna</vt:lpstr>
      <vt:lpstr>vmIsShmhp</vt:lpstr>
      <vt:lpstr>vmIsTod</vt:lpstr>
      <vt:lpstr>vmIsVhhp</vt:lpstr>
      <vt:lpstr>vmLargeFamily</vt:lpstr>
      <vt:lpstr>vmLD</vt:lpstr>
      <vt:lpstr>vmLoanDD</vt:lpstr>
      <vt:lpstr>vmLSPPAgreement</vt:lpstr>
      <vt:lpstr>vmLUA</vt:lpstr>
      <vt:lpstr>vmManagerLLC</vt:lpstr>
      <vt:lpstr>vmMApproval</vt:lpstr>
      <vt:lpstr>vmMGP</vt:lpstr>
      <vt:lpstr>vmMhpHybrid</vt:lpstr>
      <vt:lpstr>vmMHPProposedRents</vt:lpstr>
      <vt:lpstr>vmMHPSSR</vt:lpstr>
      <vt:lpstr>vmNcNonTargetP</vt:lpstr>
      <vt:lpstr>vmNDE</vt:lpstr>
      <vt:lpstr>vmNER</vt:lpstr>
      <vt:lpstr>vmNetDensity</vt:lpstr>
      <vt:lpstr>vmOCL</vt:lpstr>
      <vt:lpstr>vmOCL2</vt:lpstr>
      <vt:lpstr>vmOOA</vt:lpstr>
      <vt:lpstr>vmOtherThanSHandTC</vt:lpstr>
      <vt:lpstr>vmPACE</vt:lpstr>
      <vt:lpstr>vmPExperienceRely</vt:lpstr>
      <vt:lpstr>vmProjectDevType</vt:lpstr>
      <vt:lpstr>vmQualifyingExp</vt:lpstr>
      <vt:lpstr>vmRelocation</vt:lpstr>
      <vt:lpstr>vmReplaceMHPfunds</vt:lpstr>
      <vt:lpstr>vmRural</vt:lpstr>
      <vt:lpstr>vmScatteredSite</vt:lpstr>
      <vt:lpstr>vmScoringPrincipal</vt:lpstr>
      <vt:lpstr>vmSenior</vt:lpstr>
      <vt:lpstr>vmSH</vt:lpstr>
      <vt:lpstr>vmSharedParking</vt:lpstr>
      <vt:lpstr>vmSHMHP.TOD</vt:lpstr>
      <vt:lpstr>'Gap Eligibility'!vmSN</vt:lpstr>
      <vt:lpstr>vmSN</vt:lpstr>
      <vt:lpstr>vmSpecialNeeds</vt:lpstr>
      <vt:lpstr>vmSponsor1</vt:lpstr>
      <vt:lpstr>vmSponsor2</vt:lpstr>
      <vt:lpstr>vmSponsor3</vt:lpstr>
      <vt:lpstr>vmSponsorType</vt:lpstr>
      <vt:lpstr>vmSPrincipal</vt:lpstr>
      <vt:lpstr>vmSRP</vt:lpstr>
      <vt:lpstr>vmSSC</vt:lpstr>
      <vt:lpstr>vmSSCLNotice2405</vt:lpstr>
      <vt:lpstr>vmSSPAgreement</vt:lpstr>
      <vt:lpstr>vmTAL</vt:lpstr>
      <vt:lpstr>vmTaxResev</vt:lpstr>
      <vt:lpstr>vmTH</vt:lpstr>
      <vt:lpstr>vmTodTransit</vt:lpstr>
      <vt:lpstr>vmTribalEntity</vt:lpstr>
      <vt:lpstr>vmTRPF</vt:lpstr>
      <vt:lpstr>vmUMR8302Demolition</vt:lpstr>
      <vt:lpstr>vmUrban</vt:lpstr>
      <vt:lpstr>vmWCL</vt:lpstr>
      <vt:lpstr>vmWCL2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2025 MFSN Application - Round 3</dc:title>
  <dc:subject/>
  <dc:creator>HCD</dc:creator>
  <cp:keywords/>
  <dc:description/>
  <cp:lastModifiedBy>Hervey, Dylan@HCD</cp:lastModifiedBy>
  <cp:revision/>
  <dcterms:created xsi:type="dcterms:W3CDTF">2000-09-22T20:02:10Z</dcterms:created>
  <dcterms:modified xsi:type="dcterms:W3CDTF">2026-05-04T16:28:55Z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0x010100AE94DA1C469AC34BA355C8248406E48A</vt:lpwstr>
  </property>
  <property fmtid="{D5CDD505-2E9C-101B-9397-08002B2CF9AE}" pid="3" name="Order">
    <vt:r8>100</vt:r8>
  </property>
  <property fmtid="{D5CDD505-2E9C-101B-9397-08002B2CF9AE}" pid="4" name="MediaServiceImageTags">
    <vt:lpwstr/>
  </property>
</Properties>
</file>